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680" windowWidth="9300" windowHeight="3075" tabRatio="0" activeTab="1"/>
  </bookViews>
  <sheets>
    <sheet name="Диаграмма1" sheetId="1" r:id="rId1"/>
    <sheet name="Sheet1" sheetId="2" r:id="rId2"/>
  </sheets>
  <definedNames>
    <definedName name="_xlnm.Print_Area" localSheetId="1">'Sheet1'!$A$1:$P$729</definedName>
  </definedNames>
  <calcPr fullCalcOnLoad="1"/>
</workbook>
</file>

<file path=xl/sharedStrings.xml><?xml version="1.0" encoding="utf-8"?>
<sst xmlns="http://schemas.openxmlformats.org/spreadsheetml/2006/main" count="738" uniqueCount="487">
  <si>
    <t>Загальний фонд</t>
  </si>
  <si>
    <t>Спеціальний фонд</t>
  </si>
  <si>
    <t>5</t>
  </si>
  <si>
    <t>6</t>
  </si>
  <si>
    <t xml:space="preserve">    Тип показника: Витрат</t>
  </si>
  <si>
    <t xml:space="preserve">    Тип показника: Продукту</t>
  </si>
  <si>
    <t xml:space="preserve">    Тип показника: Якості</t>
  </si>
  <si>
    <t xml:space="preserve">    Тип показника: Ефективності</t>
  </si>
  <si>
    <t xml:space="preserve">    Показник: кількість дорожніх знаків, од.</t>
  </si>
  <si>
    <t xml:space="preserve">    Показник: загальна площа вулично-дорожньої мережі, що потребує капітального ремонту, кв. м</t>
  </si>
  <si>
    <t xml:space="preserve">    Показник: загальна площа вулично-дорожньої мережі, що потребує поточного ремонту, кв. м</t>
  </si>
  <si>
    <t xml:space="preserve">    Показник: площа вуличної-дорожньої мережі, яка охоплена поточним ремонтом, кв.м</t>
  </si>
  <si>
    <t xml:space="preserve">    Показник: площа вуличної-дорожньої мережі, яка охоплена капітальним ремонтом, кв.м</t>
  </si>
  <si>
    <t xml:space="preserve">    Показник: площа вулично-дорожньої мережі з відновленою дорожньою розміткою, кв. м</t>
  </si>
  <si>
    <t xml:space="preserve">    Показник: кількість установлених світлофорних об"єктів, од.</t>
  </si>
  <si>
    <t xml:space="preserve">    Показник: середня вартість відновлення 1 кв. м дорожньої розмітки, грн.</t>
  </si>
  <si>
    <t xml:space="preserve">    Показник: середня вартість встановлення 1 світлофорного об"єкту , грн.</t>
  </si>
  <si>
    <t xml:space="preserve">    Показник: середня вартість капітального ремонту 1 кв. м вулично-дорожньої мережі, грн.</t>
  </si>
  <si>
    <t xml:space="preserve">    Показник: середня вартість очищення (утримання) 1 кв. м  вулично-дорожньої мережі, грн.</t>
  </si>
  <si>
    <t xml:space="preserve">    Показник: середня вартість поточного ремонту 1 дорожнього знаку, грн.</t>
  </si>
  <si>
    <t xml:space="preserve">    Показник: середня вартість поточного ремонту 1 кв. м вулично-дорожньої мережі, грн.</t>
  </si>
  <si>
    <t xml:space="preserve">    Показник: % дорожніх знаків з проведеним поточним ремонтом від потребуючих ремонту</t>
  </si>
  <si>
    <t xml:space="preserve">    Показник: % доріг з проведеним поточним ремонтом від потребуючих ремонту</t>
  </si>
  <si>
    <t xml:space="preserve">    Показник: % доріг з проведеним капітальним ремонтом від потребуючих ремонту</t>
  </si>
  <si>
    <t xml:space="preserve">    Показник: довжина мереж зовнішнього освітлення, на якій проведено капітальний ремонт, км</t>
  </si>
  <si>
    <t>% виконання за _______ до уточненого плану</t>
  </si>
  <si>
    <t>Всього</t>
  </si>
  <si>
    <t xml:space="preserve">    Показник: кількість установлених дорожніх знаків, од.</t>
  </si>
  <si>
    <t xml:space="preserve">    Показник: середня вартість встановлення 1 дорожнього знаку, грн.</t>
  </si>
  <si>
    <t xml:space="preserve">  Завдання: 1. Забезпечення проведення капітального ремонту вулично-дорожньої мережі</t>
  </si>
  <si>
    <t xml:space="preserve">    Показник: % світлофорних об"єктів з проведеним капітальним ремонтом від потребуючих ремонту</t>
  </si>
  <si>
    <t xml:space="preserve">    Показник: кількість поточно відремонтованих дорожніх знаків , од.</t>
  </si>
  <si>
    <t xml:space="preserve">    Показник: % установлення дорожніх знаків в порівнянні з минулим роком</t>
  </si>
  <si>
    <t xml:space="preserve">  Завдання: 5. Забезпечення проведення ремонту та технічного обслуговування вуличного освітлення</t>
  </si>
  <si>
    <t>Код програмної класифікації видатків</t>
  </si>
  <si>
    <t>Код економічної класифікації видатків</t>
  </si>
  <si>
    <t>в тому числі</t>
  </si>
  <si>
    <t xml:space="preserve">    Показник: % нанесення дорожньої розмітки від потребуючих нанесення</t>
  </si>
  <si>
    <t xml:space="preserve">    Тип показника: Витрати</t>
  </si>
  <si>
    <t>грн.</t>
  </si>
  <si>
    <t xml:space="preserve">    Показник: середня вартість придбання та монтажу одного покажчика, грн.</t>
  </si>
  <si>
    <t>Управління капітального будівництва та дорожнього господарства Сумської міської ради</t>
  </si>
  <si>
    <t>програми  реформування і розвитку житлово-</t>
  </si>
  <si>
    <t xml:space="preserve">    Показник: обсяг видатків, грн.</t>
  </si>
  <si>
    <t>обсяг електроенергії для безперебійної роботи світлофорних об'єктів, кВт/год</t>
  </si>
  <si>
    <t>середній обсяг спожитої електроенергії на один світлофорний об'єкт в рік, кВт/год</t>
  </si>
  <si>
    <t>середня вартість 1 кВт/год спожитої електроенергії на рік, грн.</t>
  </si>
  <si>
    <t>Департамент інфраструктури міста  Сумської міської ради</t>
  </si>
  <si>
    <t xml:space="preserve">    Показник: кількість заходів, що будуть виконуватись з проведенням оплачуваних громадських робіт, од.</t>
  </si>
  <si>
    <t xml:space="preserve">    Показник: видатки, передбачені на організацію та проведення оплачуваних громадських робіт,  грн.</t>
  </si>
  <si>
    <t xml:space="preserve"> Показник: середня вартість 1 заходу в рік, який буде виконуватися  з проведенням оплачуваних громадських робіт, грн.</t>
  </si>
  <si>
    <t xml:space="preserve">    Показник: загальна площа вулично-дорожньої мережі з асфальтобетонним покриттям, кв.м.</t>
  </si>
  <si>
    <t xml:space="preserve">    Показник: площа вулично-дорожньої мережі, на якій  проведено роботи з очищення (утримання),  м.кв.</t>
  </si>
  <si>
    <t xml:space="preserve">    Показник: % охоплення вулично-дорожньої мережі очищенням (утриманням) до їх загальної площі</t>
  </si>
  <si>
    <t>ДІМ СМР</t>
  </si>
  <si>
    <t xml:space="preserve">  Завдання: 2. Забезпечення проведення поточного ремонту вулично-дорожньої мережі та штучних споруд</t>
  </si>
  <si>
    <t xml:space="preserve">    Показник: площа проїздів, тротуарів і внутрішньоквартальних доріг, на якій планується провести поточний ремонт, кв.м</t>
  </si>
  <si>
    <t xml:space="preserve">    Показник: середня вартість поточного ремонту 1 кв. м проїздів, тротуарів, внутрішньоквартальних доріг, грн.</t>
  </si>
  <si>
    <t xml:space="preserve">    Показник: питома вага проїздів, тротуарів і внутрішноквартальних доріг, що зазнала поточного ремонту до площі, що потребувала поточного ремонту</t>
  </si>
  <si>
    <t xml:space="preserve"> ДІМ СМР</t>
  </si>
  <si>
    <t>УКБтаДГ СМР</t>
  </si>
  <si>
    <t xml:space="preserve">    Показник: кількість світлофорних об'єктів, од.</t>
  </si>
  <si>
    <t xml:space="preserve">    Показник: кількість установлених та капітально відремонтованих світлофорних  об'єктів, од.</t>
  </si>
  <si>
    <t xml:space="preserve">    Показник: кількість поточно відремонтованих світлофорних  об'єктів, од.</t>
  </si>
  <si>
    <t xml:space="preserve">    Показник: середня вартість втановлення та капітального ремонту 1 світлофорного об'єкту, грн.</t>
  </si>
  <si>
    <t xml:space="preserve">    Показник: середня вартість поточного ремонту 1 світлофорного об'єкту , грн.</t>
  </si>
  <si>
    <t xml:space="preserve">    Показник: % світлофорних об'єктів з проведеним поточним ремонтом від потребуючих ремонту</t>
  </si>
  <si>
    <t xml:space="preserve"> Показник: площа вулично-дорожньої мережі, на якій необхідно провести роботи по відновленню дорожньої розмітки, кв. м</t>
  </si>
  <si>
    <t>Показник: протяжність мереж зовнішнього освітлення, км</t>
  </si>
  <si>
    <t>Показник: протяжність мереж зовнішнього освітлення, яка потребує капітального ремонту, км</t>
  </si>
  <si>
    <t>Показник: протяжність мереж зовнішнього освітлення, яка потребує поточного ремонту, км</t>
  </si>
  <si>
    <t>Показник: кількість світлоточок, що підлягають утриманню, од.</t>
  </si>
  <si>
    <t>Показник: кількість світлоточок, що підлягають заміні, од.</t>
  </si>
  <si>
    <t>Обсяг електроенергії необхідної для безперебійної роботи вуличного освітлення, кВт/год</t>
  </si>
  <si>
    <t>Показник: протяжність мережі зовнішнього освітлення, на якій планується провести поточний ремонт, км</t>
  </si>
  <si>
    <t>Показник: протяжність мережі зовнішнього освітлення, на якій планується провести капітальний ремонт, км</t>
  </si>
  <si>
    <t>Показник: кількість світлоточок, які планується замінити, од.</t>
  </si>
  <si>
    <t>Обсяг електроенергії передбаченої для безперебійної роботи вуличного освітлення, кВт/год</t>
  </si>
  <si>
    <t xml:space="preserve">    Показник: середні витрати на проведення  поточного ремонту 1 км мережі зовнішнього освітлення, грн.</t>
  </si>
  <si>
    <t xml:space="preserve">    Показник: середні витрати на проведення  капітального ремонту 1 км мережі зовнішнього освітлення, грн.</t>
  </si>
  <si>
    <t xml:space="preserve">    Показник: середні витрати на утримання 1 світлоточки, грн.</t>
  </si>
  <si>
    <t xml:space="preserve">    Показник:  середні витрати на заміну 1 світлоточки, грн.</t>
  </si>
  <si>
    <t xml:space="preserve">    Показник: Питома вага відремонтованих за рахунок поточного ремонту мереж зовнішнього освітлення до загальної потреби, %</t>
  </si>
  <si>
    <t xml:space="preserve">    Показник: Питома вага відремонтованих за рахунок капітального ремонту мереж зовнішнього освітлення до загальної потреби, %</t>
  </si>
  <si>
    <t xml:space="preserve">    Показник: питома вага замінених світлоточок до загальної потреби, %</t>
  </si>
  <si>
    <t xml:space="preserve">    Показник: Площа території об'єктів зеленого господарства, яка підлягає санітарному прибиранню (догляду), га</t>
  </si>
  <si>
    <t xml:space="preserve">    Показник: кількість дерев та чагарників, які потребують видалення, од.</t>
  </si>
  <si>
    <t xml:space="preserve">    Показник: кількість дерев, які потребують догляду, од.</t>
  </si>
  <si>
    <t xml:space="preserve">    Показник: Площа газонів, яку необхідно утримувати (викошувати тощо), га</t>
  </si>
  <si>
    <t xml:space="preserve">    Показник: територія об'єктів зеленого господарства, на якій планується санітарне прибирання (догляд), од.</t>
  </si>
  <si>
    <t xml:space="preserve">    Показник: кількість дерев, які планується видалити, од.</t>
  </si>
  <si>
    <t xml:space="preserve">    Показник: кількість дерев, які планується доглянути (провести обрізку тощо), од.</t>
  </si>
  <si>
    <t xml:space="preserve">    Показник: площа газонів, яку планується утримувати (викошувати тощо), га</t>
  </si>
  <si>
    <t xml:space="preserve">    Показник: середні витрати на санітарне прибирання (догляд) 1 га території об'єктів зеленого господарства, грн.</t>
  </si>
  <si>
    <t xml:space="preserve">    Показник: середні витрати на  видалення одного  дерева, грн.</t>
  </si>
  <si>
    <t xml:space="preserve">    Показник: середні витрати на  догляд за одним деревом (обрізка тощо), грн.</t>
  </si>
  <si>
    <t xml:space="preserve">    Показник: середні витрати на  висадження 1 тис. од. квіткової розсади, грн.</t>
  </si>
  <si>
    <t xml:space="preserve">    Показник: середні витрати на  утримання 1 га газонів, грн.</t>
  </si>
  <si>
    <t xml:space="preserve">    Показник: Питома вага прибраної, доглянутої площі до площі, що підлягає догляду та прибирання, %</t>
  </si>
  <si>
    <t xml:space="preserve">    Показник: Питома вага видалених зелених насаджень у загальній кількості зелених насаджень, що потребують видалення, %,</t>
  </si>
  <si>
    <t xml:space="preserve">    Показник: Питома вага доглянутих зелених насаджень у загальній кількості зелених насаджень, що потребують догляду, %</t>
  </si>
  <si>
    <t xml:space="preserve">    Показник: кількість квіткової розсади, яку планується висадити, тис.од.</t>
  </si>
  <si>
    <t xml:space="preserve">    Показник: кількість квіткової розсади, яку необхідно висадити, тис. од.</t>
  </si>
  <si>
    <t xml:space="preserve">    Показник: кількість громадських вбиралень, які планується утримувати, од.</t>
  </si>
  <si>
    <t xml:space="preserve">    Показник: середня витрати на один виїзд спецслужби, грн.</t>
  </si>
  <si>
    <t xml:space="preserve">    Показник: середня вартість утримання однієї громадської вбиральні на рік,  грн. </t>
  </si>
  <si>
    <t xml:space="preserve">    Показник: Темп зростання витрат на один виїзд спецслужби порівняно з попереднім роком, %,</t>
  </si>
  <si>
    <t>Показник: Питома вага площі кладовищ, благоустрій яких планується здійснювати у загальній площі кладовищ, %</t>
  </si>
  <si>
    <t xml:space="preserve">    Показник: Темп зростання середніх витрат на утримання однієї громадської вбиральні порівняно з попереднім роком, %,</t>
  </si>
  <si>
    <t>Показник: кількість світлоточок, які планується утримувати, од.</t>
  </si>
  <si>
    <t xml:space="preserve">    Показник: кількість урн, які планується придбати, од.</t>
  </si>
  <si>
    <t xml:space="preserve">    Показник: вартість придбання однієї урни, грн.</t>
  </si>
  <si>
    <t>Показник: темп зростання середніх витрат на один захід із санітарної очистки території порівняно з попереднім роком, %</t>
  </si>
  <si>
    <t xml:space="preserve">    Показник: кількість заходів з поточного ремонту об'єктів благоустрою, од.</t>
  </si>
  <si>
    <t xml:space="preserve">    Показник: кількість заходів з утримання об'єктів благоустрою, од.</t>
  </si>
  <si>
    <t xml:space="preserve">    Показник: середня вартість одного заходу з поточного ремонту об'єктів благоустрою на рік, грн.</t>
  </si>
  <si>
    <t xml:space="preserve">    Показник: середня вартість одного заходу з утримання об'єктів благоустрою на рік, грн.</t>
  </si>
  <si>
    <t>Показник: темп зростання середніх витрат на один захід з поточного ремонту об'єктів благоустрою порівняно з попереднім роком, %</t>
  </si>
  <si>
    <t>Показник: темп зростання середніх витрат на один захід з утримання об'єктів благоустрою порівняно з попереднім роком, %</t>
  </si>
  <si>
    <t xml:space="preserve">    Показник: кількість заходів з капітального ремонту об'єктів благоустрою, од.</t>
  </si>
  <si>
    <t xml:space="preserve">    Показник: середня вартість одного заходу з капітального ремонту об'єктів благоустрою, грн.</t>
  </si>
  <si>
    <t>Показник: темп зростання середніх витрат на один захід із капітального ремонту об'єктів благоустрою порівняно з попереднім роком, %</t>
  </si>
  <si>
    <t xml:space="preserve">    Мета:  Підвищення експлуатаційних властивостей житлового фонду і утримання його у належному стані, забезпечення його надійності та безпечної експлуатації, покращення умов проживання мешканців міста</t>
  </si>
  <si>
    <t>Показник: кількість об'єктів житлового фонду (будинків), що потребують ремонту, грн.</t>
  </si>
  <si>
    <t xml:space="preserve">    Показник: кількість об'єктів житлового фонду (будинків), що планується відремонтувати, грн.</t>
  </si>
  <si>
    <t xml:space="preserve">    Показник: середня вартість капітального ремонту одного об'єкта житлового фонду (будинку), грн.</t>
  </si>
  <si>
    <t xml:space="preserve">    Показник: Питома вага кількості об'єктів житлового фонду (будинків), на яких планується проведення капітального ремонту, до кількості об'єктів (будинків), що потребують капітального ремонту </t>
  </si>
  <si>
    <t>Підпрограма 1. Капітальний ремонт житлового фонду</t>
  </si>
  <si>
    <t xml:space="preserve">    Мета:  Забезпечення святкового оформлення міста до пам'ятних та історичних дат, культурно-мистецьких, релігійних та інших святкових заходів</t>
  </si>
  <si>
    <t xml:space="preserve">    Показник: кількість покажчиків вулиць, які планується замінити</t>
  </si>
  <si>
    <t xml:space="preserve">    Показник: Питома вага кількості покажчиків вулиць, які планується замінити  до загальної кількості покажчиків, що потребують заміни, %</t>
  </si>
  <si>
    <t xml:space="preserve">    Показник: загальна кількість покажчиків вулиць, які потребують заміни, од.</t>
  </si>
  <si>
    <t xml:space="preserve">    Мета: Забезпечення функціонування водопровідно-каналізаційного господарства</t>
  </si>
  <si>
    <t xml:space="preserve">    Показник: кількість нормативів питного водопостачання для населення , од.</t>
  </si>
  <si>
    <t xml:space="preserve">    Показник: вартість розробки одного нормативу питного водопостачання для населення,  грн.</t>
  </si>
  <si>
    <t xml:space="preserve">    Показник: кількість систем поливу, що планується встановити, од.</t>
  </si>
  <si>
    <t xml:space="preserve">    Показник: середня вартість становлення однієї системи поливу, грн.</t>
  </si>
  <si>
    <t xml:space="preserve">РАЗОМ </t>
  </si>
  <si>
    <t xml:space="preserve">    Показник: загальна площа внутрішньоквартальних доріг і проїздів, що потребує капітального ремонту, кв. м</t>
  </si>
  <si>
    <t xml:space="preserve">    Показник: загальна площа тротуарів, що потребує капітального ремонту, кв. м</t>
  </si>
  <si>
    <t xml:space="preserve">    Показник: площа внутрішньоквартальних доріг та проїздів, на якій планується провести капітальний ремонт, кв.м</t>
  </si>
  <si>
    <t xml:space="preserve">    Показник: площа тротуарів, на якій планується провести капітальний ремонт, кв.м</t>
  </si>
  <si>
    <t xml:space="preserve">    Показник: питома вага внутрішноквартальних доріг і проїздів, що зазнала капітального ремонту до площі, що потребувала капітального ремонту, %</t>
  </si>
  <si>
    <t xml:space="preserve">    Показник: питома вага тротуарів, що зазнала капітального ремонту до площі, що потребувала капітального ремонту, %</t>
  </si>
  <si>
    <t xml:space="preserve">    Показник: середня вартість капітального ремонту 1 кв. м внутрішноквартальних доріг і проїздів, грн.</t>
  </si>
  <si>
    <t xml:space="preserve">    Показник: середня вартість капітального ремонту 1 кв. м тротуарів, грн.</t>
  </si>
  <si>
    <t xml:space="preserve">    Показник:площа дитячого парку "Казка", що підлягає прибиранню,  га</t>
  </si>
  <si>
    <t xml:space="preserve">    Показник: площа дитячого парку "Казка", яку планується прибирати, га</t>
  </si>
  <si>
    <t xml:space="preserve">    Показник: середні витрати на  прибирання 1 га території дитячого парку "Казка",  грн. в квартал</t>
  </si>
  <si>
    <t>_________________________</t>
  </si>
  <si>
    <t>Обсяг природного газу необхідної для безперебійної роботи Монументу "Вічна Слава", куб.м/рік</t>
  </si>
  <si>
    <t>Тип показника: Витрат</t>
  </si>
  <si>
    <t xml:space="preserve">    Показник: середня вартість1 куб.м. спожитотого прородного газу, грн.</t>
  </si>
  <si>
    <t xml:space="preserve">    Показник: кількість знаків "Пожежний гідрант",шт.</t>
  </si>
  <si>
    <t xml:space="preserve">    Показник: середня вартість заміни одного пожежного гідранту,  грн.</t>
  </si>
  <si>
    <t xml:space="preserve">    Показник: кількість  об'єктів водопостачання на яких планується замінити гідранти, шт.</t>
  </si>
  <si>
    <t xml:space="preserve">    Показник: варість одного знаку "Пожежний гідрант",  грн.</t>
  </si>
  <si>
    <t xml:space="preserve">    Показник: обсяг видатків на обстеження та випробування, грн.</t>
  </si>
  <si>
    <t>Показник: кількість об'єктів, які планується обстежити та випробувати, од.</t>
  </si>
  <si>
    <t xml:space="preserve"> Показник: середні витрати наобстеження та випробовування одного  об'єкту, грн.</t>
  </si>
  <si>
    <t xml:space="preserve">    Показник: кількість нових лавок які планується придбати і встановити  по місту Суми, од.</t>
  </si>
  <si>
    <t xml:space="preserve">    Показник: кількість водопровідних та каналізаційних люків, які планується придбати, шт.</t>
  </si>
  <si>
    <t xml:space="preserve">    Показник: середня вартість одного люка, який планується придбати,  грн.</t>
  </si>
  <si>
    <t xml:space="preserve">    Показник: кількість проектів землеустрою щодо відведення земельних ділянок, од.</t>
  </si>
  <si>
    <t xml:space="preserve">    Мета: Відшкодування з міського бюджету частини відсотків за кредитами, залученими населенням (фізичними особами, об'єднаннями співвласників багатоквартирних житлових будинків, житлово-будівельними кооперативами) на впровадження енергозберігаючих заходів</t>
  </si>
  <si>
    <t xml:space="preserve">    Показник:кількість позичальників, що отримали кредит на впровадження енергозберігаючих заходів, од.</t>
  </si>
  <si>
    <t xml:space="preserve">    Показник: кількість позичальників, що отримали відшкодування відсоткових ставок, од.</t>
  </si>
  <si>
    <t xml:space="preserve">    Показник: середні витрати на одного позичальника,  грн.</t>
  </si>
  <si>
    <t xml:space="preserve">    Показник:кількість схем, шт.</t>
  </si>
  <si>
    <t xml:space="preserve">    Мета: Поповнення статутного капіталу підприємств комунальної форми власності</t>
  </si>
  <si>
    <t xml:space="preserve">    Показник: кількість підприємств комунальної форми власності яким планується поповнення статутного капіталу, од.</t>
  </si>
  <si>
    <t xml:space="preserve">    Показник: середня сума  поповнення статутного капіталу  одного підприємства,  грн.</t>
  </si>
  <si>
    <t>Показник: кількість кількість об'єктів, що потребує капітального ремонту од.</t>
  </si>
  <si>
    <t xml:space="preserve">    Показник: середня вартість проведення капітального ремонту на один об'єкт, грн</t>
  </si>
  <si>
    <t xml:space="preserve">    Показник: середня вартість 1 місяця оплати податку на земельну ділянку за адресою: м.Суми, вул.Привокзальна, 4/13 (каналізаційно-насосна станція), грн.</t>
  </si>
  <si>
    <t xml:space="preserve">    Показник:кількість технічних паспортів, шт.</t>
  </si>
  <si>
    <t xml:space="preserve">    Показник: вартість розробки технічного паспорту,  грн.</t>
  </si>
  <si>
    <t xml:space="preserve">    Показник: середня вартість однієї науково-технічної продукції,  грн.</t>
  </si>
  <si>
    <t xml:space="preserve">    Показник: Темп зростання кількості регулювання тварин порівняно з попереднім роком, %</t>
  </si>
  <si>
    <t>Показник: Темп зростання середніх витрат на регулювання однієї тварини порівняно з попереднім роком, %</t>
  </si>
  <si>
    <t xml:space="preserve">    Показник: кількість бюджетів, яким планується надання субвенції, од.</t>
  </si>
  <si>
    <t xml:space="preserve">    Показник: середня сума  надання субвенції одному бюджету,  грн.</t>
  </si>
  <si>
    <t>Показник: кількість об'єктів, що планується відремонтувати, грн.</t>
  </si>
  <si>
    <t>Показник: кількість виїздів спецслужби за викликами, од.</t>
  </si>
  <si>
    <t>Показник: середня вартість однієї нової лавки яку планується придбати і встановити по місту Суми на рік, грн.</t>
  </si>
  <si>
    <t>власні кошти підприємства</t>
  </si>
  <si>
    <t xml:space="preserve">    Показник:кількість об'єктів, шт.</t>
  </si>
  <si>
    <t>Управління  архітектури та містобудування Сумської міської ради</t>
  </si>
  <si>
    <t>УАМ СМР</t>
  </si>
  <si>
    <t xml:space="preserve">    Показник: середня вартість ремонту 1 об'єкта, грн.</t>
  </si>
  <si>
    <t>Показник: середня вартість поховання 1 безрідного, грн.</t>
  </si>
  <si>
    <t xml:space="preserve">    Показник: кількість об'єктів житлового фонду (будинків), що планується відремонтувати, шт.</t>
  </si>
  <si>
    <t>Показник:вартість капітального ремонту житлового фонду ОСББ (будинку), грн.</t>
  </si>
  <si>
    <t>Показник:  вартість співфінансування капітального ремонту  житлового фонду (будинку) ОСББ та ЖБК, грн.</t>
  </si>
  <si>
    <t xml:space="preserve">    Показник: середня вартість співфінансування капітального ремонту одного об'єкта житлового фонду (будинку) ОСББ та ЖБК, грн.</t>
  </si>
  <si>
    <t xml:space="preserve">    Показник: кількість науково-технічної продукції, од.</t>
  </si>
  <si>
    <t xml:space="preserve">    Показник: вартість садіння дерев та кущів, створення газонів  на території м. Суми</t>
  </si>
  <si>
    <t xml:space="preserve">    Мета: Повернення бюджетних позичок      </t>
  </si>
  <si>
    <t xml:space="preserve">    Показник:кількість підприємств, яким надана бюджетна позичка, од.</t>
  </si>
  <si>
    <t xml:space="preserve">    Показник: обсяг бюджетної позички, який підлягає поверненню, грн.</t>
  </si>
  <si>
    <t xml:space="preserve">    Мета: Проведення будівництва об'єктів комунального господарства </t>
  </si>
  <si>
    <t xml:space="preserve">    Показник: кількість інформаційних дошок про втрачені об’єкти архітектури у місті , які планується встановити</t>
  </si>
  <si>
    <t xml:space="preserve">    Показник: середня вартість капітального та проточного ремонту колекторів та каналізаційних мереж, грн.</t>
  </si>
  <si>
    <t xml:space="preserve">    Показник: загальна кількість об'єктів, що потребує поточного та капітального ремонту, шт.</t>
  </si>
  <si>
    <t xml:space="preserve">    Показник:кількість об'ктів, яка охоплена поточним та капітальним ремонтом, шт.</t>
  </si>
  <si>
    <t xml:space="preserve">    Показник: питома вага об'ктів, що зазнали ремонту до кількості, що потребувала  ремонту</t>
  </si>
  <si>
    <t xml:space="preserve">    Показник: кількість зелених насаджень, що планується висадити та провести озеленення територій, од.</t>
  </si>
  <si>
    <t xml:space="preserve">    Показник: середні витрати на  висадження одного дерева та озеленення територій, грн.</t>
  </si>
  <si>
    <t xml:space="preserve">    Показник:площа трави (амброзії), що підлягає прополюванню,  га</t>
  </si>
  <si>
    <t xml:space="preserve">    Показник:площа русел річок та водойм, які потребують очищення від намулів, відкладів та завалів, га</t>
  </si>
  <si>
    <t xml:space="preserve">    Показник:площа трави (амброзії), яку планується прополювати,  га</t>
  </si>
  <si>
    <t xml:space="preserve">    Показник:площа русел річок та водойм, які планується очищати від намулів, відкладів та завалів, га</t>
  </si>
  <si>
    <t xml:space="preserve">    Показник:середні витрати на прополювання трави (амброзії), грн</t>
  </si>
  <si>
    <t xml:space="preserve">    Показник: видатки по забезпеченню діяльності спецслужби, грн</t>
  </si>
  <si>
    <t xml:space="preserve"> Показник: видатки по забезпеченню фукціонування громадських вбиралень, грн</t>
  </si>
  <si>
    <t>Показник: видатки на поточний ремонт, утримання місць поховань та елементів благоустрою, грн</t>
  </si>
  <si>
    <t xml:space="preserve">    Показник: видатки на забезпечення поховання безрідних, грн</t>
  </si>
  <si>
    <t xml:space="preserve">    Показник: видатки на проведення капітального ремонту місць поховань та елементів благоустрою на них, грн</t>
  </si>
  <si>
    <t xml:space="preserve">    Показник: кількість кладовищ, благоустрій яких планується здійснюваати, од.</t>
  </si>
  <si>
    <t xml:space="preserve">    Показник: середньорічні витрати на благоустрій 1 кладовища, грн.</t>
  </si>
  <si>
    <t xml:space="preserve">    Показник: середні витрати на прибирання, ліквідацію 1 м3 сміття на об'єктах благоустрою загального користування комунальними підприємствами міста Суми, грн.</t>
  </si>
  <si>
    <t>Показник: темп зростання середніх витрат на придбання однієї урни порівняно з попереднім роком, %</t>
  </si>
  <si>
    <t>Показник: темп зростання середніх витрат на придбання однієї лавки порівняно з попереднім роком, %</t>
  </si>
  <si>
    <t>Показник: кількість місяців, за які сплачується податок на земельну ділянку за адресою: м.Суми, вул.Привокзальна, 4/13 (каналізаційно-насосна станція), од</t>
  </si>
  <si>
    <t xml:space="preserve">    Показник: кількість заходів із акарицидної обробки зелених насаджень у парках та скверах містаї, од.</t>
  </si>
  <si>
    <t xml:space="preserve">    Показник: середня вартість одного заходу із акарицидної обробки зелених насаджень у парках та скверах міста грн.</t>
  </si>
  <si>
    <t xml:space="preserve">    Показник:кількість об'єктів благоустрою по зеленим насадженням, які потребують проведення капітального ремонту, од</t>
  </si>
  <si>
    <t xml:space="preserve">    Показник:кількість об'єктів благоустрою по зеленим насадженням, на яких планується  проведення капітального ремонту, од</t>
  </si>
  <si>
    <t xml:space="preserve">    Показник:середні витрати на проведення капітального ремонту об'єктів благоустрою по зеленим насадженням, грн</t>
  </si>
  <si>
    <t>Показник: сума видатків на поточний ремонт  проїздів, тротуарів і внутрішньоквартальних доріг,грн</t>
  </si>
  <si>
    <t xml:space="preserve">    Показник: середня вартість 1 кВт/год електроенергії необхідної для безперебійної роботи вуличного освітлення, грн</t>
  </si>
  <si>
    <t xml:space="preserve">    Показник: кількість дерев, що потребують висадженню, од.</t>
  </si>
  <si>
    <t xml:space="preserve">    Показник:середні витрати на очищення русел річок та водойм від намулів, відкладів та завалів, грн/га</t>
  </si>
  <si>
    <t>Показник: видатки на пслуги зі збирання безпечних відходів, непридатних для вторинного використання (прибирання урн від сміття по місту), грн</t>
  </si>
  <si>
    <t xml:space="preserve">    Показник: видатки на придбання урн, грн</t>
  </si>
  <si>
    <t xml:space="preserve"> Показник: видатки на догляд за об'єктами благоустрою загального користування (прибирання сміття), грн</t>
  </si>
  <si>
    <t xml:space="preserve"> Показник: видатки на догляд за об'єктами благоустрою загального користування (ліквідація стихійних звалищ), грн</t>
  </si>
  <si>
    <t xml:space="preserve">    Показник: кількість заходів із збирання безпечних відходів, непридатних для вторинного використання (прибирання урн від сміття по місту), од.</t>
  </si>
  <si>
    <t xml:space="preserve">    Показник: середня вартість одного заходу із збирання безпечних відходів, непридатних для вторинного використання (прибирання урн від сміття по місту), грн.</t>
  </si>
  <si>
    <t xml:space="preserve">    Показник: обсяг сміття по несанкціонованих звалищ, який планується ліквідувати на об'єктах благоустрою загального користування, тн</t>
  </si>
  <si>
    <t xml:space="preserve">    Показник: середні витрати на  ліквідацію  стихійних звалищ, грн.</t>
  </si>
  <si>
    <t xml:space="preserve">    Показник: середні витрати на  здійснення догляду за об'єктами загального користування, грн.</t>
  </si>
  <si>
    <t xml:space="preserve">    Показник: площа території на об'єктах благоустрою загального користування, на якій планується здійснювати догляд, тис. кв м</t>
  </si>
  <si>
    <t>Показник: темп зростання середніх витрат на  здійснення догляду за об'єктами загального користування порівняно з попереднім роком, %</t>
  </si>
  <si>
    <t>Показник: темп зростання середніх витрат на ліквідацію 1 м3 сміття стихійних звалищ порівняно з попереднім роком, %</t>
  </si>
  <si>
    <t xml:space="preserve">    Показник: кількість безпритульних тварин, які планується виловити (утримувати в притулку, стерилізувати), од.</t>
  </si>
  <si>
    <t xml:space="preserve">    Показник: середні витрати на проведення утримання в притулку, стерилізації тварини та їх виловлення, грн.</t>
  </si>
  <si>
    <t>КПКВК 6020</t>
  </si>
  <si>
    <t xml:space="preserve">    Показник: обсяг видатків, передбачений на забезпечення функціонування об'єктів житлово-комунального господарства, грн.</t>
  </si>
  <si>
    <t xml:space="preserve">    Показник: кількість підприємств, яким планується видатки на забезпечення функціонування об'єктів житлово-комунального господарства, од.</t>
  </si>
  <si>
    <t xml:space="preserve">    Показник: середня сума  видатків на забезпечення функціонування об'єктів житлово-комунального господарства,  грн.</t>
  </si>
  <si>
    <t xml:space="preserve">    Показник: кількість заходів, по яким плануються видатки на забезпечення функціонування водопровідно-каналізаційне господарство, од.</t>
  </si>
  <si>
    <t xml:space="preserve">    Показник: середня сума   видатків на забезпечення функціонування водопровідно-каналізаційне господарство,  грн.</t>
  </si>
  <si>
    <t>КПКВК 7640</t>
  </si>
  <si>
    <t>КПКВК 7670</t>
  </si>
  <si>
    <t>КПКВК 9770</t>
  </si>
  <si>
    <t>КПКВК 8862</t>
  </si>
  <si>
    <t xml:space="preserve">    Показник: середня вартість реконструкції (реставрації) для одного об'єкта,  грн.</t>
  </si>
  <si>
    <t xml:space="preserve">    Мета: Розробка технічних паспортів на багатоквартирні житлові будинки</t>
  </si>
  <si>
    <t xml:space="preserve">    Мета: Надання бюджетних позичок      </t>
  </si>
  <si>
    <t xml:space="preserve">    Показник:кількість підприємств, яким планується надання бюджетної позички, од.</t>
  </si>
  <si>
    <t xml:space="preserve">    Показник: середній обсяг бюджетної позички, який планується надати,  грн.</t>
  </si>
  <si>
    <t xml:space="preserve">    Показник: обсяг бюджетної позички, який планується  надати, грн.</t>
  </si>
  <si>
    <t>КПКВК 8861</t>
  </si>
  <si>
    <t xml:space="preserve">    Показник: середня вартість 1  відшкодування майнової шкоди, охорони новорічних ялинок, грн.</t>
  </si>
  <si>
    <t>Показник: кількість відшкодувань майнової шкоди та новорічних ялинок, які планується охороняти, од</t>
  </si>
  <si>
    <t xml:space="preserve">    Показник: загальна кількість святкових заходів, які підлягають святковому оформленню</t>
  </si>
  <si>
    <t xml:space="preserve">    Показник: обсяг видатків на святкове оформлення та ремонт, грн.</t>
  </si>
  <si>
    <t xml:space="preserve">    Показник: середня вартість 1 святкового заходу та ремонту, грн.</t>
  </si>
  <si>
    <t xml:space="preserve">    Показник: середня вартість схеми теплопостачання м.Суми, грн.</t>
  </si>
  <si>
    <t>Показник: кількість схем теплопостачання м.Суми, які планується розробити, од</t>
  </si>
  <si>
    <t xml:space="preserve">Результативні показники виконання заходів програми  реформування і розвитку житлово-комунального господарства, на виконання яких виділяються кошти міського бюджету та інші надходження                                    </t>
  </si>
  <si>
    <t>на 2018-2020 роки</t>
  </si>
  <si>
    <t xml:space="preserve">    Показник: площа тротуарів з асфальтобетонним покриттям та фігурними елиментами мощення, на якій  проведено роботи з очищення (утримання),  м.кв.</t>
  </si>
  <si>
    <t xml:space="preserve">    Показник: загальна площа тротуарів з асфальтобетонним покриттям та фігурними елиментами мощення, які визначені для чищення, кв.м.</t>
  </si>
  <si>
    <t>Залишок субвенції на капремонт внутрішньобудинкових інженерних мереж житлового будинку №4 по вул. Менделєєва, м.Суми</t>
  </si>
  <si>
    <t>Залишок субвенції на реконструкцію багатофункціонального спортивного майданчику вул.Новомістенська, 4</t>
  </si>
  <si>
    <t xml:space="preserve">    Мета:  Регулювання діяльності у сфері розміщення зовнішньої реклами на території міста Суми</t>
  </si>
  <si>
    <t xml:space="preserve">    Показник:загальна кількість заходів з розміщення соціальної реклами, од</t>
  </si>
  <si>
    <t xml:space="preserve">    Показник:загальна кількість святкових та урочистих подій, які підлягають святковому оформленню</t>
  </si>
  <si>
    <t xml:space="preserve">    Показник: середня вартість проведення одного заходу з розміщення рекламних матеріалів до святкових та урочистих подій, грн.</t>
  </si>
  <si>
    <t xml:space="preserve">    Показник: середня вартість проведення одного заходу з розміщення соціальної реклами, грн.</t>
  </si>
  <si>
    <t>Показник: обсяг видатків на демонтаж (розбирання, знесення) рекламних засобів на висоті до 3 метрів, грн</t>
  </si>
  <si>
    <t>Показник: обсяг видатків на демонтаж (розбирання, знесення) рекламних засобів на висоті вище 3 метрів, грн</t>
  </si>
  <si>
    <t>Показник: обсяг видатків на демонтаж (розбирання, знесення) великоформатинх рекламних засобів (типу "бігборд" та ін.), грн</t>
  </si>
  <si>
    <t>Показник: обсяг видатків за послуги із доставки демонтованих рекламних засобів на майданчик тимчасового зберігання, грн</t>
  </si>
  <si>
    <t>Показник: обсяг видатків за послуги із відключення від мережі електропостачання, грн</t>
  </si>
  <si>
    <t>Показник: обсяг видатків за послуги з прибирання території (від сміття, що залишилося після демонтажу), грн</t>
  </si>
  <si>
    <t xml:space="preserve">    Показник: кількість часу витраченого на демонтаж (розбирання, знесення) рекламних засобів на висоті до 3 метрів, год.</t>
  </si>
  <si>
    <t xml:space="preserve">    Показник: кількість часу витраченого на демонтаж (розбирання, знесення) рекламних засобів на висоті вище 3 метрів, год.</t>
  </si>
  <si>
    <t>Показник: кількість часу витраченого на демонтаж (розбирання, знесення) великоформатних рекламних засобів (типу "біг-борд" та ін.), год</t>
  </si>
  <si>
    <t>Показник: кількість часу витраченого на доставку демонтованих рекламних засобів на майданчик тимчасового зберігання, год</t>
  </si>
  <si>
    <t>Показник: кількість часу витраченого на відклюення від мережі електропостачання, год</t>
  </si>
  <si>
    <t>Показник: кількість куб.м. прибраного на території сміття</t>
  </si>
  <si>
    <t xml:space="preserve">   Показник: середня вартість однієї години демонтажу(розбирання, знесення) рекламних засобів на висоті до 3 метрів, грн.</t>
  </si>
  <si>
    <t xml:space="preserve">   Показник: середня вартість однієї години демонтажу(розбирання, знесення) рекламних засобів на висоті вище 3 метрів, грн.</t>
  </si>
  <si>
    <t xml:space="preserve">   Показник: середня вартість однієї години демонтажу(розбирання, знесення) великогабаритних рекламних засобів (типу "біг-борд" та ін.), грн.</t>
  </si>
  <si>
    <t>Показник: середня вартість однієї години послуги з доставки демонтованих рекламних засобів на майданчик тимчасового зберігання, грн</t>
  </si>
  <si>
    <t>Показник: середня вартість однієї години послуги з відключення від мережі електропостачання, грн</t>
  </si>
  <si>
    <t>Показник: середня вартість прибирання одного куб.м. сміття на території, грн</t>
  </si>
  <si>
    <t>КПКВК 6090</t>
  </si>
  <si>
    <t>КПКВК 7691</t>
  </si>
  <si>
    <t xml:space="preserve">    Мета:  Забезпечення демонтажу та зберігання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 та рекламних засобів, розміщених самовільно та з порушенням порядку розміщення зовнішньої реклами.</t>
  </si>
  <si>
    <t>Показник: обсяг видатків за послуги із відключення об'єктів від мережі електропостачання , грн.</t>
  </si>
  <si>
    <t>Показник: обсяг видатків на  проведення демонтажу об'єктів без відключення від мережі електропостачання, грн.</t>
  </si>
  <si>
    <t>Показник: обсяг видатків за послуги із доставки демонтованих об'єктів на майданчик тимчасового зберігання , грн.</t>
  </si>
  <si>
    <t>Показник: обсяг видатків за послуги з прибирання території (від сміття, що залишилось після демонтажу) , грн.</t>
  </si>
  <si>
    <t xml:space="preserve">    Показник: кількість часу витраченого на демонтаж об'єктів без відключення від мережі електропостачання, год.</t>
  </si>
  <si>
    <t xml:space="preserve">    Показник: кількість часу витраченого на відключення об'єктів від мережі електропостачання , год.</t>
  </si>
  <si>
    <t xml:space="preserve">    Показник: кількість часу витраченого на доставку демонтованих об'єктів на майданчик тимчасового зберігання , год.</t>
  </si>
  <si>
    <t xml:space="preserve">    Показник: кількість куб.м. прибраного на території сміття </t>
  </si>
  <si>
    <t>Показник: середня вартість однієї години демонтажу об'єктів без відключення від мережі електропостачання , грн.</t>
  </si>
  <si>
    <t>Показник: середня вартість однієї години послуги з відключення об'єктів від мережі електропостачання , грн.</t>
  </si>
  <si>
    <t>Показник: середня вартість однієї години послуги з доставки демонтованих об'єктів на майданчик тимчасового зберігання , грн.</t>
  </si>
  <si>
    <t>Показник: середня вартість прибирання одного куб.м. сміття на території  , грн.</t>
  </si>
  <si>
    <t xml:space="preserve">    Показник: обсяг видатків на опдату послуги зберігання об'єктів, грн.</t>
  </si>
  <si>
    <t xml:space="preserve">    Показник: загальна площа території для зберігання об'єктів, кв.м</t>
  </si>
  <si>
    <t xml:space="preserve">    Показник: середня вартість послуги зберігання на площі 1 кв.м., грн.</t>
  </si>
  <si>
    <t xml:space="preserve">    Показник: обсяг видатків на реконструкцію , грн.</t>
  </si>
  <si>
    <t>Показник: кількість об'єктів, які планується реконструювати , од.</t>
  </si>
  <si>
    <t xml:space="preserve"> Показник: середні витрати на реконструкцію  одного  об'єкту, грн.</t>
  </si>
  <si>
    <t>Показник: кількість послуг, які будуть надані при визначенні норм  з вивезення ТПВ, од</t>
  </si>
  <si>
    <t xml:space="preserve">    Показник: середня вартість 1 послуги, з визначення норм вивезення ТПВ , грн.</t>
  </si>
  <si>
    <t>Показник: кількість послуг з перевірки лічильників, од.</t>
  </si>
  <si>
    <t xml:space="preserve">    Показник: середня вартість 1 послуги, з повірки лічильників , грн.</t>
  </si>
  <si>
    <t xml:space="preserve">    Показник: обсяг видатків (субвенція з ДБ) ,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водовідведення (з використанням внутрішньобудинкових систем), що вироблялися, транспортувалися та постачалися населенню та/або іншим підприємствам теплопостачання, централізованого питного водопостачання та водовідведення, які надають населенню такі послуги, та тарифами, що затверджувалися та/або погоджувалися органами державної влади чи місцевого самоврядування за рахунок субвенції з державного  бюджету</t>
  </si>
  <si>
    <t xml:space="preserve">    Показник: середня вартість,  грн.</t>
  </si>
  <si>
    <t>КПКВК 6017</t>
  </si>
  <si>
    <t xml:space="preserve"> КПКВК 3210</t>
  </si>
  <si>
    <t>КПКВК 7130</t>
  </si>
  <si>
    <t xml:space="preserve">    Показник: середня вартість заходу,  грн.</t>
  </si>
  <si>
    <t xml:space="preserve">Мета  Забезпечення сталого розвитку земельного господарства </t>
  </si>
  <si>
    <t xml:space="preserve">    Показник:кількість заходів,од.</t>
  </si>
  <si>
    <t xml:space="preserve">    Показник: кількість зелених насаджень ( дерев та кущів), що планується виисадити , од.</t>
  </si>
  <si>
    <t xml:space="preserve">    Показник: середні витрати на  висадження одного дерева та посадку куща, грн.</t>
  </si>
  <si>
    <t xml:space="preserve">Показник: вартість співфінансування капітального ремонту житлового фонду, грн. </t>
  </si>
  <si>
    <t>Показник: середня вартість співфінансування капітального ремонту одного об'єкта житлового фонду, грн.</t>
  </si>
  <si>
    <t>Підпрограма 2. Капітальний ремонт житлового фонду об'єднань  співвласників  багатоквартирних будинків</t>
  </si>
  <si>
    <t xml:space="preserve">    Показник: середня обсяг бюджетної позички,який підлягає поверненню, грн.</t>
  </si>
  <si>
    <t xml:space="preserve">    Показник: кількість дерев та кущів, які планується висадити, од.</t>
  </si>
  <si>
    <t xml:space="preserve">    Показник: середні витрати на садіння 1 деревата куща, грн.</t>
  </si>
  <si>
    <t>Показник: кількість похованих безрідних, чол.</t>
  </si>
  <si>
    <t>КПКВК 6016</t>
  </si>
  <si>
    <t xml:space="preserve">    Мета: Здійснення   заходів із впровадження засобів обліку витрат та регулювання споживання води та теплової енергії </t>
  </si>
  <si>
    <t xml:space="preserve"> Показник: кількість вузлів комерційного обліку, які плануються встановити, од.</t>
  </si>
  <si>
    <t xml:space="preserve"> Показник: середня вартість встановлення одного вузла комерційного обліку, грн.</t>
  </si>
  <si>
    <t>до рішення Сумської міської ради</t>
  </si>
  <si>
    <t xml:space="preserve">    Показник: обсяг видатків на поточний та капітальний ремон, грн.</t>
  </si>
  <si>
    <t>Показник: кількість об'єктів, на яких планується здійснити технічне обслуговування, грн.</t>
  </si>
  <si>
    <t xml:space="preserve">    Показник: середня вартість з технячного обслуговування, грн.</t>
  </si>
  <si>
    <t xml:space="preserve">    Показник: обсяг видатків на технічне обслуговування, грн.  </t>
  </si>
  <si>
    <t>КПКВК 6011,7691,7363</t>
  </si>
  <si>
    <t>Субвенція на капітальний ремонт житлового фонду</t>
  </si>
  <si>
    <t>Показник: Кількість сертифікатів для введення в експлуатацію обєктів</t>
  </si>
  <si>
    <t>Показник: середня вартість видачі одного сертифікату, грн.</t>
  </si>
  <si>
    <t>КПКВК 7310, 7330,7340,7363</t>
  </si>
  <si>
    <t>Субвенція на будівництво та реконструкцію обєктів</t>
  </si>
  <si>
    <t>КПКВК  6090, 7691, 7370</t>
  </si>
  <si>
    <t xml:space="preserve">    Мета:  Проведення архітектурних та містобудівних конкурсів</t>
  </si>
  <si>
    <t xml:space="preserve">    Показник: обсяг видатків на фінансування конкурсів, грн.</t>
  </si>
  <si>
    <t xml:space="preserve">    Показник: загальна кількість конкурсів, од. </t>
  </si>
  <si>
    <t xml:space="preserve">    Показник: середня вартість проведення одного конкурсу, грн.</t>
  </si>
  <si>
    <t>КПКВК 7370</t>
  </si>
  <si>
    <t>Співфінансування на капітальний ремонт житлового фонду</t>
  </si>
  <si>
    <t>Субвенція з Державного бюджету на реконструкцію хлорного господарства на очисних спорудах м. Суми з переведенням на гіпохлорит натрію</t>
  </si>
  <si>
    <t xml:space="preserve">  Завдання: 3. Забезпечення проведення поточного ремонту вулично-дорожньої мережі та штучних споруд за рахунок субвенції з державного бюджету</t>
  </si>
  <si>
    <t xml:space="preserve">  Завдання: 4. Забезпечення проведення ремонту мостів і шляхопроводів по місту</t>
  </si>
  <si>
    <t xml:space="preserve">  Завдання: 5.  Забезпечення проведення утримання вулично-дорожньої мережі та штучних споруд</t>
  </si>
  <si>
    <t xml:space="preserve">  Завдання: 6. Забезпечення проведення поточного ремонту проїздів, велосіпедних доріжок,  внутрішньоквартальних проїзних доріг та тротуарів</t>
  </si>
  <si>
    <t xml:space="preserve">  Завдання: 8. Забезпечення проведення обстеження об'єктів транспортної інфраструктури</t>
  </si>
  <si>
    <t xml:space="preserve">  Завдання: 9. Реконструкція  об'єктів транспортної інфраструктури</t>
  </si>
  <si>
    <t xml:space="preserve">  Завдання: 10. Забезпечення проведення ремонту та обслуговування технічних засобів регулювання дорожнім рухом та електроенергія для безперебійної роботи світлофорних об'єктів</t>
  </si>
  <si>
    <t xml:space="preserve">  Завдання: 11. Забезпечення функціонування мереж зовнішнього освітлення </t>
  </si>
  <si>
    <t xml:space="preserve">  Завдання: 12. Збереження та утримання на належному рівні зеленої зони міста Суми та поліпшення його екологічних умов </t>
  </si>
  <si>
    <t xml:space="preserve">  Завдання: 13. Забезпечення відтворення зелених насаджен за рахунок цільового фонду (7691)</t>
  </si>
  <si>
    <t xml:space="preserve">  Завдання: 14. Забезпечення благоустрою кладовищ, діяльності спецслужби, поховання безрідних та функціонування громадських вбиралень</t>
  </si>
  <si>
    <t xml:space="preserve">  Завдання: 15. Забезпечення санітарної очистки території</t>
  </si>
  <si>
    <t xml:space="preserve">  Завдання: 16. Поточний ремонт та утримання в належному стані об'єктів благоустрою</t>
  </si>
  <si>
    <t xml:space="preserve">  Завдання: 17. Забезпечення сприятливих умов для співіснування людей та тварин</t>
  </si>
  <si>
    <t xml:space="preserve">  Завдання: 18. Капітальний ремонт об'єктів та елементів благоустрою </t>
  </si>
  <si>
    <t xml:space="preserve">  Завдання: 19. 1 Проведення капітального ремонту житлових будинків</t>
  </si>
  <si>
    <t xml:space="preserve">  Завдання: 19.2. Проведення капітального ремонту житлових будинків об'єднань співвласників багатоквартирних будинків</t>
  </si>
  <si>
    <t xml:space="preserve">  Завдання: 19.3. Співфінансування капітального ремонту житлових будинків об'єднань співвласників багатоквартирних будинків та ЖБК</t>
  </si>
  <si>
    <t xml:space="preserve">  Завдання: 19.4. Співфінансування капітального ремонту житлових будинків (40%/60%) за рахунок цільвого фонду (7691)</t>
  </si>
  <si>
    <t xml:space="preserve">  Завдання: 20. Забезпечення святкового оформлення міста та ремонт</t>
  </si>
  <si>
    <t xml:space="preserve">  Завдання: 21. Придбання та монтаж покажчиків вулиць, інформаційних дошок про втрачені об’єкти архітектури у місті </t>
  </si>
  <si>
    <t>Показник: площа газонів які планується створити і відновити по місту, га</t>
  </si>
  <si>
    <t>Показник: середні витрати на створення та відновлення газонів по місту,грн.</t>
  </si>
  <si>
    <t xml:space="preserve"> Показник: кількість дерев, що потребують висадженню, од.</t>
  </si>
  <si>
    <t xml:space="preserve">    Показник: обсяг видатків на придбання та виготовлення рекламних матеріалів до святкових та урочистих подій, грн</t>
  </si>
  <si>
    <t>Показник: обсяг видатків на придбання та виготовлення рекламних матеріалів соціального характеру, грн</t>
  </si>
  <si>
    <t xml:space="preserve">    Мета: Передача іншої субвенції  Верхньосироватському сільському бюджету для Верхньосироватської сільської ради та об'єктів, що знаходяться на території Верхньосироватської обєднаної територіальної  громади згідно з їх пропозиціями</t>
  </si>
  <si>
    <t>Субвенція на капітальний ремонт обєктів благоустрою</t>
  </si>
  <si>
    <t>Співфінансування на капітальний ремонт обєктів благоустрою</t>
  </si>
  <si>
    <t xml:space="preserve"> Завдання: 22. Здійснення просвітницької діяльності серед населення міста Суми щодо змін законодавства України у сфері житлово-комунальних послуг, переваги ОСББ тощо</t>
  </si>
  <si>
    <t xml:space="preserve">    Показник: кількість інформаційних видань</t>
  </si>
  <si>
    <t xml:space="preserve">    Показник: середня вартість одного видання, грн.</t>
  </si>
  <si>
    <t xml:space="preserve">    Показник: загальна сума видавничих матеріалів, од.</t>
  </si>
  <si>
    <t xml:space="preserve">    Показник: кількість , од.</t>
  </si>
  <si>
    <t>Показник: видатки Послуги з утримання в належному стані об'єктів благоустрою міста Суми (утримання зупинок громадського транспорту)</t>
  </si>
  <si>
    <t>Показник: кількістьпаспортів по проведенню паспортизації вулично-дорожньої мережі</t>
  </si>
  <si>
    <t xml:space="preserve">  Завдання: 23. Придбання та виготовлення  рекламних матеріалів соціального характеру, рекламних матеріалів до святкових та урочистих подій</t>
  </si>
  <si>
    <t xml:space="preserve">  Завдання: 24. Демонтаж  рекламних засобів, розміщених самовільно та з порушенням порядку розміщення зовнішньої реклами</t>
  </si>
  <si>
    <t xml:space="preserve">  Завдання: 25. Демонтаж незаконно (самовільно) встановлених елементів благоустрою, тимчасових збірно-розбірних індивідуальних гаражів, тимчасових споруд для здійснення підприємницької діяльності, побутового, соціально-культурного чи іншого призначення на території м. Суми</t>
  </si>
  <si>
    <t xml:space="preserve">  Завдання: 26. Зберігання демонтованих елементів благоустрою, тимчасових збірно-розбірних індивідуальних гаражів, тимчасових споруд та рекламних засобів</t>
  </si>
  <si>
    <t xml:space="preserve">  Завдання: 27. Забезпечення постачання природного газу монументу "Вічна Слава"</t>
  </si>
  <si>
    <t xml:space="preserve">  Завдання: 29. Проведення архітектурних та містобудівних конкурсів (з подальшим визначенням, з числа поданих, кращого найбільш оригінального проекта  для подальшої реалізації) </t>
  </si>
  <si>
    <t xml:space="preserve">  Завдання: 30. Забезпечення функціонування об'єктів житлово-комунального господарства</t>
  </si>
  <si>
    <t xml:space="preserve">  Завдання: 31.2 Фінансова підтримка (оплата за електроенергію)</t>
  </si>
  <si>
    <t xml:space="preserve">  Завдання: 32. Розробка нормативів питного водопостачання для населення м. Суми </t>
  </si>
  <si>
    <t xml:space="preserve">  Завдання: 33. Вимоги пожежної безпеки</t>
  </si>
  <si>
    <t>Завдання: 34. Придбання водопровідних та каналізаційних люків</t>
  </si>
  <si>
    <t>Завдання: 35. Проведення капітального та поточного ремонту колекторів та каналізаційних мереж, технічне обслуговуавння</t>
  </si>
  <si>
    <t>Завдання: 36. Виконання геофізичного дослідження свердловин з подальшим їх тампонажем</t>
  </si>
  <si>
    <t xml:space="preserve">Завдання: 37.Капітальний ремонт по підключенню будинків №103-Б та №105 по вул. Харківській до мереж міської каналізації </t>
  </si>
  <si>
    <t>Завдання: 38. Розробка схеми оптимізації роботи системи централізованого водопостачання та водовідведення міста Суми 2018-2020 роки</t>
  </si>
  <si>
    <t>Завдання: 39. Капітальний ремонт  діючого  каналізаційного самотічного колектора Д 500 мм по вул.Ремісничій в м. Суми</t>
  </si>
  <si>
    <t xml:space="preserve">Завдання: 40. Виготовлення електронної карти ливневої каналізаційної мережі м.Суми </t>
  </si>
  <si>
    <t>Завдання: 41. Впровадження Автоматичної системи комерційного оьліку електроенергії (АСКОЕ)</t>
  </si>
  <si>
    <t>Показник: кількість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од</t>
  </si>
  <si>
    <t>Показник: середня вартість науково-технічної продукції внесення змін до проекту розміщення зупинок громадського транспорту на вулично-дорожній мережі м.Суми які планується розробити, грн.</t>
  </si>
  <si>
    <t>КПКВК 6090, 7691</t>
  </si>
  <si>
    <t>Завдання: 42. Будівництво мереж водопроводу та водовідведення в мікрорайонах приватної забудови міста</t>
  </si>
  <si>
    <t>Завдання: 43. Поточний ремонт водогону в дитячому парку "Казка" м.Суми</t>
  </si>
  <si>
    <t xml:space="preserve">  Завдання: 31.1 Забезпечення охорони  водозаборів  та очисних споруд, охорона КНС за адресою по вул. Привокзальна,4/13,  Послуги з технічного обслуговування електрообладнання каналізаційно-насосної станції за адресою м.Суми вул.Привокзальна ,4/13,  постачання електричної енергії ,  підключення електричного кабелю від КНС по вул.Привокзальна, 4/13</t>
  </si>
  <si>
    <t xml:space="preserve">  Завдання: 53. Повернення бюджетних позичок на поворотній основі</t>
  </si>
  <si>
    <t xml:space="preserve"> КПКВК 6030, 7691, 7462, 7363, 7442</t>
  </si>
  <si>
    <t>2018 рік  (план)</t>
  </si>
  <si>
    <t>2019 рік  (план)</t>
  </si>
  <si>
    <t>2020 рік  (прогноз)</t>
  </si>
  <si>
    <t>Додаток 23</t>
  </si>
  <si>
    <t xml:space="preserve">Показник: видатки на визначення норм надання послуг з вивезення ТПВ в м. Суми (ІІІ етап робіт -розробка звіту) </t>
  </si>
  <si>
    <t>Показник: кількість послуг, які будуть надані при визначенні норм обсягів шару на новоселецькому кладовищі, од</t>
  </si>
  <si>
    <t>Показник: середня вартість 1 послуги, з визначення норм обсягів шару на новоселецькому кладовищі , грн.</t>
  </si>
  <si>
    <t>Показник: кількість послуг, які будуть надані при розробці ОВД будівництва 3 черги полігону ТПВ, од</t>
  </si>
  <si>
    <t xml:space="preserve"> Показник: середня вартість 1 послуги,  при розробці ОВД будівництва 3 черги полігону ТПВ , грн.</t>
  </si>
  <si>
    <t>Показник: кількість колодязів , по яких буде проведена санація, од</t>
  </si>
  <si>
    <t>Показник: середня вартість проведення санації, грн.</t>
  </si>
  <si>
    <t>Показник: кількість інформаційних табло які необхідно встановаити, од</t>
  </si>
  <si>
    <t>Показник: середня вартість встановлення табло, грн.</t>
  </si>
  <si>
    <t xml:space="preserve">  Завдання: 7. Забезпечення проведення капітального ремонту проїздів, велосіпедних доріжок,  внутрішньоквартальних проїзних доріг та тротуарів, тротуарівв до шкіл та садочків</t>
  </si>
  <si>
    <t>реалізацію проектів-переможців громадського (партиципаторного )бюджету</t>
  </si>
  <si>
    <t xml:space="preserve">  Завдання: 31.4 Фінансова підтримка КП «Міськводоканал» СМР для проведення оцінки 
запасів питних підземних вод Сумського родовища</t>
  </si>
  <si>
    <t>Виконавець: Журба О.І.</t>
  </si>
  <si>
    <t>Показник: кількість приміщень, по яких  необхідно провести ремонт, од</t>
  </si>
  <si>
    <t>Показник: середня вартість ремонту приміщення , грн.</t>
  </si>
  <si>
    <t>"Про внесення змін до Комплексної цільової</t>
  </si>
  <si>
    <t>територіальної громади на 2018-2020 роки,</t>
  </si>
  <si>
    <t>затвердженої рішенням Сумської міської ради</t>
  </si>
  <si>
    <t>від 21 грудня 2017 року № 2913-МР (зі змінами)</t>
  </si>
  <si>
    <t>Показник: кількість проектів по організації дорожнього руху, од</t>
  </si>
  <si>
    <t>Показник: кількість проектів, од</t>
  </si>
  <si>
    <t>Показник: кількість послуг, які будуть надані при розробці ОВД будівництва напіврного каналізаційного колектору від КНС-9 до проспекту Михайла Лушпи в м.Суми з переврізкою в збудований напірний колектор, од</t>
  </si>
  <si>
    <t>Показник: середня вартість проектів по організації дорожнього руху , грн.</t>
  </si>
  <si>
    <t>Показник: середня вартість проекту , грн.</t>
  </si>
  <si>
    <t>Показник: середня вартість послуг, які будуть надані при розробці ОВД будівництва напіврного каналізаційного колектору від КНС-9 до проспекту Михайла Лушпи в м.Суми з переврізкою в збудований напірний колектор, грн.</t>
  </si>
  <si>
    <t>Показник: кількість колодязів для поточного ремонту, од</t>
  </si>
  <si>
    <t>Показник: кількість буклетів для здійснення просвітницької діяльності сере населення міста Суми, од</t>
  </si>
  <si>
    <t>Показник: середня вартість поточного ремонту колодязів , грн.</t>
  </si>
  <si>
    <t>Показник: середня вартість буклетів для здійснення просвітницької діяльності сере населення міста Суми, грн.</t>
  </si>
  <si>
    <t>Завдання: 44. Надання послуг з очищення свердловини в с. В.Піщане</t>
  </si>
  <si>
    <r>
      <t xml:space="preserve">   </t>
    </r>
    <r>
      <rPr>
        <b/>
        <sz val="8"/>
        <rFont val="Times New Roman"/>
        <family val="1"/>
      </rPr>
      <t xml:space="preserve"> Тип показника: Продукту</t>
    </r>
  </si>
  <si>
    <r>
      <t xml:space="preserve">   </t>
    </r>
    <r>
      <rPr>
        <b/>
        <sz val="8"/>
        <rFont val="Times New Roman"/>
        <family val="1"/>
      </rPr>
      <t xml:space="preserve"> Тип показника: Ефективності</t>
    </r>
  </si>
  <si>
    <t>Завдання: 45. Впровадження енергозберігаючих заходів</t>
  </si>
  <si>
    <t>Завдання: 45. 1 Відшкодування з міського бюджету частини відсотків за кредитами, залученими населенням (фізичними особами), на впровадження енергозберігаючих заходів</t>
  </si>
  <si>
    <t>Завдання: 45.2 Відшкодування з міського бюджету частини відсотків за кредитами, залученими об'єднаннями співвласників багатоквартирних житлових будинків, житлово-будівельними кооперативами на впровадження енергозберігаючих заходів</t>
  </si>
  <si>
    <t xml:space="preserve">  Завдання: 46. Забезпечення зміцнення матеріально-технічної бази підприємств комунальної форми власності</t>
  </si>
  <si>
    <t xml:space="preserve">  Завдання: 47. Створення сприятливих умов проживання населення та забезпечення надання життєво необхідних послуг</t>
  </si>
  <si>
    <t xml:space="preserve"> Завдання: 48. Встановлення вузлів  комерційного обліку </t>
  </si>
  <si>
    <t xml:space="preserve">  Завдання: 49. Забезпечення надійного та безперебійного функціонування житлово-експлуатаційного господарства</t>
  </si>
  <si>
    <t xml:space="preserve">  Завдання: 50. Організація та проведення громадських робіт</t>
  </si>
  <si>
    <t xml:space="preserve">  Завдання: 51.Заходи з будівництва, реставрації  та реконструкції</t>
  </si>
  <si>
    <t xml:space="preserve">  Завдання: 52.Здійснення заходів із землеустрою </t>
  </si>
  <si>
    <t xml:space="preserve">  Завдання: 54. Повернення бюджетних позичок на поворотній основі</t>
  </si>
  <si>
    <t xml:space="preserve">  Завдання: 55. Надання бюджетних позичок на поворотній основі</t>
  </si>
  <si>
    <t xml:space="preserve">  Завдання: 28. Оплата податку на земельну ділянку за адресою: м.Суми, вул.Привокзальна, 4/13 (каналізаційно-насосна станція),  відшкодування майнової шкоди по рішенню судів , охорона новорічних ялинок, розробка схеми теплопостачання м.Суми, визначення  норм надання послуг  з вивезення ТПВ, оплата послуг з повірки лічильників, Послуги з розробки науково-технічної продукції внесення змін до проекту розміщення зупинок громадського транспорту на вулично-дорожній мережі м.Суми, надання послуг з розробки ОВД будівництва 3 черги полігону ТПВ, визначення обсягів шару на новоселецькому кладовищі, надання послуг з визначення норм накопичення рослинних відходів, проведення комплексно-приладового обстеження газопроводів військогового містечка по вул.Г.Кондратьєва165, поточний ремонт приміщення комунальної власності по проспекту Курський,103; Надання послуги з розробки проекту: організація дорожнього руху на ділянці вул. Г. Кондратьєва між перехрестями «вул. Г. Кондратьєва – Покровська площа» та «вул. Г. Кондратьєва  –  пров. Академічний» в м. Суми; Реалізація проєкту «Circular-based waste management» («Управління відходами на основі замкненого циклу»);Надання послуг з розробки оцінки впливу на довкілля будівництва напірного каналізаційного колектору від КНС-9 до проспекту Михайла Лушпи в м. Суми з переврізкою в збудований напірний колектор; Поточний ремонт колодязів с. Ганнівка, м. Суми;  Здійснення просвітницької діяльності серед населення міста Суми у сфері житлово-комунального господарства  (друк буклетів), створення електронної мапи благоустрою міста Суми</t>
  </si>
  <si>
    <t>Показник: кількість електронних мап благоустрою міста Суми, од</t>
  </si>
  <si>
    <t>Показник: середня вартість створення електронної мапи благоустрою міста Суми , грн.</t>
  </si>
  <si>
    <t>Показник: видатки на Проведення санітарних заходів у прибережних смугах річок Псел, Сумка, Стрілка, озера Чеха та ін. водних об’єктів (вивезення сміття з контейнерів)</t>
  </si>
  <si>
    <t>Показник: кількість заходів на Проведення санітарних заходів у прибережних смугах річок Псел, Сумка, Стрілка, озера Чеха та ін. водних об’єктів (вивезення сміття з контейнерів)</t>
  </si>
  <si>
    <t xml:space="preserve">  Завдання: 31. Забезпечення охорони  водозаборів  та очисних споруд, охорона КНС за адресою по вул. Привокзальна,4/13, фінансова підтримка (оплата електроенергії , погашення заборгованності за судовим рішенням, сплата поточної заборгованості за електроенергію), Фінансова підтримка КП «Міськводоканал» СМР для проведення оцінки запасів питних підземних вод Сумського родовища</t>
  </si>
  <si>
    <t>КПКВК 6013, 8340</t>
  </si>
  <si>
    <t xml:space="preserve"> Завдання: 31.3 Фінансова підтримка (погашення заборгованості за судовим рішенням, сплата поточної заборгованості з розподілу електричної енергії)</t>
  </si>
  <si>
    <t xml:space="preserve">комунального господарства Сумської міської </t>
  </si>
  <si>
    <t xml:space="preserve">Сумський міський голова                </t>
  </si>
  <si>
    <t>О.М. Лисенко</t>
  </si>
  <si>
    <t xml:space="preserve">від 16 грудня 2020 року № 36-МР </t>
  </si>
</sst>
</file>

<file path=xl/styles.xml><?xml version="1.0" encoding="utf-8"?>
<styleSheet xmlns="http://schemas.openxmlformats.org/spreadsheetml/2006/main">
  <numFmts count="5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0"/>
    <numFmt numFmtId="191" formatCode="0.00000"/>
    <numFmt numFmtId="192" formatCode="0.000"/>
    <numFmt numFmtId="193" formatCode="0.0"/>
    <numFmt numFmtId="194" formatCode="0.000000000"/>
    <numFmt numFmtId="195" formatCode="0.0000000000"/>
    <numFmt numFmtId="196" formatCode="0.00000000"/>
    <numFmt numFmtId="197" formatCode="0.0000000"/>
    <numFmt numFmtId="198" formatCode="0.000000"/>
    <numFmt numFmtId="199" formatCode="#,##0.0"/>
    <numFmt numFmtId="200" formatCode="#,##0.000"/>
    <numFmt numFmtId="201" formatCode="#,##0.00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#,##0.00_ ;[Red]\-#,##0.00\ "/>
    <numFmt numFmtId="207" formatCode="#"/>
    <numFmt numFmtId="208" formatCode="#,##0.000_₴"/>
    <numFmt numFmtId="209" formatCode="#,##0.00000"/>
    <numFmt numFmtId="210" formatCode="#,##0.000000"/>
  </numFmts>
  <fonts count="56"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i/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1"/>
      <name val="Times New Roman"/>
      <family val="1"/>
    </font>
    <font>
      <sz val="8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93">
    <xf numFmtId="0" fontId="0" fillId="0" borderId="0" xfId="0" applyAlignment="1">
      <alignment/>
    </xf>
    <xf numFmtId="0" fontId="1" fillId="0" borderId="0" xfId="0" applyFont="1" applyFill="1" applyAlignment="1">
      <alignment horizontal="center"/>
    </xf>
    <xf numFmtId="4" fontId="10" fillId="0" borderId="0" xfId="0" applyNumberFormat="1" applyFont="1" applyFill="1" applyAlignment="1">
      <alignment horizontal="left" wrapText="1"/>
    </xf>
    <xf numFmtId="4" fontId="1" fillId="0" borderId="0" xfId="0" applyNumberFormat="1" applyFont="1" applyFill="1" applyAlignment="1">
      <alignment horizontal="center"/>
    </xf>
    <xf numFmtId="4" fontId="10" fillId="0" borderId="0" xfId="0" applyNumberFormat="1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wrapText="1"/>
    </xf>
    <xf numFmtId="4" fontId="3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wrapText="1"/>
    </xf>
    <xf numFmtId="207" fontId="1" fillId="0" borderId="11" xfId="0" applyNumberFormat="1" applyFont="1" applyFill="1" applyBorder="1" applyAlignment="1">
      <alignment horizontal="center" vertical="center"/>
    </xf>
    <xf numFmtId="2" fontId="1" fillId="0" borderId="11" xfId="0" applyNumberFormat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left" wrapText="1"/>
    </xf>
    <xf numFmtId="2" fontId="1" fillId="0" borderId="12" xfId="0" applyNumberFormat="1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1" fontId="1" fillId="0" borderId="12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4" fontId="1" fillId="0" borderId="13" xfId="0" applyNumberFormat="1" applyFont="1" applyFill="1" applyBorder="1" applyAlignment="1">
      <alignment horizontal="center" vertical="center" wrapText="1"/>
    </xf>
    <xf numFmtId="2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8" fillId="0" borderId="0" xfId="0" applyFont="1" applyFill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15" fillId="0" borderId="10" xfId="0" applyFont="1" applyFill="1" applyBorder="1" applyAlignment="1">
      <alignment horizontal="center" vertical="center" wrapText="1"/>
    </xf>
    <xf numFmtId="4" fontId="1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 wrapText="1"/>
    </xf>
    <xf numFmtId="4" fontId="6" fillId="0" borderId="11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wrapText="1"/>
    </xf>
    <xf numFmtId="4" fontId="6" fillId="0" borderId="12" xfId="0" applyNumberFormat="1" applyFont="1" applyFill="1" applyBorder="1" applyAlignment="1">
      <alignment horizontal="center" vertical="center"/>
    </xf>
    <xf numFmtId="4" fontId="1" fillId="0" borderId="13" xfId="0" applyNumberFormat="1" applyFont="1" applyFill="1" applyBorder="1" applyAlignment="1">
      <alignment horizontal="center" vertical="center"/>
    </xf>
    <xf numFmtId="4" fontId="6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3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16" fillId="0" borderId="10" xfId="0" applyFont="1" applyFill="1" applyBorder="1" applyAlignment="1">
      <alignment/>
    </xf>
    <xf numFmtId="0" fontId="2" fillId="0" borderId="14" xfId="0" applyFont="1" applyFill="1" applyBorder="1" applyAlignment="1">
      <alignment horizontal="left" wrapText="1"/>
    </xf>
    <xf numFmtId="4" fontId="2" fillId="0" borderId="14" xfId="0" applyNumberFormat="1" applyFont="1" applyFill="1" applyBorder="1" applyAlignment="1">
      <alignment horizontal="center" vertical="center"/>
    </xf>
    <xf numFmtId="4" fontId="1" fillId="0" borderId="14" xfId="0" applyNumberFormat="1" applyFont="1" applyFill="1" applyBorder="1" applyAlignment="1">
      <alignment horizontal="center" vertical="center"/>
    </xf>
    <xf numFmtId="4" fontId="2" fillId="0" borderId="11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wrapText="1"/>
    </xf>
    <xf numFmtId="1" fontId="6" fillId="0" borderId="11" xfId="0" applyNumberFormat="1" applyFont="1" applyFill="1" applyBorder="1" applyAlignment="1">
      <alignment horizontal="center" vertical="center"/>
    </xf>
    <xf numFmtId="1" fontId="1" fillId="0" borderId="11" xfId="0" applyNumberFormat="1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wrapText="1"/>
    </xf>
    <xf numFmtId="1" fontId="1" fillId="0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/>
    </xf>
    <xf numFmtId="0" fontId="3" fillId="0" borderId="10" xfId="53" applyFont="1" applyFill="1" applyBorder="1" applyAlignment="1">
      <alignment horizontal="left" vertical="center" wrapText="1"/>
      <protection/>
    </xf>
    <xf numFmtId="2" fontId="3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4" fontId="6" fillId="0" borderId="10" xfId="0" applyNumberFormat="1" applyFont="1" applyFill="1" applyBorder="1" applyAlignment="1">
      <alignment horizontal="center"/>
    </xf>
    <xf numFmtId="4" fontId="2" fillId="0" borderId="1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left" vertical="center" wrapText="1"/>
    </xf>
    <xf numFmtId="0" fontId="16" fillId="0" borderId="0" xfId="0" applyFont="1" applyFill="1" applyAlignment="1">
      <alignment horizontal="left"/>
    </xf>
    <xf numFmtId="4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left" vertical="center" wrapText="1"/>
    </xf>
    <xf numFmtId="4" fontId="1" fillId="0" borderId="13" xfId="0" applyNumberFormat="1" applyFon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/>
    </xf>
    <xf numFmtId="0" fontId="3" fillId="0" borderId="17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center" vertical="center" wrapText="1"/>
    </xf>
    <xf numFmtId="4" fontId="3" fillId="0" borderId="17" xfId="0" applyNumberFormat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2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left" vertical="center" wrapText="1"/>
    </xf>
    <xf numFmtId="4" fontId="11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2" fillId="0" borderId="0" xfId="0" applyNumberFormat="1" applyFont="1" applyFill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/>
    </xf>
    <xf numFmtId="4" fontId="0" fillId="0" borderId="0" xfId="0" applyNumberFormat="1" applyFont="1" applyFill="1" applyAlignment="1">
      <alignment/>
    </xf>
    <xf numFmtId="4" fontId="8" fillId="0" borderId="0" xfId="0" applyNumberFormat="1" applyFont="1" applyFill="1" applyBorder="1" applyAlignment="1">
      <alignment horizontal="center" vertical="center" wrapText="1"/>
    </xf>
    <xf numFmtId="4" fontId="12" fillId="0" borderId="0" xfId="0" applyNumberFormat="1" applyFont="1" applyFill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4" fontId="8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vertical="center" wrapText="1"/>
    </xf>
    <xf numFmtId="0" fontId="12" fillId="0" borderId="0" xfId="0" applyFont="1" applyFill="1" applyAlignment="1">
      <alignment vertical="center" wrapText="1"/>
    </xf>
    <xf numFmtId="2" fontId="0" fillId="0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4" fontId="8" fillId="0" borderId="0" xfId="0" applyNumberFormat="1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4" fontId="8" fillId="0" borderId="0" xfId="0" applyNumberFormat="1" applyFont="1" applyFill="1" applyAlignment="1">
      <alignment horizontal="center" vertical="center" wrapText="1"/>
    </xf>
    <xf numFmtId="1" fontId="0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/>
    </xf>
    <xf numFmtId="4" fontId="12" fillId="0" borderId="0" xfId="0" applyNumberFormat="1" applyFont="1" applyFill="1" applyAlignment="1">
      <alignment horizontal="left"/>
    </xf>
    <xf numFmtId="0" fontId="12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/>
    </xf>
    <xf numFmtId="0" fontId="11" fillId="0" borderId="0" xfId="0" applyFont="1" applyFill="1" applyAlignment="1">
      <alignment horizontal="center"/>
    </xf>
    <xf numFmtId="4" fontId="11" fillId="0" borderId="0" xfId="0" applyNumberFormat="1" applyFont="1" applyFill="1" applyAlignment="1">
      <alignment horizontal="center"/>
    </xf>
    <xf numFmtId="1" fontId="15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left" wrapText="1"/>
    </xf>
    <xf numFmtId="4" fontId="2" fillId="0" borderId="13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" fillId="34" borderId="10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horizontal="center" vertical="center" wrapText="1"/>
    </xf>
    <xf numFmtId="0" fontId="1" fillId="34" borderId="0" xfId="0" applyFont="1" applyFill="1" applyAlignment="1">
      <alignment/>
    </xf>
    <xf numFmtId="0" fontId="0" fillId="34" borderId="0" xfId="0" applyFont="1" applyFill="1" applyAlignment="1">
      <alignment/>
    </xf>
    <xf numFmtId="0" fontId="19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7" fillId="34" borderId="10" xfId="0" applyNumberFormat="1" applyFont="1" applyFill="1" applyBorder="1" applyAlignment="1">
      <alignment horizontal="center" vertical="center" wrapText="1"/>
    </xf>
    <xf numFmtId="4" fontId="1" fillId="34" borderId="0" xfId="0" applyNumberFormat="1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wrapText="1"/>
    </xf>
    <xf numFmtId="0" fontId="22" fillId="0" borderId="11" xfId="0" applyFont="1" applyFill="1" applyBorder="1" applyAlignment="1">
      <alignment horizontal="left" wrapText="1"/>
    </xf>
    <xf numFmtId="0" fontId="20" fillId="0" borderId="11" xfId="0" applyFont="1" applyFill="1" applyBorder="1" applyAlignment="1">
      <alignment horizontal="left" wrapText="1"/>
    </xf>
    <xf numFmtId="0" fontId="23" fillId="0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2" fontId="1" fillId="34" borderId="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center" wrapText="1"/>
    </xf>
    <xf numFmtId="2" fontId="3" fillId="34" borderId="0" xfId="0" applyNumberFormat="1" applyFont="1" applyFill="1" applyBorder="1" applyAlignment="1">
      <alignment horizontal="center" vertical="center" wrapText="1"/>
    </xf>
    <xf numFmtId="0" fontId="16" fillId="34" borderId="0" xfId="0" applyFont="1" applyFill="1" applyAlignment="1">
      <alignment/>
    </xf>
    <xf numFmtId="4" fontId="8" fillId="0" borderId="0" xfId="0" applyNumberFormat="1" applyFont="1" applyFill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Fill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99" fontId="1" fillId="0" borderId="10" xfId="0" applyNumberFormat="1" applyFont="1" applyFill="1" applyBorder="1" applyAlignment="1">
      <alignment horizontal="center" vertical="center" wrapText="1"/>
    </xf>
    <xf numFmtId="0" fontId="3" fillId="7" borderId="10" xfId="0" applyFont="1" applyFill="1" applyBorder="1" applyAlignment="1">
      <alignment horizontal="left" vertical="center" wrapText="1"/>
    </xf>
    <xf numFmtId="0" fontId="3" fillId="7" borderId="10" xfId="0" applyFont="1" applyFill="1" applyBorder="1" applyAlignment="1">
      <alignment horizontal="center" vertical="center" wrapText="1"/>
    </xf>
    <xf numFmtId="4" fontId="3" fillId="7" borderId="10" xfId="0" applyNumberFormat="1" applyFont="1" applyFill="1" applyBorder="1" applyAlignment="1">
      <alignment horizontal="center" vertical="center" wrapText="1"/>
    </xf>
    <xf numFmtId="0" fontId="3" fillId="7" borderId="0" xfId="0" applyFont="1" applyFill="1" applyAlignment="1">
      <alignment/>
    </xf>
    <xf numFmtId="0" fontId="16" fillId="7" borderId="0" xfId="0" applyFont="1" applyFill="1" applyAlignment="1">
      <alignment/>
    </xf>
    <xf numFmtId="0" fontId="3" fillId="35" borderId="10" xfId="0" applyFont="1" applyFill="1" applyBorder="1" applyAlignment="1">
      <alignment horizontal="left" vertical="center" wrapText="1"/>
    </xf>
    <xf numFmtId="0" fontId="3" fillId="35" borderId="10" xfId="0" applyFont="1" applyFill="1" applyBorder="1" applyAlignment="1">
      <alignment horizontal="center" vertical="center" wrapText="1"/>
    </xf>
    <xf numFmtId="4" fontId="3" fillId="35" borderId="10" xfId="0" applyNumberFormat="1" applyFont="1" applyFill="1" applyBorder="1" applyAlignment="1">
      <alignment horizontal="center" vertical="center" wrapText="1"/>
    </xf>
    <xf numFmtId="0" fontId="3" fillId="35" borderId="0" xfId="0" applyFont="1" applyFill="1" applyAlignment="1">
      <alignment/>
    </xf>
    <xf numFmtId="0" fontId="16" fillId="35" borderId="0" xfId="0" applyFont="1" applyFill="1" applyAlignment="1">
      <alignment/>
    </xf>
    <xf numFmtId="0" fontId="2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17" fillId="34" borderId="0" xfId="0" applyFont="1" applyFill="1" applyAlignment="1">
      <alignment/>
    </xf>
    <xf numFmtId="0" fontId="8" fillId="0" borderId="0" xfId="0" applyFont="1" applyFill="1" applyBorder="1" applyAlignment="1">
      <alignment horizontal="left" vertical="center" wrapText="1"/>
    </xf>
    <xf numFmtId="4" fontId="15" fillId="0" borderId="13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5" fillId="0" borderId="18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" fontId="9" fillId="0" borderId="18" xfId="0" applyNumberFormat="1" applyFont="1" applyFill="1" applyBorder="1" applyAlignment="1">
      <alignment horizontal="center" vertical="center" wrapText="1"/>
    </xf>
    <xf numFmtId="4" fontId="9" fillId="0" borderId="19" xfId="0" applyNumberFormat="1" applyFont="1" applyFill="1" applyBorder="1" applyAlignment="1">
      <alignment horizontal="center" vertical="center" wrapText="1"/>
    </xf>
    <xf numFmtId="4" fontId="9" fillId="0" borderId="20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4" fontId="11" fillId="0" borderId="2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>
      <alignment horizontal="left"/>
    </xf>
    <xf numFmtId="0" fontId="11" fillId="0" borderId="0" xfId="0" applyFont="1" applyFill="1" applyAlignment="1">
      <alignment horizontal="center" wrapText="1"/>
    </xf>
    <xf numFmtId="4" fontId="12" fillId="0" borderId="0" xfId="0" applyNumberFormat="1" applyFont="1" applyFill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5"/>
          <c:y val="0.019"/>
          <c:w val="0.9735"/>
          <c:h val="0.96425"/>
        </c:manualLayout>
      </c:layout>
      <c:barChart>
        <c:barDir val="col"/>
        <c:grouping val="clustered"/>
        <c:varyColors val="0"/>
        <c:axId val="42817911"/>
        <c:axId val="49816880"/>
      </c:barChart>
      <c:catAx>
        <c:axId val="428179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816880"/>
        <c:crosses val="autoZero"/>
        <c:auto val="1"/>
        <c:lblOffset val="100"/>
        <c:tickLblSkip val="1"/>
        <c:noMultiLvlLbl val="0"/>
      </c:catAx>
      <c:valAx>
        <c:axId val="498168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817911"/>
        <c:crossesAt val="1"/>
        <c:crossBetween val="between"/>
        <c:dispUnits/>
      </c:valAx>
      <c:spPr>
        <a:solidFill>
          <a:srgbClr val="808080"/>
        </a:solidFill>
        <a:ln w="12700">
          <a:solidFill>
            <a:srgbClr val="C0C0C0"/>
          </a:solidFill>
        </a:ln>
      </c:spPr>
    </c:plotArea>
    <c:legend>
      <c:legendPos val="r"/>
      <c:layout>
        <c:manualLayout>
          <c:xMode val="edge"/>
          <c:yMode val="edge"/>
          <c:x val="0.99575"/>
          <c:y val="0.499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6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667375"/>
    <xdr:graphicFrame>
      <xdr:nvGraphicFramePr>
        <xdr:cNvPr id="1" name="Chart 1"/>
        <xdr:cNvGraphicFramePr/>
      </xdr:nvGraphicFramePr>
      <xdr:xfrm>
        <a:off x="0" y="0"/>
        <a:ext cx="923925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Y826"/>
  <sheetViews>
    <sheetView tabSelected="1" view="pageBreakPreview" zoomScaleNormal="85" zoomScaleSheetLayoutView="100" workbookViewId="0" topLeftCell="A26">
      <selection activeCell="J11" sqref="J11"/>
    </sheetView>
  </sheetViews>
  <sheetFormatPr defaultColWidth="9.33203125" defaultRowHeight="11.25"/>
  <cols>
    <col min="1" max="1" width="45.33203125" style="25" customWidth="1"/>
    <col min="2" max="2" width="9.5" style="25" hidden="1" customWidth="1"/>
    <col min="3" max="3" width="9.66015625" style="25" hidden="1" customWidth="1"/>
    <col min="4" max="4" width="24" style="26" customWidth="1"/>
    <col min="5" max="5" width="18.5" style="26" customWidth="1"/>
    <col min="6" max="7" width="19.83203125" style="26" bestFit="1" customWidth="1"/>
    <col min="8" max="8" width="17.83203125" style="26" customWidth="1"/>
    <col min="9" max="9" width="16.16015625" style="26" hidden="1" customWidth="1"/>
    <col min="10" max="10" width="19.83203125" style="26" bestFit="1" customWidth="1"/>
    <col min="11" max="13" width="16" style="26" hidden="1" customWidth="1"/>
    <col min="14" max="14" width="17.16015625" style="26" customWidth="1"/>
    <col min="15" max="15" width="17.5" style="26" customWidth="1"/>
    <col min="16" max="16" width="20.16015625" style="26" customWidth="1"/>
    <col min="17" max="17" width="0.328125" style="25" customWidth="1"/>
    <col min="18" max="18" width="20" style="25" customWidth="1"/>
    <col min="19" max="149" width="10.33203125" style="25" customWidth="1"/>
    <col min="150" max="16384" width="9.33203125" style="52" customWidth="1"/>
  </cols>
  <sheetData>
    <row r="1" ht="11.25" hidden="1"/>
    <row r="2" spans="1:16" ht="18.75">
      <c r="A2" s="111"/>
      <c r="B2" s="111"/>
      <c r="C2" s="111"/>
      <c r="D2" s="116"/>
      <c r="E2" s="116"/>
      <c r="F2" s="116"/>
      <c r="G2" s="116"/>
      <c r="H2" s="116"/>
      <c r="I2" s="116"/>
      <c r="J2" s="190" t="s">
        <v>430</v>
      </c>
      <c r="K2" s="190"/>
      <c r="L2" s="190"/>
      <c r="M2" s="107"/>
      <c r="N2" s="107"/>
      <c r="O2" s="107"/>
      <c r="P2" s="107"/>
    </row>
    <row r="3" spans="1:16" ht="14.25" customHeight="1">
      <c r="A3" s="111"/>
      <c r="B3" s="111"/>
      <c r="C3" s="111"/>
      <c r="D3" s="116"/>
      <c r="E3" s="116"/>
      <c r="F3" s="116"/>
      <c r="G3" s="116"/>
      <c r="H3" s="116"/>
      <c r="I3" s="116"/>
      <c r="J3" s="107" t="s">
        <v>346</v>
      </c>
      <c r="K3" s="107"/>
      <c r="L3" s="107"/>
      <c r="M3" s="107"/>
      <c r="N3" s="107"/>
      <c r="O3" s="107"/>
      <c r="P3" s="107"/>
    </row>
    <row r="4" spans="1:16" ht="14.25" customHeight="1">
      <c r="A4" s="111"/>
      <c r="B4" s="111"/>
      <c r="C4" s="111"/>
      <c r="D4" s="116"/>
      <c r="E4" s="116"/>
      <c r="F4" s="116"/>
      <c r="G4" s="116"/>
      <c r="H4" s="116"/>
      <c r="I4" s="116"/>
      <c r="J4" s="107" t="s">
        <v>446</v>
      </c>
      <c r="K4" s="107"/>
      <c r="L4" s="107"/>
      <c r="M4" s="107"/>
      <c r="N4" s="107"/>
      <c r="O4" s="107"/>
      <c r="P4" s="107"/>
    </row>
    <row r="5" spans="1:16" ht="13.5" customHeight="1">
      <c r="A5" s="118"/>
      <c r="B5" s="118"/>
      <c r="C5" s="118"/>
      <c r="D5" s="119"/>
      <c r="E5" s="119"/>
      <c r="F5" s="119"/>
      <c r="G5" s="119"/>
      <c r="H5" s="119"/>
      <c r="I5" s="119"/>
      <c r="J5" s="107" t="s">
        <v>42</v>
      </c>
      <c r="K5" s="107"/>
      <c r="L5" s="107"/>
      <c r="M5" s="107"/>
      <c r="N5" s="107"/>
      <c r="O5" s="107"/>
      <c r="P5" s="107"/>
    </row>
    <row r="6" spans="1:16" ht="14.25" customHeight="1">
      <c r="A6" s="118"/>
      <c r="B6" s="118"/>
      <c r="C6" s="118"/>
      <c r="D6" s="119"/>
      <c r="E6" s="119"/>
      <c r="F6" s="119"/>
      <c r="G6" s="119"/>
      <c r="H6" s="119"/>
      <c r="I6" s="119"/>
      <c r="J6" s="107" t="s">
        <v>483</v>
      </c>
      <c r="K6" s="107"/>
      <c r="L6" s="107"/>
      <c r="M6" s="107"/>
      <c r="N6" s="107"/>
      <c r="O6" s="107"/>
      <c r="P6" s="107"/>
    </row>
    <row r="7" spans="1:16" ht="14.25" customHeight="1">
      <c r="A7" s="118"/>
      <c r="B7" s="118"/>
      <c r="C7" s="118"/>
      <c r="D7" s="119"/>
      <c r="E7" s="119"/>
      <c r="F7" s="119"/>
      <c r="G7" s="119"/>
      <c r="H7" s="119"/>
      <c r="I7" s="119"/>
      <c r="J7" s="107" t="s">
        <v>447</v>
      </c>
      <c r="K7" s="107"/>
      <c r="L7" s="107"/>
      <c r="M7" s="107"/>
      <c r="N7" s="107"/>
      <c r="O7" s="107"/>
      <c r="P7" s="107"/>
    </row>
    <row r="8" spans="1:16" ht="14.25" customHeight="1">
      <c r="A8" s="118"/>
      <c r="B8" s="118"/>
      <c r="C8" s="118"/>
      <c r="D8" s="119"/>
      <c r="E8" s="119"/>
      <c r="F8" s="119"/>
      <c r="G8" s="119"/>
      <c r="H8" s="119"/>
      <c r="I8" s="119"/>
      <c r="J8" s="107" t="s">
        <v>448</v>
      </c>
      <c r="K8" s="107"/>
      <c r="L8" s="107"/>
      <c r="M8" s="107"/>
      <c r="N8" s="107"/>
      <c r="O8" s="107"/>
      <c r="P8" s="107"/>
    </row>
    <row r="9" spans="1:16" ht="14.25" customHeight="1">
      <c r="A9" s="118"/>
      <c r="B9" s="118"/>
      <c r="C9" s="118"/>
      <c r="D9" s="119"/>
      <c r="E9" s="119"/>
      <c r="F9" s="119"/>
      <c r="G9" s="119"/>
      <c r="H9" s="119"/>
      <c r="I9" s="119"/>
      <c r="J9" s="107" t="s">
        <v>449</v>
      </c>
      <c r="K9" s="107"/>
      <c r="L9" s="107"/>
      <c r="M9" s="107"/>
      <c r="N9" s="107"/>
      <c r="O9" s="107"/>
      <c r="P9" s="107"/>
    </row>
    <row r="10" spans="1:16" ht="15" customHeight="1">
      <c r="A10" s="118"/>
      <c r="B10" s="118"/>
      <c r="C10" s="118"/>
      <c r="D10" s="119"/>
      <c r="E10" s="119"/>
      <c r="F10" s="119"/>
      <c r="G10" s="119"/>
      <c r="H10" s="119"/>
      <c r="I10" s="119"/>
      <c r="J10" s="107" t="s">
        <v>486</v>
      </c>
      <c r="K10" s="107"/>
      <c r="L10" s="107"/>
      <c r="M10" s="107"/>
      <c r="N10" s="107"/>
      <c r="O10" s="107"/>
      <c r="P10" s="107"/>
    </row>
    <row r="11" spans="1:17" ht="12.75" customHeight="1">
      <c r="A11" s="118"/>
      <c r="B11" s="118"/>
      <c r="C11" s="118"/>
      <c r="D11" s="119"/>
      <c r="E11" s="119"/>
      <c r="F11" s="119"/>
      <c r="G11" s="119"/>
      <c r="H11" s="119"/>
      <c r="I11" s="119"/>
      <c r="J11" s="116"/>
      <c r="K11" s="116"/>
      <c r="L11" s="116"/>
      <c r="M11" s="116"/>
      <c r="N11" s="117"/>
      <c r="O11" s="117"/>
      <c r="P11" s="117"/>
      <c r="Q11" s="27"/>
    </row>
    <row r="12" spans="1:16" ht="10.5" customHeight="1">
      <c r="A12" s="118"/>
      <c r="B12" s="118"/>
      <c r="C12" s="118"/>
      <c r="D12" s="119"/>
      <c r="E12" s="119"/>
      <c r="F12" s="119"/>
      <c r="G12" s="119"/>
      <c r="H12" s="119"/>
      <c r="I12" s="119"/>
      <c r="J12" s="116"/>
      <c r="K12" s="116"/>
      <c r="L12" s="116"/>
      <c r="M12" s="116"/>
      <c r="N12" s="116"/>
      <c r="O12" s="116"/>
      <c r="P12" s="116"/>
    </row>
    <row r="13" spans="1:16" ht="39.75" customHeight="1">
      <c r="A13" s="191" t="s">
        <v>271</v>
      </c>
      <c r="B13" s="191"/>
      <c r="C13" s="191"/>
      <c r="D13" s="191"/>
      <c r="E13" s="191"/>
      <c r="F13" s="191"/>
      <c r="G13" s="191"/>
      <c r="H13" s="191"/>
      <c r="I13" s="191"/>
      <c r="J13" s="191"/>
      <c r="K13" s="191"/>
      <c r="L13" s="191"/>
      <c r="M13" s="191"/>
      <c r="N13" s="191"/>
      <c r="O13" s="191"/>
      <c r="P13" s="191"/>
    </row>
    <row r="14" spans="1:16" ht="16.5" customHeight="1">
      <c r="A14" s="120"/>
      <c r="B14" s="120"/>
      <c r="C14" s="120"/>
      <c r="D14" s="121"/>
      <c r="E14" s="121"/>
      <c r="F14" s="189" t="s">
        <v>272</v>
      </c>
      <c r="G14" s="189"/>
      <c r="H14" s="121"/>
      <c r="I14" s="121"/>
      <c r="J14" s="116"/>
      <c r="K14" s="121"/>
      <c r="L14" s="116"/>
      <c r="M14" s="116"/>
      <c r="N14" s="116"/>
      <c r="O14" s="116"/>
      <c r="P14" s="156" t="s">
        <v>39</v>
      </c>
    </row>
    <row r="15" spans="1:155" ht="11.25" customHeight="1">
      <c r="A15" s="185"/>
      <c r="B15" s="185" t="s">
        <v>34</v>
      </c>
      <c r="C15" s="185" t="s">
        <v>35</v>
      </c>
      <c r="D15" s="179" t="s">
        <v>427</v>
      </c>
      <c r="E15" s="180"/>
      <c r="F15" s="181"/>
      <c r="G15" s="179" t="s">
        <v>428</v>
      </c>
      <c r="H15" s="180"/>
      <c r="I15" s="180"/>
      <c r="J15" s="181"/>
      <c r="K15" s="32"/>
      <c r="L15" s="32"/>
      <c r="M15" s="32"/>
      <c r="N15" s="179" t="s">
        <v>429</v>
      </c>
      <c r="O15" s="180"/>
      <c r="P15" s="181"/>
      <c r="ET15" s="25"/>
      <c r="EU15" s="25"/>
      <c r="EV15" s="25"/>
      <c r="EW15" s="25"/>
      <c r="EX15" s="25"/>
      <c r="EY15" s="25"/>
    </row>
    <row r="16" spans="1:155" ht="12" customHeight="1">
      <c r="A16" s="186"/>
      <c r="B16" s="186"/>
      <c r="C16" s="186"/>
      <c r="D16" s="182" t="s">
        <v>36</v>
      </c>
      <c r="E16" s="184"/>
      <c r="F16" s="177" t="s">
        <v>26</v>
      </c>
      <c r="G16" s="182" t="s">
        <v>36</v>
      </c>
      <c r="H16" s="183"/>
      <c r="I16" s="184"/>
      <c r="J16" s="177" t="s">
        <v>26</v>
      </c>
      <c r="K16" s="179" t="s">
        <v>25</v>
      </c>
      <c r="L16" s="180"/>
      <c r="M16" s="181"/>
      <c r="N16" s="182" t="s">
        <v>36</v>
      </c>
      <c r="O16" s="184"/>
      <c r="P16" s="177" t="s">
        <v>26</v>
      </c>
      <c r="ET16" s="25"/>
      <c r="EU16" s="25"/>
      <c r="EV16" s="25"/>
      <c r="EW16" s="25"/>
      <c r="EX16" s="25"/>
      <c r="EY16" s="25"/>
    </row>
    <row r="17" spans="1:155" ht="24.75" customHeight="1">
      <c r="A17" s="187"/>
      <c r="B17" s="187"/>
      <c r="C17" s="187"/>
      <c r="D17" s="32" t="s">
        <v>0</v>
      </c>
      <c r="E17" s="32" t="s">
        <v>1</v>
      </c>
      <c r="F17" s="178"/>
      <c r="G17" s="32" t="s">
        <v>0</v>
      </c>
      <c r="H17" s="32" t="s">
        <v>1</v>
      </c>
      <c r="I17" s="32" t="s">
        <v>185</v>
      </c>
      <c r="J17" s="178"/>
      <c r="K17" s="32" t="s">
        <v>0</v>
      </c>
      <c r="L17" s="32" t="s">
        <v>1</v>
      </c>
      <c r="M17" s="32" t="s">
        <v>26</v>
      </c>
      <c r="N17" s="32" t="s">
        <v>0</v>
      </c>
      <c r="O17" s="32" t="s">
        <v>1</v>
      </c>
      <c r="P17" s="178"/>
      <c r="ET17" s="25"/>
      <c r="EU17" s="25"/>
      <c r="EV17" s="25"/>
      <c r="EW17" s="25"/>
      <c r="EX17" s="25"/>
      <c r="EY17" s="25"/>
    </row>
    <row r="18" spans="1:155" s="115" customFormat="1" ht="12.75">
      <c r="A18" s="122">
        <v>1</v>
      </c>
      <c r="B18" s="122"/>
      <c r="C18" s="122"/>
      <c r="D18" s="122" t="s">
        <v>2</v>
      </c>
      <c r="E18" s="122" t="s">
        <v>3</v>
      </c>
      <c r="F18" s="122">
        <v>7</v>
      </c>
      <c r="G18" s="122">
        <v>8</v>
      </c>
      <c r="H18" s="122">
        <v>9</v>
      </c>
      <c r="I18" s="122">
        <v>10</v>
      </c>
      <c r="J18" s="122">
        <v>11</v>
      </c>
      <c r="K18" s="122">
        <v>12</v>
      </c>
      <c r="L18" s="122">
        <v>13</v>
      </c>
      <c r="M18" s="122">
        <v>14</v>
      </c>
      <c r="N18" s="122">
        <v>12</v>
      </c>
      <c r="O18" s="122">
        <v>13</v>
      </c>
      <c r="P18" s="122">
        <v>14</v>
      </c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0"/>
      <c r="CA18" s="30"/>
      <c r="CB18" s="30"/>
      <c r="CC18" s="30"/>
      <c r="CD18" s="30"/>
      <c r="CE18" s="30"/>
      <c r="CF18" s="30"/>
      <c r="CG18" s="30"/>
      <c r="CH18" s="30"/>
      <c r="CI18" s="30"/>
      <c r="CJ18" s="30"/>
      <c r="CK18" s="30"/>
      <c r="CL18" s="30"/>
      <c r="CM18" s="30"/>
      <c r="CN18" s="30"/>
      <c r="CO18" s="30"/>
      <c r="CP18" s="30"/>
      <c r="CQ18" s="30"/>
      <c r="CR18" s="30"/>
      <c r="CS18" s="30"/>
      <c r="CT18" s="30"/>
      <c r="CU18" s="30"/>
      <c r="CV18" s="30"/>
      <c r="CW18" s="30"/>
      <c r="CX18" s="30"/>
      <c r="CY18" s="30"/>
      <c r="CZ18" s="30"/>
      <c r="DA18" s="30"/>
      <c r="DB18" s="30"/>
      <c r="DC18" s="30"/>
      <c r="DD18" s="30"/>
      <c r="DE18" s="30"/>
      <c r="DF18" s="30"/>
      <c r="DG18" s="30"/>
      <c r="DH18" s="30"/>
      <c r="DI18" s="30"/>
      <c r="DJ18" s="30"/>
      <c r="DK18" s="30"/>
      <c r="DL18" s="30"/>
      <c r="DM18" s="30"/>
      <c r="DN18" s="30"/>
      <c r="DO18" s="30"/>
      <c r="DP18" s="30"/>
      <c r="DQ18" s="30"/>
      <c r="DR18" s="30"/>
      <c r="DS18" s="30"/>
      <c r="DT18" s="30"/>
      <c r="DU18" s="30"/>
      <c r="DV18" s="30"/>
      <c r="DW18" s="30"/>
      <c r="DX18" s="30"/>
      <c r="DY18" s="30"/>
      <c r="DZ18" s="30"/>
      <c r="EA18" s="30"/>
      <c r="EB18" s="30"/>
      <c r="EC18" s="30"/>
      <c r="ED18" s="30"/>
      <c r="EE18" s="30"/>
      <c r="EF18" s="30"/>
      <c r="EG18" s="30"/>
      <c r="EH18" s="30"/>
      <c r="EI18" s="30"/>
      <c r="EJ18" s="30"/>
      <c r="EK18" s="30"/>
      <c r="EL18" s="30"/>
      <c r="EM18" s="30"/>
      <c r="EN18" s="30"/>
      <c r="EO18" s="30"/>
      <c r="EP18" s="30"/>
      <c r="EQ18" s="30"/>
      <c r="ER18" s="30"/>
      <c r="ES18" s="30"/>
      <c r="ET18" s="30"/>
      <c r="EU18" s="30"/>
      <c r="EV18" s="30"/>
      <c r="EW18" s="30"/>
      <c r="EX18" s="30"/>
      <c r="EY18" s="30"/>
    </row>
    <row r="19" spans="1:16" s="25" customFormat="1" ht="28.5" customHeight="1">
      <c r="A19" s="31" t="s">
        <v>47</v>
      </c>
      <c r="B19" s="31"/>
      <c r="C19" s="31"/>
      <c r="D19" s="32">
        <f>SUM(D24)+D303+D342+D483+D492+D610+D628+D637+D646+D656+D666+D674+D687+D696+D714</f>
        <v>157231200.00291747</v>
      </c>
      <c r="E19" s="32">
        <f>SUM(E24)+E303+E342+E483+E492+E610+E628+E637+E646+E656+E666+E674+E687+E696+E714</f>
        <v>490457807.999755</v>
      </c>
      <c r="F19" s="32">
        <f>SUM(D19:E19)</f>
        <v>647689008.0026724</v>
      </c>
      <c r="G19" s="32">
        <f>SUM(G24)+G303+G342+G483+G492+G610+G628+G637+G646+G656+G666+G674+G687+G696+G714</f>
        <v>330608667.0799948</v>
      </c>
      <c r="H19" s="32">
        <f>SUM(H24)+H303+H342+H483+H492+H610+H628+H637+H646+H656+H666+H674+H687+H696+H705+H714</f>
        <v>383991108.94646204</v>
      </c>
      <c r="I19" s="32" t="e">
        <f>SUM(I24)+I303+I342+I483+I492+I610+I628+I637+I646+I656+I666+I674+I687+I696+I714</f>
        <v>#REF!</v>
      </c>
      <c r="J19" s="32">
        <f>SUM(G19)+H19</f>
        <v>714599776.0264568</v>
      </c>
      <c r="K19" s="32" t="e">
        <f>SUM(K24)+K303+K342+K483+K492+K610+K628+K637+K646+K656+K666+K674+K687+K696+K714</f>
        <v>#REF!</v>
      </c>
      <c r="L19" s="32" t="e">
        <f>SUM(L24)+L303+L342+L483+L492+L610+L628+L637+L646+L656+L666+L674+L687+L696+L714</f>
        <v>#REF!</v>
      </c>
      <c r="M19" s="32" t="e">
        <f>SUM(M24)+M303+M342+M483+M492+M610+M628+M637+M646+M656+M666+M674+M687+M696+M714</f>
        <v>#REF!</v>
      </c>
      <c r="N19" s="32">
        <f>SUM(N24)+N303+N342+N483+N492+N610+N628+N637+N646+N656+N674+N687+N696+N714+N666</f>
        <v>392475954.8344447</v>
      </c>
      <c r="O19" s="32">
        <f>SUM(O24)+O303+O342+O483+O492+O610+O628+O637+O646+O656+O666+O674+O687+O696+O714+O705</f>
        <v>445576531.252365</v>
      </c>
      <c r="P19" s="32">
        <f>SUM(P24)+P303+P342+P483+P492+P610+P628+P637+P646+P656+P674+P687+P696+P714+P666+P705</f>
        <v>838052486.0868098</v>
      </c>
    </row>
    <row r="20" spans="1:16" s="25" customFormat="1" ht="41.25" customHeight="1">
      <c r="A20" s="31" t="s">
        <v>41</v>
      </c>
      <c r="B20" s="31"/>
      <c r="C20" s="31"/>
      <c r="D20" s="32">
        <f>D25</f>
        <v>124999999.9999491</v>
      </c>
      <c r="E20" s="32">
        <f>E25</f>
        <v>191899944.43989998</v>
      </c>
      <c r="F20" s="32">
        <f>F25</f>
        <v>316899944.4398491</v>
      </c>
      <c r="G20" s="32">
        <f>G25</f>
        <v>9041700.003999999</v>
      </c>
      <c r="H20" s="32">
        <f>H25</f>
        <v>208302479.99964452</v>
      </c>
      <c r="I20" s="32">
        <f aca="true" t="shared" si="0" ref="I20:O20">I25</f>
        <v>-2000000</v>
      </c>
      <c r="J20" s="32">
        <f>SUM(G20)+H20</f>
        <v>217344180.00364453</v>
      </c>
      <c r="K20" s="32">
        <f t="shared" si="0"/>
        <v>-2000000</v>
      </c>
      <c r="L20" s="32">
        <f t="shared" si="0"/>
        <v>-2000000</v>
      </c>
      <c r="M20" s="32">
        <f t="shared" si="0"/>
        <v>-2000000</v>
      </c>
      <c r="N20" s="32">
        <f>N25</f>
        <v>55232699.99995345</v>
      </c>
      <c r="O20" s="32">
        <f t="shared" si="0"/>
        <v>164363001.15679845</v>
      </c>
      <c r="P20" s="32">
        <f>P25</f>
        <v>219595701.1567519</v>
      </c>
    </row>
    <row r="21" spans="1:17" ht="40.5" customHeight="1">
      <c r="A21" s="31" t="s">
        <v>187</v>
      </c>
      <c r="B21" s="31"/>
      <c r="C21" s="31"/>
      <c r="D21" s="32">
        <f>D343-0.006</f>
        <v>462379.99700000003</v>
      </c>
      <c r="E21" s="32">
        <f>E343</f>
        <v>692840</v>
      </c>
      <c r="F21" s="32">
        <f>F343</f>
        <v>1155220.003</v>
      </c>
      <c r="G21" s="32">
        <f>G343</f>
        <v>443775</v>
      </c>
      <c r="H21" s="32">
        <f>H343</f>
        <v>763900</v>
      </c>
      <c r="I21" s="32">
        <f>I343</f>
        <v>0</v>
      </c>
      <c r="J21" s="32">
        <f>SUM(G21)+H21</f>
        <v>1207675</v>
      </c>
      <c r="K21" s="32">
        <f aca="true" t="shared" si="1" ref="K21:Q21">K343</f>
        <v>0</v>
      </c>
      <c r="L21" s="32">
        <f t="shared" si="1"/>
        <v>0</v>
      </c>
      <c r="M21" s="32">
        <f t="shared" si="1"/>
        <v>0</v>
      </c>
      <c r="N21" s="32">
        <f t="shared" si="1"/>
        <v>352520</v>
      </c>
      <c r="O21" s="32">
        <f t="shared" si="1"/>
        <v>787532</v>
      </c>
      <c r="P21" s="32">
        <f t="shared" si="1"/>
        <v>1140052</v>
      </c>
      <c r="Q21" s="32">
        <f t="shared" si="1"/>
        <v>0</v>
      </c>
    </row>
    <row r="22" spans="1:18" ht="20.25" customHeight="1">
      <c r="A22" s="31" t="s">
        <v>137</v>
      </c>
      <c r="B22" s="31"/>
      <c r="C22" s="31"/>
      <c r="D22" s="32">
        <f>D19+D20+D21</f>
        <v>282693579.99986655</v>
      </c>
      <c r="E22" s="32">
        <f aca="true" t="shared" si="2" ref="E22:Q22">E19+E20+E21</f>
        <v>683050592.4396551</v>
      </c>
      <c r="F22" s="32">
        <f t="shared" si="2"/>
        <v>965744172.4455216</v>
      </c>
      <c r="G22" s="32">
        <f>G19+G20+G21</f>
        <v>340094142.0839948</v>
      </c>
      <c r="H22" s="32">
        <f>H19+H20+H21</f>
        <v>593057488.9461066</v>
      </c>
      <c r="I22" s="32" t="e">
        <f t="shared" si="2"/>
        <v>#REF!</v>
      </c>
      <c r="J22" s="32">
        <f>J19+J20+J21</f>
        <v>933151631.0301013</v>
      </c>
      <c r="K22" s="32" t="e">
        <f t="shared" si="2"/>
        <v>#REF!</v>
      </c>
      <c r="L22" s="32" t="e">
        <f t="shared" si="2"/>
        <v>#REF!</v>
      </c>
      <c r="M22" s="32" t="e">
        <f t="shared" si="2"/>
        <v>#REF!</v>
      </c>
      <c r="N22" s="32">
        <f>N19+N20+N21</f>
        <v>448061174.83439815</v>
      </c>
      <c r="O22" s="32">
        <f t="shared" si="2"/>
        <v>610727064.4091635</v>
      </c>
      <c r="P22" s="32">
        <f>P19+P20+P21</f>
        <v>1058788239.2435616</v>
      </c>
      <c r="Q22" s="32">
        <f t="shared" si="2"/>
        <v>0</v>
      </c>
      <c r="R22" s="26"/>
    </row>
    <row r="23" spans="1:149" s="137" customFormat="1" ht="30.75" customHeight="1">
      <c r="A23" s="138" t="s">
        <v>426</v>
      </c>
      <c r="B23" s="139"/>
      <c r="C23" s="139"/>
      <c r="D23" s="140">
        <f>D24+D25</f>
        <v>242045100.0028672</v>
      </c>
      <c r="E23" s="140">
        <f>E24+E25</f>
        <v>290485527.43965495</v>
      </c>
      <c r="F23" s="140">
        <f>F24+F25</f>
        <v>532530627.44252217</v>
      </c>
      <c r="G23" s="140">
        <f aca="true" t="shared" si="3" ref="G23:P23">G24+G25</f>
        <v>261115566.68376482</v>
      </c>
      <c r="H23" s="140">
        <f>H24+H25</f>
        <v>319617016.9486065</v>
      </c>
      <c r="I23" s="140">
        <f t="shared" si="3"/>
        <v>-2000000</v>
      </c>
      <c r="J23" s="140">
        <f>J24+J25</f>
        <v>580732583.6323714</v>
      </c>
      <c r="K23" s="140" t="e">
        <f t="shared" si="3"/>
        <v>#REF!</v>
      </c>
      <c r="L23" s="140" t="e">
        <f t="shared" si="3"/>
        <v>#REF!</v>
      </c>
      <c r="M23" s="140" t="e">
        <f t="shared" si="3"/>
        <v>#REF!</v>
      </c>
      <c r="N23" s="140">
        <f>N24+N25</f>
        <v>374755025.4524485</v>
      </c>
      <c r="O23" s="140">
        <f>O24+O25</f>
        <v>377149785.1671635</v>
      </c>
      <c r="P23" s="140">
        <f t="shared" si="3"/>
        <v>751904810.619612</v>
      </c>
      <c r="Q23" s="141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6"/>
      <c r="AP23" s="136"/>
      <c r="AQ23" s="136"/>
      <c r="AR23" s="136"/>
      <c r="AS23" s="136"/>
      <c r="AT23" s="136"/>
      <c r="AU23" s="136"/>
      <c r="AV23" s="136"/>
      <c r="AW23" s="136"/>
      <c r="AX23" s="136"/>
      <c r="AY23" s="136"/>
      <c r="AZ23" s="136"/>
      <c r="BA23" s="136"/>
      <c r="BB23" s="136"/>
      <c r="BC23" s="136"/>
      <c r="BD23" s="136"/>
      <c r="BE23" s="136"/>
      <c r="BF23" s="136"/>
      <c r="BG23" s="136"/>
      <c r="BH23" s="136"/>
      <c r="BI23" s="136"/>
      <c r="BJ23" s="136"/>
      <c r="BK23" s="136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6"/>
      <c r="BX23" s="136"/>
      <c r="BY23" s="136"/>
      <c r="BZ23" s="136"/>
      <c r="CA23" s="136"/>
      <c r="CB23" s="136"/>
      <c r="CC23" s="136"/>
      <c r="CD23" s="136"/>
      <c r="CE23" s="136"/>
      <c r="CF23" s="136"/>
      <c r="CG23" s="136"/>
      <c r="CH23" s="136"/>
      <c r="CI23" s="136"/>
      <c r="CJ23" s="136"/>
      <c r="CK23" s="136"/>
      <c r="CL23" s="136"/>
      <c r="CM23" s="136"/>
      <c r="CN23" s="136"/>
      <c r="CO23" s="136"/>
      <c r="CP23" s="136"/>
      <c r="CQ23" s="136"/>
      <c r="CR23" s="136"/>
      <c r="CS23" s="136"/>
      <c r="CT23" s="136"/>
      <c r="CU23" s="136"/>
      <c r="CV23" s="136"/>
      <c r="CW23" s="136"/>
      <c r="CX23" s="136"/>
      <c r="CY23" s="136"/>
      <c r="CZ23" s="136"/>
      <c r="DA23" s="136"/>
      <c r="DB23" s="136"/>
      <c r="DC23" s="136"/>
      <c r="DD23" s="136"/>
      <c r="DE23" s="136"/>
      <c r="DF23" s="136"/>
      <c r="DG23" s="136"/>
      <c r="DH23" s="136"/>
      <c r="DI23" s="136"/>
      <c r="DJ23" s="136"/>
      <c r="DK23" s="136"/>
      <c r="DL23" s="136"/>
      <c r="DM23" s="136"/>
      <c r="DN23" s="136"/>
      <c r="DO23" s="136"/>
      <c r="DP23" s="136"/>
      <c r="DQ23" s="136"/>
      <c r="DR23" s="136"/>
      <c r="DS23" s="136"/>
      <c r="DT23" s="136"/>
      <c r="DU23" s="136"/>
      <c r="DV23" s="136"/>
      <c r="DW23" s="136"/>
      <c r="DX23" s="136"/>
      <c r="DY23" s="136"/>
      <c r="DZ23" s="136"/>
      <c r="EA23" s="136"/>
      <c r="EB23" s="136"/>
      <c r="EC23" s="136"/>
      <c r="ED23" s="136"/>
      <c r="EE23" s="136"/>
      <c r="EF23" s="136"/>
      <c r="EG23" s="136"/>
      <c r="EH23" s="136"/>
      <c r="EI23" s="136"/>
      <c r="EJ23" s="136"/>
      <c r="EK23" s="136"/>
      <c r="EL23" s="136"/>
      <c r="EM23" s="136"/>
      <c r="EN23" s="136"/>
      <c r="EO23" s="136"/>
      <c r="EP23" s="136"/>
      <c r="EQ23" s="136"/>
      <c r="ER23" s="136"/>
      <c r="ES23" s="136"/>
    </row>
    <row r="24" spans="1:149" s="137" customFormat="1" ht="15" customHeight="1">
      <c r="A24" s="142" t="s">
        <v>59</v>
      </c>
      <c r="B24" s="142"/>
      <c r="C24" s="142"/>
      <c r="D24" s="140">
        <f>SUM(D49)+D77+(D92*D95)+D99+D142+D168+D222+D246+D272+D293+D285+2000000</f>
        <v>117045100.0029181</v>
      </c>
      <c r="E24" s="140">
        <f>SUM(E49)+E77+(E92*E95)+E99+E142+E168+E222+E246+E272+E293+E285</f>
        <v>98585582.999755</v>
      </c>
      <c r="F24" s="140">
        <f>D24+E24</f>
        <v>215630683.0026731</v>
      </c>
      <c r="G24" s="140">
        <f>SUM(G49)+G77+(G92*G95)+G99+G142+G168+G222+G246+G272+G293+G285+G35+G58</f>
        <v>252073866.6797648</v>
      </c>
      <c r="H24" s="140">
        <f>SUM(H49)+H77+(H92*H95)+H99+H142+H168+H222+H246+H272+H293+H285</f>
        <v>111314536.948962</v>
      </c>
      <c r="I24" s="140">
        <f>I49+I77+I86+I99+I142+I168+I222+I246+I272+I285+I293</f>
        <v>0</v>
      </c>
      <c r="J24" s="140">
        <f>G24+H24</f>
        <v>363388403.62872684</v>
      </c>
      <c r="K24" s="140" t="e">
        <f>K49+K77+K86+K99+K142+K168+K222+K246+K272+K285+K293</f>
        <v>#REF!</v>
      </c>
      <c r="L24" s="140" t="e">
        <f>L49+L77+L86+L99+L142+L168+L222+L246+L272+L285+L293</f>
        <v>#REF!</v>
      </c>
      <c r="M24" s="140" t="e">
        <f>M49+M77+M86+M99+M142+M168+M222+M246+M272+M285+M293</f>
        <v>#REF!</v>
      </c>
      <c r="N24" s="140">
        <f>SUM(N49)+N77+(N92*N95)+N99+N142+N168+N222+N246+N272+N293+N285+N35+N44</f>
        <v>319522325.45249504</v>
      </c>
      <c r="O24" s="140">
        <f>SUM(O49)+O77+(O92*O95)+O99+O142+O168+O222+O246+O272+O293+O215+O285-O215+O44</f>
        <v>212786784.010365</v>
      </c>
      <c r="P24" s="140">
        <f>N24+O24</f>
        <v>532309109.46286005</v>
      </c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6"/>
      <c r="AS24" s="136"/>
      <c r="AT24" s="136"/>
      <c r="AU24" s="136"/>
      <c r="AV24" s="136"/>
      <c r="AW24" s="136"/>
      <c r="AX24" s="136"/>
      <c r="AY24" s="136"/>
      <c r="AZ24" s="136"/>
      <c r="BA24" s="136"/>
      <c r="BB24" s="136"/>
      <c r="BC24" s="136"/>
      <c r="BD24" s="136"/>
      <c r="BE24" s="136"/>
      <c r="BF24" s="136"/>
      <c r="BG24" s="136"/>
      <c r="BH24" s="136"/>
      <c r="BI24" s="136"/>
      <c r="BJ24" s="136"/>
      <c r="BK24" s="136"/>
      <c r="BL24" s="136"/>
      <c r="BM24" s="136"/>
      <c r="BN24" s="136"/>
      <c r="BO24" s="136"/>
      <c r="BP24" s="136"/>
      <c r="BQ24" s="136"/>
      <c r="BR24" s="136"/>
      <c r="BS24" s="136"/>
      <c r="BT24" s="136"/>
      <c r="BU24" s="136"/>
      <c r="BV24" s="136"/>
      <c r="BW24" s="136"/>
      <c r="BX24" s="136"/>
      <c r="BY24" s="136"/>
      <c r="BZ24" s="136"/>
      <c r="CA24" s="136"/>
      <c r="CB24" s="136"/>
      <c r="CC24" s="136"/>
      <c r="CD24" s="136"/>
      <c r="CE24" s="136"/>
      <c r="CF24" s="136"/>
      <c r="CG24" s="136"/>
      <c r="CH24" s="136"/>
      <c r="CI24" s="136"/>
      <c r="CJ24" s="136"/>
      <c r="CK24" s="136"/>
      <c r="CL24" s="136"/>
      <c r="CM24" s="136"/>
      <c r="CN24" s="136"/>
      <c r="CO24" s="136"/>
      <c r="CP24" s="136"/>
      <c r="CQ24" s="136"/>
      <c r="CR24" s="136"/>
      <c r="CS24" s="136"/>
      <c r="CT24" s="136"/>
      <c r="CU24" s="136"/>
      <c r="CV24" s="136"/>
      <c r="CW24" s="136"/>
      <c r="CX24" s="136"/>
      <c r="CY24" s="136"/>
      <c r="CZ24" s="136"/>
      <c r="DA24" s="136"/>
      <c r="DB24" s="136"/>
      <c r="DC24" s="136"/>
      <c r="DD24" s="136"/>
      <c r="DE24" s="136"/>
      <c r="DF24" s="136"/>
      <c r="DG24" s="136"/>
      <c r="DH24" s="136"/>
      <c r="DI24" s="136"/>
      <c r="DJ24" s="136"/>
      <c r="DK24" s="136"/>
      <c r="DL24" s="136"/>
      <c r="DM24" s="136"/>
      <c r="DN24" s="136"/>
      <c r="DO24" s="136"/>
      <c r="DP24" s="136"/>
      <c r="DQ24" s="136"/>
      <c r="DR24" s="136"/>
      <c r="DS24" s="136"/>
      <c r="DT24" s="136"/>
      <c r="DU24" s="136"/>
      <c r="DV24" s="136"/>
      <c r="DW24" s="136"/>
      <c r="DX24" s="136"/>
      <c r="DY24" s="136"/>
      <c r="DZ24" s="136"/>
      <c r="EA24" s="136"/>
      <c r="EB24" s="136"/>
      <c r="EC24" s="136"/>
      <c r="ED24" s="136"/>
      <c r="EE24" s="136"/>
      <c r="EF24" s="136"/>
      <c r="EG24" s="136"/>
      <c r="EH24" s="136"/>
      <c r="EI24" s="136"/>
      <c r="EJ24" s="136"/>
      <c r="EK24" s="136"/>
      <c r="EL24" s="136"/>
      <c r="EM24" s="136"/>
      <c r="EN24" s="136"/>
      <c r="EO24" s="136"/>
      <c r="EP24" s="136"/>
      <c r="EQ24" s="136"/>
      <c r="ER24" s="136"/>
      <c r="ES24" s="136"/>
    </row>
    <row r="25" spans="1:149" s="137" customFormat="1" ht="28.5" customHeight="1">
      <c r="A25" s="142" t="s">
        <v>60</v>
      </c>
      <c r="B25" s="142"/>
      <c r="C25" s="142"/>
      <c r="D25" s="140">
        <f>SUM(D26)+D35+D58+D113-2000000</f>
        <v>124999999.9999491</v>
      </c>
      <c r="E25" s="140">
        <f>SUM(E26)+E35+E58+E113+(E91*E94)+E44</f>
        <v>191899944.43989998</v>
      </c>
      <c r="F25" s="140">
        <f>SUM(D25)+E25</f>
        <v>316899944.4398491</v>
      </c>
      <c r="G25" s="140">
        <f>SUM(G26)+G113</f>
        <v>9041700.003999999</v>
      </c>
      <c r="H25" s="140">
        <f>SUM(H26)+H35+H44+H58+H113+(H91*H94)+H106</f>
        <v>208302479.99964452</v>
      </c>
      <c r="I25" s="140">
        <f>I26+I35+I58+I106+I113-2000000</f>
        <v>-2000000</v>
      </c>
      <c r="J25" s="140">
        <f>G25+H25</f>
        <v>217344180.00364453</v>
      </c>
      <c r="K25" s="140">
        <f>K26+K35+K58+K106+K113-2000000</f>
        <v>-2000000</v>
      </c>
      <c r="L25" s="140">
        <f>L26+L35+L58+L106+L113-2000000</f>
        <v>-2000000</v>
      </c>
      <c r="M25" s="140">
        <f>M26+M35+M58+M106+M113-2000000</f>
        <v>-2000000</v>
      </c>
      <c r="N25" s="140">
        <f>SUM(N26)+N58+N113</f>
        <v>55232699.99995345</v>
      </c>
      <c r="O25" s="140">
        <f>SUM(O26)+O35+O58+O113+(O91*O94)</f>
        <v>164363001.15679845</v>
      </c>
      <c r="P25" s="140">
        <f>N25+O25</f>
        <v>219595701.1567519</v>
      </c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  <c r="BM25" s="136"/>
      <c r="BN25" s="136"/>
      <c r="BO25" s="136"/>
      <c r="BP25" s="136"/>
      <c r="BQ25" s="136"/>
      <c r="BR25" s="136"/>
      <c r="BS25" s="136"/>
      <c r="BT25" s="136"/>
      <c r="BU25" s="136"/>
      <c r="BV25" s="136"/>
      <c r="BW25" s="136"/>
      <c r="BX25" s="136"/>
      <c r="BY25" s="136"/>
      <c r="BZ25" s="136"/>
      <c r="CA25" s="136"/>
      <c r="CB25" s="136"/>
      <c r="CC25" s="136"/>
      <c r="CD25" s="136"/>
      <c r="CE25" s="136"/>
      <c r="CF25" s="136"/>
      <c r="CG25" s="136"/>
      <c r="CH25" s="136"/>
      <c r="CI25" s="136"/>
      <c r="CJ25" s="136"/>
      <c r="CK25" s="136"/>
      <c r="CL25" s="136"/>
      <c r="CM25" s="136"/>
      <c r="CN25" s="136"/>
      <c r="CO25" s="136"/>
      <c r="CP25" s="136"/>
      <c r="CQ25" s="136"/>
      <c r="CR25" s="136"/>
      <c r="CS25" s="136"/>
      <c r="CT25" s="136"/>
      <c r="CU25" s="136"/>
      <c r="CV25" s="136"/>
      <c r="CW25" s="136"/>
      <c r="CX25" s="136"/>
      <c r="CY25" s="136"/>
      <c r="CZ25" s="136"/>
      <c r="DA25" s="136"/>
      <c r="DB25" s="136"/>
      <c r="DC25" s="136"/>
      <c r="DD25" s="136"/>
      <c r="DE25" s="136"/>
      <c r="DF25" s="136"/>
      <c r="DG25" s="136"/>
      <c r="DH25" s="136"/>
      <c r="DI25" s="136"/>
      <c r="DJ25" s="136"/>
      <c r="DK25" s="136"/>
      <c r="DL25" s="136"/>
      <c r="DM25" s="136"/>
      <c r="DN25" s="136"/>
      <c r="DO25" s="136"/>
      <c r="DP25" s="136"/>
      <c r="DQ25" s="136"/>
      <c r="DR25" s="136"/>
      <c r="DS25" s="136"/>
      <c r="DT25" s="136"/>
      <c r="DU25" s="136"/>
      <c r="DV25" s="136"/>
      <c r="DW25" s="136"/>
      <c r="DX25" s="136"/>
      <c r="DY25" s="136"/>
      <c r="DZ25" s="136"/>
      <c r="EA25" s="136"/>
      <c r="EB25" s="136"/>
      <c r="EC25" s="136"/>
      <c r="ED25" s="136"/>
      <c r="EE25" s="136"/>
      <c r="EF25" s="136"/>
      <c r="EG25" s="136"/>
      <c r="EH25" s="136"/>
      <c r="EI25" s="136"/>
      <c r="EJ25" s="136"/>
      <c r="EK25" s="136"/>
      <c r="EL25" s="136"/>
      <c r="EM25" s="136"/>
      <c r="EN25" s="136"/>
      <c r="EO25" s="136"/>
      <c r="EP25" s="136"/>
      <c r="EQ25" s="136"/>
      <c r="ER25" s="136"/>
      <c r="ES25" s="136"/>
    </row>
    <row r="26" spans="1:149" s="38" customFormat="1" ht="33.75">
      <c r="A26" s="33" t="s">
        <v>29</v>
      </c>
      <c r="B26" s="34"/>
      <c r="C26" s="34"/>
      <c r="D26" s="35"/>
      <c r="E26" s="35">
        <f>E32*E30+73455.56-73455.56</f>
        <v>49999944.44</v>
      </c>
      <c r="F26" s="35">
        <f>SUM(D26)+E26</f>
        <v>49999944.44</v>
      </c>
      <c r="G26" s="35"/>
      <c r="H26" s="35">
        <f>H30*H32</f>
        <v>55743999.9999828</v>
      </c>
      <c r="I26" s="35"/>
      <c r="J26" s="35">
        <f>H26</f>
        <v>55743999.9999828</v>
      </c>
      <c r="K26" s="35"/>
      <c r="L26" s="35"/>
      <c r="M26" s="35"/>
      <c r="N26" s="35"/>
      <c r="O26" s="35">
        <f>(O32*O30)</f>
        <v>58620999.99996351</v>
      </c>
      <c r="P26" s="35">
        <f>(P32*P30)</f>
        <v>58620999.99996351</v>
      </c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37"/>
      <c r="CA26" s="37"/>
      <c r="CB26" s="37"/>
      <c r="CC26" s="37"/>
      <c r="CD26" s="37"/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CZ26" s="37"/>
      <c r="DA26" s="37"/>
      <c r="DB26" s="37"/>
      <c r="DC26" s="37"/>
      <c r="DD26" s="37"/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</row>
    <row r="27" spans="1:16" ht="11.25">
      <c r="A27" s="5" t="s">
        <v>4</v>
      </c>
      <c r="B27" s="36"/>
      <c r="C27" s="36"/>
      <c r="D27" s="35"/>
      <c r="E27" s="35"/>
      <c r="F27" s="35"/>
      <c r="G27" s="35"/>
      <c r="H27" s="35"/>
      <c r="I27" s="35"/>
      <c r="J27" s="35"/>
      <c r="K27" s="7"/>
      <c r="L27" s="7"/>
      <c r="M27" s="7"/>
      <c r="N27" s="35"/>
      <c r="O27" s="35"/>
      <c r="P27" s="35"/>
    </row>
    <row r="28" spans="1:16" ht="27" customHeight="1">
      <c r="A28" s="8" t="s">
        <v>9</v>
      </c>
      <c r="B28" s="6"/>
      <c r="C28" s="6"/>
      <c r="D28" s="7"/>
      <c r="E28" s="7">
        <v>270000</v>
      </c>
      <c r="F28" s="7">
        <f>E28</f>
        <v>270000</v>
      </c>
      <c r="G28" s="7">
        <f>F26+F35+F49+F58+F77+F86+F99+F106+F113</f>
        <v>326499944.4408291</v>
      </c>
      <c r="H28" s="7">
        <v>270000</v>
      </c>
      <c r="I28" s="7"/>
      <c r="J28" s="7">
        <f>H28</f>
        <v>270000</v>
      </c>
      <c r="K28" s="7"/>
      <c r="L28" s="7"/>
      <c r="M28" s="7"/>
      <c r="N28" s="7"/>
      <c r="O28" s="7">
        <v>270000</v>
      </c>
      <c r="P28" s="7">
        <f>O28</f>
        <v>270000</v>
      </c>
    </row>
    <row r="29" spans="1:16" ht="11.25">
      <c r="A29" s="5" t="s">
        <v>5</v>
      </c>
      <c r="B29" s="36"/>
      <c r="C29" s="36"/>
      <c r="D29" s="7"/>
      <c r="E29" s="35"/>
      <c r="F29" s="35"/>
      <c r="G29" s="7"/>
      <c r="H29" s="35"/>
      <c r="I29" s="35"/>
      <c r="J29" s="35"/>
      <c r="K29" s="7"/>
      <c r="L29" s="7"/>
      <c r="M29" s="7"/>
      <c r="N29" s="7"/>
      <c r="O29" s="35"/>
      <c r="P29" s="35"/>
    </row>
    <row r="30" spans="1:16" ht="22.5">
      <c r="A30" s="8" t="s">
        <v>12</v>
      </c>
      <c r="B30" s="6"/>
      <c r="C30" s="6"/>
      <c r="D30" s="7"/>
      <c r="E30" s="7">
        <v>44444</v>
      </c>
      <c r="F30" s="7">
        <f>E30</f>
        <v>44444</v>
      </c>
      <c r="G30" s="7"/>
      <c r="H30" s="7">
        <v>44452.9505582</v>
      </c>
      <c r="I30" s="7"/>
      <c r="J30" s="7">
        <f>H30</f>
        <v>44452.9505582</v>
      </c>
      <c r="K30" s="7"/>
      <c r="L30" s="7"/>
      <c r="M30" s="7"/>
      <c r="N30" s="7"/>
      <c r="O30" s="7">
        <v>44443.5178165</v>
      </c>
      <c r="P30" s="7">
        <f>O30</f>
        <v>44443.5178165</v>
      </c>
    </row>
    <row r="31" spans="1:16" ht="11.25">
      <c r="A31" s="5" t="s">
        <v>7</v>
      </c>
      <c r="B31" s="36"/>
      <c r="C31" s="36"/>
      <c r="D31" s="7"/>
      <c r="E31" s="35"/>
      <c r="F31" s="35"/>
      <c r="G31" s="7"/>
      <c r="H31" s="35"/>
      <c r="I31" s="35"/>
      <c r="J31" s="35"/>
      <c r="K31" s="7"/>
      <c r="L31" s="7"/>
      <c r="M31" s="7"/>
      <c r="N31" s="7"/>
      <c r="O31" s="35"/>
      <c r="P31" s="35"/>
    </row>
    <row r="32" spans="1:16" ht="22.5">
      <c r="A32" s="8" t="s">
        <v>17</v>
      </c>
      <c r="B32" s="6"/>
      <c r="C32" s="6"/>
      <c r="D32" s="7"/>
      <c r="E32" s="7">
        <v>1125.01</v>
      </c>
      <c r="F32" s="7">
        <f>E32</f>
        <v>1125.01</v>
      </c>
      <c r="G32" s="7"/>
      <c r="H32" s="7">
        <v>1254</v>
      </c>
      <c r="I32" s="7"/>
      <c r="J32" s="7">
        <f>H32</f>
        <v>1254</v>
      </c>
      <c r="K32" s="7"/>
      <c r="L32" s="7"/>
      <c r="M32" s="7"/>
      <c r="N32" s="7"/>
      <c r="O32" s="7">
        <v>1319</v>
      </c>
      <c r="P32" s="7">
        <f>O32</f>
        <v>1319</v>
      </c>
    </row>
    <row r="33" spans="1:16" ht="11.25">
      <c r="A33" s="5" t="s">
        <v>6</v>
      </c>
      <c r="B33" s="36"/>
      <c r="C33" s="36"/>
      <c r="D33" s="7"/>
      <c r="E33" s="35"/>
      <c r="F33" s="35"/>
      <c r="G33" s="7"/>
      <c r="H33" s="35"/>
      <c r="I33" s="35"/>
      <c r="J33" s="35"/>
      <c r="K33" s="7"/>
      <c r="L33" s="7"/>
      <c r="M33" s="7"/>
      <c r="N33" s="7"/>
      <c r="O33" s="35"/>
      <c r="P33" s="35"/>
    </row>
    <row r="34" spans="1:16" ht="22.5">
      <c r="A34" s="8" t="s">
        <v>23</v>
      </c>
      <c r="B34" s="6"/>
      <c r="C34" s="6"/>
      <c r="D34" s="7"/>
      <c r="E34" s="7">
        <f>E30/E28*100</f>
        <v>16.46074074074074</v>
      </c>
      <c r="F34" s="7">
        <f>F30/F28*100</f>
        <v>16.46074074074074</v>
      </c>
      <c r="G34" s="7"/>
      <c r="H34" s="7">
        <v>0</v>
      </c>
      <c r="I34" s="7"/>
      <c r="J34" s="7">
        <f>J30/J28*100</f>
        <v>16.464055762296294</v>
      </c>
      <c r="K34" s="7"/>
      <c r="L34" s="7"/>
      <c r="M34" s="7"/>
      <c r="N34" s="7"/>
      <c r="O34" s="7">
        <v>0</v>
      </c>
      <c r="P34" s="7">
        <f>P30/P28*100</f>
        <v>16.46056215425926</v>
      </c>
    </row>
    <row r="35" spans="1:149" s="132" customFormat="1" ht="35.25" customHeight="1">
      <c r="A35" s="128" t="s">
        <v>55</v>
      </c>
      <c r="B35" s="129"/>
      <c r="C35" s="129"/>
      <c r="D35" s="130">
        <f>D41*D39</f>
        <v>77889999.99998794</v>
      </c>
      <c r="E35" s="130"/>
      <c r="F35" s="130">
        <f>F41*F39</f>
        <v>77889999.99998794</v>
      </c>
      <c r="G35" s="130">
        <f>G39*G41</f>
        <v>86837999.99996285</v>
      </c>
      <c r="H35" s="130"/>
      <c r="I35" s="130"/>
      <c r="J35" s="130">
        <f>G35</f>
        <v>86837999.99996285</v>
      </c>
      <c r="K35" s="130"/>
      <c r="L35" s="130"/>
      <c r="M35" s="130"/>
      <c r="N35" s="130">
        <f>N39*N41</f>
        <v>138420000.00356</v>
      </c>
      <c r="O35" s="130"/>
      <c r="P35" s="130">
        <f>N35</f>
        <v>138420000.00356</v>
      </c>
      <c r="Q35" s="131"/>
      <c r="R35" s="131"/>
      <c r="S35" s="131"/>
      <c r="T35" s="131"/>
      <c r="U35" s="131"/>
      <c r="V35" s="131"/>
      <c r="W35" s="131"/>
      <c r="X35" s="131"/>
      <c r="Y35" s="131"/>
      <c r="Z35" s="131"/>
      <c r="AA35" s="131"/>
      <c r="AB35" s="131"/>
      <c r="AC35" s="131"/>
      <c r="AD35" s="131"/>
      <c r="AE35" s="131"/>
      <c r="AF35" s="131"/>
      <c r="AG35" s="131"/>
      <c r="AH35" s="131"/>
      <c r="AI35" s="131"/>
      <c r="AJ35" s="131"/>
      <c r="AK35" s="131"/>
      <c r="AL35" s="131"/>
      <c r="AM35" s="131"/>
      <c r="AN35" s="131"/>
      <c r="AO35" s="131"/>
      <c r="AP35" s="131"/>
      <c r="AQ35" s="131"/>
      <c r="AR35" s="131"/>
      <c r="AS35" s="131"/>
      <c r="AT35" s="131"/>
      <c r="AU35" s="131"/>
      <c r="AV35" s="131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1"/>
      <c r="BN35" s="131"/>
      <c r="BO35" s="131"/>
      <c r="BP35" s="131"/>
      <c r="BQ35" s="131"/>
      <c r="BR35" s="131"/>
      <c r="BS35" s="131"/>
      <c r="BT35" s="131"/>
      <c r="BU35" s="131"/>
      <c r="BV35" s="131"/>
      <c r="BW35" s="131"/>
      <c r="BX35" s="131"/>
      <c r="BY35" s="131"/>
      <c r="BZ35" s="131"/>
      <c r="CA35" s="131"/>
      <c r="CB35" s="131"/>
      <c r="CC35" s="131"/>
      <c r="CD35" s="131"/>
      <c r="CE35" s="131"/>
      <c r="CF35" s="131"/>
      <c r="CG35" s="131"/>
      <c r="CH35" s="131"/>
      <c r="CI35" s="131"/>
      <c r="CJ35" s="131"/>
      <c r="CK35" s="131"/>
      <c r="CL35" s="131"/>
      <c r="CM35" s="131"/>
      <c r="CN35" s="131"/>
      <c r="CO35" s="131"/>
      <c r="CP35" s="131"/>
      <c r="CQ35" s="131"/>
      <c r="CR35" s="131"/>
      <c r="CS35" s="131"/>
      <c r="CT35" s="131"/>
      <c r="CU35" s="131"/>
      <c r="CV35" s="131"/>
      <c r="CW35" s="131"/>
      <c r="CX35" s="131"/>
      <c r="CY35" s="131"/>
      <c r="CZ35" s="131"/>
      <c r="DA35" s="131"/>
      <c r="DB35" s="131"/>
      <c r="DC35" s="131"/>
      <c r="DD35" s="131"/>
      <c r="DE35" s="131"/>
      <c r="DF35" s="131"/>
      <c r="DG35" s="131"/>
      <c r="DH35" s="131"/>
      <c r="DI35" s="131"/>
      <c r="DJ35" s="131"/>
      <c r="DK35" s="131"/>
      <c r="DL35" s="131"/>
      <c r="DM35" s="131"/>
      <c r="DN35" s="131"/>
      <c r="DO35" s="131"/>
      <c r="DP35" s="131"/>
      <c r="DQ35" s="131"/>
      <c r="DR35" s="131"/>
      <c r="DS35" s="131"/>
      <c r="DT35" s="131"/>
      <c r="DU35" s="131"/>
      <c r="DV35" s="131"/>
      <c r="DW35" s="131"/>
      <c r="DX35" s="131"/>
      <c r="DY35" s="131"/>
      <c r="DZ35" s="131"/>
      <c r="EA35" s="131"/>
      <c r="EB35" s="131"/>
      <c r="EC35" s="131"/>
      <c r="ED35" s="131"/>
      <c r="EE35" s="131"/>
      <c r="EF35" s="131"/>
      <c r="EG35" s="131"/>
      <c r="EH35" s="131"/>
      <c r="EI35" s="131"/>
      <c r="EJ35" s="131"/>
      <c r="EK35" s="131"/>
      <c r="EL35" s="131"/>
      <c r="EM35" s="131"/>
      <c r="EN35" s="131"/>
      <c r="EO35" s="131"/>
      <c r="EP35" s="131"/>
      <c r="EQ35" s="131"/>
      <c r="ER35" s="131"/>
      <c r="ES35" s="131"/>
    </row>
    <row r="36" spans="1:16" ht="11.25">
      <c r="A36" s="5" t="s">
        <v>4</v>
      </c>
      <c r="B36" s="36"/>
      <c r="C36" s="36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</row>
    <row r="37" spans="1:16" ht="22.5">
      <c r="A37" s="8" t="s">
        <v>10</v>
      </c>
      <c r="B37" s="6"/>
      <c r="C37" s="6"/>
      <c r="D37" s="7">
        <v>292000</v>
      </c>
      <c r="E37" s="7"/>
      <c r="F37" s="7">
        <f>D37</f>
        <v>292000</v>
      </c>
      <c r="G37" s="7">
        <v>292000</v>
      </c>
      <c r="H37" s="7"/>
      <c r="I37" s="7"/>
      <c r="J37" s="7">
        <f>G37</f>
        <v>292000</v>
      </c>
      <c r="K37" s="7"/>
      <c r="L37" s="7"/>
      <c r="M37" s="7"/>
      <c r="N37" s="7">
        <v>300000</v>
      </c>
      <c r="O37" s="7"/>
      <c r="P37" s="7">
        <f>N37</f>
        <v>300000</v>
      </c>
    </row>
    <row r="38" spans="1:16" ht="11.25">
      <c r="A38" s="5" t="s">
        <v>5</v>
      </c>
      <c r="B38" s="36"/>
      <c r="C38" s="36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  <row r="39" spans="1:16" ht="22.5">
      <c r="A39" s="8" t="s">
        <v>11</v>
      </c>
      <c r="B39" s="6"/>
      <c r="C39" s="6"/>
      <c r="D39" s="7">
        <v>119831</v>
      </c>
      <c r="E39" s="7"/>
      <c r="F39" s="7">
        <f>D39</f>
        <v>119831</v>
      </c>
      <c r="G39" s="7">
        <v>119777</v>
      </c>
      <c r="H39" s="7"/>
      <c r="I39" s="7"/>
      <c r="J39" s="7">
        <f>G39</f>
        <v>119777</v>
      </c>
      <c r="K39" s="7"/>
      <c r="L39" s="7"/>
      <c r="M39" s="7"/>
      <c r="N39" s="7">
        <v>92774.79893</v>
      </c>
      <c r="O39" s="7"/>
      <c r="P39" s="7">
        <f>N39</f>
        <v>92774.79893</v>
      </c>
    </row>
    <row r="40" spans="1:16" ht="11.25">
      <c r="A40" s="5" t="s">
        <v>7</v>
      </c>
      <c r="B40" s="36"/>
      <c r="C40" s="36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</row>
    <row r="41" spans="1:16" ht="24" customHeight="1">
      <c r="A41" s="8" t="s">
        <v>20</v>
      </c>
      <c r="B41" s="6"/>
      <c r="C41" s="6"/>
      <c r="D41" s="7">
        <v>649.998748237</v>
      </c>
      <c r="E41" s="7"/>
      <c r="F41" s="7">
        <f>D41</f>
        <v>649.998748237</v>
      </c>
      <c r="G41" s="7">
        <v>724.997286624</v>
      </c>
      <c r="H41" s="7"/>
      <c r="I41" s="7"/>
      <c r="J41" s="7">
        <f>G41</f>
        <v>724.997286624</v>
      </c>
      <c r="K41" s="7"/>
      <c r="L41" s="7"/>
      <c r="M41" s="7"/>
      <c r="N41" s="7">
        <v>1492</v>
      </c>
      <c r="O41" s="7"/>
      <c r="P41" s="7">
        <f>N41</f>
        <v>1492</v>
      </c>
    </row>
    <row r="42" spans="1:16" ht="11.25">
      <c r="A42" s="5" t="s">
        <v>6</v>
      </c>
      <c r="B42" s="36"/>
      <c r="C42" s="36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</row>
    <row r="43" spans="1:16" ht="21.75" customHeight="1">
      <c r="A43" s="8" t="s">
        <v>22</v>
      </c>
      <c r="B43" s="6"/>
      <c r="C43" s="6"/>
      <c r="D43" s="7">
        <f aca="true" t="shared" si="4" ref="D43:J43">D39/D37*100</f>
        <v>41.03801369863014</v>
      </c>
      <c r="E43" s="7"/>
      <c r="F43" s="7">
        <f t="shared" si="4"/>
        <v>41.03801369863014</v>
      </c>
      <c r="G43" s="7">
        <f>G39/G37*100</f>
        <v>41.019520547945206</v>
      </c>
      <c r="H43" s="7"/>
      <c r="I43" s="7"/>
      <c r="J43" s="7">
        <f t="shared" si="4"/>
        <v>41.019520547945206</v>
      </c>
      <c r="K43" s="7"/>
      <c r="L43" s="7"/>
      <c r="M43" s="7"/>
      <c r="N43" s="7">
        <f>N39/N37*100</f>
        <v>30.924932976666668</v>
      </c>
      <c r="O43" s="7"/>
      <c r="P43" s="7">
        <f>P39/P37*100</f>
        <v>30.924932976666668</v>
      </c>
    </row>
    <row r="44" spans="1:16" ht="33.75" customHeight="1">
      <c r="A44" s="33" t="s">
        <v>365</v>
      </c>
      <c r="B44" s="6"/>
      <c r="C44" s="6"/>
      <c r="D44" s="7"/>
      <c r="E44" s="7">
        <v>41900000</v>
      </c>
      <c r="F44" s="7">
        <f>D44+E44</f>
        <v>41900000</v>
      </c>
      <c r="G44" s="7"/>
      <c r="H44" s="7">
        <v>41000000</v>
      </c>
      <c r="I44" s="7"/>
      <c r="J44" s="7">
        <f>H44</f>
        <v>41000000</v>
      </c>
      <c r="K44" s="7"/>
      <c r="L44" s="7"/>
      <c r="M44" s="7"/>
      <c r="N44" s="7">
        <f>0+40000000</f>
        <v>40000000</v>
      </c>
      <c r="O44" s="7">
        <f>80000000</f>
        <v>80000000</v>
      </c>
      <c r="P44" s="7">
        <f>N44+O44</f>
        <v>120000000</v>
      </c>
    </row>
    <row r="45" spans="1:149" s="51" customFormat="1" ht="21.75" customHeight="1">
      <c r="A45" s="5" t="s">
        <v>5</v>
      </c>
      <c r="B45" s="36"/>
      <c r="C45" s="36"/>
      <c r="D45" s="29"/>
      <c r="E45" s="29"/>
      <c r="F45" s="29"/>
      <c r="G45" s="29"/>
      <c r="H45" s="29"/>
      <c r="I45" s="29"/>
      <c r="J45" s="7"/>
      <c r="K45" s="29"/>
      <c r="L45" s="29"/>
      <c r="M45" s="29"/>
      <c r="N45" s="29"/>
      <c r="O45" s="29"/>
      <c r="P45" s="7">
        <f>N45+O45</f>
        <v>0</v>
      </c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  <c r="CW45" s="50"/>
      <c r="CX45" s="50"/>
      <c r="CY45" s="50"/>
      <c r="CZ45" s="50"/>
      <c r="DA45" s="50"/>
      <c r="DB45" s="50"/>
      <c r="DC45" s="50"/>
      <c r="DD45" s="50"/>
      <c r="DE45" s="50"/>
      <c r="DF45" s="50"/>
      <c r="DG45" s="50"/>
      <c r="DH45" s="50"/>
      <c r="DI45" s="50"/>
      <c r="DJ45" s="50"/>
      <c r="DK45" s="50"/>
      <c r="DL45" s="50"/>
      <c r="DM45" s="50"/>
      <c r="DN45" s="50"/>
      <c r="DO45" s="50"/>
      <c r="DP45" s="50"/>
      <c r="DQ45" s="50"/>
      <c r="DR45" s="50"/>
      <c r="DS45" s="50"/>
      <c r="DT45" s="50"/>
      <c r="DU45" s="50"/>
      <c r="DV45" s="50"/>
      <c r="DW45" s="50"/>
      <c r="DX45" s="50"/>
      <c r="DY45" s="50"/>
      <c r="DZ45" s="50"/>
      <c r="EA45" s="50"/>
      <c r="EB45" s="50"/>
      <c r="EC45" s="50"/>
      <c r="ED45" s="50"/>
      <c r="EE45" s="50"/>
      <c r="EF45" s="50"/>
      <c r="EG45" s="50"/>
      <c r="EH45" s="50"/>
      <c r="EI45" s="50"/>
      <c r="EJ45" s="50"/>
      <c r="EK45" s="50"/>
      <c r="EL45" s="50"/>
      <c r="EM45" s="50"/>
      <c r="EN45" s="50"/>
      <c r="EO45" s="50"/>
      <c r="EP45" s="50"/>
      <c r="EQ45" s="50"/>
      <c r="ER45" s="50"/>
      <c r="ES45" s="50"/>
    </row>
    <row r="46" spans="1:16" ht="21.75" customHeight="1">
      <c r="A46" s="8" t="s">
        <v>11</v>
      </c>
      <c r="B46" s="6"/>
      <c r="C46" s="6"/>
      <c r="D46" s="7"/>
      <c r="E46" s="7">
        <f>SUM(E44)/E48</f>
        <v>64461.53846153846</v>
      </c>
      <c r="F46" s="7">
        <f>SUM(F44)/F48</f>
        <v>64461.53846153846</v>
      </c>
      <c r="G46" s="7"/>
      <c r="H46" s="7">
        <v>63076.92</v>
      </c>
      <c r="I46" s="7"/>
      <c r="J46" s="7">
        <f>H46</f>
        <v>63076.92</v>
      </c>
      <c r="K46" s="7"/>
      <c r="L46" s="7"/>
      <c r="M46" s="7"/>
      <c r="N46" s="7">
        <v>19675.36</v>
      </c>
      <c r="O46" s="7">
        <v>39350.71</v>
      </c>
      <c r="P46" s="7">
        <f>N46+O46</f>
        <v>59026.07</v>
      </c>
    </row>
    <row r="47" spans="1:149" s="51" customFormat="1" ht="21.75" customHeight="1">
      <c r="A47" s="5" t="s">
        <v>7</v>
      </c>
      <c r="B47" s="36"/>
      <c r="C47" s="36"/>
      <c r="D47" s="29"/>
      <c r="E47" s="29"/>
      <c r="F47" s="29"/>
      <c r="G47" s="29"/>
      <c r="H47" s="29"/>
      <c r="I47" s="29"/>
      <c r="J47" s="7"/>
      <c r="K47" s="29"/>
      <c r="L47" s="29"/>
      <c r="M47" s="29"/>
      <c r="N47" s="29"/>
      <c r="O47" s="29"/>
      <c r="P47" s="7">
        <f>N47+O47</f>
        <v>0</v>
      </c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  <c r="CW47" s="50"/>
      <c r="CX47" s="50"/>
      <c r="CY47" s="50"/>
      <c r="CZ47" s="50"/>
      <c r="DA47" s="50"/>
      <c r="DB47" s="50"/>
      <c r="DC47" s="50"/>
      <c r="DD47" s="50"/>
      <c r="DE47" s="50"/>
      <c r="DF47" s="50"/>
      <c r="DG47" s="50"/>
      <c r="DH47" s="50"/>
      <c r="DI47" s="50"/>
      <c r="DJ47" s="50"/>
      <c r="DK47" s="50"/>
      <c r="DL47" s="50"/>
      <c r="DM47" s="50"/>
      <c r="DN47" s="50"/>
      <c r="DO47" s="50"/>
      <c r="DP47" s="50"/>
      <c r="DQ47" s="50"/>
      <c r="DR47" s="50"/>
      <c r="DS47" s="50"/>
      <c r="DT47" s="50"/>
      <c r="DU47" s="50"/>
      <c r="DV47" s="50"/>
      <c r="DW47" s="50"/>
      <c r="DX47" s="50"/>
      <c r="DY47" s="50"/>
      <c r="DZ47" s="50"/>
      <c r="EA47" s="50"/>
      <c r="EB47" s="50"/>
      <c r="EC47" s="50"/>
      <c r="ED47" s="50"/>
      <c r="EE47" s="50"/>
      <c r="EF47" s="50"/>
      <c r="EG47" s="50"/>
      <c r="EH47" s="50"/>
      <c r="EI47" s="50"/>
      <c r="EJ47" s="50"/>
      <c r="EK47" s="50"/>
      <c r="EL47" s="50"/>
      <c r="EM47" s="50"/>
      <c r="EN47" s="50"/>
      <c r="EO47" s="50"/>
      <c r="EP47" s="50"/>
      <c r="EQ47" s="50"/>
      <c r="ER47" s="50"/>
      <c r="ES47" s="50"/>
    </row>
    <row r="48" spans="1:16" ht="21.75" customHeight="1">
      <c r="A48" s="8" t="s">
        <v>20</v>
      </c>
      <c r="B48" s="6"/>
      <c r="C48" s="6"/>
      <c r="D48" s="7"/>
      <c r="E48" s="7">
        <v>650</v>
      </c>
      <c r="F48" s="7">
        <f>SUM(E48)</f>
        <v>650</v>
      </c>
      <c r="G48" s="7"/>
      <c r="H48" s="7">
        <v>650</v>
      </c>
      <c r="I48" s="7"/>
      <c r="J48" s="7">
        <f>H48</f>
        <v>650</v>
      </c>
      <c r="K48" s="7"/>
      <c r="L48" s="7"/>
      <c r="M48" s="7"/>
      <c r="N48" s="7">
        <v>2033</v>
      </c>
      <c r="O48" s="7">
        <v>2033</v>
      </c>
      <c r="P48" s="7">
        <f>N48+O48</f>
        <v>4066</v>
      </c>
    </row>
    <row r="49" spans="1:149" s="38" customFormat="1" ht="27" customHeight="1">
      <c r="A49" s="33" t="s">
        <v>366</v>
      </c>
      <c r="B49" s="34"/>
      <c r="C49" s="34"/>
      <c r="D49" s="35">
        <f>D55*D53</f>
        <v>800000.001</v>
      </c>
      <c r="E49" s="35">
        <v>17300000</v>
      </c>
      <c r="F49" s="35">
        <f>E49+D49</f>
        <v>18100000.001</v>
      </c>
      <c r="G49" s="35">
        <f>G53*G55</f>
        <v>2000000</v>
      </c>
      <c r="H49" s="35">
        <f>H53*H55</f>
        <v>16100000.199000001</v>
      </c>
      <c r="I49" s="35"/>
      <c r="J49" s="35">
        <f>G49+H49</f>
        <v>18100000.199</v>
      </c>
      <c r="K49" s="35"/>
      <c r="L49" s="35"/>
      <c r="M49" s="35"/>
      <c r="N49" s="35">
        <f>N53*N55</f>
        <v>500000</v>
      </c>
      <c r="O49" s="35">
        <f>O53*O55</f>
        <v>14550000</v>
      </c>
      <c r="P49" s="35">
        <f>O49+N49</f>
        <v>15050000</v>
      </c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</row>
    <row r="50" spans="1:16" ht="11.25">
      <c r="A50" s="5" t="s">
        <v>4</v>
      </c>
      <c r="B50" s="36"/>
      <c r="C50" s="36"/>
      <c r="D50" s="7"/>
      <c r="E50" s="7"/>
      <c r="F50" s="7">
        <f aca="true" t="shared" si="5" ref="F50:F56">E50+D50</f>
        <v>0</v>
      </c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2.5">
      <c r="A51" s="8" t="s">
        <v>203</v>
      </c>
      <c r="B51" s="6"/>
      <c r="C51" s="6"/>
      <c r="D51" s="7">
        <v>3</v>
      </c>
      <c r="E51" s="7">
        <v>4</v>
      </c>
      <c r="F51" s="7">
        <f t="shared" si="5"/>
        <v>7</v>
      </c>
      <c r="G51" s="7">
        <v>4</v>
      </c>
      <c r="H51" s="7">
        <v>3</v>
      </c>
      <c r="I51" s="7"/>
      <c r="J51" s="7">
        <f>G51+H51</f>
        <v>7</v>
      </c>
      <c r="K51" s="7"/>
      <c r="L51" s="7"/>
      <c r="M51" s="7"/>
      <c r="N51" s="7">
        <v>1</v>
      </c>
      <c r="O51" s="7">
        <v>2</v>
      </c>
      <c r="P51" s="7">
        <f>O51+N51</f>
        <v>3</v>
      </c>
    </row>
    <row r="52" spans="1:16" ht="11.25">
      <c r="A52" s="5" t="s">
        <v>5</v>
      </c>
      <c r="B52" s="36"/>
      <c r="C52" s="36"/>
      <c r="D52" s="7"/>
      <c r="E52" s="7"/>
      <c r="F52" s="7">
        <f t="shared" si="5"/>
        <v>0</v>
      </c>
      <c r="G52" s="7"/>
      <c r="H52" s="7"/>
      <c r="I52" s="7"/>
      <c r="J52" s="7">
        <f>G52+H52</f>
        <v>0</v>
      </c>
      <c r="K52" s="7"/>
      <c r="L52" s="7"/>
      <c r="M52" s="7"/>
      <c r="N52" s="7"/>
      <c r="O52" s="7"/>
      <c r="P52" s="7"/>
    </row>
    <row r="53" spans="1:16" ht="22.5">
      <c r="A53" s="8" t="s">
        <v>204</v>
      </c>
      <c r="B53" s="6"/>
      <c r="C53" s="6"/>
      <c r="D53" s="7">
        <v>3</v>
      </c>
      <c r="E53" s="7">
        <v>3</v>
      </c>
      <c r="F53" s="7">
        <f t="shared" si="5"/>
        <v>6</v>
      </c>
      <c r="G53" s="7">
        <v>4</v>
      </c>
      <c r="H53" s="7">
        <v>3</v>
      </c>
      <c r="I53" s="7"/>
      <c r="J53" s="7">
        <f>G53+H53</f>
        <v>7</v>
      </c>
      <c r="K53" s="7"/>
      <c r="L53" s="7"/>
      <c r="M53" s="7"/>
      <c r="N53" s="7">
        <v>1</v>
      </c>
      <c r="O53" s="7">
        <v>1</v>
      </c>
      <c r="P53" s="7">
        <f>O53+N53</f>
        <v>2</v>
      </c>
    </row>
    <row r="54" spans="1:16" ht="11.25">
      <c r="A54" s="5" t="s">
        <v>7</v>
      </c>
      <c r="B54" s="36"/>
      <c r="C54" s="36"/>
      <c r="D54" s="7"/>
      <c r="E54" s="7"/>
      <c r="F54" s="7">
        <f t="shared" si="5"/>
        <v>0</v>
      </c>
      <c r="G54" s="7"/>
      <c r="H54" s="7"/>
      <c r="I54" s="7"/>
      <c r="J54" s="7">
        <f>G54+H54</f>
        <v>0</v>
      </c>
      <c r="K54" s="7"/>
      <c r="L54" s="7"/>
      <c r="M54" s="7"/>
      <c r="N54" s="7"/>
      <c r="O54" s="7"/>
      <c r="P54" s="7"/>
    </row>
    <row r="55" spans="1:16" ht="22.5">
      <c r="A55" s="8" t="s">
        <v>189</v>
      </c>
      <c r="B55" s="6"/>
      <c r="C55" s="6"/>
      <c r="D55" s="7">
        <v>266666.667</v>
      </c>
      <c r="E55" s="7">
        <v>5766666.67</v>
      </c>
      <c r="F55" s="7">
        <f>E55+D55</f>
        <v>6033333.337</v>
      </c>
      <c r="G55" s="7">
        <v>500000</v>
      </c>
      <c r="H55" s="7">
        <v>5366666.733</v>
      </c>
      <c r="I55" s="7"/>
      <c r="J55" s="7">
        <f>G55+H55</f>
        <v>5866666.733</v>
      </c>
      <c r="K55" s="7"/>
      <c r="L55" s="7"/>
      <c r="M55" s="7"/>
      <c r="N55" s="7">
        <f>450000+50000</f>
        <v>500000</v>
      </c>
      <c r="O55" s="7">
        <v>14550000</v>
      </c>
      <c r="P55" s="7">
        <f>N55</f>
        <v>500000</v>
      </c>
    </row>
    <row r="56" spans="1:16" ht="11.25">
      <c r="A56" s="5" t="s">
        <v>6</v>
      </c>
      <c r="B56" s="36"/>
      <c r="C56" s="36"/>
      <c r="D56" s="7"/>
      <c r="E56" s="7"/>
      <c r="F56" s="7">
        <f t="shared" si="5"/>
        <v>0</v>
      </c>
      <c r="G56" s="7"/>
      <c r="H56" s="7"/>
      <c r="I56" s="7"/>
      <c r="J56" s="7"/>
      <c r="K56" s="7"/>
      <c r="L56" s="7"/>
      <c r="M56" s="7"/>
      <c r="N56" s="7"/>
      <c r="O56" s="7"/>
      <c r="P56" s="7"/>
    </row>
    <row r="57" spans="1:16" ht="21.75" customHeight="1">
      <c r="A57" s="8" t="s">
        <v>205</v>
      </c>
      <c r="B57" s="6"/>
      <c r="C57" s="6"/>
      <c r="D57" s="7">
        <f>D53/D51*100</f>
        <v>100</v>
      </c>
      <c r="E57" s="7">
        <f>E53/E51*100</f>
        <v>75</v>
      </c>
      <c r="F57" s="35"/>
      <c r="G57" s="7">
        <f>G53/G51</f>
        <v>1</v>
      </c>
      <c r="H57" s="7">
        <f>H53/H51</f>
        <v>1</v>
      </c>
      <c r="I57" s="7"/>
      <c r="J57" s="7">
        <f>J53/J51*100</f>
        <v>100</v>
      </c>
      <c r="K57" s="7"/>
      <c r="L57" s="7"/>
      <c r="M57" s="7"/>
      <c r="N57" s="7">
        <f>N53/N51*100</f>
        <v>100</v>
      </c>
      <c r="O57" s="7">
        <f>O53/O51*100</f>
        <v>50</v>
      </c>
      <c r="P57" s="7">
        <f>P53/P51*100</f>
        <v>66.66666666666666</v>
      </c>
    </row>
    <row r="58" spans="1:149" s="38" customFormat="1" ht="29.25" customHeight="1">
      <c r="A58" s="33" t="s">
        <v>367</v>
      </c>
      <c r="B58" s="34"/>
      <c r="C58" s="34"/>
      <c r="D58" s="35">
        <f>(D62*D64)+2000000</f>
        <v>40999999.999961145</v>
      </c>
      <c r="E58" s="35"/>
      <c r="F58" s="35">
        <f>(F62*F64)+(F68*F72)-544</f>
        <v>40999999.999961145</v>
      </c>
      <c r="G58" s="35">
        <f>G62*G64+G70*G72</f>
        <v>45680299.99663542</v>
      </c>
      <c r="H58" s="35"/>
      <c r="I58" s="35"/>
      <c r="J58" s="35">
        <f>G58</f>
        <v>45680299.99663542</v>
      </c>
      <c r="K58" s="35"/>
      <c r="L58" s="35"/>
      <c r="M58" s="35"/>
      <c r="N58" s="35">
        <f>N62*N64</f>
        <v>45724399.99995345</v>
      </c>
      <c r="O58" s="35"/>
      <c r="P58" s="35">
        <f>N58</f>
        <v>45724399.99995345</v>
      </c>
      <c r="Q58" s="37"/>
      <c r="R58" s="37"/>
      <c r="S58" s="37"/>
      <c r="T58" s="37"/>
      <c r="U58" s="37"/>
      <c r="V58" s="37"/>
      <c r="W58" s="37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  <c r="AP58" s="37"/>
      <c r="AQ58" s="37"/>
      <c r="AR58" s="37"/>
      <c r="AS58" s="37"/>
      <c r="AT58" s="37"/>
      <c r="AU58" s="37"/>
      <c r="AV58" s="37"/>
      <c r="AW58" s="37"/>
      <c r="AX58" s="37"/>
      <c r="AY58" s="37"/>
      <c r="AZ58" s="37"/>
      <c r="BA58" s="37"/>
      <c r="BB58" s="37"/>
      <c r="BC58" s="37"/>
      <c r="BD58" s="37"/>
      <c r="BE58" s="37"/>
      <c r="BF58" s="37"/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/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/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  <c r="DT58" s="37"/>
      <c r="DU58" s="37"/>
      <c r="DV58" s="37"/>
      <c r="DW58" s="37"/>
      <c r="DX58" s="37"/>
      <c r="DY58" s="37"/>
      <c r="DZ58" s="37"/>
      <c r="EA58" s="37"/>
      <c r="EB58" s="37"/>
      <c r="EC58" s="37"/>
      <c r="ED58" s="37"/>
      <c r="EE58" s="37"/>
      <c r="EF58" s="37"/>
      <c r="EG58" s="37"/>
      <c r="EH58" s="37"/>
      <c r="EI58" s="37"/>
      <c r="EJ58" s="37"/>
      <c r="EK58" s="37"/>
      <c r="EL58" s="37"/>
      <c r="EM58" s="37"/>
      <c r="EN58" s="37"/>
      <c r="EO58" s="37"/>
      <c r="EP58" s="37"/>
      <c r="EQ58" s="37"/>
      <c r="ER58" s="37"/>
      <c r="ES58" s="37"/>
    </row>
    <row r="59" spans="1:16" ht="11.25">
      <c r="A59" s="5" t="s">
        <v>4</v>
      </c>
      <c r="B59" s="36"/>
      <c r="C59" s="36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</row>
    <row r="60" spans="1:16" ht="22.5">
      <c r="A60" s="8" t="s">
        <v>51</v>
      </c>
      <c r="B60" s="6"/>
      <c r="C60" s="6"/>
      <c r="D60" s="7">
        <v>3372600</v>
      </c>
      <c r="E60" s="7"/>
      <c r="F60" s="7">
        <f>D60</f>
        <v>3372600</v>
      </c>
      <c r="G60" s="7">
        <v>3372600</v>
      </c>
      <c r="H60" s="7"/>
      <c r="I60" s="7"/>
      <c r="J60" s="7">
        <f>G60</f>
        <v>3372600</v>
      </c>
      <c r="K60" s="7"/>
      <c r="L60" s="7"/>
      <c r="M60" s="7"/>
      <c r="N60" s="7">
        <v>3372600</v>
      </c>
      <c r="O60" s="7"/>
      <c r="P60" s="7">
        <f>N60</f>
        <v>3372600</v>
      </c>
    </row>
    <row r="61" spans="1:16" ht="11.25">
      <c r="A61" s="5" t="s">
        <v>5</v>
      </c>
      <c r="B61" s="36"/>
      <c r="C61" s="36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</row>
    <row r="62" spans="1:16" ht="21.75" customHeight="1">
      <c r="A62" s="8" t="s">
        <v>52</v>
      </c>
      <c r="B62" s="6"/>
      <c r="C62" s="6"/>
      <c r="D62" s="7">
        <v>1310344.8</v>
      </c>
      <c r="E62" s="7"/>
      <c r="F62" s="7">
        <f>D62</f>
        <v>1310344.8</v>
      </c>
      <c r="G62" s="7">
        <v>1310344.8</v>
      </c>
      <c r="H62" s="7"/>
      <c r="I62" s="7"/>
      <c r="J62" s="7">
        <f>G62</f>
        <v>1310344.8</v>
      </c>
      <c r="K62" s="7">
        <f>H62</f>
        <v>0</v>
      </c>
      <c r="L62" s="7">
        <f>I62</f>
        <v>0</v>
      </c>
      <c r="M62" s="7">
        <f>J62</f>
        <v>1310344.8</v>
      </c>
      <c r="N62" s="7">
        <v>1310344.8</v>
      </c>
      <c r="O62" s="7"/>
      <c r="P62" s="7">
        <f>N62</f>
        <v>1310344.8</v>
      </c>
    </row>
    <row r="63" spans="1:16" ht="11.25">
      <c r="A63" s="5" t="s">
        <v>7</v>
      </c>
      <c r="B63" s="36"/>
      <c r="C63" s="36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</row>
    <row r="64" spans="1:16" ht="21.75" customHeight="1">
      <c r="A64" s="8" t="s">
        <v>18</v>
      </c>
      <c r="B64" s="6"/>
      <c r="C64" s="6"/>
      <c r="D64" s="7">
        <v>29.7631585213</v>
      </c>
      <c r="E64" s="7"/>
      <c r="F64" s="7">
        <f>D64</f>
        <v>29.7631585213</v>
      </c>
      <c r="G64" s="7">
        <v>33.33284739</v>
      </c>
      <c r="H64" s="7"/>
      <c r="I64" s="7"/>
      <c r="J64" s="7">
        <f>G64</f>
        <v>33.33284739</v>
      </c>
      <c r="K64" s="7"/>
      <c r="L64" s="7"/>
      <c r="M64" s="7"/>
      <c r="N64" s="7">
        <v>34.8949375767</v>
      </c>
      <c r="O64" s="7"/>
      <c r="P64" s="7">
        <f>N64</f>
        <v>34.8949375767</v>
      </c>
    </row>
    <row r="65" spans="1:16" ht="11.25">
      <c r="A65" s="5" t="s">
        <v>6</v>
      </c>
      <c r="B65" s="36"/>
      <c r="C65" s="36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</row>
    <row r="66" spans="1:16" ht="34.5" customHeight="1">
      <c r="A66" s="8" t="s">
        <v>53</v>
      </c>
      <c r="B66" s="6"/>
      <c r="C66" s="6"/>
      <c r="D66" s="7">
        <f>D62/D60*100</f>
        <v>38.852659669098024</v>
      </c>
      <c r="E66" s="7"/>
      <c r="F66" s="7">
        <f>F62/F60*100</f>
        <v>38.852659669098024</v>
      </c>
      <c r="G66" s="7">
        <f>G62/G60*100</f>
        <v>38.852659669098024</v>
      </c>
      <c r="H66" s="7"/>
      <c r="I66" s="7"/>
      <c r="J66" s="7">
        <f>J62/J60*100</f>
        <v>38.852659669098024</v>
      </c>
      <c r="K66" s="7"/>
      <c r="L66" s="7"/>
      <c r="M66" s="7"/>
      <c r="N66" s="7">
        <f>N62/N60*100</f>
        <v>38.852659669098024</v>
      </c>
      <c r="O66" s="7"/>
      <c r="P66" s="7">
        <f>P62/P60*100</f>
        <v>38.852659669098024</v>
      </c>
    </row>
    <row r="67" spans="1:16" ht="11.25">
      <c r="A67" s="5" t="s">
        <v>4</v>
      </c>
      <c r="B67" s="6"/>
      <c r="C67" s="6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</row>
    <row r="68" spans="1:16" ht="45">
      <c r="A68" s="8" t="s">
        <v>274</v>
      </c>
      <c r="B68" s="6"/>
      <c r="C68" s="6"/>
      <c r="D68" s="7">
        <v>446550</v>
      </c>
      <c r="E68" s="7"/>
      <c r="F68" s="7">
        <v>446550</v>
      </c>
      <c r="G68" s="7">
        <v>446550</v>
      </c>
      <c r="H68" s="7"/>
      <c r="I68" s="7"/>
      <c r="J68" s="7">
        <v>446550</v>
      </c>
      <c r="K68" s="7"/>
      <c r="L68" s="7"/>
      <c r="M68" s="7"/>
      <c r="N68" s="7">
        <v>446550</v>
      </c>
      <c r="O68" s="7"/>
      <c r="P68" s="7">
        <v>446550</v>
      </c>
    </row>
    <row r="69" spans="1:16" ht="11.25">
      <c r="A69" s="5" t="s">
        <v>5</v>
      </c>
      <c r="B69" s="6"/>
      <c r="C69" s="6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</row>
    <row r="70" spans="1:16" ht="45">
      <c r="A70" s="8" t="s">
        <v>273</v>
      </c>
      <c r="B70" s="6"/>
      <c r="C70" s="6"/>
      <c r="D70" s="7">
        <v>446550</v>
      </c>
      <c r="E70" s="7"/>
      <c r="F70" s="7">
        <v>446550</v>
      </c>
      <c r="G70" s="7">
        <v>446550</v>
      </c>
      <c r="H70" s="7"/>
      <c r="I70" s="7"/>
      <c r="J70" s="7">
        <v>446550</v>
      </c>
      <c r="K70" s="7"/>
      <c r="L70" s="7"/>
      <c r="M70" s="7"/>
      <c r="N70" s="7"/>
      <c r="O70" s="7"/>
      <c r="P70" s="7"/>
    </row>
    <row r="71" spans="1:16" ht="11.25">
      <c r="A71" s="5" t="s">
        <v>7</v>
      </c>
      <c r="B71" s="6"/>
      <c r="C71" s="6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</row>
    <row r="72" spans="1:16" ht="22.5">
      <c r="A72" s="8" t="s">
        <v>18</v>
      </c>
      <c r="B72" s="6"/>
      <c r="C72" s="6"/>
      <c r="D72" s="7">
        <v>4.48</v>
      </c>
      <c r="E72" s="7"/>
      <c r="F72" s="7">
        <v>4.48</v>
      </c>
      <c r="G72" s="7">
        <v>4.4849999999</v>
      </c>
      <c r="H72" s="7"/>
      <c r="I72" s="7"/>
      <c r="J72" s="7">
        <v>4.48</v>
      </c>
      <c r="K72" s="7"/>
      <c r="L72" s="7"/>
      <c r="M72" s="7"/>
      <c r="N72" s="7"/>
      <c r="O72" s="7"/>
      <c r="P72" s="7"/>
    </row>
    <row r="73" spans="1:16" ht="11.25">
      <c r="A73" s="5" t="s">
        <v>6</v>
      </c>
      <c r="B73" s="6"/>
      <c r="C73" s="6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</row>
    <row r="74" spans="1:16" ht="31.5" customHeight="1">
      <c r="A74" s="8" t="s">
        <v>53</v>
      </c>
      <c r="B74" s="6"/>
      <c r="C74" s="6"/>
      <c r="D74" s="7">
        <v>100</v>
      </c>
      <c r="E74" s="7"/>
      <c r="F74" s="7">
        <v>100</v>
      </c>
      <c r="G74" s="7">
        <v>100</v>
      </c>
      <c r="H74" s="7"/>
      <c r="I74" s="7"/>
      <c r="J74" s="7">
        <v>100</v>
      </c>
      <c r="K74" s="7"/>
      <c r="L74" s="7"/>
      <c r="M74" s="7"/>
      <c r="N74" s="7"/>
      <c r="O74" s="7"/>
      <c r="P74" s="7"/>
    </row>
    <row r="75" spans="1:16" ht="1.5" customHeight="1">
      <c r="A75" s="8"/>
      <c r="B75" s="6"/>
      <c r="C75" s="6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</row>
    <row r="76" spans="1:16" ht="11.25">
      <c r="A76" s="8"/>
      <c r="B76" s="6"/>
      <c r="C76" s="6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</row>
    <row r="77" spans="1:149" s="38" customFormat="1" ht="46.5" customHeight="1">
      <c r="A77" s="33" t="s">
        <v>368</v>
      </c>
      <c r="B77" s="34"/>
      <c r="C77" s="34"/>
      <c r="D77" s="35">
        <f>(D81*D83)</f>
        <v>5999999.99998</v>
      </c>
      <c r="E77" s="35"/>
      <c r="F77" s="35">
        <f>(F83*F81)</f>
        <v>5999999.99998</v>
      </c>
      <c r="G77" s="35">
        <f>(G83*G81)-0.01</f>
        <v>5799999.99875</v>
      </c>
      <c r="H77" s="35"/>
      <c r="I77" s="35"/>
      <c r="J77" s="35">
        <f>G77+H77</f>
        <v>5799999.99875</v>
      </c>
      <c r="K77" s="35"/>
      <c r="L77" s="35"/>
      <c r="M77" s="35"/>
      <c r="N77" s="35">
        <f>(N81*N83)</f>
        <v>9999999.99975</v>
      </c>
      <c r="O77" s="35"/>
      <c r="P77" s="35">
        <f>N77</f>
        <v>9999999.99975</v>
      </c>
      <c r="Q77" s="37"/>
      <c r="R77" s="37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  <c r="AP77" s="37"/>
      <c r="AQ77" s="37"/>
      <c r="AR77" s="37"/>
      <c r="AS77" s="37"/>
      <c r="AT77" s="37"/>
      <c r="AU77" s="37"/>
      <c r="AV77" s="37"/>
      <c r="AW77" s="37"/>
      <c r="AX77" s="37"/>
      <c r="AY77" s="37"/>
      <c r="AZ77" s="37"/>
      <c r="BA77" s="37"/>
      <c r="BB77" s="37"/>
      <c r="BC77" s="37"/>
      <c r="BD77" s="37"/>
      <c r="BE77" s="37"/>
      <c r="BF77" s="37"/>
      <c r="BG77" s="37"/>
      <c r="BH77" s="37"/>
      <c r="BI77" s="37"/>
      <c r="BJ77" s="37"/>
      <c r="BK77" s="37"/>
      <c r="BL77" s="37"/>
      <c r="BM77" s="37"/>
      <c r="BN77" s="37"/>
      <c r="BO77" s="37"/>
      <c r="BP77" s="37"/>
      <c r="BQ77" s="37"/>
      <c r="BR77" s="37"/>
      <c r="BS77" s="37"/>
      <c r="BT77" s="37"/>
      <c r="BU77" s="37"/>
      <c r="BV77" s="37"/>
      <c r="BW77" s="37"/>
      <c r="BX77" s="37"/>
      <c r="BY77" s="37"/>
      <c r="BZ77" s="37"/>
      <c r="CA77" s="37"/>
      <c r="CB77" s="37"/>
      <c r="CC77" s="37"/>
      <c r="CD77" s="37"/>
      <c r="CE77" s="37"/>
      <c r="CF77" s="37"/>
      <c r="CG77" s="37"/>
      <c r="CH77" s="37"/>
      <c r="CI77" s="37"/>
      <c r="CJ77" s="37"/>
      <c r="CK77" s="37"/>
      <c r="CL77" s="37"/>
      <c r="CM77" s="37"/>
      <c r="CN77" s="37"/>
      <c r="CO77" s="37"/>
      <c r="CP77" s="37"/>
      <c r="CQ77" s="37"/>
      <c r="CR77" s="37"/>
      <c r="CS77" s="37"/>
      <c r="CT77" s="37"/>
      <c r="CU77" s="37"/>
      <c r="CV77" s="37"/>
      <c r="CW77" s="37"/>
      <c r="CX77" s="37"/>
      <c r="CY77" s="37"/>
      <c r="CZ77" s="37"/>
      <c r="DA77" s="37"/>
      <c r="DB77" s="37"/>
      <c r="DC77" s="37"/>
      <c r="DD77" s="37"/>
      <c r="DE77" s="37"/>
      <c r="DF77" s="37"/>
      <c r="DG77" s="37"/>
      <c r="DH77" s="37"/>
      <c r="DI77" s="37"/>
      <c r="DJ77" s="37"/>
      <c r="DK77" s="37"/>
      <c r="DL77" s="37"/>
      <c r="DM77" s="37"/>
      <c r="DN77" s="37"/>
      <c r="DO77" s="37"/>
      <c r="DP77" s="37"/>
      <c r="DQ77" s="37"/>
      <c r="DR77" s="37"/>
      <c r="DS77" s="37"/>
      <c r="DT77" s="37"/>
      <c r="DU77" s="37"/>
      <c r="DV77" s="37"/>
      <c r="DW77" s="37"/>
      <c r="DX77" s="37"/>
      <c r="DY77" s="37"/>
      <c r="DZ77" s="37"/>
      <c r="EA77" s="37"/>
      <c r="EB77" s="37"/>
      <c r="EC77" s="37"/>
      <c r="ED77" s="37"/>
      <c r="EE77" s="37"/>
      <c r="EF77" s="37"/>
      <c r="EG77" s="37"/>
      <c r="EH77" s="37"/>
      <c r="EI77" s="37"/>
      <c r="EJ77" s="37"/>
      <c r="EK77" s="37"/>
      <c r="EL77" s="37"/>
      <c r="EM77" s="37"/>
      <c r="EN77" s="37"/>
      <c r="EO77" s="37"/>
      <c r="EP77" s="37"/>
      <c r="EQ77" s="37"/>
      <c r="ER77" s="37"/>
      <c r="ES77" s="37"/>
    </row>
    <row r="78" spans="1:16" ht="11.25">
      <c r="A78" s="5" t="s">
        <v>4</v>
      </c>
      <c r="B78" s="36"/>
      <c r="C78" s="36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</row>
    <row r="79" spans="1:16" ht="33" customHeight="1">
      <c r="A79" s="8" t="s">
        <v>229</v>
      </c>
      <c r="B79" s="6"/>
      <c r="C79" s="6"/>
      <c r="D79" s="7">
        <f>D77</f>
        <v>5999999.99998</v>
      </c>
      <c r="E79" s="7"/>
      <c r="F79" s="7">
        <f>D79</f>
        <v>5999999.99998</v>
      </c>
      <c r="G79" s="7">
        <f>G77</f>
        <v>5799999.99875</v>
      </c>
      <c r="H79" s="7"/>
      <c r="I79" s="7"/>
      <c r="J79" s="7">
        <f>G79</f>
        <v>5799999.99875</v>
      </c>
      <c r="K79" s="7"/>
      <c r="L79" s="7"/>
      <c r="M79" s="7"/>
      <c r="N79" s="7">
        <f>N77</f>
        <v>9999999.99975</v>
      </c>
      <c r="O79" s="7"/>
      <c r="P79" s="7">
        <f>N79</f>
        <v>9999999.99975</v>
      </c>
    </row>
    <row r="80" spans="1:16" ht="11.25">
      <c r="A80" s="5" t="s">
        <v>5</v>
      </c>
      <c r="B80" s="36"/>
      <c r="C80" s="36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</row>
    <row r="81" spans="1:16" ht="34.5" customHeight="1">
      <c r="A81" s="8" t="s">
        <v>56</v>
      </c>
      <c r="B81" s="6"/>
      <c r="C81" s="6"/>
      <c r="D81" s="7">
        <v>8571.4285714</v>
      </c>
      <c r="E81" s="7"/>
      <c r="F81" s="7">
        <f>D81</f>
        <v>8571.4285714</v>
      </c>
      <c r="G81" s="7">
        <v>7733.333345</v>
      </c>
      <c r="H81" s="7"/>
      <c r="I81" s="7"/>
      <c r="J81" s="7">
        <f>G81</f>
        <v>7733.333345</v>
      </c>
      <c r="K81" s="7"/>
      <c r="L81" s="7"/>
      <c r="M81" s="7"/>
      <c r="N81" s="7">
        <v>13333.333333</v>
      </c>
      <c r="O81" s="7"/>
      <c r="P81" s="7">
        <f>N81</f>
        <v>13333.333333</v>
      </c>
    </row>
    <row r="82" spans="1:16" ht="11.25">
      <c r="A82" s="5" t="s">
        <v>7</v>
      </c>
      <c r="B82" s="36"/>
      <c r="C82" s="36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</row>
    <row r="83" spans="1:16" ht="33.75">
      <c r="A83" s="8" t="s">
        <v>57</v>
      </c>
      <c r="B83" s="6"/>
      <c r="C83" s="6"/>
      <c r="D83" s="7">
        <v>700</v>
      </c>
      <c r="E83" s="7"/>
      <c r="F83" s="7">
        <f>D83</f>
        <v>700</v>
      </c>
      <c r="G83" s="7">
        <v>750</v>
      </c>
      <c r="H83" s="7"/>
      <c r="I83" s="7"/>
      <c r="J83" s="7">
        <f>G83</f>
        <v>750</v>
      </c>
      <c r="K83" s="7"/>
      <c r="L83" s="7"/>
      <c r="M83" s="7"/>
      <c r="N83" s="7">
        <v>750</v>
      </c>
      <c r="O83" s="7"/>
      <c r="P83" s="7">
        <f>N83</f>
        <v>750</v>
      </c>
    </row>
    <row r="84" spans="1:16" ht="11.25">
      <c r="A84" s="5" t="s">
        <v>6</v>
      </c>
      <c r="B84" s="36"/>
      <c r="C84" s="36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</row>
    <row r="85" spans="1:16" ht="45">
      <c r="A85" s="8" t="s">
        <v>58</v>
      </c>
      <c r="B85" s="6"/>
      <c r="C85" s="6"/>
      <c r="D85" s="7">
        <f>D81/D79*100</f>
        <v>0.14285714285714285</v>
      </c>
      <c r="E85" s="7"/>
      <c r="F85" s="7">
        <f>F81/F79*100</f>
        <v>0.14285714285714285</v>
      </c>
      <c r="G85" s="7">
        <f>G81/G79*100</f>
        <v>0.1333333335632184</v>
      </c>
      <c r="H85" s="7"/>
      <c r="I85" s="7"/>
      <c r="J85" s="7">
        <f>J81/J79*100</f>
        <v>0.1333333335632184</v>
      </c>
      <c r="K85" s="7"/>
      <c r="L85" s="7"/>
      <c r="M85" s="7"/>
      <c r="N85" s="7">
        <f>N81/N79*100</f>
        <v>0.13333333333333336</v>
      </c>
      <c r="O85" s="7"/>
      <c r="P85" s="7">
        <f>P81/P79*100</f>
        <v>0.13333333333333336</v>
      </c>
    </row>
    <row r="86" spans="1:149" s="38" customFormat="1" ht="49.5" customHeight="1">
      <c r="A86" s="33" t="s">
        <v>440</v>
      </c>
      <c r="B86" s="34"/>
      <c r="C86" s="34"/>
      <c r="D86" s="35"/>
      <c r="E86" s="35">
        <f>(E91*E94)+(E92*E95)</f>
        <v>124999999.9999</v>
      </c>
      <c r="F86" s="35">
        <f>E86</f>
        <v>124999999.9999</v>
      </c>
      <c r="G86" s="35"/>
      <c r="H86" s="35">
        <f>(H91*H94)+(H92*H95)</f>
        <v>142488000.34962872</v>
      </c>
      <c r="I86" s="35"/>
      <c r="J86" s="35">
        <f>H86</f>
        <v>142488000.34962872</v>
      </c>
      <c r="K86" s="35">
        <f aca="true" t="shared" si="6" ref="K86:P86">(K91*K94)+(K92*K95)</f>
        <v>0</v>
      </c>
      <c r="L86" s="35">
        <f t="shared" si="6"/>
        <v>0</v>
      </c>
      <c r="M86" s="35">
        <f t="shared" si="6"/>
        <v>0</v>
      </c>
      <c r="N86" s="35"/>
      <c r="O86" s="35">
        <f>(O91*O94)+(O92*O95)</f>
        <v>149417001.40680495</v>
      </c>
      <c r="P86" s="35">
        <f t="shared" si="6"/>
        <v>149417001.40680495</v>
      </c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  <c r="BA86" s="37"/>
      <c r="BB86" s="37"/>
      <c r="BC86" s="37"/>
      <c r="BD86" s="37"/>
      <c r="BE86" s="37"/>
      <c r="BF86" s="37"/>
      <c r="BG86" s="37"/>
      <c r="BH86" s="37"/>
      <c r="BI86" s="37"/>
      <c r="BJ86" s="37"/>
      <c r="BK86" s="37"/>
      <c r="BL86" s="37"/>
      <c r="BM86" s="37"/>
      <c r="BN86" s="37"/>
      <c r="BO86" s="37"/>
      <c r="BP86" s="37"/>
      <c r="BQ86" s="37"/>
      <c r="BR86" s="37"/>
      <c r="BS86" s="37"/>
      <c r="BT86" s="37"/>
      <c r="BU86" s="37"/>
      <c r="BV86" s="37"/>
      <c r="BW86" s="37"/>
      <c r="BX86" s="37"/>
      <c r="BY86" s="37"/>
      <c r="BZ86" s="37"/>
      <c r="CA86" s="37"/>
      <c r="CB86" s="37"/>
      <c r="CC86" s="37"/>
      <c r="CD86" s="37"/>
      <c r="CE86" s="37"/>
      <c r="CF86" s="37"/>
      <c r="CG86" s="37"/>
      <c r="CH86" s="37"/>
      <c r="CI86" s="37"/>
      <c r="CJ86" s="37"/>
      <c r="CK86" s="37"/>
      <c r="CL86" s="37"/>
      <c r="CM86" s="37"/>
      <c r="CN86" s="37"/>
      <c r="CO86" s="37"/>
      <c r="CP86" s="37"/>
      <c r="CQ86" s="37"/>
      <c r="CR86" s="37"/>
      <c r="CS86" s="37"/>
      <c r="CT86" s="37"/>
      <c r="CU86" s="37"/>
      <c r="CV86" s="37"/>
      <c r="CW86" s="37"/>
      <c r="CX86" s="37"/>
      <c r="CY86" s="37"/>
      <c r="CZ86" s="37"/>
      <c r="DA86" s="37"/>
      <c r="DB86" s="37"/>
      <c r="DC86" s="37"/>
      <c r="DD86" s="37"/>
      <c r="DE86" s="37"/>
      <c r="DF86" s="37"/>
      <c r="DG86" s="37"/>
      <c r="DH86" s="37"/>
      <c r="DI86" s="37"/>
      <c r="DJ86" s="37"/>
      <c r="DK86" s="37"/>
      <c r="DL86" s="37"/>
      <c r="DM86" s="37"/>
      <c r="DN86" s="37"/>
      <c r="DO86" s="37"/>
      <c r="DP86" s="37"/>
      <c r="DQ86" s="37"/>
      <c r="DR86" s="37"/>
      <c r="DS86" s="37"/>
      <c r="DT86" s="37"/>
      <c r="DU86" s="37"/>
      <c r="DV86" s="37"/>
      <c r="DW86" s="37"/>
      <c r="DX86" s="37"/>
      <c r="DY86" s="37"/>
      <c r="DZ86" s="37"/>
      <c r="EA86" s="37"/>
      <c r="EB86" s="37"/>
      <c r="EC86" s="37"/>
      <c r="ED86" s="37"/>
      <c r="EE86" s="37"/>
      <c r="EF86" s="37"/>
      <c r="EG86" s="37"/>
      <c r="EH86" s="37"/>
      <c r="EI86" s="37"/>
      <c r="EJ86" s="37"/>
      <c r="EK86" s="37"/>
      <c r="EL86" s="37"/>
      <c r="EM86" s="37"/>
      <c r="EN86" s="37"/>
      <c r="EO86" s="37"/>
      <c r="EP86" s="37"/>
      <c r="EQ86" s="37"/>
      <c r="ER86" s="37"/>
      <c r="ES86" s="37"/>
    </row>
    <row r="87" spans="1:16" ht="11.25">
      <c r="A87" s="5" t="s">
        <v>4</v>
      </c>
      <c r="B87" s="6"/>
      <c r="C87" s="6"/>
      <c r="D87" s="7"/>
      <c r="E87" s="7"/>
      <c r="F87" s="7"/>
      <c r="G87" s="7"/>
      <c r="H87" s="7"/>
      <c r="I87" s="7"/>
      <c r="J87" s="35"/>
      <c r="K87" s="7"/>
      <c r="L87" s="7"/>
      <c r="M87" s="7"/>
      <c r="N87" s="7"/>
      <c r="O87" s="7"/>
      <c r="P87" s="7"/>
    </row>
    <row r="88" spans="1:16" ht="33.75">
      <c r="A88" s="8" t="s">
        <v>138</v>
      </c>
      <c r="B88" s="6"/>
      <c r="C88" s="6"/>
      <c r="D88" s="7"/>
      <c r="E88" s="7">
        <v>380000</v>
      </c>
      <c r="F88" s="7">
        <f>E88</f>
        <v>380000</v>
      </c>
      <c r="G88" s="7"/>
      <c r="H88" s="7">
        <f>E88</f>
        <v>380000</v>
      </c>
      <c r="I88" s="7"/>
      <c r="J88" s="7">
        <f aca="true" t="shared" si="7" ref="J88:J94">H88</f>
        <v>380000</v>
      </c>
      <c r="K88" s="7"/>
      <c r="L88" s="7"/>
      <c r="M88" s="7"/>
      <c r="N88" s="7"/>
      <c r="O88" s="7">
        <f>H88</f>
        <v>380000</v>
      </c>
      <c r="P88" s="7">
        <f>O88</f>
        <v>380000</v>
      </c>
    </row>
    <row r="89" spans="1:16" ht="29.25" customHeight="1">
      <c r="A89" s="8" t="s">
        <v>139</v>
      </c>
      <c r="B89" s="6"/>
      <c r="C89" s="6"/>
      <c r="D89" s="7"/>
      <c r="E89" s="7">
        <v>76000</v>
      </c>
      <c r="F89" s="7">
        <f>E89</f>
        <v>76000</v>
      </c>
      <c r="G89" s="7"/>
      <c r="H89" s="7">
        <f>E89</f>
        <v>76000</v>
      </c>
      <c r="I89" s="7"/>
      <c r="J89" s="7">
        <f>H89</f>
        <v>76000</v>
      </c>
      <c r="K89" s="7"/>
      <c r="L89" s="7"/>
      <c r="M89" s="7"/>
      <c r="N89" s="7"/>
      <c r="O89" s="7">
        <f>H89</f>
        <v>76000</v>
      </c>
      <c r="P89" s="7">
        <f>O89</f>
        <v>76000</v>
      </c>
    </row>
    <row r="90" spans="1:16" ht="11.25">
      <c r="A90" s="5" t="s">
        <v>5</v>
      </c>
      <c r="B90" s="6"/>
      <c r="C90" s="6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</row>
    <row r="91" spans="1:16" ht="34.5" customHeight="1">
      <c r="A91" s="8" t="s">
        <v>140</v>
      </c>
      <c r="B91" s="6"/>
      <c r="C91" s="6"/>
      <c r="D91" s="7"/>
      <c r="E91" s="7">
        <v>103950</v>
      </c>
      <c r="F91" s="7">
        <f>E91</f>
        <v>103950</v>
      </c>
      <c r="G91" s="7"/>
      <c r="H91" s="7">
        <v>103903</v>
      </c>
      <c r="I91" s="7"/>
      <c r="J91" s="7">
        <f t="shared" si="7"/>
        <v>103903</v>
      </c>
      <c r="K91" s="7"/>
      <c r="L91" s="7"/>
      <c r="M91" s="7"/>
      <c r="N91" s="7"/>
      <c r="O91" s="7">
        <v>93742.96</v>
      </c>
      <c r="P91" s="7">
        <f>O91</f>
        <v>93742.96</v>
      </c>
    </row>
    <row r="92" spans="1:16" ht="26.25" customHeight="1">
      <c r="A92" s="8" t="s">
        <v>141</v>
      </c>
      <c r="B92" s="6"/>
      <c r="C92" s="6"/>
      <c r="D92" s="7"/>
      <c r="E92" s="7">
        <v>50000</v>
      </c>
      <c r="F92" s="7">
        <f>E92</f>
        <v>50000</v>
      </c>
      <c r="G92" s="7"/>
      <c r="H92" s="7">
        <f>58823.5294117+1960.785</f>
        <v>60784.314411700005</v>
      </c>
      <c r="I92" s="7"/>
      <c r="J92" s="7">
        <f>H92</f>
        <v>60784.314411700005</v>
      </c>
      <c r="K92" s="7"/>
      <c r="L92" s="7"/>
      <c r="M92" s="7"/>
      <c r="N92" s="7"/>
      <c r="O92" s="7">
        <f>66037.735849+16367.925</f>
        <v>82405.660849</v>
      </c>
      <c r="P92" s="7">
        <f>O92</f>
        <v>82405.660849</v>
      </c>
    </row>
    <row r="93" spans="1:16" ht="11.25">
      <c r="A93" s="5" t="s">
        <v>7</v>
      </c>
      <c r="B93" s="6"/>
      <c r="C93" s="6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</row>
    <row r="94" spans="1:16" ht="22.5" customHeight="1">
      <c r="A94" s="8" t="s">
        <v>144</v>
      </c>
      <c r="B94" s="6"/>
      <c r="C94" s="6"/>
      <c r="D94" s="7"/>
      <c r="E94" s="7">
        <v>962.000962</v>
      </c>
      <c r="F94" s="7">
        <f>E94</f>
        <v>962.000962</v>
      </c>
      <c r="G94" s="7"/>
      <c r="H94" s="7">
        <v>1073.00077957</v>
      </c>
      <c r="I94" s="7"/>
      <c r="J94" s="7">
        <f t="shared" si="7"/>
        <v>1073.00077957</v>
      </c>
      <c r="K94" s="7"/>
      <c r="L94" s="7"/>
      <c r="M94" s="7"/>
      <c r="N94" s="7"/>
      <c r="O94" s="7">
        <v>1127.99938424</v>
      </c>
      <c r="P94" s="7">
        <f>O94</f>
        <v>1127.99938424</v>
      </c>
    </row>
    <row r="95" spans="1:16" ht="22.5" customHeight="1">
      <c r="A95" s="8" t="s">
        <v>145</v>
      </c>
      <c r="B95" s="6"/>
      <c r="C95" s="6"/>
      <c r="D95" s="7"/>
      <c r="E95" s="7">
        <v>500</v>
      </c>
      <c r="F95" s="7">
        <f>E95</f>
        <v>500</v>
      </c>
      <c r="G95" s="7"/>
      <c r="H95" s="7">
        <v>510</v>
      </c>
      <c r="I95" s="7"/>
      <c r="J95" s="7">
        <f>H95</f>
        <v>510</v>
      </c>
      <c r="K95" s="7"/>
      <c r="L95" s="7"/>
      <c r="M95" s="7"/>
      <c r="N95" s="7"/>
      <c r="O95" s="7">
        <v>530</v>
      </c>
      <c r="P95" s="7">
        <f>O95</f>
        <v>530</v>
      </c>
    </row>
    <row r="96" spans="1:16" ht="11.25">
      <c r="A96" s="5" t="s">
        <v>6</v>
      </c>
      <c r="B96" s="6"/>
      <c r="C96" s="6"/>
      <c r="D96" s="7"/>
      <c r="E96" s="7"/>
      <c r="F96" s="7"/>
      <c r="G96" s="7"/>
      <c r="H96" s="7"/>
      <c r="I96" s="7"/>
      <c r="J96" s="35"/>
      <c r="K96" s="7"/>
      <c r="L96" s="7"/>
      <c r="M96" s="7"/>
      <c r="N96" s="7"/>
      <c r="O96" s="7"/>
      <c r="P96" s="7"/>
    </row>
    <row r="97" spans="1:16" ht="38.25" customHeight="1">
      <c r="A97" s="8" t="s">
        <v>142</v>
      </c>
      <c r="B97" s="6"/>
      <c r="C97" s="6"/>
      <c r="D97" s="7"/>
      <c r="E97" s="7">
        <f>E91/E88*100</f>
        <v>27.35526315789474</v>
      </c>
      <c r="F97" s="7">
        <f aca="true" t="shared" si="8" ref="F97:P97">F91/F88*100</f>
        <v>27.35526315789474</v>
      </c>
      <c r="G97" s="7"/>
      <c r="H97" s="7">
        <f t="shared" si="8"/>
        <v>27.342894736842105</v>
      </c>
      <c r="I97" s="7"/>
      <c r="J97" s="7">
        <f t="shared" si="8"/>
        <v>27.342894736842105</v>
      </c>
      <c r="K97" s="7" t="e">
        <f t="shared" si="8"/>
        <v>#DIV/0!</v>
      </c>
      <c r="L97" s="7" t="e">
        <f t="shared" si="8"/>
        <v>#DIV/0!</v>
      </c>
      <c r="M97" s="7" t="e">
        <f t="shared" si="8"/>
        <v>#DIV/0!</v>
      </c>
      <c r="N97" s="7"/>
      <c r="O97" s="7">
        <f t="shared" si="8"/>
        <v>24.669200000000004</v>
      </c>
      <c r="P97" s="7">
        <f t="shared" si="8"/>
        <v>24.669200000000004</v>
      </c>
    </row>
    <row r="98" spans="1:16" ht="38.25" customHeight="1">
      <c r="A98" s="8" t="s">
        <v>143</v>
      </c>
      <c r="B98" s="6"/>
      <c r="C98" s="6"/>
      <c r="D98" s="7"/>
      <c r="E98" s="7">
        <f>E92/E89*100</f>
        <v>65.78947368421053</v>
      </c>
      <c r="F98" s="7">
        <f aca="true" t="shared" si="9" ref="F98:P98">F92/F89*100</f>
        <v>65.78947368421053</v>
      </c>
      <c r="G98" s="7"/>
      <c r="H98" s="7">
        <f t="shared" si="9"/>
        <v>79.97936106802632</v>
      </c>
      <c r="I98" s="7"/>
      <c r="J98" s="7">
        <f t="shared" si="9"/>
        <v>79.97936106802632</v>
      </c>
      <c r="K98" s="7" t="e">
        <f t="shared" si="9"/>
        <v>#DIV/0!</v>
      </c>
      <c r="L98" s="7" t="e">
        <f t="shared" si="9"/>
        <v>#DIV/0!</v>
      </c>
      <c r="M98" s="7" t="e">
        <f t="shared" si="9"/>
        <v>#DIV/0!</v>
      </c>
      <c r="N98" s="7"/>
      <c r="O98" s="7">
        <f t="shared" si="9"/>
        <v>108.42850111710527</v>
      </c>
      <c r="P98" s="7">
        <f t="shared" si="9"/>
        <v>108.42850111710527</v>
      </c>
    </row>
    <row r="99" spans="1:149" s="38" customFormat="1" ht="33.75">
      <c r="A99" s="33" t="s">
        <v>369</v>
      </c>
      <c r="B99" s="34"/>
      <c r="C99" s="34"/>
      <c r="D99" s="35">
        <f>D101</f>
        <v>400000</v>
      </c>
      <c r="E99" s="35"/>
      <c r="F99" s="35">
        <f>D99</f>
        <v>400000</v>
      </c>
      <c r="G99" s="35">
        <f>G101</f>
        <v>950000</v>
      </c>
      <c r="H99" s="35"/>
      <c r="I99" s="35"/>
      <c r="J99" s="35">
        <f>G99</f>
        <v>950000</v>
      </c>
      <c r="K99" s="35"/>
      <c r="L99" s="35"/>
      <c r="M99" s="35"/>
      <c r="N99" s="35">
        <f>N105*N103</f>
        <v>500000</v>
      </c>
      <c r="O99" s="35"/>
      <c r="P99" s="35">
        <f>N99+O99</f>
        <v>500000</v>
      </c>
      <c r="Q99" s="37"/>
      <c r="R99" s="37"/>
      <c r="S99" s="37"/>
      <c r="T99" s="37"/>
      <c r="U99" s="37"/>
      <c r="V99" s="37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  <c r="AP99" s="37"/>
      <c r="AQ99" s="37"/>
      <c r="AR99" s="37"/>
      <c r="AS99" s="37"/>
      <c r="AT99" s="37"/>
      <c r="AU99" s="37"/>
      <c r="AV99" s="37"/>
      <c r="AW99" s="37"/>
      <c r="AX99" s="37"/>
      <c r="AY99" s="37"/>
      <c r="AZ99" s="37"/>
      <c r="BA99" s="37"/>
      <c r="BB99" s="37"/>
      <c r="BC99" s="37"/>
      <c r="BD99" s="37"/>
      <c r="BE99" s="37"/>
      <c r="BF99" s="37"/>
      <c r="BG99" s="37"/>
      <c r="BH99" s="37"/>
      <c r="BI99" s="37"/>
      <c r="BJ99" s="37"/>
      <c r="BK99" s="37"/>
      <c r="BL99" s="37"/>
      <c r="BM99" s="37"/>
      <c r="BN99" s="37"/>
      <c r="BO99" s="37"/>
      <c r="BP99" s="37"/>
      <c r="BQ99" s="37"/>
      <c r="BR99" s="37"/>
      <c r="BS99" s="37"/>
      <c r="BT99" s="37"/>
      <c r="BU99" s="37"/>
      <c r="BV99" s="37"/>
      <c r="BW99" s="37"/>
      <c r="BX99" s="37"/>
      <c r="BY99" s="37"/>
      <c r="BZ99" s="37"/>
      <c r="CA99" s="37"/>
      <c r="CB99" s="37"/>
      <c r="CC99" s="37"/>
      <c r="CD99" s="37"/>
      <c r="CE99" s="37"/>
      <c r="CF99" s="37"/>
      <c r="CG99" s="37"/>
      <c r="CH99" s="37"/>
      <c r="CI99" s="37"/>
      <c r="CJ99" s="37"/>
      <c r="CK99" s="37"/>
      <c r="CL99" s="37"/>
      <c r="CM99" s="37"/>
      <c r="CN99" s="37"/>
      <c r="CO99" s="37"/>
      <c r="CP99" s="37"/>
      <c r="CQ99" s="37"/>
      <c r="CR99" s="37"/>
      <c r="CS99" s="37"/>
      <c r="CT99" s="37"/>
      <c r="CU99" s="37"/>
      <c r="CV99" s="37"/>
      <c r="CW99" s="37"/>
      <c r="CX99" s="37"/>
      <c r="CY99" s="37"/>
      <c r="CZ99" s="37"/>
      <c r="DA99" s="37"/>
      <c r="DB99" s="37"/>
      <c r="DC99" s="37"/>
      <c r="DD99" s="37"/>
      <c r="DE99" s="37"/>
      <c r="DF99" s="37"/>
      <c r="DG99" s="37"/>
      <c r="DH99" s="37"/>
      <c r="DI99" s="37"/>
      <c r="DJ99" s="37"/>
      <c r="DK99" s="37"/>
      <c r="DL99" s="37"/>
      <c r="DM99" s="37"/>
      <c r="DN99" s="37"/>
      <c r="DO99" s="37"/>
      <c r="DP99" s="37"/>
      <c r="DQ99" s="37"/>
      <c r="DR99" s="37"/>
      <c r="DS99" s="37"/>
      <c r="DT99" s="37"/>
      <c r="DU99" s="37"/>
      <c r="DV99" s="37"/>
      <c r="DW99" s="37"/>
      <c r="DX99" s="37"/>
      <c r="DY99" s="37"/>
      <c r="DZ99" s="37"/>
      <c r="EA99" s="37"/>
      <c r="EB99" s="37"/>
      <c r="EC99" s="37"/>
      <c r="ED99" s="37"/>
      <c r="EE99" s="37"/>
      <c r="EF99" s="37"/>
      <c r="EG99" s="37"/>
      <c r="EH99" s="37"/>
      <c r="EI99" s="37"/>
      <c r="EJ99" s="37"/>
      <c r="EK99" s="37"/>
      <c r="EL99" s="37"/>
      <c r="EM99" s="37"/>
      <c r="EN99" s="37"/>
      <c r="EO99" s="37"/>
      <c r="EP99" s="37"/>
      <c r="EQ99" s="37"/>
      <c r="ER99" s="37"/>
      <c r="ES99" s="37"/>
    </row>
    <row r="100" spans="1:16" ht="11.25">
      <c r="A100" s="5" t="s">
        <v>4</v>
      </c>
      <c r="B100" s="6"/>
      <c r="C100" s="6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</row>
    <row r="101" spans="1:16" ht="27" customHeight="1">
      <c r="A101" s="8" t="s">
        <v>157</v>
      </c>
      <c r="B101" s="6"/>
      <c r="C101" s="6"/>
      <c r="D101" s="7">
        <v>400000</v>
      </c>
      <c r="E101" s="7"/>
      <c r="F101" s="7">
        <f>D101</f>
        <v>400000</v>
      </c>
      <c r="G101" s="7">
        <f>400000+550000</f>
        <v>950000</v>
      </c>
      <c r="H101" s="7"/>
      <c r="I101" s="7"/>
      <c r="J101" s="7">
        <f>G101</f>
        <v>950000</v>
      </c>
      <c r="K101" s="7"/>
      <c r="L101" s="7"/>
      <c r="M101" s="7"/>
      <c r="N101" s="7">
        <v>500000</v>
      </c>
      <c r="O101" s="7"/>
      <c r="P101" s="7">
        <f>N101+O101</f>
        <v>500000</v>
      </c>
    </row>
    <row r="102" spans="1:16" ht="11.25">
      <c r="A102" s="5" t="s">
        <v>5</v>
      </c>
      <c r="B102" s="6"/>
      <c r="C102" s="6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</row>
    <row r="103" spans="1:16" ht="25.5" customHeight="1">
      <c r="A103" s="8" t="s">
        <v>158</v>
      </c>
      <c r="B103" s="6"/>
      <c r="C103" s="6"/>
      <c r="D103" s="7">
        <v>2</v>
      </c>
      <c r="E103" s="7"/>
      <c r="F103" s="7">
        <f>D103</f>
        <v>2</v>
      </c>
      <c r="G103" s="7">
        <v>3</v>
      </c>
      <c r="H103" s="7"/>
      <c r="I103" s="7"/>
      <c r="J103" s="7">
        <f>G103</f>
        <v>3</v>
      </c>
      <c r="K103" s="7"/>
      <c r="L103" s="7"/>
      <c r="M103" s="7"/>
      <c r="N103" s="7">
        <v>2</v>
      </c>
      <c r="O103" s="7"/>
      <c r="P103" s="7">
        <f>N103+O103</f>
        <v>2</v>
      </c>
    </row>
    <row r="104" spans="1:16" ht="11.25">
      <c r="A104" s="5" t="s">
        <v>7</v>
      </c>
      <c r="B104" s="6"/>
      <c r="C104" s="6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</row>
    <row r="105" spans="1:16" ht="23.25" customHeight="1">
      <c r="A105" s="8" t="s">
        <v>159</v>
      </c>
      <c r="B105" s="6"/>
      <c r="C105" s="6"/>
      <c r="D105" s="7">
        <f>D101/D103</f>
        <v>200000</v>
      </c>
      <c r="E105" s="7"/>
      <c r="F105" s="7">
        <f>D105</f>
        <v>200000</v>
      </c>
      <c r="G105" s="7">
        <f>G101/G103</f>
        <v>316666.6666666667</v>
      </c>
      <c r="H105" s="7"/>
      <c r="I105" s="7"/>
      <c r="J105" s="7">
        <f>G105</f>
        <v>316666.6666666667</v>
      </c>
      <c r="K105" s="7"/>
      <c r="L105" s="7"/>
      <c r="M105" s="7"/>
      <c r="N105" s="7">
        <f>N101/N103</f>
        <v>250000</v>
      </c>
      <c r="O105" s="7"/>
      <c r="P105" s="7">
        <f>N105+O105</f>
        <v>250000</v>
      </c>
    </row>
    <row r="106" spans="1:149" s="38" customFormat="1" ht="31.5" customHeight="1">
      <c r="A106" s="33" t="s">
        <v>370</v>
      </c>
      <c r="B106" s="34"/>
      <c r="C106" s="34"/>
      <c r="D106" s="35"/>
      <c r="E106" s="35">
        <f>E110*E112</f>
        <v>0</v>
      </c>
      <c r="F106" s="35">
        <f>E106</f>
        <v>0</v>
      </c>
      <c r="G106" s="35"/>
      <c r="H106" s="35">
        <f>H110*H112</f>
        <v>70480</v>
      </c>
      <c r="I106" s="35"/>
      <c r="J106" s="35">
        <f>H106</f>
        <v>70480</v>
      </c>
      <c r="K106" s="35"/>
      <c r="L106" s="35"/>
      <c r="M106" s="35"/>
      <c r="N106" s="35"/>
      <c r="O106" s="35">
        <f>O110*O112</f>
        <v>0</v>
      </c>
      <c r="P106" s="35">
        <f>O106</f>
        <v>0</v>
      </c>
      <c r="Q106" s="37"/>
      <c r="R106" s="37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  <c r="AF106" s="37"/>
      <c r="AG106" s="37"/>
      <c r="AH106" s="37"/>
      <c r="AI106" s="37"/>
      <c r="AJ106" s="37"/>
      <c r="AK106" s="37"/>
      <c r="AL106" s="37"/>
      <c r="AM106" s="37"/>
      <c r="AN106" s="37"/>
      <c r="AO106" s="37"/>
      <c r="AP106" s="37"/>
      <c r="AQ106" s="37"/>
      <c r="AR106" s="37"/>
      <c r="AS106" s="37"/>
      <c r="AT106" s="37"/>
      <c r="AU106" s="37"/>
      <c r="AV106" s="37"/>
      <c r="AW106" s="37"/>
      <c r="AX106" s="37"/>
      <c r="AY106" s="37"/>
      <c r="AZ106" s="37"/>
      <c r="BA106" s="37"/>
      <c r="BB106" s="37"/>
      <c r="BC106" s="37"/>
      <c r="BD106" s="37"/>
      <c r="BE106" s="37"/>
      <c r="BF106" s="37"/>
      <c r="BG106" s="37"/>
      <c r="BH106" s="37"/>
      <c r="BI106" s="37"/>
      <c r="BJ106" s="37"/>
      <c r="BK106" s="37"/>
      <c r="BL106" s="37"/>
      <c r="BM106" s="37"/>
      <c r="BN106" s="37"/>
      <c r="BO106" s="37"/>
      <c r="BP106" s="37"/>
      <c r="BQ106" s="37"/>
      <c r="BR106" s="37"/>
      <c r="BS106" s="37"/>
      <c r="BT106" s="37"/>
      <c r="BU106" s="37"/>
      <c r="BV106" s="37"/>
      <c r="BW106" s="37"/>
      <c r="BX106" s="37"/>
      <c r="BY106" s="37"/>
      <c r="BZ106" s="37"/>
      <c r="CA106" s="37"/>
      <c r="CB106" s="37"/>
      <c r="CC106" s="37"/>
      <c r="CD106" s="37"/>
      <c r="CE106" s="37"/>
      <c r="CF106" s="37"/>
      <c r="CG106" s="37"/>
      <c r="CH106" s="37"/>
      <c r="CI106" s="37"/>
      <c r="CJ106" s="37"/>
      <c r="CK106" s="37"/>
      <c r="CL106" s="37"/>
      <c r="CM106" s="37"/>
      <c r="CN106" s="37"/>
      <c r="CO106" s="37"/>
      <c r="CP106" s="37"/>
      <c r="CQ106" s="37"/>
      <c r="CR106" s="37"/>
      <c r="CS106" s="37"/>
      <c r="CT106" s="37"/>
      <c r="CU106" s="37"/>
      <c r="CV106" s="37"/>
      <c r="CW106" s="37"/>
      <c r="CX106" s="37"/>
      <c r="CY106" s="37"/>
      <c r="CZ106" s="37"/>
      <c r="DA106" s="37"/>
      <c r="DB106" s="37"/>
      <c r="DC106" s="37"/>
      <c r="DD106" s="37"/>
      <c r="DE106" s="37"/>
      <c r="DF106" s="37"/>
      <c r="DG106" s="37"/>
      <c r="DH106" s="37"/>
      <c r="DI106" s="37"/>
      <c r="DJ106" s="37"/>
      <c r="DK106" s="37"/>
      <c r="DL106" s="37"/>
      <c r="DM106" s="37"/>
      <c r="DN106" s="37"/>
      <c r="DO106" s="37"/>
      <c r="DP106" s="37"/>
      <c r="DQ106" s="37"/>
      <c r="DR106" s="37"/>
      <c r="DS106" s="37"/>
      <c r="DT106" s="37"/>
      <c r="DU106" s="37"/>
      <c r="DV106" s="37"/>
      <c r="DW106" s="37"/>
      <c r="DX106" s="37"/>
      <c r="DY106" s="37"/>
      <c r="DZ106" s="37"/>
      <c r="EA106" s="37"/>
      <c r="EB106" s="37"/>
      <c r="EC106" s="37"/>
      <c r="ED106" s="37"/>
      <c r="EE106" s="37"/>
      <c r="EF106" s="37"/>
      <c r="EG106" s="37"/>
      <c r="EH106" s="37"/>
      <c r="EI106" s="37"/>
      <c r="EJ106" s="37"/>
      <c r="EK106" s="37"/>
      <c r="EL106" s="37"/>
      <c r="EM106" s="37"/>
      <c r="EN106" s="37"/>
      <c r="EO106" s="37"/>
      <c r="EP106" s="37"/>
      <c r="EQ106" s="37"/>
      <c r="ER106" s="37"/>
      <c r="ES106" s="37"/>
    </row>
    <row r="107" spans="1:16" ht="11.25">
      <c r="A107" s="5" t="s">
        <v>4</v>
      </c>
      <c r="B107" s="6"/>
      <c r="C107" s="6"/>
      <c r="D107" s="7"/>
      <c r="E107" s="7"/>
      <c r="F107" s="7"/>
      <c r="G107" s="7"/>
      <c r="H107" s="7"/>
      <c r="I107" s="7"/>
      <c r="J107" s="35"/>
      <c r="K107" s="7"/>
      <c r="L107" s="7"/>
      <c r="M107" s="7"/>
      <c r="N107" s="7"/>
      <c r="O107" s="7"/>
      <c r="P107" s="7"/>
    </row>
    <row r="108" spans="1:16" ht="20.25" customHeight="1">
      <c r="A108" s="8" t="s">
        <v>318</v>
      </c>
      <c r="B108" s="6"/>
      <c r="C108" s="6"/>
      <c r="D108" s="7"/>
      <c r="E108" s="7">
        <f>73400-73400</f>
        <v>0</v>
      </c>
      <c r="F108" s="35">
        <f>E108</f>
        <v>0</v>
      </c>
      <c r="G108" s="7"/>
      <c r="H108" s="7">
        <f>0+70480</f>
        <v>70480</v>
      </c>
      <c r="I108" s="7"/>
      <c r="J108" s="35">
        <f>H108</f>
        <v>70480</v>
      </c>
      <c r="K108" s="7"/>
      <c r="L108" s="7"/>
      <c r="M108" s="7"/>
      <c r="N108" s="7"/>
      <c r="O108" s="7">
        <v>0</v>
      </c>
      <c r="P108" s="35">
        <f>O108</f>
        <v>0</v>
      </c>
    </row>
    <row r="109" spans="1:16" ht="11.25">
      <c r="A109" s="5" t="s">
        <v>5</v>
      </c>
      <c r="B109" s="6"/>
      <c r="C109" s="6"/>
      <c r="D109" s="7"/>
      <c r="E109" s="7"/>
      <c r="F109" s="35"/>
      <c r="G109" s="7"/>
      <c r="H109" s="7"/>
      <c r="I109" s="7"/>
      <c r="J109" s="35"/>
      <c r="K109" s="7"/>
      <c r="L109" s="7"/>
      <c r="M109" s="7"/>
      <c r="N109" s="7"/>
      <c r="O109" s="7"/>
      <c r="P109" s="35"/>
    </row>
    <row r="110" spans="1:16" ht="21" customHeight="1">
      <c r="A110" s="8" t="s">
        <v>319</v>
      </c>
      <c r="B110" s="6"/>
      <c r="C110" s="6"/>
      <c r="D110" s="7"/>
      <c r="E110" s="7">
        <f>1-1</f>
        <v>0</v>
      </c>
      <c r="F110" s="35">
        <f>E110</f>
        <v>0</v>
      </c>
      <c r="G110" s="7"/>
      <c r="H110" s="7">
        <f>0+1</f>
        <v>1</v>
      </c>
      <c r="I110" s="7"/>
      <c r="J110" s="35">
        <f>H110</f>
        <v>1</v>
      </c>
      <c r="K110" s="7"/>
      <c r="L110" s="7"/>
      <c r="M110" s="7"/>
      <c r="N110" s="7"/>
      <c r="O110" s="7">
        <v>0</v>
      </c>
      <c r="P110" s="35">
        <f>O110</f>
        <v>0</v>
      </c>
    </row>
    <row r="111" spans="1:16" ht="11.25">
      <c r="A111" s="5" t="s">
        <v>7</v>
      </c>
      <c r="B111" s="6"/>
      <c r="C111" s="6"/>
      <c r="D111" s="7"/>
      <c r="E111" s="7"/>
      <c r="F111" s="35"/>
      <c r="G111" s="7"/>
      <c r="H111" s="7"/>
      <c r="I111" s="7"/>
      <c r="J111" s="35"/>
      <c r="K111" s="7"/>
      <c r="L111" s="7"/>
      <c r="M111" s="7"/>
      <c r="N111" s="7"/>
      <c r="O111" s="7"/>
      <c r="P111" s="35"/>
    </row>
    <row r="112" spans="1:16" ht="27" customHeight="1">
      <c r="A112" s="8" t="s">
        <v>320</v>
      </c>
      <c r="B112" s="6"/>
      <c r="C112" s="6"/>
      <c r="D112" s="7"/>
      <c r="E112" s="7">
        <f>73400-73400</f>
        <v>0</v>
      </c>
      <c r="F112" s="35">
        <f>E112</f>
        <v>0</v>
      </c>
      <c r="G112" s="7"/>
      <c r="H112" s="7">
        <f>0+70480</f>
        <v>70480</v>
      </c>
      <c r="I112" s="7"/>
      <c r="J112" s="35">
        <f>H112</f>
        <v>70480</v>
      </c>
      <c r="K112" s="35">
        <f aca="true" t="shared" si="10" ref="K112:P112">I112</f>
        <v>0</v>
      </c>
      <c r="L112" s="35">
        <f t="shared" si="10"/>
        <v>70480</v>
      </c>
      <c r="M112" s="35">
        <f t="shared" si="10"/>
        <v>0</v>
      </c>
      <c r="N112" s="35"/>
      <c r="O112" s="35">
        <f>M112</f>
        <v>0</v>
      </c>
      <c r="P112" s="35">
        <f t="shared" si="10"/>
        <v>0</v>
      </c>
    </row>
    <row r="113" spans="1:149" s="172" customFormat="1" ht="48" customHeight="1">
      <c r="A113" s="168" t="s">
        <v>371</v>
      </c>
      <c r="B113" s="169"/>
      <c r="C113" s="169"/>
      <c r="D113" s="170">
        <f>(D121*D129)+(D122*D130)+(D123*D131)+(D124*D132)+(D125*D133)+(D134*D122*D135)-10</f>
        <v>8110000</v>
      </c>
      <c r="E113" s="170">
        <f aca="true" t="shared" si="11" ref="E113:M113">(E121*E129)+(E122*E130)+(E123*E131)+(E124*E132)+(E125*E133)+(E134*E122*E135)</f>
        <v>0</v>
      </c>
      <c r="F113" s="170">
        <f>D113+E113</f>
        <v>8110000</v>
      </c>
      <c r="G113" s="170">
        <f>(G121*G129)+(G122*G130)+(G123*G131)+(G124*G132)+(G125*G133)+(G134*G122*G135)+G126-0.22</f>
        <v>9041700.003999999</v>
      </c>
      <c r="H113" s="170">
        <f t="shared" si="11"/>
        <v>0</v>
      </c>
      <c r="I113" s="170"/>
      <c r="J113" s="170">
        <f>G113+H113</f>
        <v>9041700.003999999</v>
      </c>
      <c r="K113" s="170">
        <f t="shared" si="11"/>
        <v>0</v>
      </c>
      <c r="L113" s="170">
        <f t="shared" si="11"/>
        <v>0</v>
      </c>
      <c r="M113" s="170">
        <f t="shared" si="11"/>
        <v>0</v>
      </c>
      <c r="N113" s="170">
        <f>(N121*N129)+(N122*N130)+(N123*N131)+(N124*N132)+(N125*N133)+(N134*N122*N135)-15.8</f>
        <v>9508300</v>
      </c>
      <c r="O113" s="170">
        <f>(O121*O129)+(O122*O130)+(O123*O131)+(O124*O132)+(O125*O133)+(O134*O122*O135)</f>
        <v>0</v>
      </c>
      <c r="P113" s="170">
        <f>N113+O113</f>
        <v>9508300</v>
      </c>
      <c r="Q113" s="171"/>
      <c r="R113" s="171"/>
      <c r="S113" s="171"/>
      <c r="T113" s="171"/>
      <c r="U113" s="171"/>
      <c r="V113" s="171"/>
      <c r="W113" s="171"/>
      <c r="X113" s="171"/>
      <c r="Y113" s="171"/>
      <c r="Z113" s="171"/>
      <c r="AA113" s="171"/>
      <c r="AB113" s="171"/>
      <c r="AC113" s="171"/>
      <c r="AD113" s="171"/>
      <c r="AE113" s="171"/>
      <c r="AF113" s="171"/>
      <c r="AG113" s="171"/>
      <c r="AH113" s="171"/>
      <c r="AI113" s="171"/>
      <c r="AJ113" s="171"/>
      <c r="AK113" s="171"/>
      <c r="AL113" s="171"/>
      <c r="AM113" s="171"/>
      <c r="AN113" s="171"/>
      <c r="AO113" s="171"/>
      <c r="AP113" s="171"/>
      <c r="AQ113" s="171"/>
      <c r="AR113" s="171"/>
      <c r="AS113" s="171"/>
      <c r="AT113" s="171"/>
      <c r="AU113" s="171"/>
      <c r="AV113" s="171"/>
      <c r="AW113" s="171"/>
      <c r="AX113" s="171"/>
      <c r="AY113" s="171"/>
      <c r="AZ113" s="171"/>
      <c r="BA113" s="171"/>
      <c r="BB113" s="171"/>
      <c r="BC113" s="171"/>
      <c r="BD113" s="171"/>
      <c r="BE113" s="171"/>
      <c r="BF113" s="171"/>
      <c r="BG113" s="171"/>
      <c r="BH113" s="171"/>
      <c r="BI113" s="171"/>
      <c r="BJ113" s="171"/>
      <c r="BK113" s="171"/>
      <c r="BL113" s="171"/>
      <c r="BM113" s="171"/>
      <c r="BN113" s="171"/>
      <c r="BO113" s="171"/>
      <c r="BP113" s="171"/>
      <c r="BQ113" s="171"/>
      <c r="BR113" s="171"/>
      <c r="BS113" s="171"/>
      <c r="BT113" s="171"/>
      <c r="BU113" s="171"/>
      <c r="BV113" s="171"/>
      <c r="BW113" s="171"/>
      <c r="BX113" s="171"/>
      <c r="BY113" s="171"/>
      <c r="BZ113" s="171"/>
      <c r="CA113" s="171"/>
      <c r="CB113" s="171"/>
      <c r="CC113" s="171"/>
      <c r="CD113" s="171"/>
      <c r="CE113" s="171"/>
      <c r="CF113" s="171"/>
      <c r="CG113" s="171"/>
      <c r="CH113" s="171"/>
      <c r="CI113" s="171"/>
      <c r="CJ113" s="171"/>
      <c r="CK113" s="171"/>
      <c r="CL113" s="171"/>
      <c r="CM113" s="171"/>
      <c r="CN113" s="171"/>
      <c r="CO113" s="171"/>
      <c r="CP113" s="171"/>
      <c r="CQ113" s="171"/>
      <c r="CR113" s="171"/>
      <c r="CS113" s="171"/>
      <c r="CT113" s="171"/>
      <c r="CU113" s="171"/>
      <c r="CV113" s="171"/>
      <c r="CW113" s="171"/>
      <c r="CX113" s="171"/>
      <c r="CY113" s="171"/>
      <c r="CZ113" s="171"/>
      <c r="DA113" s="171"/>
      <c r="DB113" s="171"/>
      <c r="DC113" s="171"/>
      <c r="DD113" s="171"/>
      <c r="DE113" s="171"/>
      <c r="DF113" s="171"/>
      <c r="DG113" s="171"/>
      <c r="DH113" s="171"/>
      <c r="DI113" s="171"/>
      <c r="DJ113" s="171"/>
      <c r="DK113" s="171"/>
      <c r="DL113" s="171"/>
      <c r="DM113" s="171"/>
      <c r="DN113" s="171"/>
      <c r="DO113" s="171"/>
      <c r="DP113" s="171"/>
      <c r="DQ113" s="171"/>
      <c r="DR113" s="171"/>
      <c r="DS113" s="171"/>
      <c r="DT113" s="171"/>
      <c r="DU113" s="171"/>
      <c r="DV113" s="171"/>
      <c r="DW113" s="171"/>
      <c r="DX113" s="171"/>
      <c r="DY113" s="171"/>
      <c r="DZ113" s="171"/>
      <c r="EA113" s="171"/>
      <c r="EB113" s="171"/>
      <c r="EC113" s="171"/>
      <c r="ED113" s="171"/>
      <c r="EE113" s="171"/>
      <c r="EF113" s="171"/>
      <c r="EG113" s="171"/>
      <c r="EH113" s="171"/>
      <c r="EI113" s="171"/>
      <c r="EJ113" s="171"/>
      <c r="EK113" s="171"/>
      <c r="EL113" s="171"/>
      <c r="EM113" s="171"/>
      <c r="EN113" s="171"/>
      <c r="EO113" s="171"/>
      <c r="EP113" s="171"/>
      <c r="EQ113" s="171"/>
      <c r="ER113" s="171"/>
      <c r="ES113" s="171"/>
    </row>
    <row r="114" spans="1:16" ht="11.25">
      <c r="A114" s="5" t="s">
        <v>4</v>
      </c>
      <c r="B114" s="36"/>
      <c r="C114" s="36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</row>
    <row r="115" spans="1:16" ht="11.25">
      <c r="A115" s="8" t="s">
        <v>61</v>
      </c>
      <c r="B115" s="6"/>
      <c r="C115" s="6"/>
      <c r="D115" s="7">
        <v>60</v>
      </c>
      <c r="E115" s="7"/>
      <c r="F115" s="7">
        <f>D115</f>
        <v>60</v>
      </c>
      <c r="G115" s="7">
        <v>62</v>
      </c>
      <c r="H115" s="7"/>
      <c r="I115" s="7"/>
      <c r="J115" s="7">
        <f>G115</f>
        <v>62</v>
      </c>
      <c r="K115" s="7"/>
      <c r="L115" s="7"/>
      <c r="M115" s="7"/>
      <c r="N115" s="7">
        <v>67</v>
      </c>
      <c r="O115" s="7"/>
      <c r="P115" s="7">
        <f>N115</f>
        <v>67</v>
      </c>
    </row>
    <row r="116" spans="1:16" ht="11.25">
      <c r="A116" s="8" t="s">
        <v>8</v>
      </c>
      <c r="B116" s="6"/>
      <c r="C116" s="6"/>
      <c r="D116" s="7">
        <v>37000</v>
      </c>
      <c r="E116" s="7"/>
      <c r="F116" s="7">
        <f>D116</f>
        <v>37000</v>
      </c>
      <c r="G116" s="7">
        <v>37400</v>
      </c>
      <c r="H116" s="7"/>
      <c r="I116" s="7"/>
      <c r="J116" s="7">
        <f>G116</f>
        <v>37400</v>
      </c>
      <c r="K116" s="7"/>
      <c r="L116" s="7"/>
      <c r="M116" s="7"/>
      <c r="N116" s="7">
        <v>37400</v>
      </c>
      <c r="O116" s="7"/>
      <c r="P116" s="7">
        <f>N116</f>
        <v>37400</v>
      </c>
    </row>
    <row r="117" spans="1:16" ht="33.75">
      <c r="A117" s="8" t="s">
        <v>67</v>
      </c>
      <c r="B117" s="6"/>
      <c r="C117" s="6"/>
      <c r="D117" s="7">
        <v>37400</v>
      </c>
      <c r="E117" s="7"/>
      <c r="F117" s="7">
        <f>D117</f>
        <v>37400</v>
      </c>
      <c r="G117" s="7">
        <v>37400</v>
      </c>
      <c r="H117" s="7"/>
      <c r="I117" s="7"/>
      <c r="J117" s="7">
        <f>G117</f>
        <v>37400</v>
      </c>
      <c r="K117" s="7"/>
      <c r="L117" s="7"/>
      <c r="M117" s="7"/>
      <c r="N117" s="7">
        <v>37400</v>
      </c>
      <c r="O117" s="7"/>
      <c r="P117" s="7">
        <f>N117</f>
        <v>37400</v>
      </c>
    </row>
    <row r="118" spans="1:16" ht="22.5">
      <c r="A118" s="8" t="s">
        <v>44</v>
      </c>
      <c r="B118" s="6"/>
      <c r="C118" s="6"/>
      <c r="D118" s="7">
        <v>0</v>
      </c>
      <c r="E118" s="7"/>
      <c r="F118" s="7">
        <f>D118</f>
        <v>0</v>
      </c>
      <c r="G118" s="7">
        <v>0</v>
      </c>
      <c r="H118" s="7"/>
      <c r="I118" s="7"/>
      <c r="J118" s="7">
        <f>G118</f>
        <v>0</v>
      </c>
      <c r="K118" s="7"/>
      <c r="L118" s="7"/>
      <c r="M118" s="7"/>
      <c r="N118" s="7">
        <v>0</v>
      </c>
      <c r="O118" s="7"/>
      <c r="P118" s="7">
        <f>N118</f>
        <v>0</v>
      </c>
    </row>
    <row r="119" spans="1:155" s="25" customFormat="1" ht="12" customHeight="1">
      <c r="A119" s="5" t="s">
        <v>5</v>
      </c>
      <c r="B119" s="36"/>
      <c r="C119" s="36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ET119" s="52"/>
      <c r="EU119" s="52"/>
      <c r="EV119" s="52"/>
      <c r="EW119" s="52"/>
      <c r="EX119" s="52"/>
      <c r="EY119" s="52"/>
    </row>
    <row r="120" spans="1:155" s="25" customFormat="1" ht="22.5">
      <c r="A120" s="8" t="s">
        <v>14</v>
      </c>
      <c r="B120" s="6"/>
      <c r="C120" s="6"/>
      <c r="D120" s="7">
        <v>2</v>
      </c>
      <c r="E120" s="7"/>
      <c r="F120" s="7">
        <f>D120</f>
        <v>2</v>
      </c>
      <c r="G120" s="7">
        <v>2</v>
      </c>
      <c r="H120" s="7"/>
      <c r="I120" s="7"/>
      <c r="J120" s="7">
        <f>G120</f>
        <v>2</v>
      </c>
      <c r="K120" s="7"/>
      <c r="L120" s="7"/>
      <c r="M120" s="7"/>
      <c r="N120" s="7">
        <v>5</v>
      </c>
      <c r="O120" s="7"/>
      <c r="P120" s="7">
        <f>N120</f>
        <v>5</v>
      </c>
      <c r="ET120" s="52"/>
      <c r="EU120" s="52"/>
      <c r="EV120" s="52"/>
      <c r="EW120" s="52"/>
      <c r="EX120" s="52"/>
      <c r="EY120" s="52"/>
    </row>
    <row r="121" spans="1:155" s="25" customFormat="1" ht="27.75" customHeight="1">
      <c r="A121" s="8" t="s">
        <v>62</v>
      </c>
      <c r="B121" s="6"/>
      <c r="C121" s="36"/>
      <c r="D121" s="7"/>
      <c r="E121" s="7">
        <v>0</v>
      </c>
      <c r="F121" s="7">
        <f>E121</f>
        <v>0</v>
      </c>
      <c r="G121" s="7"/>
      <c r="H121" s="7">
        <v>0</v>
      </c>
      <c r="I121" s="7"/>
      <c r="J121" s="7">
        <v>0</v>
      </c>
      <c r="K121" s="7"/>
      <c r="L121" s="7"/>
      <c r="M121" s="7"/>
      <c r="N121" s="7"/>
      <c r="O121" s="7">
        <v>0</v>
      </c>
      <c r="P121" s="7">
        <f>O121</f>
        <v>0</v>
      </c>
      <c r="ET121" s="52"/>
      <c r="EU121" s="52"/>
      <c r="EV121" s="52"/>
      <c r="EW121" s="52"/>
      <c r="EX121" s="52"/>
      <c r="EY121" s="52"/>
    </row>
    <row r="122" spans="1:155" s="25" customFormat="1" ht="27" customHeight="1">
      <c r="A122" s="8" t="s">
        <v>63</v>
      </c>
      <c r="B122" s="6"/>
      <c r="C122" s="36"/>
      <c r="D122" s="7">
        <v>60</v>
      </c>
      <c r="E122" s="7"/>
      <c r="F122" s="7">
        <f>D122</f>
        <v>60</v>
      </c>
      <c r="G122" s="7">
        <v>62</v>
      </c>
      <c r="H122" s="7"/>
      <c r="I122" s="7"/>
      <c r="J122" s="7">
        <f>G122</f>
        <v>62</v>
      </c>
      <c r="K122" s="7"/>
      <c r="L122" s="7"/>
      <c r="M122" s="7"/>
      <c r="N122" s="7">
        <v>67</v>
      </c>
      <c r="O122" s="7"/>
      <c r="P122" s="7">
        <f>N122</f>
        <v>67</v>
      </c>
      <c r="ET122" s="52"/>
      <c r="EU122" s="52"/>
      <c r="EV122" s="52"/>
      <c r="EW122" s="52"/>
      <c r="EX122" s="52"/>
      <c r="EY122" s="52"/>
    </row>
    <row r="123" spans="1:155" s="25" customFormat="1" ht="22.5">
      <c r="A123" s="8" t="s">
        <v>27</v>
      </c>
      <c r="B123" s="6"/>
      <c r="C123" s="36"/>
      <c r="D123" s="7">
        <v>300</v>
      </c>
      <c r="E123" s="7"/>
      <c r="F123" s="7">
        <f>D123</f>
        <v>300</v>
      </c>
      <c r="G123" s="7">
        <v>300</v>
      </c>
      <c r="H123" s="7"/>
      <c r="I123" s="7"/>
      <c r="J123" s="7">
        <f>G123</f>
        <v>300</v>
      </c>
      <c r="K123" s="7"/>
      <c r="L123" s="7"/>
      <c r="M123" s="7"/>
      <c r="N123" s="7">
        <v>300</v>
      </c>
      <c r="O123" s="7"/>
      <c r="P123" s="7">
        <f>N123</f>
        <v>300</v>
      </c>
      <c r="ET123" s="52"/>
      <c r="EU123" s="52"/>
      <c r="EV123" s="52"/>
      <c r="EW123" s="52"/>
      <c r="EX123" s="52"/>
      <c r="EY123" s="52"/>
    </row>
    <row r="124" spans="1:155" s="25" customFormat="1" ht="22.5">
      <c r="A124" s="8" t="s">
        <v>31</v>
      </c>
      <c r="B124" s="6"/>
      <c r="C124" s="36"/>
      <c r="D124" s="7">
        <v>300</v>
      </c>
      <c r="E124" s="7"/>
      <c r="F124" s="7">
        <f>D124</f>
        <v>300</v>
      </c>
      <c r="G124" s="7">
        <v>300</v>
      </c>
      <c r="H124" s="7"/>
      <c r="I124" s="7"/>
      <c r="J124" s="7">
        <f>G124</f>
        <v>300</v>
      </c>
      <c r="K124" s="7"/>
      <c r="L124" s="7"/>
      <c r="M124" s="7"/>
      <c r="N124" s="7">
        <v>300</v>
      </c>
      <c r="O124" s="7"/>
      <c r="P124" s="7">
        <f>N124</f>
        <v>300</v>
      </c>
      <c r="ET124" s="52"/>
      <c r="EU124" s="52"/>
      <c r="EV124" s="52"/>
      <c r="EW124" s="52"/>
      <c r="EX124" s="52"/>
      <c r="EY124" s="52"/>
    </row>
    <row r="125" spans="1:155" s="25" customFormat="1" ht="22.5">
      <c r="A125" s="8" t="s">
        <v>13</v>
      </c>
      <c r="B125" s="6"/>
      <c r="C125" s="36"/>
      <c r="D125" s="7">
        <v>37400</v>
      </c>
      <c r="E125" s="7"/>
      <c r="F125" s="7">
        <f aca="true" t="shared" si="12" ref="F125:F141">D125</f>
        <v>37400</v>
      </c>
      <c r="G125" s="7">
        <v>37400</v>
      </c>
      <c r="H125" s="7"/>
      <c r="I125" s="7"/>
      <c r="J125" s="7">
        <f>G125</f>
        <v>37400</v>
      </c>
      <c r="K125" s="7"/>
      <c r="L125" s="7"/>
      <c r="M125" s="7"/>
      <c r="N125" s="7">
        <v>37400</v>
      </c>
      <c r="O125" s="7"/>
      <c r="P125" s="7">
        <f>N125</f>
        <v>37400</v>
      </c>
      <c r="ET125" s="52"/>
      <c r="EU125" s="52"/>
      <c r="EV125" s="52"/>
      <c r="EW125" s="52"/>
      <c r="EX125" s="52"/>
      <c r="EY125" s="52"/>
    </row>
    <row r="126" spans="1:155" s="25" customFormat="1" ht="22.5">
      <c r="A126" s="8" t="s">
        <v>400</v>
      </c>
      <c r="B126" s="6"/>
      <c r="C126" s="36"/>
      <c r="D126" s="7">
        <v>0</v>
      </c>
      <c r="E126" s="7">
        <v>0</v>
      </c>
      <c r="F126" s="7">
        <v>0</v>
      </c>
      <c r="G126" s="7">
        <v>105827</v>
      </c>
      <c r="H126" s="7"/>
      <c r="I126" s="7"/>
      <c r="J126" s="7">
        <f>G126</f>
        <v>105827</v>
      </c>
      <c r="K126" s="7"/>
      <c r="L126" s="7"/>
      <c r="M126" s="7"/>
      <c r="N126" s="7"/>
      <c r="O126" s="7"/>
      <c r="P126" s="7"/>
      <c r="ET126" s="52"/>
      <c r="EU126" s="52"/>
      <c r="EV126" s="52"/>
      <c r="EW126" s="52"/>
      <c r="EX126" s="52"/>
      <c r="EY126" s="52"/>
    </row>
    <row r="127" spans="1:155" s="25" customFormat="1" ht="11.25">
      <c r="A127" s="5" t="s">
        <v>7</v>
      </c>
      <c r="B127" s="36"/>
      <c r="C127" s="36"/>
      <c r="D127" s="7"/>
      <c r="E127" s="7"/>
      <c r="F127" s="7">
        <f t="shared" si="12"/>
        <v>0</v>
      </c>
      <c r="G127" s="7"/>
      <c r="H127" s="7"/>
      <c r="I127" s="7"/>
      <c r="J127" s="7"/>
      <c r="K127" s="7"/>
      <c r="L127" s="7"/>
      <c r="M127" s="7"/>
      <c r="N127" s="7"/>
      <c r="O127" s="7"/>
      <c r="P127" s="7"/>
      <c r="ET127" s="52"/>
      <c r="EU127" s="52"/>
      <c r="EV127" s="52"/>
      <c r="EW127" s="52"/>
      <c r="EX127" s="52"/>
      <c r="EY127" s="52"/>
    </row>
    <row r="128" spans="1:155" s="25" customFormat="1" ht="22.5" customHeight="1">
      <c r="A128" s="8" t="s">
        <v>16</v>
      </c>
      <c r="B128" s="6"/>
      <c r="C128" s="6"/>
      <c r="D128" s="7">
        <v>500000</v>
      </c>
      <c r="E128" s="7"/>
      <c r="F128" s="7">
        <f t="shared" si="12"/>
        <v>500000</v>
      </c>
      <c r="G128" s="7">
        <v>557400</v>
      </c>
      <c r="H128" s="7"/>
      <c r="I128" s="7"/>
      <c r="J128" s="7">
        <f>G128</f>
        <v>557400</v>
      </c>
      <c r="K128" s="7"/>
      <c r="L128" s="7"/>
      <c r="M128" s="7"/>
      <c r="N128" s="7">
        <v>586210</v>
      </c>
      <c r="O128" s="7"/>
      <c r="P128" s="7">
        <f>N128</f>
        <v>586210</v>
      </c>
      <c r="ET128" s="52"/>
      <c r="EU128" s="52"/>
      <c r="EV128" s="52"/>
      <c r="EW128" s="52"/>
      <c r="EX128" s="52"/>
      <c r="EY128" s="52"/>
    </row>
    <row r="129" spans="1:155" s="25" customFormat="1" ht="27" customHeight="1">
      <c r="A129" s="8" t="s">
        <v>64</v>
      </c>
      <c r="B129" s="6"/>
      <c r="C129" s="6"/>
      <c r="D129" s="7"/>
      <c r="E129" s="7"/>
      <c r="F129" s="7">
        <f t="shared" si="12"/>
        <v>0</v>
      </c>
      <c r="G129" s="7"/>
      <c r="H129" s="7"/>
      <c r="I129" s="7"/>
      <c r="J129" s="7">
        <f>G129</f>
        <v>0</v>
      </c>
      <c r="K129" s="7"/>
      <c r="L129" s="7"/>
      <c r="M129" s="7"/>
      <c r="N129" s="7"/>
      <c r="O129" s="7"/>
      <c r="P129" s="7">
        <f>N129</f>
        <v>0</v>
      </c>
      <c r="ET129" s="52"/>
      <c r="EU129" s="52"/>
      <c r="EV129" s="52"/>
      <c r="EW129" s="52"/>
      <c r="EX129" s="52"/>
      <c r="EY129" s="52"/>
    </row>
    <row r="130" spans="1:155" s="25" customFormat="1" ht="22.5">
      <c r="A130" s="8" t="s">
        <v>65</v>
      </c>
      <c r="B130" s="6"/>
      <c r="C130" s="6"/>
      <c r="D130" s="7">
        <v>18795</v>
      </c>
      <c r="E130" s="7"/>
      <c r="F130" s="7">
        <f t="shared" si="12"/>
        <v>18795</v>
      </c>
      <c r="G130" s="7">
        <v>24723</v>
      </c>
      <c r="H130" s="7"/>
      <c r="I130" s="7"/>
      <c r="J130" s="7">
        <f aca="true" t="shared" si="13" ref="J130:J135">G130</f>
        <v>24723</v>
      </c>
      <c r="K130" s="7"/>
      <c r="L130" s="7"/>
      <c r="M130" s="7"/>
      <c r="N130" s="7">
        <v>25586</v>
      </c>
      <c r="O130" s="7"/>
      <c r="P130" s="7">
        <f aca="true" t="shared" si="14" ref="P130:P135">N130</f>
        <v>25586</v>
      </c>
      <c r="ET130" s="52"/>
      <c r="EU130" s="52"/>
      <c r="EV130" s="52"/>
      <c r="EW130" s="52"/>
      <c r="EX130" s="52"/>
      <c r="EY130" s="52"/>
    </row>
    <row r="131" spans="1:155" s="25" customFormat="1" ht="27" customHeight="1">
      <c r="A131" s="8" t="s">
        <v>28</v>
      </c>
      <c r="B131" s="6"/>
      <c r="C131" s="6"/>
      <c r="D131" s="7">
        <v>1500</v>
      </c>
      <c r="E131" s="7"/>
      <c r="F131" s="7">
        <f>D131</f>
        <v>1500</v>
      </c>
      <c r="G131" s="7">
        <v>1672</v>
      </c>
      <c r="H131" s="7"/>
      <c r="I131" s="7"/>
      <c r="J131" s="7">
        <f t="shared" si="13"/>
        <v>1672</v>
      </c>
      <c r="K131" s="7"/>
      <c r="L131" s="7"/>
      <c r="M131" s="7"/>
      <c r="N131" s="7">
        <v>1759</v>
      </c>
      <c r="O131" s="7"/>
      <c r="P131" s="7">
        <f t="shared" si="14"/>
        <v>1759</v>
      </c>
      <c r="ET131" s="52"/>
      <c r="EU131" s="52"/>
      <c r="EV131" s="52"/>
      <c r="EW131" s="52"/>
      <c r="EX131" s="52"/>
      <c r="EY131" s="52"/>
    </row>
    <row r="132" spans="1:155" s="25" customFormat="1" ht="27" customHeight="1">
      <c r="A132" s="8" t="s">
        <v>19</v>
      </c>
      <c r="B132" s="6"/>
      <c r="C132" s="6"/>
      <c r="D132" s="7">
        <v>500</v>
      </c>
      <c r="E132" s="7"/>
      <c r="F132" s="7">
        <f t="shared" si="12"/>
        <v>500</v>
      </c>
      <c r="G132" s="7">
        <v>557</v>
      </c>
      <c r="H132" s="7"/>
      <c r="I132" s="7"/>
      <c r="J132" s="7">
        <f t="shared" si="13"/>
        <v>557</v>
      </c>
      <c r="K132" s="7"/>
      <c r="L132" s="7"/>
      <c r="M132" s="7"/>
      <c r="N132" s="7">
        <v>586</v>
      </c>
      <c r="O132" s="7"/>
      <c r="P132" s="7">
        <f t="shared" si="14"/>
        <v>586</v>
      </c>
      <c r="ET132" s="52"/>
      <c r="EU132" s="52"/>
      <c r="EV132" s="52"/>
      <c r="EW132" s="52"/>
      <c r="EX132" s="52"/>
      <c r="EY132" s="52"/>
    </row>
    <row r="133" spans="1:155" s="25" customFormat="1" ht="22.5">
      <c r="A133" s="8" t="s">
        <v>15</v>
      </c>
      <c r="B133" s="6"/>
      <c r="C133" s="6"/>
      <c r="D133" s="7">
        <v>170.65</v>
      </c>
      <c r="E133" s="7"/>
      <c r="F133" s="7">
        <f t="shared" si="12"/>
        <v>170.65</v>
      </c>
      <c r="G133" s="7">
        <v>180.06276</v>
      </c>
      <c r="H133" s="7"/>
      <c r="I133" s="7"/>
      <c r="J133" s="7">
        <f t="shared" si="13"/>
        <v>180.06276</v>
      </c>
      <c r="K133" s="7"/>
      <c r="L133" s="7"/>
      <c r="M133" s="7"/>
      <c r="N133" s="7">
        <v>189.587</v>
      </c>
      <c r="O133" s="7"/>
      <c r="P133" s="7">
        <f t="shared" si="14"/>
        <v>189.587</v>
      </c>
      <c r="ET133" s="52"/>
      <c r="EU133" s="52"/>
      <c r="EV133" s="52"/>
      <c r="EW133" s="52"/>
      <c r="EX133" s="52"/>
      <c r="EY133" s="52"/>
    </row>
    <row r="134" spans="1:155" s="25" customFormat="1" ht="22.5" hidden="1">
      <c r="A134" s="8" t="s">
        <v>45</v>
      </c>
      <c r="B134" s="6"/>
      <c r="C134" s="6"/>
      <c r="D134" s="7"/>
      <c r="E134" s="7"/>
      <c r="F134" s="7">
        <f>D134</f>
        <v>0</v>
      </c>
      <c r="G134" s="7"/>
      <c r="H134" s="7"/>
      <c r="I134" s="7"/>
      <c r="J134" s="7">
        <f t="shared" si="13"/>
        <v>0</v>
      </c>
      <c r="K134" s="7"/>
      <c r="L134" s="7"/>
      <c r="M134" s="7"/>
      <c r="N134" s="7"/>
      <c r="O134" s="7"/>
      <c r="P134" s="7">
        <f t="shared" si="14"/>
        <v>0</v>
      </c>
      <c r="ET134" s="52"/>
      <c r="EU134" s="52"/>
      <c r="EV134" s="52"/>
      <c r="EW134" s="52"/>
      <c r="EX134" s="52"/>
      <c r="EY134" s="52"/>
    </row>
    <row r="135" spans="1:155" s="25" customFormat="1" ht="22.5" hidden="1">
      <c r="A135" s="8" t="s">
        <v>46</v>
      </c>
      <c r="B135" s="6"/>
      <c r="C135" s="6"/>
      <c r="D135" s="7"/>
      <c r="E135" s="7"/>
      <c r="F135" s="7">
        <f>D135</f>
        <v>0</v>
      </c>
      <c r="G135" s="7"/>
      <c r="H135" s="7"/>
      <c r="I135" s="7"/>
      <c r="J135" s="7">
        <f t="shared" si="13"/>
        <v>0</v>
      </c>
      <c r="K135" s="7"/>
      <c r="L135" s="7"/>
      <c r="M135" s="7"/>
      <c r="N135" s="7"/>
      <c r="O135" s="7"/>
      <c r="P135" s="7">
        <f t="shared" si="14"/>
        <v>0</v>
      </c>
      <c r="ET135" s="52"/>
      <c r="EU135" s="52"/>
      <c r="EV135" s="52"/>
      <c r="EW135" s="52"/>
      <c r="EX135" s="52"/>
      <c r="EY135" s="52"/>
    </row>
    <row r="136" spans="1:155" s="25" customFormat="1" ht="11.25">
      <c r="A136" s="5" t="s">
        <v>6</v>
      </c>
      <c r="B136" s="36"/>
      <c r="C136" s="36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ET136" s="52"/>
      <c r="EU136" s="52"/>
      <c r="EV136" s="52"/>
      <c r="EW136" s="52"/>
      <c r="EX136" s="52"/>
      <c r="EY136" s="52"/>
    </row>
    <row r="137" spans="1:155" s="25" customFormat="1" ht="22.5" customHeight="1">
      <c r="A137" s="8" t="s">
        <v>30</v>
      </c>
      <c r="B137" s="6"/>
      <c r="C137" s="6"/>
      <c r="D137" s="7"/>
      <c r="E137" s="7"/>
      <c r="F137" s="7">
        <f t="shared" si="12"/>
        <v>0</v>
      </c>
      <c r="G137" s="7"/>
      <c r="H137" s="7"/>
      <c r="I137" s="7"/>
      <c r="J137" s="7"/>
      <c r="K137" s="7"/>
      <c r="L137" s="7"/>
      <c r="M137" s="7"/>
      <c r="N137" s="7"/>
      <c r="O137" s="7"/>
      <c r="P137" s="7"/>
      <c r="ET137" s="52"/>
      <c r="EU137" s="52"/>
      <c r="EV137" s="52"/>
      <c r="EW137" s="52"/>
      <c r="EX137" s="52"/>
      <c r="EY137" s="52"/>
    </row>
    <row r="138" spans="1:155" s="25" customFormat="1" ht="30.75" customHeight="1">
      <c r="A138" s="8" t="s">
        <v>66</v>
      </c>
      <c r="B138" s="6"/>
      <c r="C138" s="6"/>
      <c r="D138" s="7">
        <v>100</v>
      </c>
      <c r="E138" s="7"/>
      <c r="F138" s="7">
        <f t="shared" si="12"/>
        <v>100</v>
      </c>
      <c r="G138" s="7">
        <v>100</v>
      </c>
      <c r="H138" s="7"/>
      <c r="I138" s="7"/>
      <c r="J138" s="7">
        <v>100</v>
      </c>
      <c r="K138" s="7"/>
      <c r="L138" s="7"/>
      <c r="M138" s="7"/>
      <c r="N138" s="7">
        <v>100</v>
      </c>
      <c r="O138" s="7"/>
      <c r="P138" s="7">
        <v>100</v>
      </c>
      <c r="ET138" s="52"/>
      <c r="EU138" s="52"/>
      <c r="EV138" s="52"/>
      <c r="EW138" s="52"/>
      <c r="EX138" s="52"/>
      <c r="EY138" s="52"/>
    </row>
    <row r="139" spans="1:155" s="25" customFormat="1" ht="22.5" customHeight="1">
      <c r="A139" s="8" t="s">
        <v>32</v>
      </c>
      <c r="B139" s="6"/>
      <c r="C139" s="6"/>
      <c r="D139" s="7"/>
      <c r="E139" s="7"/>
      <c r="F139" s="7">
        <f t="shared" si="12"/>
        <v>0</v>
      </c>
      <c r="G139" s="7"/>
      <c r="H139" s="7"/>
      <c r="I139" s="7"/>
      <c r="J139" s="7"/>
      <c r="K139" s="7"/>
      <c r="L139" s="7"/>
      <c r="M139" s="7"/>
      <c r="N139" s="7"/>
      <c r="O139" s="7"/>
      <c r="P139" s="7"/>
      <c r="ET139" s="52"/>
      <c r="EU139" s="52"/>
      <c r="EV139" s="52"/>
      <c r="EW139" s="52"/>
      <c r="EX139" s="52"/>
      <c r="EY139" s="52"/>
    </row>
    <row r="140" spans="1:155" s="25" customFormat="1" ht="23.25" customHeight="1">
      <c r="A140" s="8" t="s">
        <v>21</v>
      </c>
      <c r="B140" s="6"/>
      <c r="C140" s="6"/>
      <c r="D140" s="7">
        <v>100</v>
      </c>
      <c r="E140" s="7"/>
      <c r="F140" s="7">
        <f t="shared" si="12"/>
        <v>100</v>
      </c>
      <c r="G140" s="7">
        <v>100</v>
      </c>
      <c r="H140" s="7"/>
      <c r="I140" s="7"/>
      <c r="J140" s="7">
        <v>100</v>
      </c>
      <c r="K140" s="7"/>
      <c r="L140" s="7"/>
      <c r="M140" s="7"/>
      <c r="N140" s="7">
        <v>100</v>
      </c>
      <c r="O140" s="7"/>
      <c r="P140" s="7">
        <v>100</v>
      </c>
      <c r="ET140" s="52"/>
      <c r="EU140" s="52"/>
      <c r="EV140" s="52"/>
      <c r="EW140" s="52"/>
      <c r="EX140" s="52"/>
      <c r="EY140" s="52"/>
    </row>
    <row r="141" spans="1:155" s="25" customFormat="1" ht="30" customHeight="1">
      <c r="A141" s="8" t="s">
        <v>37</v>
      </c>
      <c r="B141" s="6"/>
      <c r="C141" s="6"/>
      <c r="D141" s="7">
        <v>100</v>
      </c>
      <c r="E141" s="7"/>
      <c r="F141" s="7">
        <f t="shared" si="12"/>
        <v>100</v>
      </c>
      <c r="G141" s="7">
        <f>G125/G117*100</f>
        <v>100</v>
      </c>
      <c r="H141" s="7"/>
      <c r="I141" s="7"/>
      <c r="J141" s="7">
        <f>J125/J117*100</f>
        <v>100</v>
      </c>
      <c r="K141" s="7"/>
      <c r="L141" s="7"/>
      <c r="M141" s="7"/>
      <c r="N141" s="7">
        <f>N125/N117*100</f>
        <v>100</v>
      </c>
      <c r="O141" s="7"/>
      <c r="P141" s="7">
        <f>P125/P117*100</f>
        <v>100</v>
      </c>
      <c r="ET141" s="52"/>
      <c r="EU141" s="52"/>
      <c r="EV141" s="52"/>
      <c r="EW141" s="52"/>
      <c r="EX141" s="52"/>
      <c r="EY141" s="52"/>
    </row>
    <row r="142" spans="1:155" s="37" customFormat="1" ht="25.5" customHeight="1">
      <c r="A142" s="33" t="s">
        <v>372</v>
      </c>
      <c r="B142" s="34"/>
      <c r="C142" s="34"/>
      <c r="D142" s="35">
        <f>(D153*D159)+(D154*D160)+(D156*D162)+(D155*D161)+(D157*D163)+0.01+750000+190000</f>
        <v>40940000.002</v>
      </c>
      <c r="E142" s="35">
        <f>(E153*E159)+(E154*E160)+(E156*E162)+(E155*E161)+(E157*E163)</f>
        <v>14999999.99976</v>
      </c>
      <c r="F142" s="35">
        <f>D142+E142</f>
        <v>55940000.00176</v>
      </c>
      <c r="G142" s="35">
        <f>(G153*G159)+(G154*G160)+(G156*G162)+(G155*G161)+(G157*G163)-0.24-1500-84000-96000</f>
        <v>38935366.67961999</v>
      </c>
      <c r="H142" s="35">
        <f>(H153*H159)+(H154*H160)+(H156*H162)+(H155*H161)+(H157*H163)+5006</f>
        <v>10845506</v>
      </c>
      <c r="I142" s="35"/>
      <c r="J142" s="35">
        <f>G142+H142</f>
        <v>49780872.67961999</v>
      </c>
      <c r="K142" s="35">
        <f>(K153*K159)+(K154*K160)+(K156*K162)+(K155*K161)+(K157*K163)+100</f>
        <v>100</v>
      </c>
      <c r="L142" s="35">
        <f>(L153*L159)+(L154*L160)+(L156*L162)+(L155*L161)+(L157*L163)+100</f>
        <v>100</v>
      </c>
      <c r="M142" s="35">
        <f>(M153*M159)+(M154*M160)+(M156*M162)+(M155*M161)+(M157*M163)+100</f>
        <v>100</v>
      </c>
      <c r="N142" s="35">
        <f>(N153*N159)+(N154*N160)+(N156*N162)+(N155*N161)+(N157*N163)-0.24-799.99</f>
        <v>50377333.332282394</v>
      </c>
      <c r="O142" s="35">
        <f>(O153*O159)+(O154*O160)+(O156*O162)+(O155*O161)+(O157*O163)</f>
        <v>24999999.9984</v>
      </c>
      <c r="P142" s="35">
        <f>N142+O142</f>
        <v>75377333.3306824</v>
      </c>
      <c r="ET142" s="38"/>
      <c r="EU142" s="38"/>
      <c r="EV142" s="38"/>
      <c r="EW142" s="38"/>
      <c r="EX142" s="38"/>
      <c r="EY142" s="38"/>
    </row>
    <row r="143" spans="1:155" s="25" customFormat="1" ht="0.75" customHeight="1">
      <c r="A143" s="39" t="s">
        <v>33</v>
      </c>
      <c r="B143" s="40"/>
      <c r="C143" s="40"/>
      <c r="D143" s="7" t="e">
        <f>#REF!*D159+D156*D161+D155*D162</f>
        <v>#REF!</v>
      </c>
      <c r="E143" s="7" t="e">
        <f>#REF!*E159+E156*E161+E155*E162</f>
        <v>#REF!</v>
      </c>
      <c r="F143" s="7" t="e">
        <f>#REF!*F159+F156*F161+F155*F162</f>
        <v>#REF!</v>
      </c>
      <c r="G143" s="7" t="e">
        <f>#REF!*G159+G156*G161+G155*G162</f>
        <v>#REF!</v>
      </c>
      <c r="H143" s="7"/>
      <c r="I143" s="7"/>
      <c r="J143" s="7" t="e">
        <f>#REF!*J159+J156*J161+J155*J162</f>
        <v>#REF!</v>
      </c>
      <c r="K143" s="7"/>
      <c r="L143" s="7"/>
      <c r="M143" s="7"/>
      <c r="N143" s="7" t="e">
        <f>#REF!*N159+N156*N161+N155*N162</f>
        <v>#REF!</v>
      </c>
      <c r="O143" s="7"/>
      <c r="P143" s="7" t="e">
        <f>#REF!*P159+P156*P161+P155*P162</f>
        <v>#REF!</v>
      </c>
      <c r="ET143" s="52"/>
      <c r="EU143" s="52"/>
      <c r="EV143" s="52"/>
      <c r="EW143" s="52"/>
      <c r="EX143" s="52"/>
      <c r="EY143" s="52"/>
    </row>
    <row r="144" spans="1:155" s="25" customFormat="1" ht="11.25">
      <c r="A144" s="5" t="s">
        <v>4</v>
      </c>
      <c r="B144" s="36"/>
      <c r="C144" s="36"/>
      <c r="D144" s="29"/>
      <c r="E144" s="29"/>
      <c r="F144" s="29"/>
      <c r="G144" s="29"/>
      <c r="H144" s="29"/>
      <c r="I144" s="29"/>
      <c r="J144" s="29"/>
      <c r="K144" s="7"/>
      <c r="L144" s="7"/>
      <c r="M144" s="7"/>
      <c r="N144" s="29"/>
      <c r="O144" s="29"/>
      <c r="P144" s="29"/>
      <c r="ET144" s="52"/>
      <c r="EU144" s="52"/>
      <c r="EV144" s="52"/>
      <c r="EW144" s="52"/>
      <c r="EX144" s="52"/>
      <c r="EY144" s="52"/>
    </row>
    <row r="145" spans="1:155" s="25" customFormat="1" ht="21" customHeight="1">
      <c r="A145" s="8" t="s">
        <v>68</v>
      </c>
      <c r="B145" s="6"/>
      <c r="C145" s="6"/>
      <c r="D145" s="7">
        <v>614.9</v>
      </c>
      <c r="E145" s="7"/>
      <c r="F145" s="7">
        <f>D145</f>
        <v>614.9</v>
      </c>
      <c r="G145" s="7">
        <f>D145</f>
        <v>614.9</v>
      </c>
      <c r="H145" s="7"/>
      <c r="I145" s="7"/>
      <c r="J145" s="7">
        <f>G145</f>
        <v>614.9</v>
      </c>
      <c r="K145" s="7"/>
      <c r="L145" s="7"/>
      <c r="M145" s="7"/>
      <c r="N145" s="7">
        <f>J145</f>
        <v>614.9</v>
      </c>
      <c r="O145" s="7"/>
      <c r="P145" s="7">
        <f>N145</f>
        <v>614.9</v>
      </c>
      <c r="ET145" s="52"/>
      <c r="EU145" s="52"/>
      <c r="EV145" s="52"/>
      <c r="EW145" s="52"/>
      <c r="EX145" s="52"/>
      <c r="EY145" s="52"/>
    </row>
    <row r="146" spans="1:155" s="25" customFormat="1" ht="27" customHeight="1">
      <c r="A146" s="8" t="s">
        <v>69</v>
      </c>
      <c r="B146" s="6"/>
      <c r="C146" s="6"/>
      <c r="D146" s="7"/>
      <c r="E146" s="7">
        <v>427.5</v>
      </c>
      <c r="F146" s="7">
        <f>E146</f>
        <v>427.5</v>
      </c>
      <c r="G146" s="7"/>
      <c r="H146" s="7">
        <v>427.5</v>
      </c>
      <c r="I146" s="7"/>
      <c r="J146" s="7">
        <f>H146</f>
        <v>427.5</v>
      </c>
      <c r="K146" s="7"/>
      <c r="L146" s="7"/>
      <c r="M146" s="7"/>
      <c r="N146" s="7"/>
      <c r="O146" s="7">
        <v>427.5</v>
      </c>
      <c r="P146" s="7">
        <f>O146</f>
        <v>427.5</v>
      </c>
      <c r="ET146" s="52"/>
      <c r="EU146" s="52"/>
      <c r="EV146" s="52"/>
      <c r="EW146" s="52"/>
      <c r="EX146" s="52"/>
      <c r="EY146" s="52"/>
    </row>
    <row r="147" spans="1:155" s="25" customFormat="1" ht="30.75" customHeight="1">
      <c r="A147" s="8" t="s">
        <v>70</v>
      </c>
      <c r="B147" s="6"/>
      <c r="C147" s="6"/>
      <c r="D147" s="7">
        <v>97.9</v>
      </c>
      <c r="E147" s="7"/>
      <c r="F147" s="7">
        <f>D147</f>
        <v>97.9</v>
      </c>
      <c r="G147" s="7">
        <v>97.9</v>
      </c>
      <c r="H147" s="7"/>
      <c r="I147" s="7"/>
      <c r="J147" s="7">
        <f>G147</f>
        <v>97.9</v>
      </c>
      <c r="K147" s="7"/>
      <c r="L147" s="7"/>
      <c r="M147" s="7"/>
      <c r="N147" s="7">
        <v>97.9</v>
      </c>
      <c r="O147" s="7"/>
      <c r="P147" s="7">
        <f>N147</f>
        <v>97.9</v>
      </c>
      <c r="ET147" s="52"/>
      <c r="EU147" s="52"/>
      <c r="EV147" s="52"/>
      <c r="EW147" s="52"/>
      <c r="EX147" s="52"/>
      <c r="EY147" s="52"/>
    </row>
    <row r="148" spans="1:155" s="25" customFormat="1" ht="25.5" customHeight="1">
      <c r="A148" s="8" t="s">
        <v>71</v>
      </c>
      <c r="B148" s="6"/>
      <c r="C148" s="6"/>
      <c r="D148" s="7">
        <v>16263</v>
      </c>
      <c r="E148" s="7"/>
      <c r="F148" s="7">
        <f>D148</f>
        <v>16263</v>
      </c>
      <c r="G148" s="7">
        <v>16263</v>
      </c>
      <c r="H148" s="7"/>
      <c r="I148" s="7"/>
      <c r="J148" s="7">
        <f aca="true" t="shared" si="15" ref="J148:J164">G148</f>
        <v>16263</v>
      </c>
      <c r="K148" s="7"/>
      <c r="L148" s="7"/>
      <c r="M148" s="7"/>
      <c r="N148" s="7">
        <v>16263</v>
      </c>
      <c r="O148" s="7"/>
      <c r="P148" s="7">
        <f aca="true" t="shared" si="16" ref="P148:P164">N148</f>
        <v>16263</v>
      </c>
      <c r="ET148" s="52"/>
      <c r="EU148" s="52"/>
      <c r="EV148" s="52"/>
      <c r="EW148" s="52"/>
      <c r="EX148" s="52"/>
      <c r="EY148" s="52"/>
    </row>
    <row r="149" spans="1:155" s="25" customFormat="1" ht="22.5">
      <c r="A149" s="8" t="s">
        <v>72</v>
      </c>
      <c r="B149" s="6"/>
      <c r="C149" s="6"/>
      <c r="D149" s="7">
        <v>7400</v>
      </c>
      <c r="E149" s="7"/>
      <c r="F149" s="7">
        <f>D149</f>
        <v>7400</v>
      </c>
      <c r="G149" s="7">
        <f>F149</f>
        <v>7400</v>
      </c>
      <c r="H149" s="7"/>
      <c r="I149" s="7"/>
      <c r="J149" s="7">
        <f t="shared" si="15"/>
        <v>7400</v>
      </c>
      <c r="K149" s="7"/>
      <c r="L149" s="7"/>
      <c r="M149" s="7"/>
      <c r="N149" s="7">
        <f>G149</f>
        <v>7400</v>
      </c>
      <c r="O149" s="7"/>
      <c r="P149" s="7">
        <f t="shared" si="16"/>
        <v>7400</v>
      </c>
      <c r="ET149" s="52"/>
      <c r="EU149" s="52"/>
      <c r="EV149" s="52"/>
      <c r="EW149" s="52"/>
      <c r="EX149" s="52"/>
      <c r="EY149" s="52"/>
    </row>
    <row r="150" spans="1:155" s="25" customFormat="1" ht="29.25" customHeight="1">
      <c r="A150" s="8" t="s">
        <v>73</v>
      </c>
      <c r="B150" s="6"/>
      <c r="C150" s="6"/>
      <c r="D150" s="7">
        <v>8333333.33</v>
      </c>
      <c r="E150" s="7"/>
      <c r="F150" s="7">
        <f>D150</f>
        <v>8333333.33</v>
      </c>
      <c r="G150" s="7">
        <v>8333333.33</v>
      </c>
      <c r="H150" s="7"/>
      <c r="I150" s="7"/>
      <c r="J150" s="7">
        <f>G150</f>
        <v>8333333.33</v>
      </c>
      <c r="K150" s="7"/>
      <c r="L150" s="7"/>
      <c r="M150" s="7"/>
      <c r="N150" s="7">
        <v>8333333.33</v>
      </c>
      <c r="O150" s="7"/>
      <c r="P150" s="7">
        <f>N150</f>
        <v>8333333.33</v>
      </c>
      <c r="ET150" s="52"/>
      <c r="EU150" s="52"/>
      <c r="EV150" s="52"/>
      <c r="EW150" s="52"/>
      <c r="EX150" s="52"/>
      <c r="EY150" s="52"/>
    </row>
    <row r="151" spans="1:155" s="25" customFormat="1" ht="11.25">
      <c r="A151" s="5" t="s">
        <v>5</v>
      </c>
      <c r="B151" s="36"/>
      <c r="C151" s="36"/>
      <c r="D151" s="29"/>
      <c r="E151" s="29"/>
      <c r="F151" s="7"/>
      <c r="G151" s="29"/>
      <c r="H151" s="29"/>
      <c r="I151" s="29"/>
      <c r="J151" s="7">
        <f t="shared" si="15"/>
        <v>0</v>
      </c>
      <c r="K151" s="7"/>
      <c r="L151" s="7"/>
      <c r="M151" s="7"/>
      <c r="N151" s="29"/>
      <c r="O151" s="29"/>
      <c r="P151" s="7">
        <f t="shared" si="16"/>
        <v>0</v>
      </c>
      <c r="ET151" s="52"/>
      <c r="EU151" s="52"/>
      <c r="EV151" s="52"/>
      <c r="EW151" s="52"/>
      <c r="EX151" s="52"/>
      <c r="EY151" s="52"/>
    </row>
    <row r="152" spans="1:155" s="25" customFormat="1" ht="22.5" customHeight="1">
      <c r="A152" s="8" t="s">
        <v>24</v>
      </c>
      <c r="B152" s="6"/>
      <c r="C152" s="6"/>
      <c r="D152" s="7"/>
      <c r="E152" s="7"/>
      <c r="F152" s="7"/>
      <c r="G152" s="7"/>
      <c r="H152" s="7"/>
      <c r="I152" s="7"/>
      <c r="J152" s="7">
        <f t="shared" si="15"/>
        <v>0</v>
      </c>
      <c r="K152" s="7"/>
      <c r="L152" s="7"/>
      <c r="M152" s="7"/>
      <c r="N152" s="7"/>
      <c r="O152" s="7"/>
      <c r="P152" s="7">
        <f t="shared" si="16"/>
        <v>0</v>
      </c>
      <c r="ET152" s="52"/>
      <c r="EU152" s="52"/>
      <c r="EV152" s="52"/>
      <c r="EW152" s="52"/>
      <c r="EX152" s="52"/>
      <c r="EY152" s="52"/>
    </row>
    <row r="153" spans="1:155" s="25" customFormat="1" ht="29.25" customHeight="1">
      <c r="A153" s="8" t="s">
        <v>74</v>
      </c>
      <c r="B153" s="6"/>
      <c r="C153" s="6"/>
      <c r="D153" s="7">
        <v>20</v>
      </c>
      <c r="E153" s="7"/>
      <c r="F153" s="7">
        <f>D153</f>
        <v>20</v>
      </c>
      <c r="G153" s="7">
        <v>22.5</v>
      </c>
      <c r="H153" s="7"/>
      <c r="I153" s="7"/>
      <c r="J153" s="7">
        <f>G153</f>
        <v>22.5</v>
      </c>
      <c r="K153" s="7"/>
      <c r="L153" s="7"/>
      <c r="M153" s="7"/>
      <c r="N153" s="7">
        <v>24</v>
      </c>
      <c r="O153" s="7"/>
      <c r="P153" s="7">
        <f>N153</f>
        <v>24</v>
      </c>
      <c r="ET153" s="52"/>
      <c r="EU153" s="52"/>
      <c r="EV153" s="52"/>
      <c r="EW153" s="52"/>
      <c r="EX153" s="52"/>
      <c r="EY153" s="52"/>
    </row>
    <row r="154" spans="1:155" s="25" customFormat="1" ht="30" customHeight="1">
      <c r="A154" s="8" t="s">
        <v>75</v>
      </c>
      <c r="B154" s="6"/>
      <c r="C154" s="6"/>
      <c r="D154" s="7"/>
      <c r="E154" s="7">
        <v>36</v>
      </c>
      <c r="F154" s="7">
        <f>E154</f>
        <v>36</v>
      </c>
      <c r="G154" s="7"/>
      <c r="H154" s="157">
        <v>21.681</v>
      </c>
      <c r="I154" s="7"/>
      <c r="J154" s="7">
        <f>H154</f>
        <v>21.681</v>
      </c>
      <c r="K154" s="7"/>
      <c r="L154" s="7"/>
      <c r="M154" s="7"/>
      <c r="N154" s="7"/>
      <c r="O154" s="7">
        <v>48</v>
      </c>
      <c r="P154" s="7">
        <f>O154</f>
        <v>48</v>
      </c>
      <c r="ET154" s="52"/>
      <c r="EU154" s="52"/>
      <c r="EV154" s="52"/>
      <c r="EW154" s="52"/>
      <c r="EX154" s="52"/>
      <c r="EY154" s="52"/>
    </row>
    <row r="155" spans="1:155" s="25" customFormat="1" ht="26.25" customHeight="1">
      <c r="A155" s="8" t="s">
        <v>109</v>
      </c>
      <c r="B155" s="6"/>
      <c r="C155" s="6"/>
      <c r="D155" s="7">
        <v>16263</v>
      </c>
      <c r="E155" s="7"/>
      <c r="F155" s="7">
        <f>D155</f>
        <v>16263</v>
      </c>
      <c r="G155" s="7">
        <v>16263</v>
      </c>
      <c r="H155" s="7"/>
      <c r="I155" s="7"/>
      <c r="J155" s="7">
        <f>G155</f>
        <v>16263</v>
      </c>
      <c r="K155" s="7"/>
      <c r="L155" s="7"/>
      <c r="M155" s="7"/>
      <c r="N155" s="7">
        <f>N148</f>
        <v>16263</v>
      </c>
      <c r="O155" s="7"/>
      <c r="P155" s="7">
        <f>N155</f>
        <v>16263</v>
      </c>
      <c r="ET155" s="52"/>
      <c r="EU155" s="52"/>
      <c r="EV155" s="52"/>
      <c r="EW155" s="52"/>
      <c r="EX155" s="52"/>
      <c r="EY155" s="52"/>
    </row>
    <row r="156" spans="1:155" s="25" customFormat="1" ht="24.75" customHeight="1">
      <c r="A156" s="8" t="s">
        <v>76</v>
      </c>
      <c r="B156" s="6"/>
      <c r="C156" s="6"/>
      <c r="D156" s="7">
        <v>1700</v>
      </c>
      <c r="E156" s="7"/>
      <c r="F156" s="7">
        <f aca="true" t="shared" si="17" ref="F156:F164">D156</f>
        <v>1700</v>
      </c>
      <c r="G156" s="7">
        <v>1667</v>
      </c>
      <c r="H156" s="7"/>
      <c r="I156" s="7"/>
      <c r="J156" s="7">
        <f t="shared" si="15"/>
        <v>1667</v>
      </c>
      <c r="K156" s="7"/>
      <c r="L156" s="7"/>
      <c r="M156" s="7"/>
      <c r="N156" s="7">
        <v>1800</v>
      </c>
      <c r="O156" s="7"/>
      <c r="P156" s="7">
        <f t="shared" si="16"/>
        <v>1800</v>
      </c>
      <c r="ET156" s="52"/>
      <c r="EU156" s="52"/>
      <c r="EV156" s="52"/>
      <c r="EW156" s="52"/>
      <c r="EX156" s="52"/>
      <c r="EY156" s="52"/>
    </row>
    <row r="157" spans="1:155" s="25" customFormat="1" ht="24.75" customHeight="1">
      <c r="A157" s="8" t="s">
        <v>77</v>
      </c>
      <c r="B157" s="6"/>
      <c r="C157" s="6"/>
      <c r="D157" s="7">
        <v>8333333.33</v>
      </c>
      <c r="E157" s="7"/>
      <c r="F157" s="7">
        <f>D157</f>
        <v>8333333.33</v>
      </c>
      <c r="G157" s="7">
        <v>8333333.33</v>
      </c>
      <c r="H157" s="7"/>
      <c r="I157" s="7"/>
      <c r="J157" s="7">
        <f>G157</f>
        <v>8333333.33</v>
      </c>
      <c r="K157" s="7"/>
      <c r="L157" s="7"/>
      <c r="M157" s="7"/>
      <c r="N157" s="7">
        <v>8333333.33</v>
      </c>
      <c r="O157" s="7"/>
      <c r="P157" s="7">
        <f>N157</f>
        <v>8333333.33</v>
      </c>
      <c r="ET157" s="52"/>
      <c r="EU157" s="52"/>
      <c r="EV157" s="52"/>
      <c r="EW157" s="52"/>
      <c r="EX157" s="52"/>
      <c r="EY157" s="52"/>
    </row>
    <row r="158" spans="1:155" s="25" customFormat="1" ht="11.25">
      <c r="A158" s="5" t="s">
        <v>7</v>
      </c>
      <c r="B158" s="36"/>
      <c r="C158" s="36"/>
      <c r="D158" s="29"/>
      <c r="E158" s="29"/>
      <c r="F158" s="7">
        <f t="shared" si="17"/>
        <v>0</v>
      </c>
      <c r="G158" s="29"/>
      <c r="H158" s="29"/>
      <c r="I158" s="29"/>
      <c r="J158" s="7">
        <f t="shared" si="15"/>
        <v>0</v>
      </c>
      <c r="K158" s="7"/>
      <c r="L158" s="7"/>
      <c r="M158" s="7"/>
      <c r="N158" s="29"/>
      <c r="O158" s="29"/>
      <c r="P158" s="7">
        <f t="shared" si="16"/>
        <v>0</v>
      </c>
      <c r="ET158" s="52"/>
      <c r="EU158" s="52"/>
      <c r="EV158" s="52"/>
      <c r="EW158" s="52"/>
      <c r="EX158" s="52"/>
      <c r="EY158" s="52"/>
    </row>
    <row r="159" spans="1:155" s="25" customFormat="1" ht="33.75">
      <c r="A159" s="8" t="s">
        <v>78</v>
      </c>
      <c r="B159" s="6"/>
      <c r="C159" s="6"/>
      <c r="D159" s="7">
        <v>275977</v>
      </c>
      <c r="E159" s="7"/>
      <c r="F159" s="7">
        <f>D159</f>
        <v>275977</v>
      </c>
      <c r="G159" s="7">
        <v>311360.456</v>
      </c>
      <c r="H159" s="7"/>
      <c r="I159" s="7"/>
      <c r="J159" s="7">
        <f>G159</f>
        <v>311360.456</v>
      </c>
      <c r="K159" s="7"/>
      <c r="L159" s="7"/>
      <c r="M159" s="7"/>
      <c r="N159" s="7">
        <v>289345.01</v>
      </c>
      <c r="O159" s="7"/>
      <c r="P159" s="7">
        <f>N159</f>
        <v>289345.01</v>
      </c>
      <c r="ET159" s="52"/>
      <c r="EU159" s="52"/>
      <c r="EV159" s="52"/>
      <c r="EW159" s="52"/>
      <c r="EX159" s="52"/>
      <c r="EY159" s="52"/>
    </row>
    <row r="160" spans="1:155" s="25" customFormat="1" ht="33.75">
      <c r="A160" s="8" t="s">
        <v>79</v>
      </c>
      <c r="B160" s="6"/>
      <c r="C160" s="6"/>
      <c r="D160" s="7"/>
      <c r="E160" s="7">
        <v>416666.66666</v>
      </c>
      <c r="F160" s="7">
        <f>E160</f>
        <v>416666.66666</v>
      </c>
      <c r="G160" s="7"/>
      <c r="H160" s="7">
        <v>500000</v>
      </c>
      <c r="I160" s="7"/>
      <c r="J160" s="7">
        <f>H160</f>
        <v>500000</v>
      </c>
      <c r="K160" s="7"/>
      <c r="L160" s="7"/>
      <c r="M160" s="7"/>
      <c r="N160" s="7"/>
      <c r="O160" s="7">
        <v>520833.3333</v>
      </c>
      <c r="P160" s="7">
        <f>O160</f>
        <v>520833.3333</v>
      </c>
      <c r="ET160" s="52"/>
      <c r="EU160" s="52"/>
      <c r="EV160" s="52"/>
      <c r="EW160" s="52"/>
      <c r="EX160" s="52"/>
      <c r="EY160" s="52"/>
    </row>
    <row r="161" spans="1:155" s="25" customFormat="1" ht="23.25" customHeight="1">
      <c r="A161" s="8" t="s">
        <v>80</v>
      </c>
      <c r="B161" s="6"/>
      <c r="C161" s="6"/>
      <c r="D161" s="7">
        <v>420</v>
      </c>
      <c r="E161" s="7"/>
      <c r="F161" s="7">
        <v>420</v>
      </c>
      <c r="G161" s="7">
        <v>430</v>
      </c>
      <c r="H161" s="7"/>
      <c r="I161" s="7"/>
      <c r="J161" s="7">
        <f>G161</f>
        <v>430</v>
      </c>
      <c r="K161" s="7"/>
      <c r="L161" s="7"/>
      <c r="M161" s="7"/>
      <c r="N161" s="7">
        <v>440</v>
      </c>
      <c r="O161" s="7"/>
      <c r="P161" s="7">
        <f>N161</f>
        <v>440</v>
      </c>
      <c r="ET161" s="52"/>
      <c r="EU161" s="52"/>
      <c r="EV161" s="52"/>
      <c r="EW161" s="52"/>
      <c r="EX161" s="52"/>
      <c r="EY161" s="52"/>
    </row>
    <row r="162" spans="1:155" s="25" customFormat="1" ht="22.5">
      <c r="A162" s="8" t="s">
        <v>81</v>
      </c>
      <c r="B162" s="6"/>
      <c r="C162" s="6"/>
      <c r="D162" s="7">
        <v>4500</v>
      </c>
      <c r="E162" s="7"/>
      <c r="F162" s="7">
        <f t="shared" si="17"/>
        <v>4500</v>
      </c>
      <c r="G162" s="7">
        <v>4500</v>
      </c>
      <c r="H162" s="7"/>
      <c r="I162" s="7"/>
      <c r="J162" s="7">
        <f t="shared" si="15"/>
        <v>4500</v>
      </c>
      <c r="K162" s="7"/>
      <c r="L162" s="7"/>
      <c r="M162" s="7"/>
      <c r="N162" s="7">
        <v>4806</v>
      </c>
      <c r="O162" s="7"/>
      <c r="P162" s="7">
        <f t="shared" si="16"/>
        <v>4806</v>
      </c>
      <c r="ET162" s="52"/>
      <c r="EU162" s="52"/>
      <c r="EV162" s="52"/>
      <c r="EW162" s="52"/>
      <c r="EX162" s="52"/>
      <c r="EY162" s="52"/>
    </row>
    <row r="163" spans="1:155" s="25" customFormat="1" ht="33.75">
      <c r="A163" s="8" t="s">
        <v>230</v>
      </c>
      <c r="B163" s="6"/>
      <c r="C163" s="6"/>
      <c r="D163" s="7">
        <v>2.4</v>
      </c>
      <c r="E163" s="7"/>
      <c r="F163" s="7">
        <f>D163</f>
        <v>2.4</v>
      </c>
      <c r="G163" s="7">
        <v>2.114</v>
      </c>
      <c r="H163" s="7"/>
      <c r="I163" s="7"/>
      <c r="J163" s="7">
        <f>G163</f>
        <v>2.114</v>
      </c>
      <c r="K163" s="7"/>
      <c r="L163" s="7"/>
      <c r="M163" s="7"/>
      <c r="N163" s="7">
        <v>3.31528</v>
      </c>
      <c r="O163" s="7"/>
      <c r="P163" s="7">
        <f>N163</f>
        <v>3.31528</v>
      </c>
      <c r="ET163" s="52"/>
      <c r="EU163" s="52"/>
      <c r="EV163" s="52"/>
      <c r="EW163" s="52"/>
      <c r="EX163" s="52"/>
      <c r="EY163" s="52"/>
    </row>
    <row r="164" spans="1:155" s="25" customFormat="1" ht="11.25">
      <c r="A164" s="5" t="s">
        <v>6</v>
      </c>
      <c r="B164" s="36"/>
      <c r="C164" s="36"/>
      <c r="D164" s="29"/>
      <c r="E164" s="29"/>
      <c r="F164" s="7">
        <f t="shared" si="17"/>
        <v>0</v>
      </c>
      <c r="G164" s="29"/>
      <c r="H164" s="29"/>
      <c r="I164" s="29"/>
      <c r="J164" s="7">
        <f t="shared" si="15"/>
        <v>0</v>
      </c>
      <c r="K164" s="7"/>
      <c r="L164" s="7"/>
      <c r="M164" s="7"/>
      <c r="N164" s="29"/>
      <c r="O164" s="29"/>
      <c r="P164" s="7">
        <f t="shared" si="16"/>
        <v>0</v>
      </c>
      <c r="ET164" s="52"/>
      <c r="EU164" s="52"/>
      <c r="EV164" s="52"/>
      <c r="EW164" s="52"/>
      <c r="EX164" s="52"/>
      <c r="EY164" s="52"/>
    </row>
    <row r="165" spans="1:155" s="25" customFormat="1" ht="33.75">
      <c r="A165" s="8" t="s">
        <v>83</v>
      </c>
      <c r="B165" s="6"/>
      <c r="C165" s="6"/>
      <c r="D165" s="7"/>
      <c r="E165" s="7">
        <f>E154/E146*100</f>
        <v>8.421052631578947</v>
      </c>
      <c r="F165" s="7">
        <f>E165</f>
        <v>8.421052631578947</v>
      </c>
      <c r="G165" s="7"/>
      <c r="H165" s="7">
        <f>H154/H146*100</f>
        <v>5.071578947368422</v>
      </c>
      <c r="I165" s="7"/>
      <c r="J165" s="7">
        <f>H165</f>
        <v>5.071578947368422</v>
      </c>
      <c r="K165" s="7"/>
      <c r="L165" s="7"/>
      <c r="M165" s="7"/>
      <c r="N165" s="7"/>
      <c r="O165" s="7">
        <f>O154/O146*100</f>
        <v>11.228070175438596</v>
      </c>
      <c r="P165" s="7">
        <f>O165</f>
        <v>11.228070175438596</v>
      </c>
      <c r="ET165" s="52"/>
      <c r="EU165" s="52"/>
      <c r="EV165" s="52"/>
      <c r="EW165" s="52"/>
      <c r="EX165" s="52"/>
      <c r="EY165" s="52"/>
    </row>
    <row r="166" spans="1:155" s="25" customFormat="1" ht="36" customHeight="1">
      <c r="A166" s="8" t="s">
        <v>82</v>
      </c>
      <c r="B166" s="6"/>
      <c r="C166" s="6"/>
      <c r="D166" s="7">
        <f>D153/D147*100</f>
        <v>20.429009193054135</v>
      </c>
      <c r="E166" s="7"/>
      <c r="F166" s="7">
        <f>D166</f>
        <v>20.429009193054135</v>
      </c>
      <c r="G166" s="7">
        <f>G153/G147*100</f>
        <v>22.982635342185905</v>
      </c>
      <c r="H166" s="7"/>
      <c r="I166" s="7"/>
      <c r="J166" s="7">
        <f>G166</f>
        <v>22.982635342185905</v>
      </c>
      <c r="K166" s="7"/>
      <c r="L166" s="7"/>
      <c r="M166" s="7"/>
      <c r="N166" s="7">
        <f>N153/N147*100</f>
        <v>24.514811031664962</v>
      </c>
      <c r="O166" s="7"/>
      <c r="P166" s="7">
        <f>N166</f>
        <v>24.514811031664962</v>
      </c>
      <c r="ET166" s="52"/>
      <c r="EU166" s="52"/>
      <c r="EV166" s="52"/>
      <c r="EW166" s="52"/>
      <c r="EX166" s="52"/>
      <c r="EY166" s="52"/>
    </row>
    <row r="167" spans="1:155" s="25" customFormat="1" ht="24" customHeight="1">
      <c r="A167" s="8" t="s">
        <v>84</v>
      </c>
      <c r="B167" s="6"/>
      <c r="C167" s="6"/>
      <c r="D167" s="7">
        <f>D156/D149*100</f>
        <v>22.972972972972975</v>
      </c>
      <c r="E167" s="7"/>
      <c r="F167" s="7">
        <f>D167</f>
        <v>22.972972972972975</v>
      </c>
      <c r="G167" s="7">
        <f>G156/G149*100</f>
        <v>22.527027027027028</v>
      </c>
      <c r="H167" s="7"/>
      <c r="I167" s="7"/>
      <c r="J167" s="7">
        <f>G167</f>
        <v>22.527027027027028</v>
      </c>
      <c r="K167" s="7"/>
      <c r="L167" s="7"/>
      <c r="M167" s="7"/>
      <c r="N167" s="7">
        <f>N156/N149*100</f>
        <v>24.324324324324326</v>
      </c>
      <c r="O167" s="7"/>
      <c r="P167" s="7">
        <f>N167</f>
        <v>24.324324324324326</v>
      </c>
      <c r="ET167" s="52"/>
      <c r="EU167" s="52"/>
      <c r="EV167" s="52"/>
      <c r="EW167" s="52"/>
      <c r="EX167" s="52"/>
      <c r="EY167" s="52"/>
    </row>
    <row r="168" spans="1:155" s="37" customFormat="1" ht="31.5" customHeight="1">
      <c r="A168" s="33" t="s">
        <v>373</v>
      </c>
      <c r="B168" s="34"/>
      <c r="C168" s="34"/>
      <c r="D168" s="35">
        <f>SUM(D183)*D197+D184*D198+D185*D199+D187*D202+D188*D203+D189*D204+D190*D205+D191*D206+D192*D207+D193*D208+0.65+532023</f>
        <v>19686999.999978114</v>
      </c>
      <c r="E168" s="35">
        <f>SUM(E186)*E200+E194*E209+E195*E210+E215</f>
        <v>23278332.999995</v>
      </c>
      <c r="F168" s="35">
        <f>D168+E168</f>
        <v>42965332.99997312</v>
      </c>
      <c r="G168" s="35">
        <f>SUM(G183)*G197+G184*G198+G185*G199+G187*G202+G188*G203+G189*G204+G190*G205+G191*G206+G192*G207+G193*G208-0.02+552000+58000+350000</f>
        <v>20664000.004896514</v>
      </c>
      <c r="H168" s="35">
        <f>SUM(H186)*H200+H194*H209+H195*H210+H215+H180*H201+H181*H202+600000</f>
        <v>25360030.399995</v>
      </c>
      <c r="I168" s="35"/>
      <c r="J168" s="35">
        <f>G168+H168</f>
        <v>46024030.40489151</v>
      </c>
      <c r="K168" s="35" t="e">
        <f>(K183*K197)+(K184*K198)+(K185*K199)+(K188*K203)+(K189*K204)+(K205*K190)+(#REF!*#REF!)-1036.73</f>
        <v>#REF!</v>
      </c>
      <c r="L168" s="35" t="e">
        <f>(L183*L197)+(L184*L198)+(L185*L199)+(L188*L203)+(L189*L204)+(L205*L190)+(#REF!*#REF!)-1036.73</f>
        <v>#REF!</v>
      </c>
      <c r="M168" s="35" t="e">
        <f>(M183*M197)+(M184*M198)+(M185*M199)+(M188*M203)+(M189*M204)+(M205*M190)+(#REF!*#REF!)-1036.73</f>
        <v>#REF!</v>
      </c>
      <c r="N168" s="35">
        <f>SUM(N183)*N197+N184*N198+N185*N199+N187*N202+N188*N203+N189*N204+N190*N205+N191*N206+N192*N207+N193*N208+0.2+591794</f>
        <v>21544999.99979262</v>
      </c>
      <c r="O168" s="35">
        <f>SUM(O186)*O200+O194*O209+O195*O210+0.01</f>
        <v>23177000.001995</v>
      </c>
      <c r="P168" s="35">
        <f>N168+O168</f>
        <v>44722000.00178762</v>
      </c>
      <c r="ET168" s="38"/>
      <c r="EU168" s="38"/>
      <c r="EV168" s="38"/>
      <c r="EW168" s="38"/>
      <c r="EX168" s="38"/>
      <c r="EY168" s="38"/>
    </row>
    <row r="169" spans="1:155" s="25" customFormat="1" ht="11.25">
      <c r="A169" s="5" t="s">
        <v>4</v>
      </c>
      <c r="B169" s="36"/>
      <c r="C169" s="36"/>
      <c r="D169" s="29"/>
      <c r="E169" s="29"/>
      <c r="F169" s="29"/>
      <c r="G169" s="29"/>
      <c r="H169" s="29"/>
      <c r="I169" s="29"/>
      <c r="J169" s="29"/>
      <c r="K169" s="7"/>
      <c r="L169" s="7"/>
      <c r="M169" s="7"/>
      <c r="N169" s="29"/>
      <c r="O169" s="29"/>
      <c r="P169" s="29"/>
      <c r="ET169" s="52"/>
      <c r="EU169" s="52"/>
      <c r="EV169" s="52"/>
      <c r="EW169" s="52"/>
      <c r="EX169" s="52"/>
      <c r="EY169" s="52"/>
    </row>
    <row r="170" spans="1:155" s="25" customFormat="1" ht="34.5" customHeight="1">
      <c r="A170" s="8" t="s">
        <v>85</v>
      </c>
      <c r="B170" s="6"/>
      <c r="C170" s="6"/>
      <c r="D170" s="7">
        <v>135</v>
      </c>
      <c r="E170" s="7"/>
      <c r="F170" s="7">
        <f aca="true" t="shared" si="18" ref="F170:F177">D170</f>
        <v>135</v>
      </c>
      <c r="G170" s="7">
        <f>F170</f>
        <v>135</v>
      </c>
      <c r="H170" s="7"/>
      <c r="I170" s="7"/>
      <c r="J170" s="7">
        <f>G170</f>
        <v>135</v>
      </c>
      <c r="K170" s="7"/>
      <c r="L170" s="7"/>
      <c r="M170" s="7"/>
      <c r="N170" s="7">
        <f>G170</f>
        <v>135</v>
      </c>
      <c r="O170" s="7"/>
      <c r="P170" s="7">
        <f>N170</f>
        <v>135</v>
      </c>
      <c r="ET170" s="52"/>
      <c r="EU170" s="52"/>
      <c r="EV170" s="52"/>
      <c r="EW170" s="52"/>
      <c r="EX170" s="52"/>
      <c r="EY170" s="52"/>
    </row>
    <row r="171" spans="1:155" s="25" customFormat="1" ht="22.5">
      <c r="A171" s="8" t="s">
        <v>86</v>
      </c>
      <c r="B171" s="6"/>
      <c r="C171" s="6"/>
      <c r="D171" s="7">
        <v>4850</v>
      </c>
      <c r="E171" s="7"/>
      <c r="F171" s="7">
        <f t="shared" si="18"/>
        <v>4850</v>
      </c>
      <c r="G171" s="7">
        <f>F171</f>
        <v>4850</v>
      </c>
      <c r="H171" s="7"/>
      <c r="I171" s="7"/>
      <c r="J171" s="7">
        <f>G171</f>
        <v>4850</v>
      </c>
      <c r="K171" s="7"/>
      <c r="L171" s="7"/>
      <c r="M171" s="7"/>
      <c r="N171" s="7">
        <v>4850</v>
      </c>
      <c r="O171" s="7"/>
      <c r="P171" s="7">
        <f>N171</f>
        <v>4850</v>
      </c>
      <c r="ET171" s="52"/>
      <c r="EU171" s="52"/>
      <c r="EV171" s="52"/>
      <c r="EW171" s="52"/>
      <c r="EX171" s="52"/>
      <c r="EY171" s="52"/>
    </row>
    <row r="172" spans="1:155" s="25" customFormat="1" ht="18.75" customHeight="1">
      <c r="A172" s="8" t="s">
        <v>87</v>
      </c>
      <c r="B172" s="6"/>
      <c r="C172" s="6"/>
      <c r="D172" s="7">
        <v>8210</v>
      </c>
      <c r="E172" s="7"/>
      <c r="F172" s="7">
        <f t="shared" si="18"/>
        <v>8210</v>
      </c>
      <c r="G172" s="7">
        <f>F172</f>
        <v>8210</v>
      </c>
      <c r="H172" s="7"/>
      <c r="I172" s="7"/>
      <c r="J172" s="7">
        <f>G172</f>
        <v>8210</v>
      </c>
      <c r="K172" s="7"/>
      <c r="L172" s="7"/>
      <c r="M172" s="7"/>
      <c r="N172" s="7">
        <v>8210</v>
      </c>
      <c r="O172" s="7"/>
      <c r="P172" s="7">
        <f>N172</f>
        <v>8210</v>
      </c>
      <c r="ET172" s="52"/>
      <c r="EU172" s="52"/>
      <c r="EV172" s="52"/>
      <c r="EW172" s="52"/>
      <c r="EX172" s="52"/>
      <c r="EY172" s="52"/>
    </row>
    <row r="173" spans="1:155" s="25" customFormat="1" ht="24.75" customHeight="1">
      <c r="A173" s="8" t="s">
        <v>231</v>
      </c>
      <c r="B173" s="6"/>
      <c r="C173" s="6"/>
      <c r="D173" s="7">
        <v>2000</v>
      </c>
      <c r="E173" s="7">
        <v>700</v>
      </c>
      <c r="F173" s="7">
        <f>E173</f>
        <v>700</v>
      </c>
      <c r="G173" s="7"/>
      <c r="H173" s="7">
        <f>E173</f>
        <v>700</v>
      </c>
      <c r="I173" s="7"/>
      <c r="J173" s="7">
        <f>H173</f>
        <v>700</v>
      </c>
      <c r="K173" s="7"/>
      <c r="L173" s="7"/>
      <c r="M173" s="7"/>
      <c r="N173" s="7"/>
      <c r="O173" s="7">
        <f>H173</f>
        <v>700</v>
      </c>
      <c r="P173" s="7">
        <f>O173</f>
        <v>700</v>
      </c>
      <c r="ET173" s="52"/>
      <c r="EU173" s="52"/>
      <c r="EV173" s="52"/>
      <c r="EW173" s="52"/>
      <c r="EX173" s="52"/>
      <c r="EY173" s="52"/>
    </row>
    <row r="174" spans="1:155" s="25" customFormat="1" ht="25.5" customHeight="1">
      <c r="A174" s="8" t="s">
        <v>102</v>
      </c>
      <c r="B174" s="6"/>
      <c r="C174" s="6"/>
      <c r="D174" s="7">
        <v>300</v>
      </c>
      <c r="E174" s="7"/>
      <c r="F174" s="7">
        <f t="shared" si="18"/>
        <v>300</v>
      </c>
      <c r="G174" s="7">
        <v>300</v>
      </c>
      <c r="H174" s="7"/>
      <c r="I174" s="7"/>
      <c r="J174" s="7">
        <f>G174</f>
        <v>300</v>
      </c>
      <c r="K174" s="7"/>
      <c r="L174" s="7"/>
      <c r="M174" s="7"/>
      <c r="N174" s="7">
        <v>300</v>
      </c>
      <c r="O174" s="7"/>
      <c r="P174" s="7">
        <f>N174</f>
        <v>300</v>
      </c>
      <c r="ET174" s="52"/>
      <c r="EU174" s="52"/>
      <c r="EV174" s="52"/>
      <c r="EW174" s="52"/>
      <c r="EX174" s="52"/>
      <c r="EY174" s="52"/>
    </row>
    <row r="175" spans="1:155" s="25" customFormat="1" ht="29.25" customHeight="1">
      <c r="A175" s="8" t="s">
        <v>88</v>
      </c>
      <c r="B175" s="6"/>
      <c r="C175" s="6"/>
      <c r="D175" s="7">
        <v>123.45</v>
      </c>
      <c r="E175" s="7"/>
      <c r="F175" s="7">
        <f t="shared" si="18"/>
        <v>123.45</v>
      </c>
      <c r="G175" s="7">
        <f>F175</f>
        <v>123.45</v>
      </c>
      <c r="H175" s="7"/>
      <c r="I175" s="7"/>
      <c r="J175" s="7">
        <f>G175</f>
        <v>123.45</v>
      </c>
      <c r="K175" s="7"/>
      <c r="L175" s="7"/>
      <c r="M175" s="7"/>
      <c r="N175" s="7">
        <f>J175</f>
        <v>123.45</v>
      </c>
      <c r="O175" s="7"/>
      <c r="P175" s="7">
        <f>N175</f>
        <v>123.45</v>
      </c>
      <c r="ET175" s="52"/>
      <c r="EU175" s="52"/>
      <c r="EV175" s="52"/>
      <c r="EW175" s="52"/>
      <c r="EX175" s="52"/>
      <c r="EY175" s="52"/>
    </row>
    <row r="176" spans="1:155" s="25" customFormat="1" ht="29.25" customHeight="1">
      <c r="A176" s="8" t="s">
        <v>146</v>
      </c>
      <c r="B176" s="6"/>
      <c r="C176" s="6"/>
      <c r="D176" s="7">
        <v>11.549</v>
      </c>
      <c r="E176" s="7"/>
      <c r="F176" s="7">
        <f t="shared" si="18"/>
        <v>11.549</v>
      </c>
      <c r="G176" s="7">
        <v>11.549</v>
      </c>
      <c r="H176" s="7"/>
      <c r="I176" s="7">
        <f>G176</f>
        <v>11.549</v>
      </c>
      <c r="J176" s="7">
        <f>G176</f>
        <v>11.549</v>
      </c>
      <c r="K176" s="7"/>
      <c r="L176" s="7"/>
      <c r="M176" s="7"/>
      <c r="N176" s="7">
        <v>11.55</v>
      </c>
      <c r="O176" s="7"/>
      <c r="P176" s="7">
        <f>N176</f>
        <v>11.55</v>
      </c>
      <c r="ET176" s="52"/>
      <c r="EU176" s="52"/>
      <c r="EV176" s="52"/>
      <c r="EW176" s="52"/>
      <c r="EX176" s="52"/>
      <c r="EY176" s="52"/>
    </row>
    <row r="177" spans="1:155" s="25" customFormat="1" ht="29.25" customHeight="1">
      <c r="A177" s="8" t="s">
        <v>208</v>
      </c>
      <c r="B177" s="6"/>
      <c r="C177" s="6"/>
      <c r="D177" s="7">
        <v>5</v>
      </c>
      <c r="E177" s="7"/>
      <c r="F177" s="7">
        <f t="shared" si="18"/>
        <v>5</v>
      </c>
      <c r="G177" s="7">
        <v>4</v>
      </c>
      <c r="H177" s="7"/>
      <c r="I177" s="7"/>
      <c r="J177" s="7">
        <f>G177</f>
        <v>4</v>
      </c>
      <c r="K177" s="7"/>
      <c r="L177" s="7"/>
      <c r="M177" s="7"/>
      <c r="N177" s="7">
        <v>3</v>
      </c>
      <c r="O177" s="7"/>
      <c r="P177" s="7">
        <f>N177</f>
        <v>3</v>
      </c>
      <c r="ET177" s="52"/>
      <c r="EU177" s="52"/>
      <c r="EV177" s="52"/>
      <c r="EW177" s="52"/>
      <c r="EX177" s="52"/>
      <c r="EY177" s="52"/>
    </row>
    <row r="178" spans="1:155" s="25" customFormat="1" ht="29.25" customHeight="1">
      <c r="A178" s="8" t="s">
        <v>209</v>
      </c>
      <c r="B178" s="6"/>
      <c r="C178" s="6"/>
      <c r="D178" s="7"/>
      <c r="E178" s="7">
        <v>3.5</v>
      </c>
      <c r="F178" s="7">
        <f>E178</f>
        <v>3.5</v>
      </c>
      <c r="G178" s="7"/>
      <c r="H178" s="7">
        <v>3.5</v>
      </c>
      <c r="I178" s="7"/>
      <c r="J178" s="7">
        <f>H178</f>
        <v>3.5</v>
      </c>
      <c r="K178" s="7"/>
      <c r="L178" s="7"/>
      <c r="M178" s="7"/>
      <c r="N178" s="7"/>
      <c r="O178" s="7">
        <v>3.5</v>
      </c>
      <c r="P178" s="7"/>
      <c r="ET178" s="52"/>
      <c r="EU178" s="52"/>
      <c r="EV178" s="52"/>
      <c r="EW178" s="52"/>
      <c r="EX178" s="52"/>
      <c r="EY178" s="52"/>
    </row>
    <row r="179" spans="1:155" s="25" customFormat="1" ht="32.25" customHeight="1">
      <c r="A179" s="8" t="s">
        <v>226</v>
      </c>
      <c r="B179" s="6"/>
      <c r="C179" s="6"/>
      <c r="D179" s="7"/>
      <c r="E179" s="7">
        <v>25</v>
      </c>
      <c r="F179" s="7">
        <f>E179</f>
        <v>25</v>
      </c>
      <c r="G179" s="7"/>
      <c r="H179" s="7">
        <v>15</v>
      </c>
      <c r="I179" s="7"/>
      <c r="J179" s="7">
        <f>H179</f>
        <v>15</v>
      </c>
      <c r="K179" s="7"/>
      <c r="L179" s="7"/>
      <c r="M179" s="7"/>
      <c r="N179" s="7"/>
      <c r="O179" s="7">
        <v>10</v>
      </c>
      <c r="P179" s="7"/>
      <c r="ET179" s="52"/>
      <c r="EU179" s="52"/>
      <c r="EV179" s="52"/>
      <c r="EW179" s="52"/>
      <c r="EX179" s="52"/>
      <c r="EY179" s="52"/>
    </row>
    <row r="180" spans="1:155" s="25" customFormat="1" ht="26.25" customHeight="1">
      <c r="A180" s="8" t="s">
        <v>386</v>
      </c>
      <c r="B180" s="6"/>
      <c r="C180" s="6"/>
      <c r="D180" s="7"/>
      <c r="E180" s="7"/>
      <c r="F180" s="7"/>
      <c r="G180" s="7"/>
      <c r="H180" s="7">
        <v>6112</v>
      </c>
      <c r="I180" s="7"/>
      <c r="J180" s="7">
        <f>H180</f>
        <v>6112</v>
      </c>
      <c r="K180" s="7"/>
      <c r="L180" s="7"/>
      <c r="M180" s="7"/>
      <c r="N180" s="7"/>
      <c r="O180" s="7"/>
      <c r="P180" s="7"/>
      <c r="ET180" s="52"/>
      <c r="EU180" s="52"/>
      <c r="EV180" s="52"/>
      <c r="EW180" s="52"/>
      <c r="EX180" s="52"/>
      <c r="EY180" s="52"/>
    </row>
    <row r="181" spans="1:155" s="25" customFormat="1" ht="26.25" customHeight="1">
      <c r="A181" s="8" t="s">
        <v>388</v>
      </c>
      <c r="B181" s="6"/>
      <c r="C181" s="6"/>
      <c r="D181" s="7"/>
      <c r="E181" s="7"/>
      <c r="F181" s="7"/>
      <c r="G181" s="7"/>
      <c r="H181" s="7">
        <v>320</v>
      </c>
      <c r="I181" s="7"/>
      <c r="J181" s="7">
        <f>H181</f>
        <v>320</v>
      </c>
      <c r="K181" s="7"/>
      <c r="L181" s="7"/>
      <c r="M181" s="7"/>
      <c r="N181" s="7"/>
      <c r="O181" s="7"/>
      <c r="P181" s="7"/>
      <c r="ET181" s="52"/>
      <c r="EU181" s="52"/>
      <c r="EV181" s="52"/>
      <c r="EW181" s="52"/>
      <c r="EX181" s="52"/>
      <c r="EY181" s="52"/>
    </row>
    <row r="182" spans="1:155" s="25" customFormat="1" ht="11.25">
      <c r="A182" s="5" t="s">
        <v>5</v>
      </c>
      <c r="B182" s="36"/>
      <c r="C182" s="36"/>
      <c r="D182" s="29"/>
      <c r="E182" s="29"/>
      <c r="F182" s="29"/>
      <c r="G182" s="29"/>
      <c r="H182" s="29"/>
      <c r="I182" s="29"/>
      <c r="J182" s="7"/>
      <c r="K182" s="7"/>
      <c r="L182" s="7"/>
      <c r="M182" s="7"/>
      <c r="N182" s="29"/>
      <c r="O182" s="29"/>
      <c r="P182" s="7"/>
      <c r="ET182" s="52"/>
      <c r="EU182" s="52"/>
      <c r="EV182" s="52"/>
      <c r="EW182" s="52"/>
      <c r="EX182" s="52"/>
      <c r="EY182" s="52"/>
    </row>
    <row r="183" spans="1:155" s="25" customFormat="1" ht="28.5" customHeight="1">
      <c r="A183" s="8" t="s">
        <v>89</v>
      </c>
      <c r="B183" s="6"/>
      <c r="C183" s="6"/>
      <c r="D183" s="7">
        <v>135</v>
      </c>
      <c r="E183" s="7"/>
      <c r="F183" s="7">
        <f>D183</f>
        <v>135</v>
      </c>
      <c r="G183" s="7">
        <f>F183</f>
        <v>135</v>
      </c>
      <c r="H183" s="7"/>
      <c r="I183" s="7"/>
      <c r="J183" s="7">
        <f aca="true" t="shared" si="19" ref="J183:J191">G183</f>
        <v>135</v>
      </c>
      <c r="K183" s="7"/>
      <c r="L183" s="7"/>
      <c r="M183" s="7"/>
      <c r="N183" s="7">
        <f>J183</f>
        <v>135</v>
      </c>
      <c r="O183" s="7"/>
      <c r="P183" s="7">
        <f aca="true" t="shared" si="20" ref="P183:P191">N183</f>
        <v>135</v>
      </c>
      <c r="ET183" s="52"/>
      <c r="EU183" s="52"/>
      <c r="EV183" s="52"/>
      <c r="EW183" s="52"/>
      <c r="EX183" s="52"/>
      <c r="EY183" s="52"/>
    </row>
    <row r="184" spans="1:155" s="25" customFormat="1" ht="22.5">
      <c r="A184" s="8" t="s">
        <v>90</v>
      </c>
      <c r="B184" s="6"/>
      <c r="C184" s="6"/>
      <c r="D184" s="7">
        <v>920</v>
      </c>
      <c r="E184" s="7"/>
      <c r="F184" s="7">
        <f aca="true" t="shared" si="21" ref="F184:F194">D184</f>
        <v>920</v>
      </c>
      <c r="G184" s="7">
        <v>920</v>
      </c>
      <c r="H184" s="7"/>
      <c r="I184" s="7"/>
      <c r="J184" s="7">
        <f t="shared" si="19"/>
        <v>920</v>
      </c>
      <c r="K184" s="7"/>
      <c r="L184" s="7"/>
      <c r="M184" s="7"/>
      <c r="N184" s="7">
        <v>920</v>
      </c>
      <c r="O184" s="7"/>
      <c r="P184" s="7">
        <f t="shared" si="20"/>
        <v>920</v>
      </c>
      <c r="ET184" s="52"/>
      <c r="EU184" s="52"/>
      <c r="EV184" s="52"/>
      <c r="EW184" s="52"/>
      <c r="EX184" s="52"/>
      <c r="EY184" s="52"/>
    </row>
    <row r="185" spans="1:155" s="25" customFormat="1" ht="26.25" customHeight="1">
      <c r="A185" s="8" t="s">
        <v>91</v>
      </c>
      <c r="B185" s="6"/>
      <c r="C185" s="6"/>
      <c r="D185" s="7">
        <v>800</v>
      </c>
      <c r="E185" s="7"/>
      <c r="F185" s="7">
        <f t="shared" si="21"/>
        <v>800</v>
      </c>
      <c r="G185" s="7">
        <v>800</v>
      </c>
      <c r="H185" s="7"/>
      <c r="I185" s="7"/>
      <c r="J185" s="7">
        <f t="shared" si="19"/>
        <v>800</v>
      </c>
      <c r="K185" s="7"/>
      <c r="L185" s="7"/>
      <c r="M185" s="7"/>
      <c r="N185" s="7">
        <v>800</v>
      </c>
      <c r="O185" s="7"/>
      <c r="P185" s="7">
        <f t="shared" si="20"/>
        <v>800</v>
      </c>
      <c r="ET185" s="52"/>
      <c r="EU185" s="52"/>
      <c r="EV185" s="52"/>
      <c r="EW185" s="52"/>
      <c r="EX185" s="52"/>
      <c r="EY185" s="52"/>
    </row>
    <row r="186" spans="1:155" s="25" customFormat="1" ht="33" customHeight="1">
      <c r="A186" s="8" t="s">
        <v>206</v>
      </c>
      <c r="B186" s="6"/>
      <c r="C186" s="6"/>
      <c r="D186" s="7"/>
      <c r="E186" s="7">
        <v>200</v>
      </c>
      <c r="F186" s="7">
        <f>E186</f>
        <v>200</v>
      </c>
      <c r="G186" s="7"/>
      <c r="H186" s="7">
        <v>200</v>
      </c>
      <c r="I186" s="7"/>
      <c r="J186" s="7">
        <f>H186</f>
        <v>200</v>
      </c>
      <c r="K186" s="7"/>
      <c r="L186" s="7"/>
      <c r="M186" s="7"/>
      <c r="N186" s="7"/>
      <c r="O186" s="7">
        <v>208</v>
      </c>
      <c r="P186" s="7">
        <f>O186</f>
        <v>208</v>
      </c>
      <c r="ET186" s="52"/>
      <c r="EU186" s="52"/>
      <c r="EV186" s="52"/>
      <c r="EW186" s="52"/>
      <c r="EX186" s="52"/>
      <c r="EY186" s="52"/>
    </row>
    <row r="187" spans="1:155" s="25" customFormat="1" ht="26.25" customHeight="1">
      <c r="A187" s="8" t="s">
        <v>333</v>
      </c>
      <c r="B187" s="6"/>
      <c r="C187" s="6"/>
      <c r="D187" s="7">
        <v>1000</v>
      </c>
      <c r="E187" s="7"/>
      <c r="F187" s="7">
        <f>D187</f>
        <v>1000</v>
      </c>
      <c r="G187" s="7"/>
      <c r="H187" s="7"/>
      <c r="I187" s="7"/>
      <c r="J187" s="7"/>
      <c r="K187" s="7"/>
      <c r="L187" s="7"/>
      <c r="M187" s="7"/>
      <c r="N187" s="7"/>
      <c r="O187" s="7"/>
      <c r="P187" s="7"/>
      <c r="ET187" s="52"/>
      <c r="EU187" s="52"/>
      <c r="EV187" s="52"/>
      <c r="EW187" s="52"/>
      <c r="EX187" s="52"/>
      <c r="EY187" s="52"/>
    </row>
    <row r="188" spans="1:155" s="25" customFormat="1" ht="22.5">
      <c r="A188" s="8" t="s">
        <v>101</v>
      </c>
      <c r="B188" s="6"/>
      <c r="C188" s="6"/>
      <c r="D188" s="7">
        <v>300</v>
      </c>
      <c r="E188" s="7"/>
      <c r="F188" s="7">
        <f t="shared" si="21"/>
        <v>300</v>
      </c>
      <c r="G188" s="7">
        <v>300</v>
      </c>
      <c r="H188" s="7"/>
      <c r="I188" s="7"/>
      <c r="J188" s="7">
        <f t="shared" si="19"/>
        <v>300</v>
      </c>
      <c r="K188" s="7"/>
      <c r="L188" s="7"/>
      <c r="M188" s="7"/>
      <c r="N188" s="7">
        <v>300</v>
      </c>
      <c r="O188" s="7"/>
      <c r="P188" s="7">
        <f t="shared" si="20"/>
        <v>300</v>
      </c>
      <c r="ET188" s="52"/>
      <c r="EU188" s="52"/>
      <c r="EV188" s="52"/>
      <c r="EW188" s="52"/>
      <c r="EX188" s="52"/>
      <c r="EY188" s="52"/>
    </row>
    <row r="189" spans="1:155" s="25" customFormat="1" ht="22.5">
      <c r="A189" s="8" t="s">
        <v>92</v>
      </c>
      <c r="B189" s="6"/>
      <c r="C189" s="6"/>
      <c r="D189" s="7">
        <v>76.26</v>
      </c>
      <c r="E189" s="7"/>
      <c r="F189" s="7">
        <f t="shared" si="21"/>
        <v>76.26</v>
      </c>
      <c r="G189" s="7">
        <v>76.26</v>
      </c>
      <c r="H189" s="7"/>
      <c r="I189" s="7"/>
      <c r="J189" s="7">
        <f t="shared" si="19"/>
        <v>76.26</v>
      </c>
      <c r="K189" s="7"/>
      <c r="L189" s="7"/>
      <c r="M189" s="7"/>
      <c r="N189" s="7">
        <f>J189</f>
        <v>76.26</v>
      </c>
      <c r="O189" s="7"/>
      <c r="P189" s="7">
        <f t="shared" si="20"/>
        <v>76.26</v>
      </c>
      <c r="ET189" s="52"/>
      <c r="EU189" s="52"/>
      <c r="EV189" s="52"/>
      <c r="EW189" s="52"/>
      <c r="EX189" s="52"/>
      <c r="EY189" s="52"/>
    </row>
    <row r="190" spans="1:155" s="25" customFormat="1" ht="24" customHeight="1">
      <c r="A190" s="8" t="s">
        <v>224</v>
      </c>
      <c r="B190" s="6"/>
      <c r="C190" s="6"/>
      <c r="D190" s="7">
        <v>5</v>
      </c>
      <c r="E190" s="7"/>
      <c r="F190" s="7">
        <f t="shared" si="21"/>
        <v>5</v>
      </c>
      <c r="G190" s="7">
        <f>F190</f>
        <v>5</v>
      </c>
      <c r="H190" s="7"/>
      <c r="I190" s="7"/>
      <c r="J190" s="7">
        <f t="shared" si="19"/>
        <v>5</v>
      </c>
      <c r="K190" s="7"/>
      <c r="L190" s="7"/>
      <c r="M190" s="7"/>
      <c r="N190" s="7">
        <f>J190</f>
        <v>5</v>
      </c>
      <c r="O190" s="7"/>
      <c r="P190" s="7">
        <f t="shared" si="20"/>
        <v>5</v>
      </c>
      <c r="ET190" s="52"/>
      <c r="EU190" s="52"/>
      <c r="EV190" s="52"/>
      <c r="EW190" s="52"/>
      <c r="EX190" s="52"/>
      <c r="EY190" s="52"/>
    </row>
    <row r="191" spans="1:155" s="25" customFormat="1" ht="21.75" customHeight="1">
      <c r="A191" s="8" t="s">
        <v>135</v>
      </c>
      <c r="B191" s="6"/>
      <c r="C191" s="6"/>
      <c r="D191" s="7">
        <v>2</v>
      </c>
      <c r="E191" s="7"/>
      <c r="F191" s="7">
        <f t="shared" si="21"/>
        <v>2</v>
      </c>
      <c r="G191" s="7">
        <v>2</v>
      </c>
      <c r="H191" s="7"/>
      <c r="I191" s="7"/>
      <c r="J191" s="7">
        <f t="shared" si="19"/>
        <v>2</v>
      </c>
      <c r="K191" s="7"/>
      <c r="L191" s="7"/>
      <c r="M191" s="7"/>
      <c r="N191" s="7">
        <v>2</v>
      </c>
      <c r="O191" s="7"/>
      <c r="P191" s="7">
        <f t="shared" si="20"/>
        <v>2</v>
      </c>
      <c r="ET191" s="52"/>
      <c r="EU191" s="52"/>
      <c r="EV191" s="52"/>
      <c r="EW191" s="52"/>
      <c r="EX191" s="52"/>
      <c r="EY191" s="52"/>
    </row>
    <row r="192" spans="1:155" s="25" customFormat="1" ht="28.5" customHeight="1">
      <c r="A192" s="8" t="s">
        <v>147</v>
      </c>
      <c r="B192" s="6"/>
      <c r="C192" s="6"/>
      <c r="D192" s="7">
        <v>11.549</v>
      </c>
      <c r="E192" s="7"/>
      <c r="F192" s="7">
        <f t="shared" si="21"/>
        <v>11.549</v>
      </c>
      <c r="G192" s="7">
        <v>11.549</v>
      </c>
      <c r="H192" s="7"/>
      <c r="I192" s="7"/>
      <c r="J192" s="7">
        <v>11.55</v>
      </c>
      <c r="K192" s="7"/>
      <c r="L192" s="7"/>
      <c r="M192" s="7"/>
      <c r="N192" s="7">
        <v>11.549</v>
      </c>
      <c r="O192" s="7"/>
      <c r="P192" s="7">
        <v>11.55</v>
      </c>
      <c r="ET192" s="52"/>
      <c r="EU192" s="52"/>
      <c r="EV192" s="52"/>
      <c r="EW192" s="52"/>
      <c r="EX192" s="52"/>
      <c r="EY192" s="52"/>
    </row>
    <row r="193" spans="1:155" s="25" customFormat="1" ht="28.5" customHeight="1">
      <c r="A193" s="8" t="s">
        <v>210</v>
      </c>
      <c r="B193" s="6"/>
      <c r="C193" s="6"/>
      <c r="D193" s="7">
        <v>5</v>
      </c>
      <c r="E193" s="7"/>
      <c r="F193" s="7">
        <f t="shared" si="21"/>
        <v>5</v>
      </c>
      <c r="G193" s="7">
        <v>10</v>
      </c>
      <c r="H193" s="7"/>
      <c r="I193" s="7"/>
      <c r="J193" s="7">
        <f>G193</f>
        <v>10</v>
      </c>
      <c r="K193" s="7"/>
      <c r="L193" s="7"/>
      <c r="M193" s="7"/>
      <c r="N193" s="7">
        <v>15</v>
      </c>
      <c r="O193" s="7"/>
      <c r="P193" s="7">
        <f>N193</f>
        <v>15</v>
      </c>
      <c r="ET193" s="52"/>
      <c r="EU193" s="52"/>
      <c r="EV193" s="52"/>
      <c r="EW193" s="52"/>
      <c r="EX193" s="52"/>
      <c r="EY193" s="52"/>
    </row>
    <row r="194" spans="1:155" s="25" customFormat="1" ht="34.5" customHeight="1">
      <c r="A194" s="8" t="s">
        <v>211</v>
      </c>
      <c r="B194" s="6"/>
      <c r="C194" s="6"/>
      <c r="D194" s="7"/>
      <c r="E194" s="7">
        <v>3.5</v>
      </c>
      <c r="F194" s="7">
        <f t="shared" si="21"/>
        <v>0</v>
      </c>
      <c r="G194" s="7"/>
      <c r="H194" s="7">
        <v>3.5</v>
      </c>
      <c r="I194" s="7"/>
      <c r="J194" s="7">
        <f>G194</f>
        <v>0</v>
      </c>
      <c r="K194" s="7"/>
      <c r="L194" s="7"/>
      <c r="M194" s="7"/>
      <c r="N194" s="7"/>
      <c r="O194" s="7">
        <v>3.5</v>
      </c>
      <c r="P194" s="7">
        <f>N194</f>
        <v>0</v>
      </c>
      <c r="ET194" s="52"/>
      <c r="EU194" s="52"/>
      <c r="EV194" s="52"/>
      <c r="EW194" s="52"/>
      <c r="EX194" s="52"/>
      <c r="EY194" s="52"/>
    </row>
    <row r="195" spans="1:155" s="25" customFormat="1" ht="33" customHeight="1">
      <c r="A195" s="8" t="s">
        <v>227</v>
      </c>
      <c r="B195" s="6"/>
      <c r="C195" s="6"/>
      <c r="D195" s="7"/>
      <c r="E195" s="7">
        <v>10</v>
      </c>
      <c r="F195" s="7"/>
      <c r="G195" s="7"/>
      <c r="H195" s="7">
        <v>5</v>
      </c>
      <c r="I195" s="7"/>
      <c r="J195" s="7"/>
      <c r="K195" s="7"/>
      <c r="L195" s="7"/>
      <c r="M195" s="7"/>
      <c r="N195" s="7"/>
      <c r="O195" s="7">
        <v>10</v>
      </c>
      <c r="P195" s="7"/>
      <c r="ET195" s="52"/>
      <c r="EU195" s="52"/>
      <c r="EV195" s="52"/>
      <c r="EW195" s="52"/>
      <c r="EX195" s="52"/>
      <c r="EY195" s="52"/>
    </row>
    <row r="196" spans="1:155" s="25" customFormat="1" ht="11.25">
      <c r="A196" s="5" t="s">
        <v>7</v>
      </c>
      <c r="B196" s="36"/>
      <c r="C196" s="36"/>
      <c r="D196" s="29"/>
      <c r="E196" s="29"/>
      <c r="F196" s="7"/>
      <c r="G196" s="29"/>
      <c r="H196" s="29"/>
      <c r="I196" s="29"/>
      <c r="J196" s="7"/>
      <c r="K196" s="7"/>
      <c r="L196" s="7"/>
      <c r="M196" s="7"/>
      <c r="N196" s="29"/>
      <c r="O196" s="29"/>
      <c r="P196" s="7"/>
      <c r="ET196" s="52"/>
      <c r="EU196" s="52"/>
      <c r="EV196" s="52"/>
      <c r="EW196" s="52"/>
      <c r="EX196" s="52"/>
      <c r="EY196" s="52"/>
    </row>
    <row r="197" spans="1:155" s="25" customFormat="1" ht="33.75">
      <c r="A197" s="8" t="s">
        <v>93</v>
      </c>
      <c r="B197" s="36"/>
      <c r="C197" s="36"/>
      <c r="D197" s="7">
        <v>46611.41</v>
      </c>
      <c r="E197" s="29"/>
      <c r="F197" s="7">
        <f>D197</f>
        <v>46611.41</v>
      </c>
      <c r="G197" s="7">
        <v>48277.615</v>
      </c>
      <c r="H197" s="29"/>
      <c r="I197" s="29"/>
      <c r="J197" s="7">
        <f aca="true" t="shared" si="22" ref="J197:J206">G197</f>
        <v>48277.615</v>
      </c>
      <c r="K197" s="7"/>
      <c r="L197" s="7"/>
      <c r="M197" s="7"/>
      <c r="N197" s="7">
        <v>50079.48</v>
      </c>
      <c r="O197" s="29"/>
      <c r="P197" s="7">
        <f aca="true" t="shared" si="23" ref="P197:P208">N197</f>
        <v>50079.48</v>
      </c>
      <c r="ET197" s="52"/>
      <c r="EU197" s="52"/>
      <c r="EV197" s="52"/>
      <c r="EW197" s="52"/>
      <c r="EX197" s="52"/>
      <c r="EY197" s="52"/>
    </row>
    <row r="198" spans="1:155" s="25" customFormat="1" ht="22.5">
      <c r="A198" s="8" t="s">
        <v>94</v>
      </c>
      <c r="B198" s="6"/>
      <c r="C198" s="6"/>
      <c r="D198" s="7">
        <v>1850.5</v>
      </c>
      <c r="E198" s="7"/>
      <c r="F198" s="7">
        <f>D198</f>
        <v>1850.5</v>
      </c>
      <c r="G198" s="7">
        <v>1910.35</v>
      </c>
      <c r="H198" s="7"/>
      <c r="I198" s="7"/>
      <c r="J198" s="7">
        <f t="shared" si="22"/>
        <v>1910.35</v>
      </c>
      <c r="K198" s="7"/>
      <c r="L198" s="7"/>
      <c r="M198" s="7"/>
      <c r="N198" s="7">
        <v>1950.3</v>
      </c>
      <c r="O198" s="7"/>
      <c r="P198" s="7">
        <f t="shared" si="23"/>
        <v>1950.3</v>
      </c>
      <c r="ET198" s="52"/>
      <c r="EU198" s="52"/>
      <c r="EV198" s="52"/>
      <c r="EW198" s="52"/>
      <c r="EX198" s="52"/>
      <c r="EY198" s="52"/>
    </row>
    <row r="199" spans="1:155" s="25" customFormat="1" ht="22.5">
      <c r="A199" s="8" t="s">
        <v>95</v>
      </c>
      <c r="B199" s="6"/>
      <c r="C199" s="6"/>
      <c r="D199" s="7">
        <v>943.75</v>
      </c>
      <c r="E199" s="7"/>
      <c r="F199" s="7">
        <f aca="true" t="shared" si="24" ref="F199:F208">D199</f>
        <v>943.75</v>
      </c>
      <c r="G199" s="7">
        <v>975</v>
      </c>
      <c r="H199" s="7"/>
      <c r="I199" s="7"/>
      <c r="J199" s="7">
        <f t="shared" si="22"/>
        <v>975</v>
      </c>
      <c r="K199" s="7"/>
      <c r="L199" s="7"/>
      <c r="M199" s="7"/>
      <c r="N199" s="7">
        <v>1018.75</v>
      </c>
      <c r="O199" s="7"/>
      <c r="P199" s="7">
        <f t="shared" si="23"/>
        <v>1018.75</v>
      </c>
      <c r="ET199" s="52"/>
      <c r="EU199" s="52"/>
      <c r="EV199" s="52"/>
      <c r="EW199" s="52"/>
      <c r="EX199" s="52"/>
      <c r="EY199" s="52"/>
    </row>
    <row r="200" spans="1:155" s="25" customFormat="1" ht="27" customHeight="1">
      <c r="A200" s="8" t="s">
        <v>207</v>
      </c>
      <c r="B200" s="6"/>
      <c r="C200" s="6"/>
      <c r="D200" s="7"/>
      <c r="E200" s="7">
        <v>700</v>
      </c>
      <c r="F200" s="7">
        <f>E200</f>
        <v>700</v>
      </c>
      <c r="G200" s="7"/>
      <c r="H200" s="7">
        <v>800</v>
      </c>
      <c r="I200" s="7"/>
      <c r="J200" s="7">
        <f>H200</f>
        <v>800</v>
      </c>
      <c r="K200" s="7"/>
      <c r="L200" s="7"/>
      <c r="M200" s="7"/>
      <c r="N200" s="7"/>
      <c r="O200" s="7">
        <v>850.9615</v>
      </c>
      <c r="P200" s="7">
        <f>O200</f>
        <v>850.9615</v>
      </c>
      <c r="ET200" s="52"/>
      <c r="EU200" s="52"/>
      <c r="EV200" s="52"/>
      <c r="EW200" s="52"/>
      <c r="EX200" s="52"/>
      <c r="EY200" s="52"/>
    </row>
    <row r="201" spans="1:155" s="25" customFormat="1" ht="22.5" customHeight="1">
      <c r="A201" s="8" t="s">
        <v>387</v>
      </c>
      <c r="B201" s="6"/>
      <c r="C201" s="6"/>
      <c r="D201" s="7"/>
      <c r="E201" s="7"/>
      <c r="F201" s="7"/>
      <c r="G201" s="7"/>
      <c r="H201" s="7">
        <v>65.45</v>
      </c>
      <c r="I201" s="7"/>
      <c r="J201" s="7"/>
      <c r="K201" s="7"/>
      <c r="L201" s="7"/>
      <c r="M201" s="7"/>
      <c r="N201" s="7"/>
      <c r="O201" s="7"/>
      <c r="P201" s="7"/>
      <c r="ET201" s="52"/>
      <c r="EU201" s="52"/>
      <c r="EV201" s="52"/>
      <c r="EW201" s="52"/>
      <c r="EX201" s="52"/>
      <c r="EY201" s="52"/>
    </row>
    <row r="202" spans="1:155" s="25" customFormat="1" ht="27" customHeight="1">
      <c r="A202" s="8" t="s">
        <v>334</v>
      </c>
      <c r="B202" s="6"/>
      <c r="C202" s="6"/>
      <c r="D202" s="7">
        <v>500</v>
      </c>
      <c r="E202" s="7"/>
      <c r="F202" s="7"/>
      <c r="G202" s="7"/>
      <c r="H202" s="7">
        <v>1562.5</v>
      </c>
      <c r="I202" s="7"/>
      <c r="J202" s="7"/>
      <c r="K202" s="7"/>
      <c r="L202" s="7"/>
      <c r="M202" s="7"/>
      <c r="N202" s="7"/>
      <c r="O202" s="7"/>
      <c r="P202" s="7"/>
      <c r="ET202" s="52"/>
      <c r="EU202" s="52"/>
      <c r="EV202" s="52"/>
      <c r="EW202" s="52"/>
      <c r="EX202" s="52"/>
      <c r="EY202" s="52"/>
    </row>
    <row r="203" spans="1:155" s="25" customFormat="1" ht="22.5">
      <c r="A203" s="8" t="s">
        <v>96</v>
      </c>
      <c r="B203" s="6"/>
      <c r="C203" s="6"/>
      <c r="D203" s="7">
        <v>5866.6666666</v>
      </c>
      <c r="E203" s="7"/>
      <c r="F203" s="7">
        <f t="shared" si="24"/>
        <v>5866.6666666</v>
      </c>
      <c r="G203" s="7">
        <v>6433.333333</v>
      </c>
      <c r="H203" s="7"/>
      <c r="I203" s="7"/>
      <c r="J203" s="7">
        <f t="shared" si="22"/>
        <v>6433.333333</v>
      </c>
      <c r="K203" s="7"/>
      <c r="L203" s="7"/>
      <c r="M203" s="7"/>
      <c r="N203" s="7">
        <v>6966.666666</v>
      </c>
      <c r="O203" s="7"/>
      <c r="P203" s="7">
        <f t="shared" si="23"/>
        <v>6966.666666</v>
      </c>
      <c r="ET203" s="52"/>
      <c r="EU203" s="52"/>
      <c r="EV203" s="52"/>
      <c r="EW203" s="52"/>
      <c r="EX203" s="52"/>
      <c r="EY203" s="52"/>
    </row>
    <row r="204" spans="1:155" s="25" customFormat="1" ht="22.5">
      <c r="A204" s="8" t="s">
        <v>97</v>
      </c>
      <c r="B204" s="6"/>
      <c r="C204" s="6"/>
      <c r="D204" s="7">
        <v>89260.4248623</v>
      </c>
      <c r="E204" s="7"/>
      <c r="F204" s="7">
        <f t="shared" si="24"/>
        <v>89260.4248623</v>
      </c>
      <c r="G204" s="7">
        <v>93377.9176501</v>
      </c>
      <c r="H204" s="7"/>
      <c r="I204" s="7"/>
      <c r="J204" s="7">
        <f t="shared" si="22"/>
        <v>93377.9176501</v>
      </c>
      <c r="K204" s="7"/>
      <c r="L204" s="7"/>
      <c r="M204" s="7"/>
      <c r="N204" s="7">
        <v>98806.7138735</v>
      </c>
      <c r="O204" s="7"/>
      <c r="P204" s="7">
        <f t="shared" si="23"/>
        <v>98806.7138735</v>
      </c>
      <c r="ET204" s="52"/>
      <c r="EU204" s="52"/>
      <c r="EV204" s="52"/>
      <c r="EW204" s="52"/>
      <c r="EX204" s="52"/>
      <c r="EY204" s="52"/>
    </row>
    <row r="205" spans="1:155" s="25" customFormat="1" ht="29.25" customHeight="1">
      <c r="A205" s="8" t="s">
        <v>225</v>
      </c>
      <c r="B205" s="6"/>
      <c r="C205" s="6"/>
      <c r="D205" s="7">
        <v>38000</v>
      </c>
      <c r="E205" s="7"/>
      <c r="F205" s="7">
        <f t="shared" si="24"/>
        <v>38000</v>
      </c>
      <c r="G205" s="7">
        <v>38000</v>
      </c>
      <c r="H205" s="7"/>
      <c r="I205" s="7"/>
      <c r="J205" s="7">
        <f t="shared" si="22"/>
        <v>38000</v>
      </c>
      <c r="K205" s="7"/>
      <c r="L205" s="7"/>
      <c r="M205" s="7"/>
      <c r="N205" s="7">
        <v>38000</v>
      </c>
      <c r="O205" s="7"/>
      <c r="P205" s="7">
        <f t="shared" si="23"/>
        <v>38000</v>
      </c>
      <c r="ET205" s="52"/>
      <c r="EU205" s="52"/>
      <c r="EV205" s="52"/>
      <c r="EW205" s="52"/>
      <c r="EX205" s="52"/>
      <c r="EY205" s="52"/>
    </row>
    <row r="206" spans="1:155" s="25" customFormat="1" ht="27" customHeight="1">
      <c r="A206" s="8" t="s">
        <v>136</v>
      </c>
      <c r="B206" s="6"/>
      <c r="C206" s="6"/>
      <c r="D206" s="7">
        <v>3988</v>
      </c>
      <c r="E206" s="7"/>
      <c r="F206" s="7">
        <f t="shared" si="24"/>
        <v>3988</v>
      </c>
      <c r="G206" s="7">
        <v>4000</v>
      </c>
      <c r="H206" s="7"/>
      <c r="I206" s="7"/>
      <c r="J206" s="7">
        <f t="shared" si="22"/>
        <v>4000</v>
      </c>
      <c r="K206" s="7"/>
      <c r="L206" s="7"/>
      <c r="M206" s="7"/>
      <c r="N206" s="7">
        <v>4100</v>
      </c>
      <c r="O206" s="7"/>
      <c r="P206" s="7">
        <f t="shared" si="23"/>
        <v>4100</v>
      </c>
      <c r="ET206" s="52"/>
      <c r="EU206" s="52"/>
      <c r="EV206" s="52"/>
      <c r="EW206" s="52"/>
      <c r="EX206" s="52"/>
      <c r="EY206" s="52"/>
    </row>
    <row r="207" spans="1:155" s="25" customFormat="1" ht="33.75" customHeight="1">
      <c r="A207" s="8" t="s">
        <v>148</v>
      </c>
      <c r="B207" s="6"/>
      <c r="C207" s="6"/>
      <c r="D207" s="7">
        <v>12122.2616676</v>
      </c>
      <c r="E207" s="7"/>
      <c r="F207" s="7">
        <f t="shared" si="24"/>
        <v>12122.2616676</v>
      </c>
      <c r="G207" s="7">
        <v>17317.5166681</v>
      </c>
      <c r="H207" s="7"/>
      <c r="I207" s="7"/>
      <c r="J207" s="7">
        <f>G207</f>
        <v>17317.5166681</v>
      </c>
      <c r="K207" s="7"/>
      <c r="L207" s="7"/>
      <c r="M207" s="7"/>
      <c r="N207" s="7">
        <v>22512.7716685</v>
      </c>
      <c r="O207" s="7"/>
      <c r="P207" s="7">
        <f t="shared" si="23"/>
        <v>22512.7716685</v>
      </c>
      <c r="ET207" s="52"/>
      <c r="EU207" s="52"/>
      <c r="EV207" s="52"/>
      <c r="EW207" s="52"/>
      <c r="EX207" s="52"/>
      <c r="EY207" s="52"/>
    </row>
    <row r="208" spans="1:155" s="25" customFormat="1" ht="33.75" customHeight="1">
      <c r="A208" s="8" t="s">
        <v>212</v>
      </c>
      <c r="B208" s="6"/>
      <c r="C208" s="6"/>
      <c r="D208" s="7">
        <v>200000</v>
      </c>
      <c r="E208" s="7"/>
      <c r="F208" s="7">
        <f t="shared" si="24"/>
        <v>200000</v>
      </c>
      <c r="G208" s="7">
        <v>120000</v>
      </c>
      <c r="H208" s="7"/>
      <c r="I208" s="7"/>
      <c r="J208" s="7">
        <f>G208</f>
        <v>120000</v>
      </c>
      <c r="K208" s="7"/>
      <c r="L208" s="7"/>
      <c r="M208" s="7"/>
      <c r="N208" s="7">
        <v>100000</v>
      </c>
      <c r="O208" s="7"/>
      <c r="P208" s="7">
        <f t="shared" si="23"/>
        <v>100000</v>
      </c>
      <c r="ET208" s="52"/>
      <c r="EU208" s="52"/>
      <c r="EV208" s="52"/>
      <c r="EW208" s="52"/>
      <c r="EX208" s="52"/>
      <c r="EY208" s="52"/>
    </row>
    <row r="209" spans="1:155" s="25" customFormat="1" ht="36" customHeight="1">
      <c r="A209" s="8" t="s">
        <v>232</v>
      </c>
      <c r="B209" s="6"/>
      <c r="C209" s="6"/>
      <c r="D209" s="7"/>
      <c r="E209" s="7">
        <v>1428571.42857</v>
      </c>
      <c r="F209" s="7"/>
      <c r="G209" s="7"/>
      <c r="H209" s="7">
        <v>1428571.42857</v>
      </c>
      <c r="I209" s="7"/>
      <c r="J209" s="7"/>
      <c r="K209" s="7"/>
      <c r="L209" s="7"/>
      <c r="M209" s="7"/>
      <c r="N209" s="7"/>
      <c r="O209" s="7">
        <v>1428571.42857</v>
      </c>
      <c r="P209" s="7"/>
      <c r="ET209" s="52"/>
      <c r="EU209" s="52"/>
      <c r="EV209" s="52"/>
      <c r="EW209" s="52"/>
      <c r="EX209" s="52"/>
      <c r="EY209" s="52"/>
    </row>
    <row r="210" spans="1:155" s="25" customFormat="1" ht="42" customHeight="1">
      <c r="A210" s="8" t="s">
        <v>228</v>
      </c>
      <c r="B210" s="6"/>
      <c r="C210" s="6"/>
      <c r="D210" s="7"/>
      <c r="E210" s="7">
        <v>1800000</v>
      </c>
      <c r="F210" s="7"/>
      <c r="G210" s="7"/>
      <c r="H210" s="7">
        <v>3600000</v>
      </c>
      <c r="I210" s="7"/>
      <c r="J210" s="7"/>
      <c r="K210" s="7"/>
      <c r="L210" s="7"/>
      <c r="M210" s="7"/>
      <c r="N210" s="7"/>
      <c r="O210" s="7">
        <v>1800000</v>
      </c>
      <c r="P210" s="7"/>
      <c r="ET210" s="52"/>
      <c r="EU210" s="52"/>
      <c r="EV210" s="52"/>
      <c r="EW210" s="52"/>
      <c r="EX210" s="52"/>
      <c r="EY210" s="52"/>
    </row>
    <row r="211" spans="1:155" s="25" customFormat="1" ht="11.25">
      <c r="A211" s="5" t="s">
        <v>6</v>
      </c>
      <c r="B211" s="36"/>
      <c r="C211" s="36"/>
      <c r="D211" s="29"/>
      <c r="E211" s="29"/>
      <c r="F211" s="7"/>
      <c r="G211" s="29"/>
      <c r="H211" s="29"/>
      <c r="I211" s="29"/>
      <c r="J211" s="7"/>
      <c r="K211" s="7"/>
      <c r="L211" s="7"/>
      <c r="M211" s="7"/>
      <c r="N211" s="29"/>
      <c r="O211" s="29"/>
      <c r="P211" s="7"/>
      <c r="ET211" s="52"/>
      <c r="EU211" s="52"/>
      <c r="EV211" s="52"/>
      <c r="EW211" s="52"/>
      <c r="EX211" s="52"/>
      <c r="EY211" s="52"/>
    </row>
    <row r="212" spans="1:155" s="25" customFormat="1" ht="39" customHeight="1">
      <c r="A212" s="8" t="s">
        <v>98</v>
      </c>
      <c r="B212" s="6"/>
      <c r="C212" s="6"/>
      <c r="D212" s="7">
        <f>D183/D170*100</f>
        <v>100</v>
      </c>
      <c r="E212" s="7"/>
      <c r="F212" s="7">
        <f aca="true" t="shared" si="25" ref="F212:G214">F183/F170*100</f>
        <v>100</v>
      </c>
      <c r="G212" s="7">
        <f t="shared" si="25"/>
        <v>100</v>
      </c>
      <c r="H212" s="7"/>
      <c r="I212" s="7"/>
      <c r="J212" s="7">
        <f aca="true" t="shared" si="26" ref="J212:N214">J183/J170*100</f>
        <v>100</v>
      </c>
      <c r="K212" s="7" t="e">
        <f t="shared" si="26"/>
        <v>#DIV/0!</v>
      </c>
      <c r="L212" s="7" t="e">
        <f t="shared" si="26"/>
        <v>#DIV/0!</v>
      </c>
      <c r="M212" s="7" t="e">
        <f t="shared" si="26"/>
        <v>#DIV/0!</v>
      </c>
      <c r="N212" s="7">
        <f t="shared" si="26"/>
        <v>100</v>
      </c>
      <c r="O212" s="7"/>
      <c r="P212" s="7">
        <f>P183/P170*100</f>
        <v>100</v>
      </c>
      <c r="ET212" s="52"/>
      <c r="EU212" s="52"/>
      <c r="EV212" s="52"/>
      <c r="EW212" s="52"/>
      <c r="EX212" s="52"/>
      <c r="EY212" s="52"/>
    </row>
    <row r="213" spans="1:155" s="25" customFormat="1" ht="41.25" customHeight="1">
      <c r="A213" s="8" t="s">
        <v>99</v>
      </c>
      <c r="B213" s="6"/>
      <c r="C213" s="6"/>
      <c r="D213" s="7">
        <f>D184/D171*100</f>
        <v>18.969072164948454</v>
      </c>
      <c r="E213" s="7"/>
      <c r="F213" s="7">
        <f t="shared" si="25"/>
        <v>18.969072164948454</v>
      </c>
      <c r="G213" s="7">
        <f t="shared" si="25"/>
        <v>18.969072164948454</v>
      </c>
      <c r="H213" s="7"/>
      <c r="I213" s="7"/>
      <c r="J213" s="7">
        <f t="shared" si="26"/>
        <v>18.969072164948454</v>
      </c>
      <c r="K213" s="7" t="e">
        <f t="shared" si="26"/>
        <v>#DIV/0!</v>
      </c>
      <c r="L213" s="7" t="e">
        <f t="shared" si="26"/>
        <v>#DIV/0!</v>
      </c>
      <c r="M213" s="7" t="e">
        <f t="shared" si="26"/>
        <v>#DIV/0!</v>
      </c>
      <c r="N213" s="7">
        <f t="shared" si="26"/>
        <v>18.969072164948454</v>
      </c>
      <c r="O213" s="7"/>
      <c r="P213" s="7">
        <f>P184/P171*100</f>
        <v>18.969072164948454</v>
      </c>
      <c r="ET213" s="52"/>
      <c r="EU213" s="52"/>
      <c r="EV213" s="52"/>
      <c r="EW213" s="52"/>
      <c r="EX213" s="52"/>
      <c r="EY213" s="52"/>
    </row>
    <row r="214" spans="1:155" s="25" customFormat="1" ht="35.25" customHeight="1">
      <c r="A214" s="8" t="s">
        <v>100</v>
      </c>
      <c r="B214" s="6"/>
      <c r="C214" s="6"/>
      <c r="D214" s="7">
        <f>D185/D172*100</f>
        <v>9.744214372716199</v>
      </c>
      <c r="E214" s="7"/>
      <c r="F214" s="7">
        <f t="shared" si="25"/>
        <v>9.744214372716199</v>
      </c>
      <c r="G214" s="7">
        <f t="shared" si="25"/>
        <v>9.744214372716199</v>
      </c>
      <c r="H214" s="7"/>
      <c r="I214" s="7"/>
      <c r="J214" s="7">
        <f t="shared" si="26"/>
        <v>9.744214372716199</v>
      </c>
      <c r="K214" s="7" t="e">
        <f t="shared" si="26"/>
        <v>#DIV/0!</v>
      </c>
      <c r="L214" s="7" t="e">
        <f t="shared" si="26"/>
        <v>#DIV/0!</v>
      </c>
      <c r="M214" s="7" t="e">
        <f t="shared" si="26"/>
        <v>#DIV/0!</v>
      </c>
      <c r="N214" s="7">
        <f t="shared" si="26"/>
        <v>9.744214372716199</v>
      </c>
      <c r="O214" s="7"/>
      <c r="P214" s="7">
        <f>P185/P172*100</f>
        <v>9.744214372716199</v>
      </c>
      <c r="ET214" s="52"/>
      <c r="EU214" s="52"/>
      <c r="EV214" s="52"/>
      <c r="EW214" s="52"/>
      <c r="EX214" s="52"/>
      <c r="EY214" s="52"/>
    </row>
    <row r="215" spans="1:155" s="25" customFormat="1" ht="27.75" customHeight="1">
      <c r="A215" s="33" t="s">
        <v>374</v>
      </c>
      <c r="B215" s="20"/>
      <c r="C215" s="20"/>
      <c r="D215" s="42"/>
      <c r="E215" s="56">
        <f>SUM(E217)</f>
        <v>138333</v>
      </c>
      <c r="F215" s="56">
        <f>SUM(E215)</f>
        <v>138333</v>
      </c>
      <c r="G215" s="44"/>
      <c r="H215" s="44">
        <f>H217</f>
        <v>700000</v>
      </c>
      <c r="I215" s="44"/>
      <c r="J215" s="44">
        <f>H215</f>
        <v>700000</v>
      </c>
      <c r="K215" s="44">
        <f>I215</f>
        <v>0</v>
      </c>
      <c r="L215" s="44">
        <f>J215</f>
        <v>700000</v>
      </c>
      <c r="M215" s="44">
        <f>K215</f>
        <v>0</v>
      </c>
      <c r="N215" s="44"/>
      <c r="O215" s="44">
        <f>O217</f>
        <v>156891</v>
      </c>
      <c r="P215" s="44">
        <f>P217</f>
        <v>156891</v>
      </c>
      <c r="ET215" s="52"/>
      <c r="EU215" s="52"/>
      <c r="EV215" s="52"/>
      <c r="EW215" s="52"/>
      <c r="EX215" s="52"/>
      <c r="EY215" s="52"/>
    </row>
    <row r="216" spans="1:155" s="25" customFormat="1" ht="9.75" customHeight="1">
      <c r="A216" s="13" t="s">
        <v>4</v>
      </c>
      <c r="B216" s="20"/>
      <c r="C216" s="20"/>
      <c r="D216" s="42"/>
      <c r="E216" s="43"/>
      <c r="F216" s="43"/>
      <c r="G216" s="43"/>
      <c r="H216" s="43"/>
      <c r="I216" s="43"/>
      <c r="J216" s="43">
        <f aca="true" t="shared" si="27" ref="J216:J221">H216</f>
        <v>0</v>
      </c>
      <c r="K216" s="43"/>
      <c r="L216" s="43"/>
      <c r="M216" s="43"/>
      <c r="N216" s="43"/>
      <c r="O216" s="43"/>
      <c r="P216" s="43"/>
      <c r="ET216" s="52"/>
      <c r="EU216" s="52"/>
      <c r="EV216" s="52"/>
      <c r="EW216" s="52"/>
      <c r="EX216" s="52"/>
      <c r="EY216" s="52"/>
    </row>
    <row r="217" spans="1:155" s="25" customFormat="1" ht="18.75" customHeight="1">
      <c r="A217" s="16" t="s">
        <v>196</v>
      </c>
      <c r="B217" s="45"/>
      <c r="C217" s="45"/>
      <c r="D217" s="46"/>
      <c r="E217" s="47">
        <v>138333</v>
      </c>
      <c r="F217" s="47">
        <f>SUM(E217)</f>
        <v>138333</v>
      </c>
      <c r="G217" s="26"/>
      <c r="H217" s="47">
        <v>700000</v>
      </c>
      <c r="I217" s="26"/>
      <c r="J217" s="43">
        <f t="shared" si="27"/>
        <v>700000</v>
      </c>
      <c r="K217" s="47"/>
      <c r="L217" s="47"/>
      <c r="M217" s="47"/>
      <c r="N217" s="47"/>
      <c r="O217" s="47">
        <f>O219*O221+0.2</f>
        <v>156891</v>
      </c>
      <c r="P217" s="47">
        <f>O217</f>
        <v>156891</v>
      </c>
      <c r="ET217" s="52"/>
      <c r="EU217" s="52"/>
      <c r="EV217" s="52"/>
      <c r="EW217" s="52"/>
      <c r="EX217" s="52"/>
      <c r="EY217" s="52"/>
    </row>
    <row r="218" spans="1:155" s="25" customFormat="1" ht="15" customHeight="1">
      <c r="A218" s="5" t="s">
        <v>5</v>
      </c>
      <c r="B218" s="20"/>
      <c r="C218" s="20"/>
      <c r="D218" s="48"/>
      <c r="E218" s="43"/>
      <c r="F218" s="47">
        <f>SUM(E218)</f>
        <v>0</v>
      </c>
      <c r="G218" s="49"/>
      <c r="H218" s="43"/>
      <c r="I218" s="49"/>
      <c r="J218" s="43">
        <f t="shared" si="27"/>
        <v>0</v>
      </c>
      <c r="K218" s="43"/>
      <c r="L218" s="43"/>
      <c r="M218" s="43"/>
      <c r="N218" s="43"/>
      <c r="O218" s="43"/>
      <c r="P218" s="43"/>
      <c r="ET218" s="52"/>
      <c r="EU218" s="52"/>
      <c r="EV218" s="52"/>
      <c r="EW218" s="52"/>
      <c r="EX218" s="52"/>
      <c r="EY218" s="52"/>
    </row>
    <row r="219" spans="1:155" s="25" customFormat="1" ht="27.75" customHeight="1">
      <c r="A219" s="8" t="s">
        <v>339</v>
      </c>
      <c r="B219" s="20"/>
      <c r="C219" s="20"/>
      <c r="D219" s="48"/>
      <c r="E219" s="43">
        <v>260</v>
      </c>
      <c r="F219" s="47">
        <f>SUM(E219)</f>
        <v>260</v>
      </c>
      <c r="G219" s="49"/>
      <c r="H219" s="43">
        <v>780</v>
      </c>
      <c r="I219" s="49"/>
      <c r="J219" s="43">
        <f t="shared" si="27"/>
        <v>780</v>
      </c>
      <c r="K219" s="43"/>
      <c r="L219" s="43"/>
      <c r="M219" s="43"/>
      <c r="N219" s="43"/>
      <c r="O219" s="43">
        <v>440</v>
      </c>
      <c r="P219" s="43">
        <v>115</v>
      </c>
      <c r="ET219" s="52"/>
      <c r="EU219" s="52"/>
      <c r="EV219" s="52"/>
      <c r="EW219" s="52"/>
      <c r="EX219" s="52"/>
      <c r="EY219" s="52"/>
    </row>
    <row r="220" spans="1:155" s="25" customFormat="1" ht="12.75" customHeight="1">
      <c r="A220" s="19" t="s">
        <v>7</v>
      </c>
      <c r="B220" s="20"/>
      <c r="C220" s="20"/>
      <c r="D220" s="48"/>
      <c r="E220" s="43"/>
      <c r="F220" s="47">
        <f>SUM(E220)</f>
        <v>0</v>
      </c>
      <c r="G220" s="49"/>
      <c r="H220" s="43"/>
      <c r="I220" s="49"/>
      <c r="J220" s="43">
        <f t="shared" si="27"/>
        <v>0</v>
      </c>
      <c r="K220" s="43"/>
      <c r="L220" s="43"/>
      <c r="M220" s="43"/>
      <c r="N220" s="43"/>
      <c r="O220" s="43"/>
      <c r="P220" s="43"/>
      <c r="ET220" s="52"/>
      <c r="EU220" s="52"/>
      <c r="EV220" s="52"/>
      <c r="EW220" s="52"/>
      <c r="EX220" s="52"/>
      <c r="EY220" s="52"/>
    </row>
    <row r="221" spans="1:155" s="25" customFormat="1" ht="24.75" customHeight="1">
      <c r="A221" s="8" t="s">
        <v>340</v>
      </c>
      <c r="B221" s="6"/>
      <c r="C221" s="6"/>
      <c r="D221" s="7"/>
      <c r="E221" s="7">
        <f>SUM(E217)/E219</f>
        <v>532.05</v>
      </c>
      <c r="F221" s="47">
        <f>SUM(E221)</f>
        <v>532.05</v>
      </c>
      <c r="G221" s="7"/>
      <c r="H221" s="7">
        <f>H217/H219</f>
        <v>897.4358974358975</v>
      </c>
      <c r="I221" s="7"/>
      <c r="J221" s="43">
        <f t="shared" si="27"/>
        <v>897.4358974358975</v>
      </c>
      <c r="K221" s="7"/>
      <c r="L221" s="7"/>
      <c r="M221" s="7"/>
      <c r="N221" s="7"/>
      <c r="O221" s="7">
        <v>356.57</v>
      </c>
      <c r="P221" s="7">
        <v>356.52</v>
      </c>
      <c r="ET221" s="52"/>
      <c r="EU221" s="52"/>
      <c r="EV221" s="52"/>
      <c r="EW221" s="52"/>
      <c r="EX221" s="52"/>
      <c r="EY221" s="52"/>
    </row>
    <row r="222" spans="1:155" s="166" customFormat="1" ht="45">
      <c r="A222" s="163" t="s">
        <v>375</v>
      </c>
      <c r="B222" s="164"/>
      <c r="C222" s="164"/>
      <c r="D222" s="165">
        <f>D224+D225+D226+D228</f>
        <v>20696700</v>
      </c>
      <c r="E222" s="165">
        <f>E229</f>
        <v>1000000</v>
      </c>
      <c r="F222" s="165">
        <f>D222+E222</f>
        <v>21696700</v>
      </c>
      <c r="G222" s="165">
        <f>G224+G225+G226+G228+120000</f>
        <v>21211500</v>
      </c>
      <c r="H222" s="165">
        <f>H229</f>
        <v>1500000</v>
      </c>
      <c r="I222" s="165"/>
      <c r="J222" s="165">
        <f>G222+H222</f>
        <v>22711500</v>
      </c>
      <c r="K222" s="165" t="e">
        <f>(K224*K237)+(K232*K238)+(K233*K239)+(#REF!*#REF!)+11.5</f>
        <v>#REF!</v>
      </c>
      <c r="L222" s="165" t="e">
        <f>(L224*L237)+(L232*L238)+(L233*L239)+(#REF!*#REF!)+11.5</f>
        <v>#REF!</v>
      </c>
      <c r="M222" s="165" t="e">
        <f>(M224*M237)+(M232*M238)+(M233*M239)+(#REF!*#REF!)+11.5</f>
        <v>#REF!</v>
      </c>
      <c r="N222" s="165">
        <f>N224+N225+N226+N228+125000-125000</f>
        <v>22846092</v>
      </c>
      <c r="O222" s="165">
        <f>O229</f>
        <v>2000000</v>
      </c>
      <c r="P222" s="165">
        <f>N222+O222</f>
        <v>24846092</v>
      </c>
      <c r="ET222" s="167"/>
      <c r="EU222" s="167"/>
      <c r="EV222" s="167"/>
      <c r="EW222" s="167"/>
      <c r="EX222" s="167"/>
      <c r="EY222" s="167"/>
    </row>
    <row r="223" spans="1:155" s="25" customFormat="1" ht="11.25">
      <c r="A223" s="5" t="s">
        <v>4</v>
      </c>
      <c r="B223" s="36"/>
      <c r="C223" s="36"/>
      <c r="D223" s="29"/>
      <c r="E223" s="29"/>
      <c r="F223" s="29"/>
      <c r="G223" s="29"/>
      <c r="H223" s="29"/>
      <c r="I223" s="29"/>
      <c r="J223" s="7"/>
      <c r="K223" s="7"/>
      <c r="L223" s="7"/>
      <c r="M223" s="7"/>
      <c r="N223" s="29"/>
      <c r="O223" s="29"/>
      <c r="P223" s="7"/>
      <c r="ET223" s="52"/>
      <c r="EU223" s="52"/>
      <c r="EV223" s="52"/>
      <c r="EW223" s="52"/>
      <c r="EX223" s="52"/>
      <c r="EY223" s="52"/>
    </row>
    <row r="224" spans="1:155" s="25" customFormat="1" ht="22.5">
      <c r="A224" s="8" t="s">
        <v>215</v>
      </c>
      <c r="B224" s="6"/>
      <c r="C224" s="6"/>
      <c r="D224" s="7">
        <f>15203900+116000</f>
        <v>15319900</v>
      </c>
      <c r="E224" s="7"/>
      <c r="F224" s="7">
        <f>D224+E224</f>
        <v>15319900</v>
      </c>
      <c r="G224" s="7">
        <f>15303500+98000</f>
        <v>15401500</v>
      </c>
      <c r="H224" s="7"/>
      <c r="I224" s="7"/>
      <c r="J224" s="7">
        <f>G224+H224</f>
        <v>15401500</v>
      </c>
      <c r="K224" s="7"/>
      <c r="L224" s="7"/>
      <c r="M224" s="7"/>
      <c r="N224" s="7">
        <f>15404000+1506000+3000+125000</f>
        <v>17038000</v>
      </c>
      <c r="O224" s="7"/>
      <c r="P224" s="7">
        <f>N224+O224</f>
        <v>17038000</v>
      </c>
      <c r="ET224" s="52"/>
      <c r="EU224" s="52"/>
      <c r="EV224" s="52"/>
      <c r="EW224" s="52"/>
      <c r="EX224" s="52"/>
      <c r="EY224" s="52"/>
    </row>
    <row r="225" spans="1:155" s="25" customFormat="1" ht="22.5">
      <c r="A225" s="8" t="s">
        <v>213</v>
      </c>
      <c r="B225" s="6"/>
      <c r="C225" s="6"/>
      <c r="D225" s="7">
        <v>4800200</v>
      </c>
      <c r="E225" s="7"/>
      <c r="F225" s="7">
        <f aca="true" t="shared" si="28" ref="F225:F245">D225+E225</f>
        <v>4800200</v>
      </c>
      <c r="G225" s="7">
        <f>G232*G238</f>
        <v>5100000</v>
      </c>
      <c r="H225" s="7"/>
      <c r="I225" s="7"/>
      <c r="J225" s="7">
        <f aca="true" t="shared" si="29" ref="J225:J245">G225+H225</f>
        <v>5100000</v>
      </c>
      <c r="K225" s="7"/>
      <c r="L225" s="7"/>
      <c r="M225" s="7"/>
      <c r="N225" s="7">
        <f>N232*N238</f>
        <v>5200000</v>
      </c>
      <c r="O225" s="7"/>
      <c r="P225" s="7">
        <f aca="true" t="shared" si="30" ref="P225:P245">N225+O225</f>
        <v>5200000</v>
      </c>
      <c r="ET225" s="52"/>
      <c r="EU225" s="52"/>
      <c r="EV225" s="52"/>
      <c r="EW225" s="52"/>
      <c r="EX225" s="52"/>
      <c r="EY225" s="52"/>
    </row>
    <row r="226" spans="1:155" s="25" customFormat="1" ht="31.5" customHeight="1">
      <c r="A226" s="8" t="s">
        <v>214</v>
      </c>
      <c r="B226" s="6"/>
      <c r="C226" s="6"/>
      <c r="D226" s="7">
        <v>401600</v>
      </c>
      <c r="E226" s="7"/>
      <c r="F226" s="7">
        <f t="shared" si="28"/>
        <v>401600</v>
      </c>
      <c r="G226" s="7">
        <f>G233*G239</f>
        <v>410000</v>
      </c>
      <c r="H226" s="7"/>
      <c r="I226" s="7"/>
      <c r="J226" s="7">
        <f t="shared" si="29"/>
        <v>410000</v>
      </c>
      <c r="K226" s="7"/>
      <c r="L226" s="7"/>
      <c r="M226" s="7"/>
      <c r="N226" s="7">
        <f>N233*N239</f>
        <v>415000</v>
      </c>
      <c r="O226" s="7"/>
      <c r="P226" s="7">
        <f t="shared" si="30"/>
        <v>415000</v>
      </c>
      <c r="ET226" s="52"/>
      <c r="EU226" s="52"/>
      <c r="EV226" s="52"/>
      <c r="EW226" s="52"/>
      <c r="EX226" s="52"/>
      <c r="EY226" s="52"/>
    </row>
    <row r="227" spans="1:155" s="25" customFormat="1" ht="22.5" hidden="1">
      <c r="A227" s="8" t="s">
        <v>172</v>
      </c>
      <c r="B227" s="6"/>
      <c r="C227" s="6"/>
      <c r="D227" s="7"/>
      <c r="E227" s="7"/>
      <c r="F227" s="7">
        <f t="shared" si="28"/>
        <v>0</v>
      </c>
      <c r="G227" s="7"/>
      <c r="H227" s="7">
        <v>1</v>
      </c>
      <c r="I227" s="7"/>
      <c r="J227" s="7">
        <f t="shared" si="29"/>
        <v>1</v>
      </c>
      <c r="K227" s="7"/>
      <c r="L227" s="7"/>
      <c r="M227" s="7"/>
      <c r="N227" s="7"/>
      <c r="O227" s="7"/>
      <c r="P227" s="7">
        <f t="shared" si="30"/>
        <v>0</v>
      </c>
      <c r="ET227" s="52"/>
      <c r="EU227" s="52"/>
      <c r="EV227" s="52"/>
      <c r="EW227" s="52"/>
      <c r="EX227" s="52"/>
      <c r="EY227" s="52"/>
    </row>
    <row r="228" spans="1:155" s="25" customFormat="1" ht="30.75" customHeight="1">
      <c r="A228" s="8" t="s">
        <v>216</v>
      </c>
      <c r="B228" s="6"/>
      <c r="C228" s="6"/>
      <c r="D228" s="7">
        <f>SUM(D235)*D240</f>
        <v>175000</v>
      </c>
      <c r="E228" s="7"/>
      <c r="F228" s="7">
        <f>D228+E228</f>
        <v>175000</v>
      </c>
      <c r="G228" s="7">
        <f>SUM(G235)*G240</f>
        <v>180000</v>
      </c>
      <c r="H228" s="7"/>
      <c r="I228" s="7"/>
      <c r="J228" s="7">
        <f>G228+H228</f>
        <v>180000</v>
      </c>
      <c r="K228" s="7"/>
      <c r="L228" s="7"/>
      <c r="M228" s="7"/>
      <c r="N228" s="7">
        <f>SUM(N235)*N240-822</f>
        <v>193092</v>
      </c>
      <c r="O228" s="7"/>
      <c r="P228" s="7">
        <f>N228+O228</f>
        <v>193092</v>
      </c>
      <c r="ET228" s="52"/>
      <c r="EU228" s="52"/>
      <c r="EV228" s="52"/>
      <c r="EW228" s="52"/>
      <c r="EX228" s="52"/>
      <c r="EY228" s="52"/>
    </row>
    <row r="229" spans="1:155" s="25" customFormat="1" ht="33.75">
      <c r="A229" s="8" t="s">
        <v>217</v>
      </c>
      <c r="B229" s="6"/>
      <c r="C229" s="6"/>
      <c r="D229" s="7"/>
      <c r="E229" s="7">
        <v>1000000</v>
      </c>
      <c r="F229" s="7">
        <f t="shared" si="28"/>
        <v>1000000</v>
      </c>
      <c r="G229" s="7"/>
      <c r="H229" s="7">
        <v>1500000</v>
      </c>
      <c r="I229" s="7"/>
      <c r="J229" s="7">
        <f t="shared" si="29"/>
        <v>1500000</v>
      </c>
      <c r="K229" s="7"/>
      <c r="L229" s="7"/>
      <c r="M229" s="7"/>
      <c r="N229" s="7"/>
      <c r="O229" s="7">
        <v>2000000</v>
      </c>
      <c r="P229" s="7">
        <f t="shared" si="30"/>
        <v>2000000</v>
      </c>
      <c r="ET229" s="52"/>
      <c r="EU229" s="52"/>
      <c r="EV229" s="52"/>
      <c r="EW229" s="52"/>
      <c r="EX229" s="52"/>
      <c r="EY229" s="52"/>
    </row>
    <row r="230" spans="1:155" s="25" customFormat="1" ht="11.25">
      <c r="A230" s="5" t="s">
        <v>5</v>
      </c>
      <c r="B230" s="36"/>
      <c r="C230" s="36"/>
      <c r="D230" s="29"/>
      <c r="E230" s="29"/>
      <c r="F230" s="7">
        <f t="shared" si="28"/>
        <v>0</v>
      </c>
      <c r="G230" s="29"/>
      <c r="H230" s="29"/>
      <c r="I230" s="29"/>
      <c r="J230" s="7">
        <f t="shared" si="29"/>
        <v>0</v>
      </c>
      <c r="K230" s="7"/>
      <c r="L230" s="7"/>
      <c r="M230" s="7"/>
      <c r="N230" s="29"/>
      <c r="O230" s="29"/>
      <c r="P230" s="7">
        <f t="shared" si="30"/>
        <v>0</v>
      </c>
      <c r="ET230" s="52"/>
      <c r="EU230" s="52"/>
      <c r="EV230" s="52"/>
      <c r="EW230" s="52"/>
      <c r="EX230" s="52"/>
      <c r="EY230" s="52"/>
    </row>
    <row r="231" spans="1:155" s="25" customFormat="1" ht="22.5">
      <c r="A231" s="8" t="s">
        <v>218</v>
      </c>
      <c r="B231" s="6"/>
      <c r="C231" s="6"/>
      <c r="D231" s="7">
        <v>13</v>
      </c>
      <c r="E231" s="7"/>
      <c r="F231" s="7">
        <f t="shared" si="28"/>
        <v>13</v>
      </c>
      <c r="G231" s="7">
        <v>13</v>
      </c>
      <c r="H231" s="7"/>
      <c r="I231" s="7"/>
      <c r="J231" s="7">
        <f t="shared" si="29"/>
        <v>13</v>
      </c>
      <c r="K231" s="7"/>
      <c r="L231" s="7"/>
      <c r="M231" s="7"/>
      <c r="N231" s="7">
        <v>13</v>
      </c>
      <c r="O231" s="7"/>
      <c r="P231" s="7">
        <f t="shared" si="30"/>
        <v>13</v>
      </c>
      <c r="ET231" s="52"/>
      <c r="EU231" s="52"/>
      <c r="EV231" s="52"/>
      <c r="EW231" s="52"/>
      <c r="EX231" s="52"/>
      <c r="EY231" s="52"/>
    </row>
    <row r="232" spans="1:155" s="25" customFormat="1" ht="22.5">
      <c r="A232" s="8" t="s">
        <v>183</v>
      </c>
      <c r="B232" s="6"/>
      <c r="C232" s="6"/>
      <c r="D232" s="7">
        <v>1600</v>
      </c>
      <c r="E232" s="7"/>
      <c r="F232" s="7">
        <f t="shared" si="28"/>
        <v>1600</v>
      </c>
      <c r="G232" s="7">
        <v>1600</v>
      </c>
      <c r="H232" s="7"/>
      <c r="I232" s="7"/>
      <c r="J232" s="7">
        <f t="shared" si="29"/>
        <v>1600</v>
      </c>
      <c r="K232" s="7"/>
      <c r="L232" s="7"/>
      <c r="M232" s="7"/>
      <c r="N232" s="7">
        <v>1600</v>
      </c>
      <c r="O232" s="7"/>
      <c r="P232" s="7">
        <f t="shared" si="30"/>
        <v>1600</v>
      </c>
      <c r="ET232" s="52"/>
      <c r="EU232" s="52"/>
      <c r="EV232" s="52"/>
      <c r="EW232" s="52"/>
      <c r="EX232" s="52"/>
      <c r="EY232" s="52"/>
    </row>
    <row r="233" spans="1:155" s="25" customFormat="1" ht="21.75" customHeight="1">
      <c r="A233" s="8" t="s">
        <v>103</v>
      </c>
      <c r="B233" s="6"/>
      <c r="C233" s="6"/>
      <c r="D233" s="7">
        <v>2</v>
      </c>
      <c r="E233" s="7"/>
      <c r="F233" s="7">
        <f t="shared" si="28"/>
        <v>2</v>
      </c>
      <c r="G233" s="7">
        <v>2</v>
      </c>
      <c r="H233" s="7"/>
      <c r="I233" s="7"/>
      <c r="J233" s="7">
        <f t="shared" si="29"/>
        <v>2</v>
      </c>
      <c r="K233" s="7"/>
      <c r="L233" s="7"/>
      <c r="M233" s="7"/>
      <c r="N233" s="7">
        <v>2</v>
      </c>
      <c r="O233" s="7"/>
      <c r="P233" s="7">
        <f t="shared" si="30"/>
        <v>2</v>
      </c>
      <c r="ET233" s="52"/>
      <c r="EU233" s="52"/>
      <c r="EV233" s="52"/>
      <c r="EW233" s="52"/>
      <c r="EX233" s="52"/>
      <c r="EY233" s="52"/>
    </row>
    <row r="234" spans="1:155" s="25" customFormat="1" ht="30.75" customHeight="1">
      <c r="A234" s="8" t="s">
        <v>172</v>
      </c>
      <c r="B234" s="6"/>
      <c r="C234" s="6"/>
      <c r="D234" s="7"/>
      <c r="E234" s="7">
        <v>1</v>
      </c>
      <c r="F234" s="7">
        <f t="shared" si="28"/>
        <v>1</v>
      </c>
      <c r="G234" s="7"/>
      <c r="H234" s="7">
        <v>1</v>
      </c>
      <c r="I234" s="7"/>
      <c r="J234" s="7">
        <f t="shared" si="29"/>
        <v>1</v>
      </c>
      <c r="K234" s="7"/>
      <c r="L234" s="7"/>
      <c r="M234" s="7"/>
      <c r="N234" s="7"/>
      <c r="O234" s="7">
        <v>1</v>
      </c>
      <c r="P234" s="7">
        <f t="shared" si="30"/>
        <v>1</v>
      </c>
      <c r="ET234" s="52"/>
      <c r="EU234" s="52"/>
      <c r="EV234" s="52"/>
      <c r="EW234" s="52"/>
      <c r="EX234" s="52"/>
      <c r="EY234" s="52"/>
    </row>
    <row r="235" spans="1:155" s="25" customFormat="1" ht="19.5" customHeight="1">
      <c r="A235" s="8" t="s">
        <v>341</v>
      </c>
      <c r="B235" s="6"/>
      <c r="C235" s="6"/>
      <c r="D235" s="7">
        <v>80</v>
      </c>
      <c r="E235" s="7"/>
      <c r="F235" s="7">
        <v>80</v>
      </c>
      <c r="G235" s="7">
        <v>80</v>
      </c>
      <c r="H235" s="7"/>
      <c r="I235" s="7"/>
      <c r="J235" s="7">
        <v>80</v>
      </c>
      <c r="K235" s="7"/>
      <c r="L235" s="7"/>
      <c r="M235" s="7"/>
      <c r="N235" s="7">
        <v>54</v>
      </c>
      <c r="O235" s="7"/>
      <c r="P235" s="7">
        <v>80</v>
      </c>
      <c r="ET235" s="52"/>
      <c r="EU235" s="52"/>
      <c r="EV235" s="52"/>
      <c r="EW235" s="52"/>
      <c r="EX235" s="52"/>
      <c r="EY235" s="52"/>
    </row>
    <row r="236" spans="1:155" s="25" customFormat="1" ht="11.25">
      <c r="A236" s="5" t="s">
        <v>7</v>
      </c>
      <c r="B236" s="36"/>
      <c r="C236" s="36"/>
      <c r="D236" s="29"/>
      <c r="E236" s="29"/>
      <c r="F236" s="7">
        <f t="shared" si="28"/>
        <v>0</v>
      </c>
      <c r="G236" s="29"/>
      <c r="H236" s="29"/>
      <c r="I236" s="29"/>
      <c r="J236" s="7">
        <f t="shared" si="29"/>
        <v>0</v>
      </c>
      <c r="K236" s="7"/>
      <c r="L236" s="7"/>
      <c r="M236" s="7"/>
      <c r="N236" s="29"/>
      <c r="O236" s="29"/>
      <c r="P236" s="7">
        <f t="shared" si="30"/>
        <v>0</v>
      </c>
      <c r="ET236" s="52"/>
      <c r="EU236" s="52"/>
      <c r="EV236" s="52"/>
      <c r="EW236" s="52"/>
      <c r="EX236" s="52"/>
      <c r="EY236" s="52"/>
    </row>
    <row r="237" spans="1:155" s="25" customFormat="1" ht="22.5">
      <c r="A237" s="8" t="s">
        <v>219</v>
      </c>
      <c r="B237" s="6"/>
      <c r="C237" s="6"/>
      <c r="D237" s="7">
        <f>(11555000+3000)/13</f>
        <v>889076.9230769231</v>
      </c>
      <c r="E237" s="7"/>
      <c r="F237" s="7">
        <f t="shared" si="28"/>
        <v>889076.9230769231</v>
      </c>
      <c r="G237" s="7">
        <f>(12000000+3500)/13</f>
        <v>923346.1538461539</v>
      </c>
      <c r="H237" s="7"/>
      <c r="I237" s="7"/>
      <c r="J237" s="7">
        <f t="shared" si="29"/>
        <v>923346.1538461539</v>
      </c>
      <c r="K237" s="7"/>
      <c r="L237" s="7"/>
      <c r="M237" s="7"/>
      <c r="N237" s="7">
        <f>(12200000+4000)/13</f>
        <v>938769.2307692308</v>
      </c>
      <c r="O237" s="7"/>
      <c r="P237" s="7">
        <f t="shared" si="30"/>
        <v>938769.2307692308</v>
      </c>
      <c r="ET237" s="52"/>
      <c r="EU237" s="52"/>
      <c r="EV237" s="52"/>
      <c r="EW237" s="52"/>
      <c r="EX237" s="52"/>
      <c r="EY237" s="52"/>
    </row>
    <row r="238" spans="1:155" s="25" customFormat="1" ht="24.75" customHeight="1">
      <c r="A238" s="8" t="s">
        <v>104</v>
      </c>
      <c r="B238" s="6"/>
      <c r="C238" s="6"/>
      <c r="D238" s="7">
        <v>3062.5</v>
      </c>
      <c r="E238" s="7"/>
      <c r="F238" s="7">
        <f t="shared" si="28"/>
        <v>3062.5</v>
      </c>
      <c r="G238" s="7">
        <v>3187.5</v>
      </c>
      <c r="H238" s="7"/>
      <c r="I238" s="7"/>
      <c r="J238" s="7">
        <f t="shared" si="29"/>
        <v>3187.5</v>
      </c>
      <c r="K238" s="7"/>
      <c r="L238" s="7"/>
      <c r="M238" s="7"/>
      <c r="N238" s="7">
        <v>3250</v>
      </c>
      <c r="O238" s="7"/>
      <c r="P238" s="7">
        <f t="shared" si="30"/>
        <v>3250</v>
      </c>
      <c r="ET238" s="52"/>
      <c r="EU238" s="52"/>
      <c r="EV238" s="52"/>
      <c r="EW238" s="52"/>
      <c r="EX238" s="52"/>
      <c r="EY238" s="52"/>
    </row>
    <row r="239" spans="1:155" s="25" customFormat="1" ht="22.5">
      <c r="A239" s="8" t="s">
        <v>105</v>
      </c>
      <c r="B239" s="6"/>
      <c r="C239" s="6"/>
      <c r="D239" s="7">
        <v>202000</v>
      </c>
      <c r="E239" s="7"/>
      <c r="F239" s="7">
        <f t="shared" si="28"/>
        <v>202000</v>
      </c>
      <c r="G239" s="7">
        <v>205000</v>
      </c>
      <c r="H239" s="7"/>
      <c r="I239" s="7"/>
      <c r="J239" s="7">
        <f t="shared" si="29"/>
        <v>205000</v>
      </c>
      <c r="K239" s="7"/>
      <c r="L239" s="7"/>
      <c r="M239" s="7"/>
      <c r="N239" s="7">
        <v>207500</v>
      </c>
      <c r="O239" s="7"/>
      <c r="P239" s="7">
        <f t="shared" si="30"/>
        <v>207500</v>
      </c>
      <c r="ET239" s="52"/>
      <c r="EU239" s="52"/>
      <c r="EV239" s="52"/>
      <c r="EW239" s="52"/>
      <c r="EX239" s="52"/>
      <c r="EY239" s="52"/>
    </row>
    <row r="240" spans="1:155" s="25" customFormat="1" ht="27.75" customHeight="1">
      <c r="A240" s="8" t="s">
        <v>190</v>
      </c>
      <c r="B240" s="6"/>
      <c r="C240" s="6"/>
      <c r="D240" s="7">
        <v>2187.5</v>
      </c>
      <c r="E240" s="7"/>
      <c r="F240" s="7">
        <f t="shared" si="28"/>
        <v>2187.5</v>
      </c>
      <c r="G240" s="7">
        <v>2250</v>
      </c>
      <c r="H240" s="7"/>
      <c r="I240" s="7"/>
      <c r="J240" s="7">
        <f t="shared" si="29"/>
        <v>2250</v>
      </c>
      <c r="K240" s="7"/>
      <c r="L240" s="7"/>
      <c r="M240" s="7"/>
      <c r="N240" s="7">
        <f>2312.5+1278.5</f>
        <v>3591</v>
      </c>
      <c r="O240" s="7"/>
      <c r="P240" s="7">
        <f t="shared" si="30"/>
        <v>3591</v>
      </c>
      <c r="ET240" s="52"/>
      <c r="EU240" s="52"/>
      <c r="EV240" s="52"/>
      <c r="EW240" s="52"/>
      <c r="EX240" s="52"/>
      <c r="EY240" s="52"/>
    </row>
    <row r="241" spans="1:155" s="136" customFormat="1" ht="22.5">
      <c r="A241" s="133" t="s">
        <v>173</v>
      </c>
      <c r="B241" s="134"/>
      <c r="C241" s="134"/>
      <c r="D241" s="135"/>
      <c r="E241" s="135">
        <v>1000000</v>
      </c>
      <c r="F241" s="135">
        <f t="shared" si="28"/>
        <v>1000000</v>
      </c>
      <c r="G241" s="135"/>
      <c r="H241" s="135">
        <v>1500000</v>
      </c>
      <c r="I241" s="135"/>
      <c r="J241" s="135">
        <f t="shared" si="29"/>
        <v>1500000</v>
      </c>
      <c r="K241" s="135"/>
      <c r="L241" s="135"/>
      <c r="M241" s="135"/>
      <c r="N241" s="135"/>
      <c r="O241" s="135">
        <v>2000000</v>
      </c>
      <c r="P241" s="135">
        <f t="shared" si="30"/>
        <v>2000000</v>
      </c>
      <c r="ET241" s="137"/>
      <c r="EU241" s="137"/>
      <c r="EV241" s="137"/>
      <c r="EW241" s="137"/>
      <c r="EX241" s="137"/>
      <c r="EY241" s="137"/>
    </row>
    <row r="242" spans="1:155" s="25" customFormat="1" ht="12" customHeight="1">
      <c r="A242" s="5" t="s">
        <v>6</v>
      </c>
      <c r="B242" s="6"/>
      <c r="C242" s="6"/>
      <c r="D242" s="7"/>
      <c r="E242" s="7"/>
      <c r="F242" s="7">
        <f t="shared" si="28"/>
        <v>0</v>
      </c>
      <c r="G242" s="7"/>
      <c r="H242" s="7"/>
      <c r="I242" s="7"/>
      <c r="J242" s="7">
        <f t="shared" si="29"/>
        <v>0</v>
      </c>
      <c r="K242" s="7"/>
      <c r="L242" s="7"/>
      <c r="M242" s="7"/>
      <c r="N242" s="7"/>
      <c r="O242" s="7"/>
      <c r="P242" s="7">
        <f t="shared" si="30"/>
        <v>0</v>
      </c>
      <c r="ET242" s="52"/>
      <c r="EU242" s="52"/>
      <c r="EV242" s="52"/>
      <c r="EW242" s="52"/>
      <c r="EX242" s="52"/>
      <c r="EY242" s="52"/>
    </row>
    <row r="243" spans="1:155" s="25" customFormat="1" ht="33.75">
      <c r="A243" s="8" t="s">
        <v>107</v>
      </c>
      <c r="B243" s="6"/>
      <c r="C243" s="6"/>
      <c r="D243" s="7">
        <v>100</v>
      </c>
      <c r="E243" s="7"/>
      <c r="F243" s="7">
        <f t="shared" si="28"/>
        <v>100</v>
      </c>
      <c r="G243" s="7">
        <f>G231/G224*100</f>
        <v>8.440736291919618E-05</v>
      </c>
      <c r="H243" s="7"/>
      <c r="I243" s="7"/>
      <c r="J243" s="7">
        <f t="shared" si="29"/>
        <v>8.440736291919618E-05</v>
      </c>
      <c r="K243" s="7" t="e">
        <f>K231/K224*100</f>
        <v>#DIV/0!</v>
      </c>
      <c r="L243" s="7" t="e">
        <f>L231/L224*100</f>
        <v>#DIV/0!</v>
      </c>
      <c r="M243" s="7" t="e">
        <f>M231/M224*100</f>
        <v>#DIV/0!</v>
      </c>
      <c r="N243" s="7">
        <f>N231/N224*100</f>
        <v>7.630003521540087E-05</v>
      </c>
      <c r="O243" s="7"/>
      <c r="P243" s="7">
        <f t="shared" si="30"/>
        <v>7.630003521540087E-05</v>
      </c>
      <c r="ET243" s="52"/>
      <c r="EU243" s="52"/>
      <c r="EV243" s="52"/>
      <c r="EW243" s="52"/>
      <c r="EX243" s="52"/>
      <c r="EY243" s="52"/>
    </row>
    <row r="244" spans="1:155" s="25" customFormat="1" ht="29.25" customHeight="1">
      <c r="A244" s="8" t="s">
        <v>106</v>
      </c>
      <c r="B244" s="6"/>
      <c r="C244" s="6"/>
      <c r="D244" s="7"/>
      <c r="E244" s="7"/>
      <c r="F244" s="7">
        <f t="shared" si="28"/>
        <v>0</v>
      </c>
      <c r="G244" s="7">
        <f>G238/D238*100</f>
        <v>104.08163265306123</v>
      </c>
      <c r="H244" s="7"/>
      <c r="I244" s="7"/>
      <c r="J244" s="7">
        <f t="shared" si="29"/>
        <v>104.08163265306123</v>
      </c>
      <c r="K244" s="7"/>
      <c r="L244" s="7"/>
      <c r="M244" s="7"/>
      <c r="N244" s="7">
        <f>N238/G238*100</f>
        <v>101.96078431372548</v>
      </c>
      <c r="O244" s="7"/>
      <c r="P244" s="7">
        <f t="shared" si="30"/>
        <v>101.96078431372548</v>
      </c>
      <c r="ET244" s="52"/>
      <c r="EU244" s="52"/>
      <c r="EV244" s="52"/>
      <c r="EW244" s="52"/>
      <c r="EX244" s="52"/>
      <c r="EY244" s="52"/>
    </row>
    <row r="245" spans="1:155" s="25" customFormat="1" ht="38.25" customHeight="1">
      <c r="A245" s="8" t="s">
        <v>108</v>
      </c>
      <c r="B245" s="6"/>
      <c r="C245" s="6"/>
      <c r="D245" s="7"/>
      <c r="E245" s="7"/>
      <c r="F245" s="7">
        <f t="shared" si="28"/>
        <v>0</v>
      </c>
      <c r="G245" s="7">
        <f>G239/D239*100</f>
        <v>101.48514851485149</v>
      </c>
      <c r="H245" s="7"/>
      <c r="I245" s="7"/>
      <c r="J245" s="7">
        <f t="shared" si="29"/>
        <v>101.48514851485149</v>
      </c>
      <c r="K245" s="7"/>
      <c r="L245" s="7"/>
      <c r="M245" s="7"/>
      <c r="N245" s="7">
        <f>N239/G239*100</f>
        <v>101.21951219512195</v>
      </c>
      <c r="O245" s="7"/>
      <c r="P245" s="7">
        <f t="shared" si="30"/>
        <v>101.21951219512195</v>
      </c>
      <c r="ET245" s="52"/>
      <c r="EU245" s="52"/>
      <c r="EV245" s="52"/>
      <c r="EW245" s="52"/>
      <c r="EX245" s="52"/>
      <c r="EY245" s="52"/>
    </row>
    <row r="246" spans="1:155" s="37" customFormat="1" ht="22.5">
      <c r="A246" s="33" t="s">
        <v>376</v>
      </c>
      <c r="B246" s="34"/>
      <c r="C246" s="34"/>
      <c r="D246" s="35">
        <f>D248+D250+D251+D252</f>
        <v>5421400</v>
      </c>
      <c r="E246" s="35">
        <f>(E256*E262)+(E257*E263)+(E259*E265)</f>
        <v>0</v>
      </c>
      <c r="F246" s="35">
        <f aca="true" t="shared" si="31" ref="F246:F254">D246+E246</f>
        <v>5421400</v>
      </c>
      <c r="G246" s="35">
        <f>G248+G249+G250+G251+G252+G253+96000</f>
        <v>8611000</v>
      </c>
      <c r="H246" s="35">
        <f>(H256*H262)+(H257*H263)+(H259*H265)</f>
        <v>0</v>
      </c>
      <c r="I246" s="35">
        <f>(I256*I262)+(I257*I263)+(I259*I265)</f>
        <v>0</v>
      </c>
      <c r="J246" s="35">
        <f>G246+H246</f>
        <v>8611000</v>
      </c>
      <c r="K246" s="35">
        <f>(K256*K262)+(K257*K263)+(K259*K265)</f>
        <v>0</v>
      </c>
      <c r="L246" s="35">
        <f>(L256*L262)+(L257*L263)+(L259*L265)</f>
        <v>0</v>
      </c>
      <c r="M246" s="35">
        <f>(M256*M262)+(M257*M263)+(M259*M265)</f>
        <v>0</v>
      </c>
      <c r="N246" s="35">
        <f>N248+N250+N251+N252+N249+N253+N254</f>
        <v>9999900</v>
      </c>
      <c r="O246" s="35">
        <f>(O256*O262)+(O257*O263)+(O259*O265)</f>
        <v>0</v>
      </c>
      <c r="P246" s="35">
        <f aca="true" t="shared" si="32" ref="P246:P254">N246+O246</f>
        <v>9999900</v>
      </c>
      <c r="Q246" s="35">
        <f>(Q256*Q262)+(Q257*Q263)+(Q259*Q265)</f>
        <v>0</v>
      </c>
      <c r="ET246" s="38"/>
      <c r="EU246" s="38"/>
      <c r="EV246" s="38"/>
      <c r="EW246" s="38"/>
      <c r="EX246" s="38"/>
      <c r="EY246" s="38"/>
    </row>
    <row r="247" spans="1:155" s="37" customFormat="1" ht="11.25">
      <c r="A247" s="5" t="s">
        <v>4</v>
      </c>
      <c r="B247" s="34"/>
      <c r="C247" s="34"/>
      <c r="D247" s="35"/>
      <c r="E247" s="35"/>
      <c r="F247" s="7">
        <f t="shared" si="31"/>
        <v>0</v>
      </c>
      <c r="G247" s="7"/>
      <c r="H247" s="7"/>
      <c r="I247" s="7"/>
      <c r="J247" s="7">
        <f aca="true" t="shared" si="33" ref="J247:J254">G247+H247</f>
        <v>0</v>
      </c>
      <c r="K247" s="7"/>
      <c r="L247" s="7"/>
      <c r="M247" s="7"/>
      <c r="N247" s="7"/>
      <c r="O247" s="7"/>
      <c r="P247" s="7">
        <f t="shared" si="32"/>
        <v>0</v>
      </c>
      <c r="Q247" s="41"/>
      <c r="ET247" s="38"/>
      <c r="EU247" s="38"/>
      <c r="EV247" s="38"/>
      <c r="EW247" s="38"/>
      <c r="EX247" s="38"/>
      <c r="EY247" s="38"/>
    </row>
    <row r="248" spans="1:155" s="37" customFormat="1" ht="33.75">
      <c r="A248" s="8" t="s">
        <v>233</v>
      </c>
      <c r="B248" s="34"/>
      <c r="C248" s="34"/>
      <c r="D248" s="7">
        <v>2971400</v>
      </c>
      <c r="E248" s="35"/>
      <c r="F248" s="7">
        <f t="shared" si="31"/>
        <v>2971400</v>
      </c>
      <c r="G248" s="7">
        <v>2000000</v>
      </c>
      <c r="H248" s="7"/>
      <c r="I248" s="7"/>
      <c r="J248" s="7">
        <f t="shared" si="33"/>
        <v>2000000</v>
      </c>
      <c r="K248" s="7"/>
      <c r="L248" s="7"/>
      <c r="M248" s="7"/>
      <c r="N248" s="7">
        <v>3100000</v>
      </c>
      <c r="O248" s="7"/>
      <c r="P248" s="7">
        <f t="shared" si="32"/>
        <v>3100000</v>
      </c>
      <c r="Q248" s="41"/>
      <c r="ET248" s="38"/>
      <c r="EU248" s="38"/>
      <c r="EV248" s="38"/>
      <c r="EW248" s="38"/>
      <c r="EX248" s="38"/>
      <c r="EY248" s="38"/>
    </row>
    <row r="249" spans="1:155" s="37" customFormat="1" ht="33.75">
      <c r="A249" s="8" t="s">
        <v>399</v>
      </c>
      <c r="B249" s="34"/>
      <c r="C249" s="34"/>
      <c r="D249" s="7">
        <v>0</v>
      </c>
      <c r="E249" s="35">
        <v>0</v>
      </c>
      <c r="F249" s="7">
        <v>0</v>
      </c>
      <c r="G249" s="7">
        <v>4000000</v>
      </c>
      <c r="H249" s="7"/>
      <c r="I249" s="7"/>
      <c r="J249" s="7">
        <f t="shared" si="33"/>
        <v>4000000</v>
      </c>
      <c r="K249" s="7"/>
      <c r="L249" s="7"/>
      <c r="M249" s="7"/>
      <c r="N249" s="7">
        <v>3750000</v>
      </c>
      <c r="O249" s="7"/>
      <c r="P249" s="7">
        <f t="shared" si="32"/>
        <v>3750000</v>
      </c>
      <c r="Q249" s="41"/>
      <c r="ET249" s="38"/>
      <c r="EU249" s="38"/>
      <c r="EV249" s="38"/>
      <c r="EW249" s="38"/>
      <c r="EX249" s="38"/>
      <c r="EY249" s="38"/>
    </row>
    <row r="250" spans="1:155" s="37" customFormat="1" ht="11.25">
      <c r="A250" s="8" t="s">
        <v>234</v>
      </c>
      <c r="B250" s="34"/>
      <c r="C250" s="34"/>
      <c r="D250" s="7">
        <v>200000</v>
      </c>
      <c r="E250" s="35"/>
      <c r="F250" s="7">
        <f t="shared" si="31"/>
        <v>200000</v>
      </c>
      <c r="G250" s="7">
        <v>200000</v>
      </c>
      <c r="H250" s="7"/>
      <c r="I250" s="7"/>
      <c r="J250" s="7">
        <f t="shared" si="33"/>
        <v>200000</v>
      </c>
      <c r="K250" s="7"/>
      <c r="L250" s="7"/>
      <c r="M250" s="7"/>
      <c r="N250" s="7">
        <v>200000</v>
      </c>
      <c r="O250" s="7"/>
      <c r="P250" s="7">
        <f t="shared" si="32"/>
        <v>200000</v>
      </c>
      <c r="Q250" s="41"/>
      <c r="ET250" s="38"/>
      <c r="EU250" s="38"/>
      <c r="EV250" s="38"/>
      <c r="EW250" s="38"/>
      <c r="EX250" s="38"/>
      <c r="EY250" s="38"/>
    </row>
    <row r="251" spans="1:155" s="37" customFormat="1" ht="33.75">
      <c r="A251" s="8" t="s">
        <v>235</v>
      </c>
      <c r="B251" s="34"/>
      <c r="C251" s="34"/>
      <c r="D251" s="7">
        <v>350000</v>
      </c>
      <c r="E251" s="35"/>
      <c r="F251" s="7">
        <f t="shared" si="31"/>
        <v>350000</v>
      </c>
      <c r="G251" s="7">
        <v>400000</v>
      </c>
      <c r="H251" s="7"/>
      <c r="I251" s="7"/>
      <c r="J251" s="7">
        <f t="shared" si="33"/>
        <v>400000</v>
      </c>
      <c r="K251" s="7"/>
      <c r="L251" s="7"/>
      <c r="M251" s="7"/>
      <c r="N251" s="7">
        <v>460000</v>
      </c>
      <c r="O251" s="7"/>
      <c r="P251" s="7">
        <f t="shared" si="32"/>
        <v>460000</v>
      </c>
      <c r="Q251" s="41"/>
      <c r="ET251" s="38"/>
      <c r="EU251" s="38"/>
      <c r="EV251" s="38"/>
      <c r="EW251" s="38"/>
      <c r="EX251" s="38"/>
      <c r="EY251" s="38"/>
    </row>
    <row r="252" spans="1:155" s="37" customFormat="1" ht="33.75">
      <c r="A252" s="8" t="s">
        <v>236</v>
      </c>
      <c r="B252" s="34"/>
      <c r="C252" s="34"/>
      <c r="D252" s="7">
        <v>1900000</v>
      </c>
      <c r="E252" s="7"/>
      <c r="F252" s="7">
        <f t="shared" si="31"/>
        <v>1900000</v>
      </c>
      <c r="G252" s="7">
        <v>1900000</v>
      </c>
      <c r="H252" s="7"/>
      <c r="I252" s="7"/>
      <c r="J252" s="7">
        <f t="shared" si="33"/>
        <v>1900000</v>
      </c>
      <c r="K252" s="7"/>
      <c r="L252" s="7"/>
      <c r="M252" s="7"/>
      <c r="N252" s="7">
        <v>1900000</v>
      </c>
      <c r="O252" s="7"/>
      <c r="P252" s="7">
        <f t="shared" si="32"/>
        <v>1900000</v>
      </c>
      <c r="Q252" s="41"/>
      <c r="ET252" s="38"/>
      <c r="EU252" s="38"/>
      <c r="EV252" s="38"/>
      <c r="EW252" s="38"/>
      <c r="EX252" s="38"/>
      <c r="EY252" s="38"/>
    </row>
    <row r="253" spans="1:155" s="37" customFormat="1" ht="33.75">
      <c r="A253" s="8" t="s">
        <v>431</v>
      </c>
      <c r="B253" s="34"/>
      <c r="C253" s="34"/>
      <c r="D253" s="7">
        <v>0</v>
      </c>
      <c r="E253" s="7"/>
      <c r="F253" s="7">
        <f t="shared" si="31"/>
        <v>0</v>
      </c>
      <c r="G253" s="7">
        <v>15000</v>
      </c>
      <c r="H253" s="7"/>
      <c r="I253" s="7"/>
      <c r="J253" s="7">
        <f t="shared" si="33"/>
        <v>15000</v>
      </c>
      <c r="K253" s="7"/>
      <c r="L253" s="7"/>
      <c r="M253" s="7"/>
      <c r="N253" s="7"/>
      <c r="O253" s="7"/>
      <c r="P253" s="7">
        <f t="shared" si="32"/>
        <v>0</v>
      </c>
      <c r="Q253" s="41"/>
      <c r="ET253" s="38"/>
      <c r="EU253" s="38"/>
      <c r="EV253" s="38"/>
      <c r="EW253" s="38"/>
      <c r="EX253" s="38"/>
      <c r="EY253" s="38"/>
    </row>
    <row r="254" spans="1:155" s="37" customFormat="1" ht="45">
      <c r="A254" s="8" t="s">
        <v>478</v>
      </c>
      <c r="B254" s="34"/>
      <c r="C254" s="34"/>
      <c r="D254" s="7">
        <v>0</v>
      </c>
      <c r="E254" s="7">
        <v>0</v>
      </c>
      <c r="F254" s="7">
        <f t="shared" si="31"/>
        <v>0</v>
      </c>
      <c r="G254" s="7">
        <v>0</v>
      </c>
      <c r="H254" s="7">
        <v>0</v>
      </c>
      <c r="I254" s="7"/>
      <c r="J254" s="7">
        <f t="shared" si="33"/>
        <v>0</v>
      </c>
      <c r="K254" s="7"/>
      <c r="L254" s="7"/>
      <c r="M254" s="7"/>
      <c r="N254" s="7">
        <f>540000+49900</f>
        <v>589900</v>
      </c>
      <c r="O254" s="7"/>
      <c r="P254" s="7">
        <f t="shared" si="32"/>
        <v>589900</v>
      </c>
      <c r="Q254" s="41"/>
      <c r="ET254" s="38"/>
      <c r="EU254" s="38"/>
      <c r="EV254" s="38"/>
      <c r="EW254" s="38"/>
      <c r="EX254" s="38"/>
      <c r="EY254" s="38"/>
    </row>
    <row r="255" spans="1:155" s="25" customFormat="1" ht="11.25">
      <c r="A255" s="5" t="s">
        <v>5</v>
      </c>
      <c r="B255" s="36"/>
      <c r="C255" s="36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ET255" s="52"/>
      <c r="EU255" s="52"/>
      <c r="EV255" s="52"/>
      <c r="EW255" s="52"/>
      <c r="EX255" s="52"/>
      <c r="EY255" s="52"/>
    </row>
    <row r="256" spans="1:155" s="25" customFormat="1" ht="35.25" customHeight="1">
      <c r="A256" s="8" t="s">
        <v>237</v>
      </c>
      <c r="B256" s="6"/>
      <c r="C256" s="6"/>
      <c r="D256" s="7">
        <v>155760</v>
      </c>
      <c r="E256" s="7"/>
      <c r="F256" s="7">
        <f>D256+E256</f>
        <v>155760</v>
      </c>
      <c r="G256" s="7">
        <f>F256</f>
        <v>155760</v>
      </c>
      <c r="H256" s="7"/>
      <c r="I256" s="7"/>
      <c r="J256" s="7">
        <f>G256+H256</f>
        <v>155760</v>
      </c>
      <c r="K256" s="7"/>
      <c r="L256" s="7"/>
      <c r="M256" s="7"/>
      <c r="N256" s="7">
        <f>G256</f>
        <v>155760</v>
      </c>
      <c r="O256" s="7"/>
      <c r="P256" s="7">
        <f>N256+O256</f>
        <v>155760</v>
      </c>
      <c r="ET256" s="52"/>
      <c r="EU256" s="52"/>
      <c r="EV256" s="52"/>
      <c r="EW256" s="52"/>
      <c r="EX256" s="52"/>
      <c r="EY256" s="52"/>
    </row>
    <row r="257" spans="1:155" s="25" customFormat="1" ht="22.5">
      <c r="A257" s="8" t="s">
        <v>110</v>
      </c>
      <c r="B257" s="6"/>
      <c r="C257" s="6"/>
      <c r="D257" s="7">
        <v>243</v>
      </c>
      <c r="E257" s="7"/>
      <c r="F257" s="7">
        <f aca="true" t="shared" si="34" ref="F257:F271">D257+E257</f>
        <v>243</v>
      </c>
      <c r="G257" s="7">
        <v>250</v>
      </c>
      <c r="H257" s="7"/>
      <c r="I257" s="7"/>
      <c r="J257" s="7">
        <f aca="true" t="shared" si="35" ref="J257:J271">G257+H257</f>
        <v>250</v>
      </c>
      <c r="K257" s="7"/>
      <c r="L257" s="7"/>
      <c r="M257" s="7"/>
      <c r="N257" s="7">
        <v>260</v>
      </c>
      <c r="O257" s="7"/>
      <c r="P257" s="7">
        <f aca="true" t="shared" si="36" ref="P257:P271">N257+O257</f>
        <v>260</v>
      </c>
      <c r="ET257" s="52"/>
      <c r="EU257" s="52"/>
      <c r="EV257" s="52"/>
      <c r="EW257" s="52"/>
      <c r="EX257" s="52"/>
      <c r="EY257" s="52"/>
    </row>
    <row r="258" spans="1:155" s="25" customFormat="1" ht="33.75">
      <c r="A258" s="8" t="s">
        <v>242</v>
      </c>
      <c r="B258" s="6"/>
      <c r="C258" s="6"/>
      <c r="D258" s="7">
        <v>11036.4</v>
      </c>
      <c r="E258" s="7"/>
      <c r="F258" s="7">
        <f t="shared" si="34"/>
        <v>11036.4</v>
      </c>
      <c r="G258" s="7">
        <f>E258+F258</f>
        <v>11036.4</v>
      </c>
      <c r="H258" s="7"/>
      <c r="I258" s="7">
        <f>G258+H258</f>
        <v>11036.4</v>
      </c>
      <c r="J258" s="7">
        <f>H258+I258</f>
        <v>11036.4</v>
      </c>
      <c r="K258" s="7">
        <f>I258+J258</f>
        <v>22072.8</v>
      </c>
      <c r="L258" s="7">
        <f>J258+K258</f>
        <v>33109.2</v>
      </c>
      <c r="M258" s="7">
        <f>K258+L258</f>
        <v>55182</v>
      </c>
      <c r="N258" s="7">
        <v>11036.4</v>
      </c>
      <c r="O258" s="7"/>
      <c r="P258" s="7">
        <f t="shared" si="36"/>
        <v>11036.4</v>
      </c>
      <c r="ET258" s="52"/>
      <c r="EU258" s="52"/>
      <c r="EV258" s="52"/>
      <c r="EW258" s="52"/>
      <c r="EX258" s="52"/>
      <c r="EY258" s="52"/>
    </row>
    <row r="259" spans="1:155" s="25" customFormat="1" ht="33" customHeight="1">
      <c r="A259" s="8" t="s">
        <v>239</v>
      </c>
      <c r="B259" s="6"/>
      <c r="C259" s="6"/>
      <c r="D259" s="7">
        <v>51.4</v>
      </c>
      <c r="E259" s="7"/>
      <c r="F259" s="7">
        <f t="shared" si="34"/>
        <v>51.4</v>
      </c>
      <c r="G259" s="7">
        <v>48</v>
      </c>
      <c r="H259" s="7"/>
      <c r="I259" s="7"/>
      <c r="J259" s="7">
        <f t="shared" si="35"/>
        <v>48</v>
      </c>
      <c r="K259" s="7"/>
      <c r="L259" s="7"/>
      <c r="M259" s="7"/>
      <c r="N259" s="7">
        <v>45</v>
      </c>
      <c r="O259" s="7"/>
      <c r="P259" s="7">
        <f t="shared" si="36"/>
        <v>45</v>
      </c>
      <c r="ET259" s="52"/>
      <c r="EU259" s="52"/>
      <c r="EV259" s="52"/>
      <c r="EW259" s="52"/>
      <c r="EX259" s="52"/>
      <c r="EY259" s="52"/>
    </row>
    <row r="260" spans="1:155" s="25" customFormat="1" ht="43.5" customHeight="1">
      <c r="A260" s="8" t="s">
        <v>479</v>
      </c>
      <c r="B260" s="6"/>
      <c r="C260" s="6"/>
      <c r="D260" s="7">
        <v>0</v>
      </c>
      <c r="E260" s="7"/>
      <c r="F260" s="7">
        <f t="shared" si="34"/>
        <v>0</v>
      </c>
      <c r="G260" s="7">
        <v>0</v>
      </c>
      <c r="H260" s="7"/>
      <c r="I260" s="7"/>
      <c r="J260" s="7">
        <v>0</v>
      </c>
      <c r="K260" s="7"/>
      <c r="L260" s="7"/>
      <c r="M260" s="7"/>
      <c r="N260" s="7">
        <v>1</v>
      </c>
      <c r="O260" s="7"/>
      <c r="P260" s="7">
        <f t="shared" si="36"/>
        <v>1</v>
      </c>
      <c r="ET260" s="52"/>
      <c r="EU260" s="52"/>
      <c r="EV260" s="52"/>
      <c r="EW260" s="52"/>
      <c r="EX260" s="52"/>
      <c r="EY260" s="52"/>
    </row>
    <row r="261" spans="1:155" s="25" customFormat="1" ht="11.25">
      <c r="A261" s="5" t="s">
        <v>7</v>
      </c>
      <c r="B261" s="36"/>
      <c r="C261" s="36"/>
      <c r="D261" s="29"/>
      <c r="E261" s="29"/>
      <c r="F261" s="7">
        <f t="shared" si="34"/>
        <v>0</v>
      </c>
      <c r="G261" s="29"/>
      <c r="H261" s="29"/>
      <c r="I261" s="29"/>
      <c r="J261" s="7">
        <f t="shared" si="35"/>
        <v>0</v>
      </c>
      <c r="K261" s="7"/>
      <c r="L261" s="7"/>
      <c r="M261" s="7"/>
      <c r="N261" s="29"/>
      <c r="O261" s="29"/>
      <c r="P261" s="7">
        <f t="shared" si="36"/>
        <v>0</v>
      </c>
      <c r="ET261" s="52"/>
      <c r="EU261" s="52"/>
      <c r="EV261" s="52"/>
      <c r="EW261" s="52"/>
      <c r="EX261" s="52"/>
      <c r="EY261" s="52"/>
    </row>
    <row r="262" spans="1:155" s="25" customFormat="1" ht="48.75" customHeight="1">
      <c r="A262" s="8" t="s">
        <v>238</v>
      </c>
      <c r="B262" s="6"/>
      <c r="C262" s="6"/>
      <c r="D262" s="7">
        <f>D248/D256</f>
        <v>19.07678479712378</v>
      </c>
      <c r="E262" s="7"/>
      <c r="F262" s="7">
        <f t="shared" si="34"/>
        <v>19.07678479712378</v>
      </c>
      <c r="G262" s="7">
        <f>G248/G256</f>
        <v>12.840267077555213</v>
      </c>
      <c r="H262" s="7"/>
      <c r="I262" s="7"/>
      <c r="J262" s="7">
        <f t="shared" si="35"/>
        <v>12.840267077555213</v>
      </c>
      <c r="K262" s="7"/>
      <c r="L262" s="7"/>
      <c r="M262" s="7"/>
      <c r="N262" s="7">
        <f>N248/N256</f>
        <v>19.90241397021058</v>
      </c>
      <c r="O262" s="7"/>
      <c r="P262" s="7">
        <f t="shared" si="36"/>
        <v>19.90241397021058</v>
      </c>
      <c r="ET262" s="52"/>
      <c r="EU262" s="52"/>
      <c r="EV262" s="52"/>
      <c r="EW262" s="52"/>
      <c r="EX262" s="52"/>
      <c r="EY262" s="52"/>
    </row>
    <row r="263" spans="1:155" s="25" customFormat="1" ht="19.5" customHeight="1">
      <c r="A263" s="8" t="s">
        <v>111</v>
      </c>
      <c r="B263" s="6"/>
      <c r="C263" s="6"/>
      <c r="D263" s="7">
        <f>D250/D257</f>
        <v>823.0452674897119</v>
      </c>
      <c r="E263" s="7"/>
      <c r="F263" s="7">
        <f t="shared" si="34"/>
        <v>823.0452674897119</v>
      </c>
      <c r="G263" s="7">
        <f>G250/G257</f>
        <v>800</v>
      </c>
      <c r="H263" s="7"/>
      <c r="I263" s="7"/>
      <c r="J263" s="7">
        <f t="shared" si="35"/>
        <v>800</v>
      </c>
      <c r="K263" s="7"/>
      <c r="L263" s="7"/>
      <c r="M263" s="7"/>
      <c r="N263" s="7">
        <f>N250/N257</f>
        <v>769.2307692307693</v>
      </c>
      <c r="O263" s="7"/>
      <c r="P263" s="7">
        <f t="shared" si="36"/>
        <v>769.2307692307693</v>
      </c>
      <c r="ET263" s="52"/>
      <c r="EU263" s="52"/>
      <c r="EV263" s="52"/>
      <c r="EW263" s="52"/>
      <c r="EX263" s="52"/>
      <c r="EY263" s="52"/>
    </row>
    <row r="264" spans="1:155" s="25" customFormat="1" ht="28.5" customHeight="1">
      <c r="A264" s="8" t="s">
        <v>241</v>
      </c>
      <c r="B264" s="6"/>
      <c r="C264" s="6"/>
      <c r="D264" s="7">
        <f>D251/D258</f>
        <v>31.71323982458048</v>
      </c>
      <c r="E264" s="7"/>
      <c r="F264" s="7">
        <f t="shared" si="34"/>
        <v>31.71323982458048</v>
      </c>
      <c r="G264" s="7">
        <f>G251/G258</f>
        <v>36.24370265666341</v>
      </c>
      <c r="H264" s="7"/>
      <c r="I264" s="7"/>
      <c r="J264" s="7">
        <f t="shared" si="35"/>
        <v>36.24370265666341</v>
      </c>
      <c r="K264" s="7"/>
      <c r="L264" s="7"/>
      <c r="M264" s="7"/>
      <c r="N264" s="7">
        <f>N251/N258</f>
        <v>41.680258055162916</v>
      </c>
      <c r="O264" s="7"/>
      <c r="P264" s="7">
        <f t="shared" si="36"/>
        <v>41.680258055162916</v>
      </c>
      <c r="ET264" s="52"/>
      <c r="EU264" s="52"/>
      <c r="EV264" s="52"/>
      <c r="EW264" s="52"/>
      <c r="EX264" s="52"/>
      <c r="EY264" s="52"/>
    </row>
    <row r="265" spans="1:155" s="25" customFormat="1" ht="28.5" customHeight="1">
      <c r="A265" s="8" t="s">
        <v>240</v>
      </c>
      <c r="B265" s="6"/>
      <c r="C265" s="6"/>
      <c r="D265" s="7">
        <f>D252/D259</f>
        <v>36964.980544747086</v>
      </c>
      <c r="E265" s="7"/>
      <c r="F265" s="7">
        <f t="shared" si="34"/>
        <v>36964.980544747086</v>
      </c>
      <c r="G265" s="7">
        <f>G252/G259</f>
        <v>39583.333333333336</v>
      </c>
      <c r="H265" s="7"/>
      <c r="I265" s="7"/>
      <c r="J265" s="7">
        <f t="shared" si="35"/>
        <v>39583.333333333336</v>
      </c>
      <c r="K265" s="7"/>
      <c r="L265" s="7"/>
      <c r="M265" s="7"/>
      <c r="N265" s="7">
        <f>N252/N259</f>
        <v>42222.22222222222</v>
      </c>
      <c r="O265" s="7"/>
      <c r="P265" s="7">
        <f t="shared" si="36"/>
        <v>42222.22222222222</v>
      </c>
      <c r="ET265" s="52"/>
      <c r="EU265" s="52"/>
      <c r="EV265" s="52"/>
      <c r="EW265" s="52"/>
      <c r="EX265" s="52"/>
      <c r="EY265" s="52"/>
    </row>
    <row r="266" spans="1:155" s="25" customFormat="1" ht="45">
      <c r="A266" s="8" t="s">
        <v>220</v>
      </c>
      <c r="B266" s="6"/>
      <c r="C266" s="6"/>
      <c r="D266" s="7"/>
      <c r="E266" s="7"/>
      <c r="F266" s="7">
        <f t="shared" si="34"/>
        <v>0</v>
      </c>
      <c r="G266" s="7">
        <v>145.4502</v>
      </c>
      <c r="H266" s="7"/>
      <c r="I266" s="7"/>
      <c r="J266" s="7">
        <f t="shared" si="35"/>
        <v>145.4502</v>
      </c>
      <c r="K266" s="7"/>
      <c r="L266" s="7"/>
      <c r="M266" s="7"/>
      <c r="N266" s="7">
        <v>145.461241023</v>
      </c>
      <c r="O266" s="7"/>
      <c r="P266" s="7">
        <f t="shared" si="36"/>
        <v>145.461241023</v>
      </c>
      <c r="ET266" s="52"/>
      <c r="EU266" s="52"/>
      <c r="EV266" s="52"/>
      <c r="EW266" s="52"/>
      <c r="EX266" s="52"/>
      <c r="EY266" s="52"/>
    </row>
    <row r="267" spans="1:155" s="25" customFormat="1" ht="11.25">
      <c r="A267" s="5" t="s">
        <v>6</v>
      </c>
      <c r="B267" s="6"/>
      <c r="C267" s="6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ET267" s="52"/>
      <c r="EU267" s="52"/>
      <c r="EV267" s="52"/>
      <c r="EW267" s="52"/>
      <c r="EX267" s="52"/>
      <c r="EY267" s="52"/>
    </row>
    <row r="268" spans="1:155" s="25" customFormat="1" ht="36" customHeight="1">
      <c r="A268" s="8" t="s">
        <v>112</v>
      </c>
      <c r="B268" s="6"/>
      <c r="C268" s="6"/>
      <c r="D268" s="7"/>
      <c r="E268" s="7"/>
      <c r="F268" s="7">
        <f t="shared" si="34"/>
        <v>0</v>
      </c>
      <c r="G268" s="7">
        <f>G262/D262*100</f>
        <v>67.30833950326446</v>
      </c>
      <c r="H268" s="7"/>
      <c r="I268" s="7"/>
      <c r="J268" s="7">
        <f t="shared" si="35"/>
        <v>67.30833950326446</v>
      </c>
      <c r="K268" s="7"/>
      <c r="L268" s="7"/>
      <c r="M268" s="7"/>
      <c r="N268" s="7">
        <f>N262/G262*100</f>
        <v>155</v>
      </c>
      <c r="O268" s="7"/>
      <c r="P268" s="7">
        <f t="shared" si="36"/>
        <v>155</v>
      </c>
      <c r="ET268" s="52"/>
      <c r="EU268" s="52"/>
      <c r="EV268" s="52"/>
      <c r="EW268" s="52"/>
      <c r="EX268" s="52"/>
      <c r="EY268" s="52"/>
    </row>
    <row r="269" spans="1:155" s="25" customFormat="1" ht="36" customHeight="1">
      <c r="A269" s="8" t="s">
        <v>221</v>
      </c>
      <c r="B269" s="6"/>
      <c r="C269" s="6"/>
      <c r="D269" s="7"/>
      <c r="E269" s="7"/>
      <c r="F269" s="7">
        <f t="shared" si="34"/>
        <v>0</v>
      </c>
      <c r="G269" s="7">
        <f>G264/D264*100</f>
        <v>114.2857142857143</v>
      </c>
      <c r="H269" s="7"/>
      <c r="I269" s="7"/>
      <c r="J269" s="7">
        <f t="shared" si="35"/>
        <v>114.2857142857143</v>
      </c>
      <c r="K269" s="7"/>
      <c r="L269" s="7"/>
      <c r="M269" s="7"/>
      <c r="N269" s="7">
        <f>N263/G263*100</f>
        <v>96.15384615384616</v>
      </c>
      <c r="O269" s="7"/>
      <c r="P269" s="7">
        <f t="shared" si="36"/>
        <v>96.15384615384616</v>
      </c>
      <c r="ET269" s="52"/>
      <c r="EU269" s="52"/>
      <c r="EV269" s="52"/>
      <c r="EW269" s="52"/>
      <c r="EX269" s="52"/>
      <c r="EY269" s="52"/>
    </row>
    <row r="270" spans="1:155" s="25" customFormat="1" ht="36" customHeight="1">
      <c r="A270" s="8" t="s">
        <v>243</v>
      </c>
      <c r="B270" s="6"/>
      <c r="C270" s="6"/>
      <c r="D270" s="7"/>
      <c r="E270" s="7"/>
      <c r="F270" s="7">
        <f t="shared" si="34"/>
        <v>0</v>
      </c>
      <c r="G270" s="7">
        <f>G265/D265*100</f>
        <v>107.08333333333333</v>
      </c>
      <c r="H270" s="7"/>
      <c r="I270" s="7"/>
      <c r="J270" s="7">
        <f t="shared" si="35"/>
        <v>107.08333333333333</v>
      </c>
      <c r="K270" s="7"/>
      <c r="L270" s="7"/>
      <c r="M270" s="7"/>
      <c r="N270" s="7">
        <f>N264/G264*100</f>
        <v>114.99999999999999</v>
      </c>
      <c r="O270" s="7"/>
      <c r="P270" s="7">
        <f t="shared" si="36"/>
        <v>114.99999999999999</v>
      </c>
      <c r="ET270" s="52"/>
      <c r="EU270" s="52"/>
      <c r="EV270" s="52"/>
      <c r="EW270" s="52"/>
      <c r="EX270" s="52"/>
      <c r="EY270" s="52"/>
    </row>
    <row r="271" spans="1:155" s="25" customFormat="1" ht="33.75">
      <c r="A271" s="8" t="s">
        <v>244</v>
      </c>
      <c r="B271" s="6"/>
      <c r="C271" s="6"/>
      <c r="D271" s="7"/>
      <c r="E271" s="7"/>
      <c r="F271" s="7">
        <f t="shared" si="34"/>
        <v>0</v>
      </c>
      <c r="G271" s="7">
        <f>G265/D265*100</f>
        <v>107.08333333333333</v>
      </c>
      <c r="H271" s="7"/>
      <c r="I271" s="7"/>
      <c r="J271" s="7">
        <f t="shared" si="35"/>
        <v>107.08333333333333</v>
      </c>
      <c r="K271" s="7"/>
      <c r="L271" s="7"/>
      <c r="M271" s="7"/>
      <c r="N271" s="7">
        <f>N265/G265*100</f>
        <v>106.66666666666664</v>
      </c>
      <c r="O271" s="7"/>
      <c r="P271" s="7">
        <f t="shared" si="36"/>
        <v>106.66666666666664</v>
      </c>
      <c r="ET271" s="52"/>
      <c r="EU271" s="52"/>
      <c r="EV271" s="52"/>
      <c r="EW271" s="52"/>
      <c r="EX271" s="52"/>
      <c r="EY271" s="52"/>
    </row>
    <row r="272" spans="1:155" s="37" customFormat="1" ht="22.5">
      <c r="A272" s="33" t="s">
        <v>377</v>
      </c>
      <c r="B272" s="34"/>
      <c r="C272" s="34"/>
      <c r="D272" s="35">
        <f>(D273*D277)+(D274*D278)+(D275*D280)-1.78+25000</f>
        <v>20099999.999959998</v>
      </c>
      <c r="E272" s="35">
        <f>(E273*E277)+(E274*E278)+(E275*E280)</f>
        <v>0</v>
      </c>
      <c r="F272" s="35">
        <f>D272</f>
        <v>20099999.999959998</v>
      </c>
      <c r="G272" s="35">
        <f>(G273*G277)+(G274*G278)+(G275*G280)+2928700-3000000</f>
        <v>20183699.999900002</v>
      </c>
      <c r="H272" s="35">
        <f>(H273*H277)+(H274*H278)+(H275*H280)</f>
        <v>0</v>
      </c>
      <c r="I272" s="35">
        <v>0</v>
      </c>
      <c r="J272" s="35">
        <f>G272+H272</f>
        <v>20183699.999900002</v>
      </c>
      <c r="K272" s="35">
        <f>(K273*K277)+(K274*K278)+(K275*K280)</f>
        <v>0</v>
      </c>
      <c r="L272" s="35">
        <f>(L273*L277)+(L274*L278)+(L275*L280)</f>
        <v>0</v>
      </c>
      <c r="M272" s="35">
        <f>(M273*M277)+(M274*M278)+(M275*M280)</f>
        <v>0</v>
      </c>
      <c r="N272" s="35">
        <f>(N273*N277)+(N274*N278)+(N275*N280)+0.03</f>
        <v>23934000.11711</v>
      </c>
      <c r="O272" s="35">
        <f>(O273*O277)+(O274*O278)+(O275*O280)</f>
        <v>0</v>
      </c>
      <c r="P272" s="35">
        <f>N272+O272</f>
        <v>23934000.11711</v>
      </c>
      <c r="Q272" s="35">
        <f>(Q273*Q277)+(Q274*Q278)+(Q275*Q280)</f>
        <v>0</v>
      </c>
      <c r="ET272" s="38"/>
      <c r="EU272" s="38"/>
      <c r="EV272" s="38"/>
      <c r="EW272" s="38"/>
      <c r="EX272" s="38"/>
      <c r="EY272" s="38"/>
    </row>
    <row r="273" spans="1:155" s="25" customFormat="1" ht="22.5">
      <c r="A273" s="8" t="s">
        <v>113</v>
      </c>
      <c r="B273" s="6"/>
      <c r="C273" s="6"/>
      <c r="D273" s="7">
        <v>33</v>
      </c>
      <c r="E273" s="7"/>
      <c r="F273" s="7">
        <f>D273+E273</f>
        <v>33</v>
      </c>
      <c r="G273" s="7">
        <v>30</v>
      </c>
      <c r="H273" s="7"/>
      <c r="I273" s="7"/>
      <c r="J273" s="7">
        <f>G273+H273</f>
        <v>30</v>
      </c>
      <c r="K273" s="7"/>
      <c r="L273" s="7"/>
      <c r="M273" s="7"/>
      <c r="N273" s="7">
        <v>29</v>
      </c>
      <c r="O273" s="7"/>
      <c r="P273" s="7">
        <f>N273+O273</f>
        <v>29</v>
      </c>
      <c r="ET273" s="52"/>
      <c r="EU273" s="52"/>
      <c r="EV273" s="52"/>
      <c r="EW273" s="52"/>
      <c r="EX273" s="52"/>
      <c r="EY273" s="52"/>
    </row>
    <row r="274" spans="1:155" s="25" customFormat="1" ht="22.5" customHeight="1">
      <c r="A274" s="8" t="s">
        <v>114</v>
      </c>
      <c r="B274" s="6"/>
      <c r="C274" s="6"/>
      <c r="D274" s="7">
        <v>6</v>
      </c>
      <c r="E274" s="7"/>
      <c r="F274" s="7">
        <f aca="true" t="shared" si="37" ref="F274:F284">D274+E274</f>
        <v>6</v>
      </c>
      <c r="G274" s="7">
        <f>D274</f>
        <v>6</v>
      </c>
      <c r="H274" s="7"/>
      <c r="I274" s="7"/>
      <c r="J274" s="7">
        <f aca="true" t="shared" si="38" ref="J274:J284">G274+H274</f>
        <v>6</v>
      </c>
      <c r="K274" s="7"/>
      <c r="L274" s="7"/>
      <c r="M274" s="7"/>
      <c r="N274" s="7">
        <v>7</v>
      </c>
      <c r="O274" s="7"/>
      <c r="P274" s="7">
        <f aca="true" t="shared" si="39" ref="P274:P284">N274+O274</f>
        <v>7</v>
      </c>
      <c r="ET274" s="52"/>
      <c r="EU274" s="52"/>
      <c r="EV274" s="52"/>
      <c r="EW274" s="52"/>
      <c r="EX274" s="52"/>
      <c r="EY274" s="52"/>
    </row>
    <row r="275" spans="1:155" s="25" customFormat="1" ht="22.5" customHeight="1">
      <c r="A275" s="8" t="s">
        <v>160</v>
      </c>
      <c r="B275" s="6"/>
      <c r="C275" s="6"/>
      <c r="D275" s="7">
        <v>77</v>
      </c>
      <c r="E275" s="7"/>
      <c r="F275" s="7">
        <f t="shared" si="37"/>
        <v>77</v>
      </c>
      <c r="G275" s="7">
        <v>80</v>
      </c>
      <c r="H275" s="7"/>
      <c r="I275" s="7"/>
      <c r="J275" s="7">
        <f t="shared" si="38"/>
        <v>80</v>
      </c>
      <c r="K275" s="7"/>
      <c r="L275" s="7"/>
      <c r="M275" s="7"/>
      <c r="N275" s="7">
        <v>90</v>
      </c>
      <c r="O275" s="7"/>
      <c r="P275" s="7">
        <f t="shared" si="39"/>
        <v>90</v>
      </c>
      <c r="ET275" s="52"/>
      <c r="EU275" s="52"/>
      <c r="EV275" s="52"/>
      <c r="EW275" s="52"/>
      <c r="EX275" s="52"/>
      <c r="EY275" s="52"/>
    </row>
    <row r="276" spans="1:155" s="25" customFormat="1" ht="12" customHeight="1">
      <c r="A276" s="5" t="s">
        <v>7</v>
      </c>
      <c r="B276" s="36"/>
      <c r="C276" s="36"/>
      <c r="D276" s="29"/>
      <c r="E276" s="29"/>
      <c r="F276" s="7"/>
      <c r="G276" s="29"/>
      <c r="H276" s="29"/>
      <c r="I276" s="7"/>
      <c r="J276" s="7"/>
      <c r="K276" s="7"/>
      <c r="L276" s="7"/>
      <c r="M276" s="7"/>
      <c r="N276" s="29"/>
      <c r="O276" s="29"/>
      <c r="P276" s="7"/>
      <c r="ET276" s="52"/>
      <c r="EU276" s="52"/>
      <c r="EV276" s="52"/>
      <c r="EW276" s="52"/>
      <c r="EX276" s="52"/>
      <c r="EY276" s="52"/>
    </row>
    <row r="277" spans="1:155" s="25" customFormat="1" ht="22.5" customHeight="1">
      <c r="A277" s="8" t="s">
        <v>115</v>
      </c>
      <c r="B277" s="6"/>
      <c r="C277" s="6"/>
      <c r="D277" s="7">
        <v>506060.66</v>
      </c>
      <c r="E277" s="7"/>
      <c r="F277" s="7">
        <f t="shared" si="37"/>
        <v>506060.66</v>
      </c>
      <c r="G277" s="7">
        <v>593333.33333</v>
      </c>
      <c r="H277" s="7"/>
      <c r="I277" s="7"/>
      <c r="J277" s="7">
        <f t="shared" si="38"/>
        <v>593333.33333</v>
      </c>
      <c r="K277" s="7"/>
      <c r="L277" s="7"/>
      <c r="M277" s="7"/>
      <c r="N277" s="7">
        <v>723758.6237</v>
      </c>
      <c r="O277" s="7"/>
      <c r="P277" s="7">
        <f t="shared" si="39"/>
        <v>723758.6237</v>
      </c>
      <c r="ET277" s="52"/>
      <c r="EU277" s="52"/>
      <c r="EV277" s="52"/>
      <c r="EW277" s="52"/>
      <c r="EX277" s="52"/>
      <c r="EY277" s="52"/>
    </row>
    <row r="278" spans="1:155" s="25" customFormat="1" ht="22.5" customHeight="1">
      <c r="A278" s="8" t="s">
        <v>116</v>
      </c>
      <c r="B278" s="6"/>
      <c r="C278" s="6"/>
      <c r="D278" s="7">
        <v>529166.66666</v>
      </c>
      <c r="E278" s="7"/>
      <c r="F278" s="7">
        <f t="shared" si="37"/>
        <v>529166.66666</v>
      </c>
      <c r="G278" s="7">
        <v>367500</v>
      </c>
      <c r="H278" s="7"/>
      <c r="I278" s="7"/>
      <c r="J278" s="7">
        <f t="shared" si="38"/>
        <v>367500</v>
      </c>
      <c r="K278" s="7"/>
      <c r="L278" s="7"/>
      <c r="M278" s="7"/>
      <c r="N278" s="7">
        <f>395833.33333-21547.619+3571.4285</f>
        <v>377857.14282999997</v>
      </c>
      <c r="O278" s="7"/>
      <c r="P278" s="7">
        <f t="shared" si="39"/>
        <v>377857.14282999997</v>
      </c>
      <c r="ET278" s="52"/>
      <c r="EU278" s="52"/>
      <c r="EV278" s="52"/>
      <c r="EW278" s="52"/>
      <c r="EX278" s="52"/>
      <c r="EY278" s="52"/>
    </row>
    <row r="279" spans="1:155" s="25" customFormat="1" ht="12" customHeight="1">
      <c r="A279" s="5" t="s">
        <v>6</v>
      </c>
      <c r="B279" s="36"/>
      <c r="C279" s="36"/>
      <c r="D279" s="29"/>
      <c r="E279" s="29"/>
      <c r="F279" s="7"/>
      <c r="G279" s="29"/>
      <c r="H279" s="29"/>
      <c r="I279" s="7"/>
      <c r="J279" s="7"/>
      <c r="K279" s="7"/>
      <c r="L279" s="7"/>
      <c r="M279" s="7"/>
      <c r="N279" s="29"/>
      <c r="O279" s="29"/>
      <c r="P279" s="7"/>
      <c r="ET279" s="52"/>
      <c r="EU279" s="52"/>
      <c r="EV279" s="52"/>
      <c r="EW279" s="52"/>
      <c r="EX279" s="52"/>
      <c r="EY279" s="52"/>
    </row>
    <row r="280" spans="1:155" s="25" customFormat="1" ht="32.25" customHeight="1">
      <c r="A280" s="8" t="s">
        <v>184</v>
      </c>
      <c r="B280" s="6"/>
      <c r="C280" s="6"/>
      <c r="D280" s="7">
        <f>200000/77</f>
        <v>2597.4025974025976</v>
      </c>
      <c r="E280" s="7"/>
      <c r="F280" s="7">
        <f t="shared" si="37"/>
        <v>2597.4025974025976</v>
      </c>
      <c r="G280" s="7">
        <v>3125</v>
      </c>
      <c r="H280" s="7"/>
      <c r="I280" s="7"/>
      <c r="J280" s="7">
        <f t="shared" si="38"/>
        <v>3125</v>
      </c>
      <c r="K280" s="7"/>
      <c r="L280" s="7"/>
      <c r="M280" s="7"/>
      <c r="N280" s="7">
        <f>300000/90</f>
        <v>3333.3333333333335</v>
      </c>
      <c r="O280" s="7"/>
      <c r="P280" s="7">
        <f t="shared" si="39"/>
        <v>3333.3333333333335</v>
      </c>
      <c r="ET280" s="52"/>
      <c r="EU280" s="52"/>
      <c r="EV280" s="52"/>
      <c r="EW280" s="52"/>
      <c r="EX280" s="52"/>
      <c r="EY280" s="52"/>
    </row>
    <row r="281" spans="1:155" s="25" customFormat="1" ht="11.25">
      <c r="A281" s="5" t="s">
        <v>6</v>
      </c>
      <c r="B281" s="6"/>
      <c r="C281" s="6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ET281" s="52"/>
      <c r="EU281" s="52"/>
      <c r="EV281" s="52"/>
      <c r="EW281" s="52"/>
      <c r="EX281" s="52"/>
      <c r="EY281" s="52"/>
    </row>
    <row r="282" spans="1:155" s="25" customFormat="1" ht="33.75">
      <c r="A282" s="8" t="s">
        <v>117</v>
      </c>
      <c r="B282" s="6"/>
      <c r="C282" s="6"/>
      <c r="D282" s="7"/>
      <c r="E282" s="7"/>
      <c r="F282" s="7">
        <f t="shared" si="37"/>
        <v>0</v>
      </c>
      <c r="G282" s="7">
        <f>G277/F277*100</f>
        <v>117.2454964845519</v>
      </c>
      <c r="H282" s="7"/>
      <c r="I282" s="7"/>
      <c r="J282" s="7">
        <f t="shared" si="38"/>
        <v>117.2454964845519</v>
      </c>
      <c r="K282" s="7"/>
      <c r="L282" s="7"/>
      <c r="M282" s="7"/>
      <c r="N282" s="7">
        <f>N277/J277*100</f>
        <v>121.98179051192125</v>
      </c>
      <c r="O282" s="7"/>
      <c r="P282" s="7">
        <f t="shared" si="39"/>
        <v>121.98179051192125</v>
      </c>
      <c r="ET282" s="52"/>
      <c r="EU282" s="52"/>
      <c r="EV282" s="52"/>
      <c r="EW282" s="52"/>
      <c r="EX282" s="52"/>
      <c r="EY282" s="52"/>
    </row>
    <row r="283" spans="1:155" s="25" customFormat="1" ht="33.75">
      <c r="A283" s="8" t="s">
        <v>118</v>
      </c>
      <c r="B283" s="6"/>
      <c r="C283" s="6"/>
      <c r="D283" s="7"/>
      <c r="E283" s="7"/>
      <c r="F283" s="7">
        <f t="shared" si="37"/>
        <v>0</v>
      </c>
      <c r="G283" s="7">
        <f>G278/D278*100</f>
        <v>69.44881889851274</v>
      </c>
      <c r="H283" s="7"/>
      <c r="I283" s="7"/>
      <c r="J283" s="7">
        <f t="shared" si="38"/>
        <v>69.44881889851274</v>
      </c>
      <c r="K283" s="7"/>
      <c r="L283" s="7"/>
      <c r="M283" s="7"/>
      <c r="N283" s="7">
        <f>N278/G278*100</f>
        <v>102.81827015782312</v>
      </c>
      <c r="O283" s="7"/>
      <c r="P283" s="7">
        <f t="shared" si="39"/>
        <v>102.81827015782312</v>
      </c>
      <c r="ET283" s="52"/>
      <c r="EU283" s="52"/>
      <c r="EV283" s="52"/>
      <c r="EW283" s="52"/>
      <c r="EX283" s="52"/>
      <c r="EY283" s="52"/>
    </row>
    <row r="284" spans="1:155" s="25" customFormat="1" ht="27" customHeight="1">
      <c r="A284" s="8" t="s">
        <v>222</v>
      </c>
      <c r="B284" s="6"/>
      <c r="C284" s="6"/>
      <c r="D284" s="7"/>
      <c r="E284" s="7"/>
      <c r="F284" s="7">
        <f t="shared" si="37"/>
        <v>0</v>
      </c>
      <c r="G284" s="7">
        <f>G280/D280*100</f>
        <v>120.3125</v>
      </c>
      <c r="H284" s="7"/>
      <c r="I284" s="7"/>
      <c r="J284" s="7">
        <f t="shared" si="38"/>
        <v>120.3125</v>
      </c>
      <c r="K284" s="7"/>
      <c r="L284" s="7"/>
      <c r="M284" s="7"/>
      <c r="N284" s="7">
        <f>N280/G280*100</f>
        <v>106.66666666666667</v>
      </c>
      <c r="O284" s="7"/>
      <c r="P284" s="7">
        <f t="shared" si="39"/>
        <v>106.66666666666667</v>
      </c>
      <c r="ET284" s="52"/>
      <c r="EU284" s="52"/>
      <c r="EV284" s="52"/>
      <c r="EW284" s="52"/>
      <c r="EX284" s="52"/>
      <c r="EY284" s="52"/>
    </row>
    <row r="285" spans="1:155" s="37" customFormat="1" ht="24" customHeight="1">
      <c r="A285" s="33" t="s">
        <v>378</v>
      </c>
      <c r="B285" s="34"/>
      <c r="C285" s="34"/>
      <c r="D285" s="35">
        <v>1000000</v>
      </c>
      <c r="E285" s="35"/>
      <c r="F285" s="35">
        <f>D285</f>
        <v>1000000</v>
      </c>
      <c r="G285" s="35">
        <v>1200000</v>
      </c>
      <c r="H285" s="35"/>
      <c r="I285" s="35"/>
      <c r="J285" s="35">
        <f>G285</f>
        <v>1200000</v>
      </c>
      <c r="K285" s="35">
        <f>(K287*K289)</f>
        <v>0</v>
      </c>
      <c r="L285" s="35">
        <f>(L287*L289)</f>
        <v>0</v>
      </c>
      <c r="M285" s="35">
        <f>(M287*M289)</f>
        <v>0</v>
      </c>
      <c r="N285" s="35">
        <v>1400000</v>
      </c>
      <c r="O285" s="35">
        <f>(O287*O289)</f>
        <v>0</v>
      </c>
      <c r="P285" s="35">
        <f>N285</f>
        <v>1400000</v>
      </c>
      <c r="ET285" s="38"/>
      <c r="EU285" s="38"/>
      <c r="EV285" s="38"/>
      <c r="EW285" s="38"/>
      <c r="EX285" s="38"/>
      <c r="EY285" s="38"/>
    </row>
    <row r="286" spans="1:155" s="25" customFormat="1" ht="11.25">
      <c r="A286" s="5" t="s">
        <v>5</v>
      </c>
      <c r="B286" s="6"/>
      <c r="C286" s="6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ET286" s="52"/>
      <c r="EU286" s="52"/>
      <c r="EV286" s="52"/>
      <c r="EW286" s="52"/>
      <c r="EX286" s="52"/>
      <c r="EY286" s="52"/>
    </row>
    <row r="287" spans="1:155" s="25" customFormat="1" ht="33.75">
      <c r="A287" s="8" t="s">
        <v>245</v>
      </c>
      <c r="B287" s="6"/>
      <c r="C287" s="6"/>
      <c r="D287" s="7">
        <v>750</v>
      </c>
      <c r="E287" s="7"/>
      <c r="F287" s="7">
        <f>D287</f>
        <v>750</v>
      </c>
      <c r="G287" s="7">
        <v>700</v>
      </c>
      <c r="H287" s="7"/>
      <c r="I287" s="7"/>
      <c r="J287" s="7">
        <f>G287</f>
        <v>700</v>
      </c>
      <c r="K287" s="7"/>
      <c r="L287" s="7"/>
      <c r="M287" s="7"/>
      <c r="N287" s="7">
        <v>650</v>
      </c>
      <c r="O287" s="7"/>
      <c r="P287" s="7">
        <f>N287</f>
        <v>650</v>
      </c>
      <c r="ET287" s="52"/>
      <c r="EU287" s="52"/>
      <c r="EV287" s="52"/>
      <c r="EW287" s="52"/>
      <c r="EX287" s="52"/>
      <c r="EY287" s="52"/>
    </row>
    <row r="288" spans="1:155" s="25" customFormat="1" ht="11.25">
      <c r="A288" s="5" t="s">
        <v>7</v>
      </c>
      <c r="B288" s="6"/>
      <c r="C288" s="6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ET288" s="52"/>
      <c r="EU288" s="52"/>
      <c r="EV288" s="52"/>
      <c r="EW288" s="52"/>
      <c r="EX288" s="52"/>
      <c r="EY288" s="52"/>
    </row>
    <row r="289" spans="1:155" s="25" customFormat="1" ht="22.5" customHeight="1">
      <c r="A289" s="8" t="s">
        <v>246</v>
      </c>
      <c r="B289" s="6"/>
      <c r="C289" s="6"/>
      <c r="D289" s="7">
        <f>D285/D287</f>
        <v>1333.3333333333333</v>
      </c>
      <c r="E289" s="7"/>
      <c r="F289" s="7">
        <f>D289</f>
        <v>1333.3333333333333</v>
      </c>
      <c r="G289" s="7">
        <f>G285/G287</f>
        <v>1714.2857142857142</v>
      </c>
      <c r="H289" s="7"/>
      <c r="I289" s="7"/>
      <c r="J289" s="7">
        <f>G289</f>
        <v>1714.2857142857142</v>
      </c>
      <c r="K289" s="7"/>
      <c r="L289" s="7"/>
      <c r="M289" s="7"/>
      <c r="N289" s="7">
        <f>1400000/750</f>
        <v>1866.6666666666667</v>
      </c>
      <c r="O289" s="7"/>
      <c r="P289" s="7">
        <f>N289</f>
        <v>1866.6666666666667</v>
      </c>
      <c r="ET289" s="52"/>
      <c r="EU289" s="52"/>
      <c r="EV289" s="52"/>
      <c r="EW289" s="52"/>
      <c r="EX289" s="52"/>
      <c r="EY289" s="52"/>
    </row>
    <row r="290" spans="1:155" s="25" customFormat="1" ht="11.25">
      <c r="A290" s="5" t="s">
        <v>6</v>
      </c>
      <c r="B290" s="6"/>
      <c r="C290" s="6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ET290" s="52"/>
      <c r="EU290" s="52"/>
      <c r="EV290" s="52"/>
      <c r="EW290" s="52"/>
      <c r="EX290" s="52"/>
      <c r="EY290" s="52"/>
    </row>
    <row r="291" spans="1:155" s="25" customFormat="1" ht="24" customHeight="1">
      <c r="A291" s="8" t="s">
        <v>178</v>
      </c>
      <c r="B291" s="6"/>
      <c r="C291" s="6"/>
      <c r="D291" s="7"/>
      <c r="E291" s="7"/>
      <c r="F291" s="7"/>
      <c r="G291" s="7">
        <f>G287/D287*100</f>
        <v>93.33333333333333</v>
      </c>
      <c r="H291" s="7"/>
      <c r="I291" s="7"/>
      <c r="J291" s="7">
        <f>G291</f>
        <v>93.33333333333333</v>
      </c>
      <c r="K291" s="7"/>
      <c r="L291" s="7"/>
      <c r="M291" s="7"/>
      <c r="N291" s="7">
        <f>N287/G287*100</f>
        <v>92.85714285714286</v>
      </c>
      <c r="O291" s="7"/>
      <c r="P291" s="7">
        <f>N291</f>
        <v>92.85714285714286</v>
      </c>
      <c r="ET291" s="52"/>
      <c r="EU291" s="52"/>
      <c r="EV291" s="52"/>
      <c r="EW291" s="52"/>
      <c r="EX291" s="52"/>
      <c r="EY291" s="52"/>
    </row>
    <row r="292" spans="1:155" s="25" customFormat="1" ht="31.5" customHeight="1">
      <c r="A292" s="8" t="s">
        <v>179</v>
      </c>
      <c r="B292" s="6"/>
      <c r="C292" s="6"/>
      <c r="D292" s="7"/>
      <c r="E292" s="7"/>
      <c r="F292" s="7"/>
      <c r="G292" s="7">
        <f>G289/D289*100</f>
        <v>128.57142857142858</v>
      </c>
      <c r="H292" s="7"/>
      <c r="I292" s="7"/>
      <c r="J292" s="7">
        <f>G292</f>
        <v>128.57142857142858</v>
      </c>
      <c r="K292" s="7"/>
      <c r="L292" s="7"/>
      <c r="M292" s="7"/>
      <c r="N292" s="7">
        <f>N289/G289*100</f>
        <v>108.8888888888889</v>
      </c>
      <c r="O292" s="7"/>
      <c r="P292" s="7">
        <f>N292</f>
        <v>108.8888888888889</v>
      </c>
      <c r="ET292" s="52"/>
      <c r="EU292" s="52"/>
      <c r="EV292" s="52"/>
      <c r="EW292" s="52"/>
      <c r="EX292" s="52"/>
      <c r="EY292" s="52"/>
    </row>
    <row r="293" spans="1:155" s="37" customFormat="1" ht="22.5" customHeight="1">
      <c r="A293" s="33" t="s">
        <v>379</v>
      </c>
      <c r="B293" s="34"/>
      <c r="C293" s="34"/>
      <c r="D293" s="35"/>
      <c r="E293" s="35">
        <f>11780000+5075000+152250</f>
        <v>17007250</v>
      </c>
      <c r="F293" s="35">
        <f>E293</f>
        <v>17007250</v>
      </c>
      <c r="G293" s="35">
        <f>G295*G297</f>
        <v>0</v>
      </c>
      <c r="H293" s="35">
        <f>12000000+6097000+185000+6401000+20000+500000+636000+670000</f>
        <v>26509000</v>
      </c>
      <c r="I293" s="35">
        <f>I295*I297</f>
        <v>0</v>
      </c>
      <c r="J293" s="35">
        <f>G293+H293</f>
        <v>26509000</v>
      </c>
      <c r="K293" s="35">
        <f>K295*K297</f>
        <v>0</v>
      </c>
      <c r="L293" s="35">
        <f>L295*L297</f>
        <v>0</v>
      </c>
      <c r="M293" s="35">
        <f>M295*M297</f>
        <v>0</v>
      </c>
      <c r="N293" s="35">
        <f>N295*N297</f>
        <v>0</v>
      </c>
      <c r="O293" s="35">
        <f>12100000-18000+O301+O302+O300</f>
        <v>24384783.759999998</v>
      </c>
      <c r="P293" s="35">
        <f>N293+O293</f>
        <v>24384783.759999998</v>
      </c>
      <c r="ET293" s="38"/>
      <c r="EU293" s="38"/>
      <c r="EV293" s="38"/>
      <c r="EW293" s="38"/>
      <c r="EX293" s="38"/>
      <c r="EY293" s="38"/>
    </row>
    <row r="294" spans="1:155" s="25" customFormat="1" ht="11.25">
      <c r="A294" s="5" t="s">
        <v>5</v>
      </c>
      <c r="B294" s="36"/>
      <c r="C294" s="36"/>
      <c r="D294" s="29"/>
      <c r="E294" s="29"/>
      <c r="F294" s="7"/>
      <c r="G294" s="29"/>
      <c r="H294" s="29"/>
      <c r="I294" s="29"/>
      <c r="J294" s="7"/>
      <c r="K294" s="7"/>
      <c r="L294" s="7"/>
      <c r="M294" s="7"/>
      <c r="N294" s="29"/>
      <c r="O294" s="29"/>
      <c r="P294" s="7"/>
      <c r="ET294" s="52"/>
      <c r="EU294" s="52"/>
      <c r="EV294" s="52"/>
      <c r="EW294" s="52"/>
      <c r="EX294" s="52"/>
      <c r="EY294" s="52"/>
    </row>
    <row r="295" spans="1:155" s="25" customFormat="1" ht="21.75" customHeight="1">
      <c r="A295" s="8" t="s">
        <v>119</v>
      </c>
      <c r="B295" s="6"/>
      <c r="C295" s="6"/>
      <c r="D295" s="7"/>
      <c r="E295" s="7">
        <f>20+6</f>
        <v>26</v>
      </c>
      <c r="F295" s="7">
        <f>E295</f>
        <v>26</v>
      </c>
      <c r="G295" s="7"/>
      <c r="H295" s="7">
        <v>18</v>
      </c>
      <c r="I295" s="7"/>
      <c r="J295" s="7">
        <f>G295+H295</f>
        <v>18</v>
      </c>
      <c r="K295" s="7"/>
      <c r="L295" s="7"/>
      <c r="M295" s="7"/>
      <c r="N295" s="7"/>
      <c r="O295" s="7">
        <v>15</v>
      </c>
      <c r="P295" s="7">
        <f>O295</f>
        <v>15</v>
      </c>
      <c r="ET295" s="52"/>
      <c r="EU295" s="52"/>
      <c r="EV295" s="52"/>
      <c r="EW295" s="52"/>
      <c r="EX295" s="52"/>
      <c r="EY295" s="52"/>
    </row>
    <row r="296" spans="1:155" s="25" customFormat="1" ht="11.25">
      <c r="A296" s="5" t="s">
        <v>7</v>
      </c>
      <c r="B296" s="36"/>
      <c r="C296" s="36"/>
      <c r="D296" s="29"/>
      <c r="E296" s="29"/>
      <c r="F296" s="7"/>
      <c r="G296" s="29"/>
      <c r="H296" s="29"/>
      <c r="I296" s="29"/>
      <c r="J296" s="7"/>
      <c r="K296" s="7"/>
      <c r="L296" s="7"/>
      <c r="M296" s="7"/>
      <c r="N296" s="29"/>
      <c r="O296" s="29"/>
      <c r="P296" s="7"/>
      <c r="ET296" s="52"/>
      <c r="EU296" s="52"/>
      <c r="EV296" s="52"/>
      <c r="EW296" s="52"/>
      <c r="EX296" s="52"/>
      <c r="EY296" s="52"/>
    </row>
    <row r="297" spans="1:155" s="25" customFormat="1" ht="23.25" customHeight="1">
      <c r="A297" s="8" t="s">
        <v>120</v>
      </c>
      <c r="B297" s="6"/>
      <c r="C297" s="6"/>
      <c r="D297" s="7"/>
      <c r="E297" s="7">
        <f>E293/E295</f>
        <v>654125</v>
      </c>
      <c r="F297" s="7">
        <f>E297</f>
        <v>654125</v>
      </c>
      <c r="G297" s="7"/>
      <c r="H297" s="7">
        <f>H293/H295</f>
        <v>1472722.2222222222</v>
      </c>
      <c r="I297" s="7"/>
      <c r="J297" s="7">
        <f>G297+H297</f>
        <v>1472722.2222222222</v>
      </c>
      <c r="K297" s="7"/>
      <c r="L297" s="7"/>
      <c r="M297" s="7"/>
      <c r="N297" s="7"/>
      <c r="O297" s="7">
        <f>O293/O295</f>
        <v>1625652.2506666665</v>
      </c>
      <c r="P297" s="7">
        <f>O297</f>
        <v>1625652.2506666665</v>
      </c>
      <c r="ET297" s="52"/>
      <c r="EU297" s="52"/>
      <c r="EV297" s="52"/>
      <c r="EW297" s="52"/>
      <c r="EX297" s="52"/>
      <c r="EY297" s="52"/>
    </row>
    <row r="298" spans="1:155" s="25" customFormat="1" ht="11.25">
      <c r="A298" s="5" t="s">
        <v>6</v>
      </c>
      <c r="B298" s="6"/>
      <c r="C298" s="6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ET298" s="52"/>
      <c r="EU298" s="52"/>
      <c r="EV298" s="52"/>
      <c r="EW298" s="52"/>
      <c r="EX298" s="52"/>
      <c r="EY298" s="52"/>
    </row>
    <row r="299" spans="1:155" s="25" customFormat="1" ht="35.25" customHeight="1">
      <c r="A299" s="8" t="s">
        <v>121</v>
      </c>
      <c r="B299" s="6"/>
      <c r="C299" s="6"/>
      <c r="D299" s="7"/>
      <c r="E299" s="7">
        <v>0</v>
      </c>
      <c r="F299" s="7">
        <v>0</v>
      </c>
      <c r="G299" s="7"/>
      <c r="H299" s="7">
        <f>H297/E297*100</f>
        <v>225.1438520500244</v>
      </c>
      <c r="I299" s="7"/>
      <c r="J299" s="7">
        <f>G299+H299</f>
        <v>225.1438520500244</v>
      </c>
      <c r="K299" s="7"/>
      <c r="L299" s="7"/>
      <c r="M299" s="7"/>
      <c r="N299" s="7"/>
      <c r="O299" s="7">
        <f>O297/H297*100</f>
        <v>110.38417334490171</v>
      </c>
      <c r="P299" s="7">
        <f>O299</f>
        <v>110.38417334490171</v>
      </c>
      <c r="ET299" s="52"/>
      <c r="EU299" s="52"/>
      <c r="EV299" s="52"/>
      <c r="EW299" s="52"/>
      <c r="EX299" s="52"/>
      <c r="EY299" s="52"/>
    </row>
    <row r="300" spans="1:155" s="25" customFormat="1" ht="22.5" customHeight="1">
      <c r="A300" s="8" t="s">
        <v>441</v>
      </c>
      <c r="B300" s="6"/>
      <c r="C300" s="6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>
        <v>11500000</v>
      </c>
      <c r="P300" s="7">
        <v>11500000</v>
      </c>
      <c r="ET300" s="52"/>
      <c r="EU300" s="52"/>
      <c r="EV300" s="52"/>
      <c r="EW300" s="52"/>
      <c r="EX300" s="52"/>
      <c r="EY300" s="52"/>
    </row>
    <row r="301" spans="1:155" s="25" customFormat="1" ht="17.25" customHeight="1">
      <c r="A301" s="8" t="s">
        <v>392</v>
      </c>
      <c r="B301" s="6"/>
      <c r="C301" s="6"/>
      <c r="D301" s="7"/>
      <c r="E301" s="7">
        <v>5075000</v>
      </c>
      <c r="F301" s="7">
        <f>E301</f>
        <v>5075000</v>
      </c>
      <c r="G301" s="7"/>
      <c r="H301" s="7">
        <f>0+6097000+6401000+20000+500000+636000+670000</f>
        <v>14324000</v>
      </c>
      <c r="I301" s="7"/>
      <c r="J301" s="7">
        <f>H301</f>
        <v>14324000</v>
      </c>
      <c r="K301" s="7"/>
      <c r="L301" s="7"/>
      <c r="M301" s="7"/>
      <c r="N301" s="7"/>
      <c r="O301" s="7">
        <v>784783.76</v>
      </c>
      <c r="P301" s="7">
        <f>N301+O301</f>
        <v>784783.76</v>
      </c>
      <c r="ET301" s="52"/>
      <c r="EU301" s="52"/>
      <c r="EV301" s="52"/>
      <c r="EW301" s="52"/>
      <c r="EX301" s="52"/>
      <c r="EY301" s="52"/>
    </row>
    <row r="302" spans="1:155" s="25" customFormat="1" ht="20.25" customHeight="1">
      <c r="A302" s="8" t="s">
        <v>393</v>
      </c>
      <c r="B302" s="6"/>
      <c r="C302" s="6"/>
      <c r="D302" s="7"/>
      <c r="E302" s="7">
        <v>152250</v>
      </c>
      <c r="F302" s="7">
        <f>E302</f>
        <v>152250</v>
      </c>
      <c r="G302" s="7"/>
      <c r="H302" s="7">
        <f>0+185000+15000</f>
        <v>200000</v>
      </c>
      <c r="I302" s="7"/>
      <c r="J302" s="7">
        <f>H302</f>
        <v>200000</v>
      </c>
      <c r="K302" s="7"/>
      <c r="L302" s="7"/>
      <c r="M302" s="7"/>
      <c r="N302" s="7"/>
      <c r="O302" s="7">
        <v>18000</v>
      </c>
      <c r="P302" s="7">
        <f>N302+O302</f>
        <v>18000</v>
      </c>
      <c r="ET302" s="52"/>
      <c r="EU302" s="52"/>
      <c r="EV302" s="52"/>
      <c r="EW302" s="52"/>
      <c r="EX302" s="52"/>
      <c r="EY302" s="52"/>
    </row>
    <row r="303" spans="1:16" ht="15" customHeight="1">
      <c r="A303" s="36" t="s">
        <v>351</v>
      </c>
      <c r="B303" s="36"/>
      <c r="C303" s="36"/>
      <c r="D303" s="29"/>
      <c r="E303" s="29">
        <f aca="true" t="shared" si="40" ref="E303:M303">E305+E319+E334</f>
        <v>76757323</v>
      </c>
      <c r="F303" s="29">
        <f t="shared" si="40"/>
        <v>76757323</v>
      </c>
      <c r="G303" s="29">
        <f t="shared" si="40"/>
        <v>0</v>
      </c>
      <c r="H303" s="29">
        <f>H305+H319+H334</f>
        <v>83062199.9975</v>
      </c>
      <c r="I303" s="29">
        <f t="shared" si="40"/>
        <v>742600</v>
      </c>
      <c r="J303" s="29">
        <f t="shared" si="40"/>
        <v>83062199.9975</v>
      </c>
      <c r="K303" s="29">
        <f t="shared" si="40"/>
        <v>10668.66666388889</v>
      </c>
      <c r="L303" s="29">
        <f t="shared" si="40"/>
        <v>2</v>
      </c>
      <c r="M303" s="29">
        <f t="shared" si="40"/>
        <v>2</v>
      </c>
      <c r="N303" s="29">
        <f>N305+N319+N334</f>
        <v>0</v>
      </c>
      <c r="O303" s="29">
        <f>O305+O319+O334+O317+O318-O334</f>
        <v>70152636.62200001</v>
      </c>
      <c r="P303" s="29">
        <f>P305+P319+P334+P317+P318-P334</f>
        <v>70152636.62200001</v>
      </c>
    </row>
    <row r="304" spans="1:16" ht="56.25" customHeight="1">
      <c r="A304" s="33" t="s">
        <v>122</v>
      </c>
      <c r="B304" s="6"/>
      <c r="C304" s="6"/>
      <c r="D304" s="7"/>
      <c r="E304" s="35"/>
      <c r="F304" s="35"/>
      <c r="G304" s="7"/>
      <c r="H304" s="35"/>
      <c r="I304" s="35"/>
      <c r="J304" s="35"/>
      <c r="K304" s="7" t="e">
        <f>H304/E304*100</f>
        <v>#DIV/0!</v>
      </c>
      <c r="L304" s="35"/>
      <c r="M304" s="35"/>
      <c r="N304" s="7"/>
      <c r="O304" s="35"/>
      <c r="P304" s="35"/>
    </row>
    <row r="305" spans="1:16" ht="22.5" customHeight="1">
      <c r="A305" s="33" t="s">
        <v>127</v>
      </c>
      <c r="B305" s="6"/>
      <c r="C305" s="6"/>
      <c r="D305" s="7"/>
      <c r="E305" s="35">
        <f>E306</f>
        <v>55957320</v>
      </c>
      <c r="F305" s="35">
        <f>D305+E305</f>
        <v>55957320</v>
      </c>
      <c r="G305" s="35"/>
      <c r="H305" s="35">
        <f>H306</f>
        <v>62659599.997499995</v>
      </c>
      <c r="I305" s="35"/>
      <c r="J305" s="35">
        <f>G305+H305</f>
        <v>62659599.997499995</v>
      </c>
      <c r="K305" s="35">
        <f>K306+K320+K327</f>
        <v>10667.66666388889</v>
      </c>
      <c r="L305" s="35">
        <f>L306+L320+L327</f>
        <v>1</v>
      </c>
      <c r="M305" s="35">
        <f>M306+M320+M327</f>
        <v>1</v>
      </c>
      <c r="N305" s="35"/>
      <c r="O305" s="35">
        <f>O306</f>
        <v>49999233.691999994</v>
      </c>
      <c r="P305" s="35">
        <f>N305+O305</f>
        <v>49999233.691999994</v>
      </c>
    </row>
    <row r="306" spans="1:149" s="38" customFormat="1" ht="22.5">
      <c r="A306" s="33" t="s">
        <v>380</v>
      </c>
      <c r="B306" s="34"/>
      <c r="C306" s="34"/>
      <c r="D306" s="35"/>
      <c r="E306" s="143">
        <f>(E310*E312)+E316+E317+E318</f>
        <v>55957320</v>
      </c>
      <c r="F306" s="35">
        <f>E306</f>
        <v>55957320</v>
      </c>
      <c r="G306" s="35"/>
      <c r="H306" s="35">
        <f>H310*H312+0.01+5339300+4663300+4487000+990000+295000-1115000</f>
        <v>62659599.997499995</v>
      </c>
      <c r="I306" s="35"/>
      <c r="J306" s="35">
        <f>H306</f>
        <v>62659599.997499995</v>
      </c>
      <c r="K306" s="35">
        <f>K310*K312</f>
        <v>10666.66666388889</v>
      </c>
      <c r="L306" s="35">
        <f>L310*L312</f>
        <v>0</v>
      </c>
      <c r="M306" s="35">
        <f>M310*M312</f>
        <v>0</v>
      </c>
      <c r="N306" s="35"/>
      <c r="O306" s="35">
        <f>O310*O312+0.01-766.31</f>
        <v>49999233.691999994</v>
      </c>
      <c r="P306" s="35">
        <f>N306+O306</f>
        <v>49999233.691999994</v>
      </c>
      <c r="Q306" s="37"/>
      <c r="R306" s="37"/>
      <c r="S306" s="37"/>
      <c r="T306" s="37"/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F306" s="37"/>
      <c r="AG306" s="37"/>
      <c r="AH306" s="37"/>
      <c r="AI306" s="37"/>
      <c r="AJ306" s="37"/>
      <c r="AK306" s="37"/>
      <c r="AL306" s="37"/>
      <c r="AM306" s="37"/>
      <c r="AN306" s="37"/>
      <c r="AO306" s="37"/>
      <c r="AP306" s="37"/>
      <c r="AQ306" s="37"/>
      <c r="AR306" s="37"/>
      <c r="AS306" s="37"/>
      <c r="AT306" s="37"/>
      <c r="AU306" s="37"/>
      <c r="AV306" s="37"/>
      <c r="AW306" s="37"/>
      <c r="AX306" s="37"/>
      <c r="AY306" s="37"/>
      <c r="AZ306" s="37"/>
      <c r="BA306" s="37"/>
      <c r="BB306" s="37"/>
      <c r="BC306" s="37"/>
      <c r="BD306" s="37"/>
      <c r="BE306" s="37"/>
      <c r="BF306" s="37"/>
      <c r="BG306" s="37"/>
      <c r="BH306" s="37"/>
      <c r="BI306" s="37"/>
      <c r="BJ306" s="37"/>
      <c r="BK306" s="37"/>
      <c r="BL306" s="37"/>
      <c r="BM306" s="37"/>
      <c r="BN306" s="37"/>
      <c r="BO306" s="37"/>
      <c r="BP306" s="37"/>
      <c r="BQ306" s="37"/>
      <c r="BR306" s="37"/>
      <c r="BS306" s="37"/>
      <c r="BT306" s="37"/>
      <c r="BU306" s="37"/>
      <c r="BV306" s="37"/>
      <c r="BW306" s="37"/>
      <c r="BX306" s="37"/>
      <c r="BY306" s="37"/>
      <c r="BZ306" s="37"/>
      <c r="CA306" s="37"/>
      <c r="CB306" s="37"/>
      <c r="CC306" s="37"/>
      <c r="CD306" s="37"/>
      <c r="CE306" s="37"/>
      <c r="CF306" s="37"/>
      <c r="CG306" s="37"/>
      <c r="CH306" s="37"/>
      <c r="CI306" s="37"/>
      <c r="CJ306" s="37"/>
      <c r="CK306" s="37"/>
      <c r="CL306" s="37"/>
      <c r="CM306" s="37"/>
      <c r="CN306" s="37"/>
      <c r="CO306" s="37"/>
      <c r="CP306" s="37"/>
      <c r="CQ306" s="37"/>
      <c r="CR306" s="37"/>
      <c r="CS306" s="37"/>
      <c r="CT306" s="37"/>
      <c r="CU306" s="37"/>
      <c r="CV306" s="37"/>
      <c r="CW306" s="37"/>
      <c r="CX306" s="37"/>
      <c r="CY306" s="37"/>
      <c r="CZ306" s="37"/>
      <c r="DA306" s="37"/>
      <c r="DB306" s="37"/>
      <c r="DC306" s="37"/>
      <c r="DD306" s="37"/>
      <c r="DE306" s="37"/>
      <c r="DF306" s="37"/>
      <c r="DG306" s="37"/>
      <c r="DH306" s="37"/>
      <c r="DI306" s="37"/>
      <c r="DJ306" s="37"/>
      <c r="DK306" s="37"/>
      <c r="DL306" s="37"/>
      <c r="DM306" s="37"/>
      <c r="DN306" s="37"/>
      <c r="DO306" s="37"/>
      <c r="DP306" s="37"/>
      <c r="DQ306" s="37"/>
      <c r="DR306" s="37"/>
      <c r="DS306" s="37"/>
      <c r="DT306" s="37"/>
      <c r="DU306" s="37"/>
      <c r="DV306" s="37"/>
      <c r="DW306" s="37"/>
      <c r="DX306" s="37"/>
      <c r="DY306" s="37"/>
      <c r="DZ306" s="37"/>
      <c r="EA306" s="37"/>
      <c r="EB306" s="37"/>
      <c r="EC306" s="37"/>
      <c r="ED306" s="37"/>
      <c r="EE306" s="37"/>
      <c r="EF306" s="37"/>
      <c r="EG306" s="37"/>
      <c r="EH306" s="37"/>
      <c r="EI306" s="37"/>
      <c r="EJ306" s="37"/>
      <c r="EK306" s="37"/>
      <c r="EL306" s="37"/>
      <c r="EM306" s="37"/>
      <c r="EN306" s="37"/>
      <c r="EO306" s="37"/>
      <c r="EP306" s="37"/>
      <c r="EQ306" s="37"/>
      <c r="ER306" s="37"/>
      <c r="ES306" s="37"/>
    </row>
    <row r="307" spans="1:16" ht="11.25">
      <c r="A307" s="5" t="s">
        <v>4</v>
      </c>
      <c r="B307" s="36"/>
      <c r="C307" s="36"/>
      <c r="D307" s="7"/>
      <c r="E307" s="35"/>
      <c r="F307" s="35"/>
      <c r="G307" s="7"/>
      <c r="H307" s="35"/>
      <c r="I307" s="35"/>
      <c r="J307" s="35"/>
      <c r="K307" s="7"/>
      <c r="L307" s="35"/>
      <c r="M307" s="35"/>
      <c r="N307" s="7"/>
      <c r="O307" s="35"/>
      <c r="P307" s="35"/>
    </row>
    <row r="308" spans="1:16" ht="22.5">
      <c r="A308" s="8" t="s">
        <v>123</v>
      </c>
      <c r="B308" s="6"/>
      <c r="C308" s="6"/>
      <c r="D308" s="7"/>
      <c r="E308" s="7">
        <v>1072</v>
      </c>
      <c r="F308" s="7">
        <f>E308</f>
        <v>1072</v>
      </c>
      <c r="G308" s="7"/>
      <c r="H308" s="7">
        <v>892</v>
      </c>
      <c r="I308" s="7"/>
      <c r="J308" s="7">
        <f>H308</f>
        <v>892</v>
      </c>
      <c r="K308" s="7"/>
      <c r="L308" s="35"/>
      <c r="M308" s="35"/>
      <c r="N308" s="7"/>
      <c r="O308" s="7">
        <v>617</v>
      </c>
      <c r="P308" s="7">
        <f>O308</f>
        <v>617</v>
      </c>
    </row>
    <row r="309" spans="1:16" ht="11.25">
      <c r="A309" s="5" t="s">
        <v>5</v>
      </c>
      <c r="B309" s="36"/>
      <c r="C309" s="36"/>
      <c r="D309" s="7"/>
      <c r="E309" s="29"/>
      <c r="F309" s="29"/>
      <c r="G309" s="7"/>
      <c r="H309" s="29"/>
      <c r="I309" s="29"/>
      <c r="J309" s="29"/>
      <c r="K309" s="7" t="e">
        <f>H309/E309*100</f>
        <v>#DIV/0!</v>
      </c>
      <c r="L309" s="29"/>
      <c r="M309" s="29"/>
      <c r="N309" s="7"/>
      <c r="O309" s="29"/>
      <c r="P309" s="29"/>
    </row>
    <row r="310" spans="1:16" ht="22.5">
      <c r="A310" s="8" t="s">
        <v>124</v>
      </c>
      <c r="B310" s="6"/>
      <c r="C310" s="6"/>
      <c r="D310" s="7"/>
      <c r="E310" s="7">
        <v>180</v>
      </c>
      <c r="F310" s="7">
        <f>E310</f>
        <v>180</v>
      </c>
      <c r="G310" s="7"/>
      <c r="H310" s="7">
        <v>275</v>
      </c>
      <c r="I310" s="7"/>
      <c r="J310" s="7">
        <f>H310</f>
        <v>275</v>
      </c>
      <c r="K310" s="7">
        <f>H310/E310*100</f>
        <v>152.77777777777777</v>
      </c>
      <c r="L310" s="7"/>
      <c r="M310" s="7"/>
      <c r="N310" s="7"/>
      <c r="O310" s="7">
        <v>240</v>
      </c>
      <c r="P310" s="7">
        <f>O310</f>
        <v>240</v>
      </c>
    </row>
    <row r="311" spans="1:16" ht="11.25">
      <c r="A311" s="5" t="s">
        <v>7</v>
      </c>
      <c r="B311" s="36"/>
      <c r="C311" s="36"/>
      <c r="D311" s="7"/>
      <c r="E311" s="29"/>
      <c r="F311" s="29"/>
      <c r="G311" s="7"/>
      <c r="H311" s="29"/>
      <c r="I311" s="29"/>
      <c r="J311" s="29"/>
      <c r="K311" s="7" t="e">
        <f>H311/E311*100</f>
        <v>#DIV/0!</v>
      </c>
      <c r="L311" s="29"/>
      <c r="M311" s="29"/>
      <c r="N311" s="7"/>
      <c r="O311" s="29"/>
      <c r="P311" s="29"/>
    </row>
    <row r="312" spans="1:16" ht="24" customHeight="1">
      <c r="A312" s="8" t="s">
        <v>125</v>
      </c>
      <c r="B312" s="6"/>
      <c r="C312" s="6"/>
      <c r="D312" s="7"/>
      <c r="E312" s="7">
        <v>250000</v>
      </c>
      <c r="F312" s="7">
        <f>E312</f>
        <v>250000</v>
      </c>
      <c r="G312" s="7"/>
      <c r="H312" s="7">
        <v>174545.4545</v>
      </c>
      <c r="I312" s="7"/>
      <c r="J312" s="7">
        <f>H312</f>
        <v>174545.4545</v>
      </c>
      <c r="K312" s="7">
        <f>H312/E312*100</f>
        <v>69.8181818</v>
      </c>
      <c r="L312" s="7"/>
      <c r="M312" s="7"/>
      <c r="N312" s="7"/>
      <c r="O312" s="7">
        <v>208333.3333</v>
      </c>
      <c r="P312" s="7">
        <f>O312</f>
        <v>208333.3333</v>
      </c>
    </row>
    <row r="313" spans="1:16" ht="11.25">
      <c r="A313" s="5" t="s">
        <v>6</v>
      </c>
      <c r="B313" s="36"/>
      <c r="C313" s="36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</row>
    <row r="314" spans="1:16" ht="50.25" customHeight="1">
      <c r="A314" s="8" t="s">
        <v>126</v>
      </c>
      <c r="B314" s="6"/>
      <c r="C314" s="6"/>
      <c r="D314" s="7"/>
      <c r="E314" s="7">
        <f>E310/E308*100</f>
        <v>16.791044776119403</v>
      </c>
      <c r="F314" s="7">
        <f>D314+E314</f>
        <v>16.791044776119403</v>
      </c>
      <c r="G314" s="7"/>
      <c r="H314" s="7">
        <f>H310/H308*100</f>
        <v>30.829596412556054</v>
      </c>
      <c r="I314" s="7"/>
      <c r="J314" s="7">
        <f>J310/J308*100</f>
        <v>30.829596412556054</v>
      </c>
      <c r="K314" s="7" t="e">
        <f>K310/K308*100</f>
        <v>#DIV/0!</v>
      </c>
      <c r="L314" s="7" t="e">
        <f>L310/L308*100</f>
        <v>#DIV/0!</v>
      </c>
      <c r="M314" s="7" t="e">
        <f>M310/M308*100</f>
        <v>#DIV/0!</v>
      </c>
      <c r="N314" s="7"/>
      <c r="O314" s="7">
        <f>O310/O308*100</f>
        <v>38.897893030794165</v>
      </c>
      <c r="P314" s="7">
        <f>P310/P308*100</f>
        <v>38.897893030794165</v>
      </c>
    </row>
    <row r="315" spans="1:16" ht="11.25">
      <c r="A315" s="5" t="s">
        <v>5</v>
      </c>
      <c r="B315" s="34"/>
      <c r="C315" s="34"/>
      <c r="D315" s="7"/>
      <c r="E315" s="35"/>
      <c r="F315" s="35"/>
      <c r="G315" s="7"/>
      <c r="H315" s="35"/>
      <c r="I315" s="35"/>
      <c r="J315" s="35"/>
      <c r="K315" s="35"/>
      <c r="L315" s="35"/>
      <c r="M315" s="35"/>
      <c r="N315" s="7"/>
      <c r="O315" s="35"/>
      <c r="P315" s="35"/>
    </row>
    <row r="316" spans="1:16" ht="33.75">
      <c r="A316" s="8" t="s">
        <v>275</v>
      </c>
      <c r="B316" s="36"/>
      <c r="C316" s="36"/>
      <c r="D316" s="29"/>
      <c r="E316" s="7">
        <v>160000</v>
      </c>
      <c r="F316" s="7">
        <v>160000</v>
      </c>
      <c r="G316" s="7"/>
      <c r="H316" s="7"/>
      <c r="I316" s="7"/>
      <c r="J316" s="7"/>
      <c r="K316" s="7"/>
      <c r="L316" s="7"/>
      <c r="M316" s="7"/>
      <c r="N316" s="7"/>
      <c r="O316" s="7"/>
      <c r="P316" s="7"/>
    </row>
    <row r="317" spans="1:16" ht="11.25">
      <c r="A317" s="8" t="s">
        <v>352</v>
      </c>
      <c r="B317" s="36"/>
      <c r="C317" s="36"/>
      <c r="D317" s="29"/>
      <c r="E317" s="7">
        <f>1522000+8354000</f>
        <v>9876000</v>
      </c>
      <c r="F317" s="7">
        <f>E317</f>
        <v>9876000</v>
      </c>
      <c r="G317" s="7"/>
      <c r="H317" s="7">
        <f>0+5339300+4663300+4487000+990000+295000</f>
        <v>15774600</v>
      </c>
      <c r="I317" s="7"/>
      <c r="J317" s="7">
        <f>G317+H317</f>
        <v>15774600</v>
      </c>
      <c r="K317" s="7"/>
      <c r="L317" s="7"/>
      <c r="M317" s="7"/>
      <c r="N317" s="7"/>
      <c r="O317" s="7">
        <v>152636.62</v>
      </c>
      <c r="P317" s="7">
        <f>N317+O317</f>
        <v>152636.62</v>
      </c>
    </row>
    <row r="318" spans="1:16" ht="22.5">
      <c r="A318" s="8" t="s">
        <v>363</v>
      </c>
      <c r="B318" s="36"/>
      <c r="C318" s="36"/>
      <c r="D318" s="29"/>
      <c r="E318" s="7">
        <f>245700+675620</f>
        <v>921320</v>
      </c>
      <c r="F318" s="7">
        <f>E318</f>
        <v>921320</v>
      </c>
      <c r="G318" s="7"/>
      <c r="H318" s="7">
        <f>0+192200</f>
        <v>192200</v>
      </c>
      <c r="I318" s="7"/>
      <c r="J318" s="7">
        <f>G318+H318</f>
        <v>192200</v>
      </c>
      <c r="K318" s="7"/>
      <c r="L318" s="7"/>
      <c r="M318" s="7"/>
      <c r="N318" s="7"/>
      <c r="O318" s="7">
        <v>766.31</v>
      </c>
      <c r="P318" s="7">
        <f>N318+O318</f>
        <v>766.31</v>
      </c>
    </row>
    <row r="319" spans="1:149" s="38" customFormat="1" ht="36" customHeight="1">
      <c r="A319" s="33" t="s">
        <v>337</v>
      </c>
      <c r="B319" s="34"/>
      <c r="C319" s="34"/>
      <c r="D319" s="35"/>
      <c r="E319" s="35">
        <f>SUM(E320)+E327</f>
        <v>20000000</v>
      </c>
      <c r="F319" s="35">
        <f aca="true" t="shared" si="41" ref="F319:P319">SUM(F320)+F327</f>
        <v>20000000</v>
      </c>
      <c r="G319" s="35">
        <f t="shared" si="41"/>
        <v>0</v>
      </c>
      <c r="H319" s="35">
        <f>SUM(H320)+H327</f>
        <v>19660000</v>
      </c>
      <c r="I319" s="35">
        <f t="shared" si="41"/>
        <v>0</v>
      </c>
      <c r="J319" s="35">
        <f t="shared" si="41"/>
        <v>19660000</v>
      </c>
      <c r="K319" s="35">
        <f t="shared" si="41"/>
        <v>1</v>
      </c>
      <c r="L319" s="35">
        <f t="shared" si="41"/>
        <v>1</v>
      </c>
      <c r="M319" s="35">
        <f t="shared" si="41"/>
        <v>1</v>
      </c>
      <c r="N319" s="35">
        <f t="shared" si="41"/>
        <v>0</v>
      </c>
      <c r="O319" s="35">
        <f t="shared" si="41"/>
        <v>20000000</v>
      </c>
      <c r="P319" s="35">
        <f t="shared" si="41"/>
        <v>20000000</v>
      </c>
      <c r="Q319" s="37"/>
      <c r="R319" s="37"/>
      <c r="S319" s="37"/>
      <c r="T319" s="37"/>
      <c r="U319" s="37"/>
      <c r="V319" s="37"/>
      <c r="W319" s="37"/>
      <c r="X319" s="37"/>
      <c r="Y319" s="37"/>
      <c r="Z319" s="37"/>
      <c r="AA319" s="37"/>
      <c r="AB319" s="37"/>
      <c r="AC319" s="37"/>
      <c r="AD319" s="37"/>
      <c r="AE319" s="37"/>
      <c r="AF319" s="37"/>
      <c r="AG319" s="37"/>
      <c r="AH319" s="37"/>
      <c r="AI319" s="37"/>
      <c r="AJ319" s="37"/>
      <c r="AK319" s="37"/>
      <c r="AL319" s="37"/>
      <c r="AM319" s="37"/>
      <c r="AN319" s="37"/>
      <c r="AO319" s="37"/>
      <c r="AP319" s="37"/>
      <c r="AQ319" s="37"/>
      <c r="AR319" s="37"/>
      <c r="AS319" s="37"/>
      <c r="AT319" s="37"/>
      <c r="AU319" s="37"/>
      <c r="AV319" s="37"/>
      <c r="AW319" s="37"/>
      <c r="AX319" s="37"/>
      <c r="AY319" s="37"/>
      <c r="AZ319" s="37"/>
      <c r="BA319" s="37"/>
      <c r="BB319" s="37"/>
      <c r="BC319" s="37"/>
      <c r="BD319" s="37"/>
      <c r="BE319" s="37"/>
      <c r="BF319" s="37"/>
      <c r="BG319" s="37"/>
      <c r="BH319" s="37"/>
      <c r="BI319" s="37"/>
      <c r="BJ319" s="37"/>
      <c r="BK319" s="37"/>
      <c r="BL319" s="37"/>
      <c r="BM319" s="37"/>
      <c r="BN319" s="37"/>
      <c r="BO319" s="37"/>
      <c r="BP319" s="37"/>
      <c r="BQ319" s="37"/>
      <c r="BR319" s="37"/>
      <c r="BS319" s="37"/>
      <c r="BT319" s="37"/>
      <c r="BU319" s="37"/>
      <c r="BV319" s="37"/>
      <c r="BW319" s="37"/>
      <c r="BX319" s="37"/>
      <c r="BY319" s="37"/>
      <c r="BZ319" s="37"/>
      <c r="CA319" s="37"/>
      <c r="CB319" s="37"/>
      <c r="CC319" s="37"/>
      <c r="CD319" s="37"/>
      <c r="CE319" s="37"/>
      <c r="CF319" s="37"/>
      <c r="CG319" s="37"/>
      <c r="CH319" s="37"/>
      <c r="CI319" s="37"/>
      <c r="CJ319" s="37"/>
      <c r="CK319" s="37"/>
      <c r="CL319" s="37"/>
      <c r="CM319" s="37"/>
      <c r="CN319" s="37"/>
      <c r="CO319" s="37"/>
      <c r="CP319" s="37"/>
      <c r="CQ319" s="37"/>
      <c r="CR319" s="37"/>
      <c r="CS319" s="37"/>
      <c r="CT319" s="37"/>
      <c r="CU319" s="37"/>
      <c r="CV319" s="37"/>
      <c r="CW319" s="37"/>
      <c r="CX319" s="37"/>
      <c r="CY319" s="37"/>
      <c r="CZ319" s="37"/>
      <c r="DA319" s="37"/>
      <c r="DB319" s="37"/>
      <c r="DC319" s="37"/>
      <c r="DD319" s="37"/>
      <c r="DE319" s="37"/>
      <c r="DF319" s="37"/>
      <c r="DG319" s="37"/>
      <c r="DH319" s="37"/>
      <c r="DI319" s="37"/>
      <c r="DJ319" s="37"/>
      <c r="DK319" s="37"/>
      <c r="DL319" s="37"/>
      <c r="DM319" s="37"/>
      <c r="DN319" s="37"/>
      <c r="DO319" s="37"/>
      <c r="DP319" s="37"/>
      <c r="DQ319" s="37"/>
      <c r="DR319" s="37"/>
      <c r="DS319" s="37"/>
      <c r="DT319" s="37"/>
      <c r="DU319" s="37"/>
      <c r="DV319" s="37"/>
      <c r="DW319" s="37"/>
      <c r="DX319" s="37"/>
      <c r="DY319" s="37"/>
      <c r="DZ319" s="37"/>
      <c r="EA319" s="37"/>
      <c r="EB319" s="37"/>
      <c r="EC319" s="37"/>
      <c r="ED319" s="37"/>
      <c r="EE319" s="37"/>
      <c r="EF319" s="37"/>
      <c r="EG319" s="37"/>
      <c r="EH319" s="37"/>
      <c r="EI319" s="37"/>
      <c r="EJ319" s="37"/>
      <c r="EK319" s="37"/>
      <c r="EL319" s="37"/>
      <c r="EM319" s="37"/>
      <c r="EN319" s="37"/>
      <c r="EO319" s="37"/>
      <c r="EP319" s="37"/>
      <c r="EQ319" s="37"/>
      <c r="ER319" s="37"/>
      <c r="ES319" s="37"/>
    </row>
    <row r="320" spans="1:149" s="38" customFormat="1" ht="41.25" customHeight="1">
      <c r="A320" s="33" t="s">
        <v>381</v>
      </c>
      <c r="B320" s="34"/>
      <c r="C320" s="34"/>
      <c r="D320" s="35"/>
      <c r="E320" s="35">
        <f>E324*E326</f>
        <v>14999999.999999998</v>
      </c>
      <c r="F320" s="35">
        <f>F324*F326</f>
        <v>14999999.999999998</v>
      </c>
      <c r="G320" s="35"/>
      <c r="H320" s="35">
        <f>H324*H326</f>
        <v>14000000</v>
      </c>
      <c r="I320" s="35"/>
      <c r="J320" s="35">
        <f>H320</f>
        <v>14000000</v>
      </c>
      <c r="K320" s="35">
        <f>K324*K326+1</f>
        <v>1</v>
      </c>
      <c r="L320" s="35">
        <f>L324*L326+1</f>
        <v>1</v>
      </c>
      <c r="M320" s="35">
        <f>M324*M326+1</f>
        <v>1</v>
      </c>
      <c r="N320" s="35"/>
      <c r="O320" s="35">
        <f>O322</f>
        <v>13000000</v>
      </c>
      <c r="P320" s="35">
        <f>O320</f>
        <v>13000000</v>
      </c>
      <c r="Q320" s="37"/>
      <c r="R320" s="37"/>
      <c r="S320" s="37"/>
      <c r="T320" s="37"/>
      <c r="U320" s="37"/>
      <c r="V320" s="37"/>
      <c r="W320" s="37"/>
      <c r="X320" s="37"/>
      <c r="Y320" s="37"/>
      <c r="Z320" s="37"/>
      <c r="AA320" s="37"/>
      <c r="AB320" s="37"/>
      <c r="AC320" s="37"/>
      <c r="AD320" s="37"/>
      <c r="AE320" s="37"/>
      <c r="AF320" s="37"/>
      <c r="AG320" s="37"/>
      <c r="AH320" s="37"/>
      <c r="AI320" s="37"/>
      <c r="AJ320" s="37"/>
      <c r="AK320" s="37"/>
      <c r="AL320" s="37"/>
      <c r="AM320" s="37"/>
      <c r="AN320" s="37"/>
      <c r="AO320" s="37"/>
      <c r="AP320" s="37"/>
      <c r="AQ320" s="37"/>
      <c r="AR320" s="37"/>
      <c r="AS320" s="37"/>
      <c r="AT320" s="37"/>
      <c r="AU320" s="37"/>
      <c r="AV320" s="37"/>
      <c r="AW320" s="37"/>
      <c r="AX320" s="37"/>
      <c r="AY320" s="37"/>
      <c r="AZ320" s="37"/>
      <c r="BA320" s="37"/>
      <c r="BB320" s="37"/>
      <c r="BC320" s="37"/>
      <c r="BD320" s="37"/>
      <c r="BE320" s="37"/>
      <c r="BF320" s="37"/>
      <c r="BG320" s="37"/>
      <c r="BH320" s="37"/>
      <c r="BI320" s="37"/>
      <c r="BJ320" s="37"/>
      <c r="BK320" s="37"/>
      <c r="BL320" s="37"/>
      <c r="BM320" s="37"/>
      <c r="BN320" s="37"/>
      <c r="BO320" s="37"/>
      <c r="BP320" s="37"/>
      <c r="BQ320" s="37"/>
      <c r="BR320" s="37"/>
      <c r="BS320" s="37"/>
      <c r="BT320" s="37"/>
      <c r="BU320" s="37"/>
      <c r="BV320" s="37"/>
      <c r="BW320" s="37"/>
      <c r="BX320" s="37"/>
      <c r="BY320" s="37"/>
      <c r="BZ320" s="37"/>
      <c r="CA320" s="37"/>
      <c r="CB320" s="37"/>
      <c r="CC320" s="37"/>
      <c r="CD320" s="37"/>
      <c r="CE320" s="37"/>
      <c r="CF320" s="37"/>
      <c r="CG320" s="37"/>
      <c r="CH320" s="37"/>
      <c r="CI320" s="37"/>
      <c r="CJ320" s="37"/>
      <c r="CK320" s="37"/>
      <c r="CL320" s="37"/>
      <c r="CM320" s="37"/>
      <c r="CN320" s="37"/>
      <c r="CO320" s="37"/>
      <c r="CP320" s="37"/>
      <c r="CQ320" s="37"/>
      <c r="CR320" s="37"/>
      <c r="CS320" s="37"/>
      <c r="CT320" s="37"/>
      <c r="CU320" s="37"/>
      <c r="CV320" s="37"/>
      <c r="CW320" s="37"/>
      <c r="CX320" s="37"/>
      <c r="CY320" s="37"/>
      <c r="CZ320" s="37"/>
      <c r="DA320" s="37"/>
      <c r="DB320" s="37"/>
      <c r="DC320" s="37"/>
      <c r="DD320" s="37"/>
      <c r="DE320" s="37"/>
      <c r="DF320" s="37"/>
      <c r="DG320" s="37"/>
      <c r="DH320" s="37"/>
      <c r="DI320" s="37"/>
      <c r="DJ320" s="37"/>
      <c r="DK320" s="37"/>
      <c r="DL320" s="37"/>
      <c r="DM320" s="37"/>
      <c r="DN320" s="37"/>
      <c r="DO320" s="37"/>
      <c r="DP320" s="37"/>
      <c r="DQ320" s="37"/>
      <c r="DR320" s="37"/>
      <c r="DS320" s="37"/>
      <c r="DT320" s="37"/>
      <c r="DU320" s="37"/>
      <c r="DV320" s="37"/>
      <c r="DW320" s="37"/>
      <c r="DX320" s="37"/>
      <c r="DY320" s="37"/>
      <c r="DZ320" s="37"/>
      <c r="EA320" s="37"/>
      <c r="EB320" s="37"/>
      <c r="EC320" s="37"/>
      <c r="ED320" s="37"/>
      <c r="EE320" s="37"/>
      <c r="EF320" s="37"/>
      <c r="EG320" s="37"/>
      <c r="EH320" s="37"/>
      <c r="EI320" s="37"/>
      <c r="EJ320" s="37"/>
      <c r="EK320" s="37"/>
      <c r="EL320" s="37"/>
      <c r="EM320" s="37"/>
      <c r="EN320" s="37"/>
      <c r="EO320" s="37"/>
      <c r="EP320" s="37"/>
      <c r="EQ320" s="37"/>
      <c r="ER320" s="37"/>
      <c r="ES320" s="37"/>
    </row>
    <row r="321" spans="1:16" ht="11.25">
      <c r="A321" s="5" t="s">
        <v>4</v>
      </c>
      <c r="B321" s="6"/>
      <c r="C321" s="6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</row>
    <row r="322" spans="1:16" ht="22.5">
      <c r="A322" s="8" t="s">
        <v>192</v>
      </c>
      <c r="B322" s="6"/>
      <c r="C322" s="6"/>
      <c r="D322" s="7"/>
      <c r="E322" s="7">
        <f>E324*E326</f>
        <v>14999999.999999998</v>
      </c>
      <c r="F322" s="7">
        <f>E322</f>
        <v>14999999.999999998</v>
      </c>
      <c r="G322" s="7"/>
      <c r="H322" s="7">
        <f>H324*H326</f>
        <v>14000000</v>
      </c>
      <c r="I322" s="7"/>
      <c r="J322" s="7">
        <f>H322</f>
        <v>14000000</v>
      </c>
      <c r="K322" s="7"/>
      <c r="L322" s="7"/>
      <c r="M322" s="7"/>
      <c r="N322" s="7"/>
      <c r="O322" s="7">
        <f>O324*O326</f>
        <v>13000000</v>
      </c>
      <c r="P322" s="7">
        <f>O322</f>
        <v>13000000</v>
      </c>
    </row>
    <row r="323" spans="1:16" ht="11.25">
      <c r="A323" s="5" t="s">
        <v>5</v>
      </c>
      <c r="B323" s="6"/>
      <c r="C323" s="6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</row>
    <row r="324" spans="1:16" ht="22.5">
      <c r="A324" s="8" t="s">
        <v>191</v>
      </c>
      <c r="B324" s="6"/>
      <c r="C324" s="6"/>
      <c r="D324" s="7"/>
      <c r="E324" s="7">
        <v>43</v>
      </c>
      <c r="F324" s="7">
        <f>E324</f>
        <v>43</v>
      </c>
      <c r="G324" s="7"/>
      <c r="H324" s="7">
        <v>40</v>
      </c>
      <c r="I324" s="7"/>
      <c r="J324" s="7">
        <f>H324</f>
        <v>40</v>
      </c>
      <c r="K324" s="7"/>
      <c r="L324" s="7"/>
      <c r="M324" s="7"/>
      <c r="N324" s="7"/>
      <c r="O324" s="7">
        <v>36</v>
      </c>
      <c r="P324" s="7">
        <f>O324</f>
        <v>36</v>
      </c>
    </row>
    <row r="325" spans="1:16" ht="11.25">
      <c r="A325" s="5" t="s">
        <v>7</v>
      </c>
      <c r="B325" s="6"/>
      <c r="C325" s="6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</row>
    <row r="326" spans="1:16" ht="22.5">
      <c r="A326" s="8" t="s">
        <v>125</v>
      </c>
      <c r="B326" s="6"/>
      <c r="C326" s="6"/>
      <c r="D326" s="7"/>
      <c r="E326" s="7">
        <f>15000000/43</f>
        <v>348837.20930232556</v>
      </c>
      <c r="F326" s="7">
        <f>E326</f>
        <v>348837.20930232556</v>
      </c>
      <c r="G326" s="7"/>
      <c r="H326" s="7">
        <f>14000000/40</f>
        <v>350000</v>
      </c>
      <c r="I326" s="7"/>
      <c r="J326" s="7">
        <f>H326</f>
        <v>350000</v>
      </c>
      <c r="K326" s="7"/>
      <c r="L326" s="7"/>
      <c r="M326" s="7"/>
      <c r="N326" s="7"/>
      <c r="O326" s="7">
        <f>13000000/36</f>
        <v>361111.1111111111</v>
      </c>
      <c r="P326" s="7">
        <f>O326</f>
        <v>361111.1111111111</v>
      </c>
    </row>
    <row r="327" spans="1:16" ht="40.5" customHeight="1">
      <c r="A327" s="33" t="s">
        <v>382</v>
      </c>
      <c r="B327" s="36"/>
      <c r="C327" s="36"/>
      <c r="D327" s="29">
        <f>D329</f>
        <v>0</v>
      </c>
      <c r="E327" s="29">
        <f>E329</f>
        <v>5000000</v>
      </c>
      <c r="F327" s="29">
        <f>D327+E327</f>
        <v>5000000</v>
      </c>
      <c r="G327" s="29"/>
      <c r="H327" s="29">
        <f>H329</f>
        <v>5660000</v>
      </c>
      <c r="I327" s="29">
        <f aca="true" t="shared" si="42" ref="I327:P327">I329</f>
        <v>0</v>
      </c>
      <c r="J327" s="29">
        <f t="shared" si="42"/>
        <v>5660000</v>
      </c>
      <c r="K327" s="29">
        <f t="shared" si="42"/>
        <v>0</v>
      </c>
      <c r="L327" s="29">
        <f t="shared" si="42"/>
        <v>0</v>
      </c>
      <c r="M327" s="29">
        <f t="shared" si="42"/>
        <v>0</v>
      </c>
      <c r="N327" s="29">
        <f t="shared" si="42"/>
        <v>0</v>
      </c>
      <c r="O327" s="29">
        <f>O329</f>
        <v>7000000</v>
      </c>
      <c r="P327" s="29">
        <f t="shared" si="42"/>
        <v>7000000</v>
      </c>
    </row>
    <row r="328" spans="1:16" ht="17.25" customHeight="1">
      <c r="A328" s="5" t="s">
        <v>4</v>
      </c>
      <c r="B328" s="36"/>
      <c r="C328" s="36"/>
      <c r="D328" s="29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</row>
    <row r="329" spans="1:16" ht="30.75" customHeight="1">
      <c r="A329" s="8" t="s">
        <v>193</v>
      </c>
      <c r="B329" s="36"/>
      <c r="C329" s="36"/>
      <c r="D329" s="29"/>
      <c r="E329" s="7">
        <f>E331*E333</f>
        <v>5000000</v>
      </c>
      <c r="F329" s="7">
        <f>D329+E329</f>
        <v>5000000</v>
      </c>
      <c r="G329" s="7"/>
      <c r="H329" s="7">
        <f>H331*H333-170000</f>
        <v>5660000</v>
      </c>
      <c r="I329" s="7"/>
      <c r="J329" s="7">
        <f>H329</f>
        <v>5660000</v>
      </c>
      <c r="K329" s="7"/>
      <c r="L329" s="7"/>
      <c r="M329" s="7"/>
      <c r="N329" s="7"/>
      <c r="O329" s="7">
        <f>O331*O333</f>
        <v>7000000</v>
      </c>
      <c r="P329" s="7">
        <f>O329</f>
        <v>7000000</v>
      </c>
    </row>
    <row r="330" spans="1:16" ht="15.75" customHeight="1">
      <c r="A330" s="5" t="s">
        <v>5</v>
      </c>
      <c r="B330" s="36"/>
      <c r="C330" s="36"/>
      <c r="D330" s="29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</row>
    <row r="331" spans="1:16" ht="25.5" customHeight="1">
      <c r="A331" s="8" t="s">
        <v>124</v>
      </c>
      <c r="B331" s="36"/>
      <c r="C331" s="36"/>
      <c r="D331" s="29"/>
      <c r="E331" s="7">
        <v>16</v>
      </c>
      <c r="F331" s="7">
        <f>D331+E331</f>
        <v>16</v>
      </c>
      <c r="G331" s="7"/>
      <c r="H331" s="7">
        <v>16</v>
      </c>
      <c r="I331" s="7"/>
      <c r="J331" s="7">
        <f>H331</f>
        <v>16</v>
      </c>
      <c r="K331" s="7"/>
      <c r="L331" s="7"/>
      <c r="M331" s="7"/>
      <c r="N331" s="7"/>
      <c r="O331" s="7">
        <v>16</v>
      </c>
      <c r="P331" s="7">
        <v>16</v>
      </c>
    </row>
    <row r="332" spans="1:16" ht="15.75" customHeight="1">
      <c r="A332" s="5" t="s">
        <v>7</v>
      </c>
      <c r="B332" s="36"/>
      <c r="C332" s="36"/>
      <c r="D332" s="29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</row>
    <row r="333" spans="1:16" ht="37.5" customHeight="1">
      <c r="A333" s="8" t="s">
        <v>194</v>
      </c>
      <c r="B333" s="36"/>
      <c r="C333" s="36"/>
      <c r="D333" s="29"/>
      <c r="E333" s="7">
        <v>312500</v>
      </c>
      <c r="F333" s="7">
        <f>D333+E333</f>
        <v>312500</v>
      </c>
      <c r="G333" s="7"/>
      <c r="H333" s="7">
        <v>364375</v>
      </c>
      <c r="I333" s="7"/>
      <c r="J333" s="7">
        <f>H333</f>
        <v>364375</v>
      </c>
      <c r="K333" s="7"/>
      <c r="L333" s="7"/>
      <c r="M333" s="7"/>
      <c r="N333" s="7"/>
      <c r="O333" s="7">
        <v>437500</v>
      </c>
      <c r="P333" s="7">
        <f>O333</f>
        <v>437500</v>
      </c>
    </row>
    <row r="334" spans="1:149" s="175" customFormat="1" ht="37.5" customHeight="1">
      <c r="A334" s="173" t="s">
        <v>383</v>
      </c>
      <c r="B334" s="150"/>
      <c r="C334" s="150"/>
      <c r="D334" s="151"/>
      <c r="E334" s="151">
        <f aca="true" t="shared" si="43" ref="E334:P334">SUM(E336)</f>
        <v>800003</v>
      </c>
      <c r="F334" s="151">
        <f t="shared" si="43"/>
        <v>800003</v>
      </c>
      <c r="G334" s="151">
        <f t="shared" si="43"/>
        <v>0</v>
      </c>
      <c r="H334" s="151">
        <f t="shared" si="43"/>
        <v>742600</v>
      </c>
      <c r="I334" s="151">
        <f t="shared" si="43"/>
        <v>742600</v>
      </c>
      <c r="J334" s="151">
        <f t="shared" si="43"/>
        <v>742600</v>
      </c>
      <c r="K334" s="151">
        <f t="shared" si="43"/>
        <v>0</v>
      </c>
      <c r="L334" s="151">
        <f t="shared" si="43"/>
        <v>0</v>
      </c>
      <c r="M334" s="151">
        <f t="shared" si="43"/>
        <v>0</v>
      </c>
      <c r="N334" s="151">
        <f t="shared" si="43"/>
        <v>0</v>
      </c>
      <c r="O334" s="151">
        <f t="shared" si="43"/>
        <v>133200</v>
      </c>
      <c r="P334" s="151">
        <f t="shared" si="43"/>
        <v>133200</v>
      </c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  <c r="AA334" s="174"/>
      <c r="AB334" s="174"/>
      <c r="AC334" s="174"/>
      <c r="AD334" s="174"/>
      <c r="AE334" s="174"/>
      <c r="AF334" s="174"/>
      <c r="AG334" s="174"/>
      <c r="AH334" s="174"/>
      <c r="AI334" s="174"/>
      <c r="AJ334" s="174"/>
      <c r="AK334" s="174"/>
      <c r="AL334" s="174"/>
      <c r="AM334" s="174"/>
      <c r="AN334" s="174"/>
      <c r="AO334" s="174"/>
      <c r="AP334" s="174"/>
      <c r="AQ334" s="174"/>
      <c r="AR334" s="174"/>
      <c r="AS334" s="174"/>
      <c r="AT334" s="174"/>
      <c r="AU334" s="174"/>
      <c r="AV334" s="174"/>
      <c r="AW334" s="174"/>
      <c r="AX334" s="174"/>
      <c r="AY334" s="174"/>
      <c r="AZ334" s="174"/>
      <c r="BA334" s="174"/>
      <c r="BB334" s="174"/>
      <c r="BC334" s="174"/>
      <c r="BD334" s="174"/>
      <c r="BE334" s="174"/>
      <c r="BF334" s="174"/>
      <c r="BG334" s="174"/>
      <c r="BH334" s="174"/>
      <c r="BI334" s="174"/>
      <c r="BJ334" s="174"/>
      <c r="BK334" s="174"/>
      <c r="BL334" s="174"/>
      <c r="BM334" s="174"/>
      <c r="BN334" s="174"/>
      <c r="BO334" s="174"/>
      <c r="BP334" s="174"/>
      <c r="BQ334" s="174"/>
      <c r="BR334" s="174"/>
      <c r="BS334" s="174"/>
      <c r="BT334" s="174"/>
      <c r="BU334" s="174"/>
      <c r="BV334" s="174"/>
      <c r="BW334" s="174"/>
      <c r="BX334" s="174"/>
      <c r="BY334" s="174"/>
      <c r="BZ334" s="174"/>
      <c r="CA334" s="174"/>
      <c r="CB334" s="174"/>
      <c r="CC334" s="174"/>
      <c r="CD334" s="174"/>
      <c r="CE334" s="174"/>
      <c r="CF334" s="174"/>
      <c r="CG334" s="174"/>
      <c r="CH334" s="174"/>
      <c r="CI334" s="174"/>
      <c r="CJ334" s="174"/>
      <c r="CK334" s="174"/>
      <c r="CL334" s="174"/>
      <c r="CM334" s="174"/>
      <c r="CN334" s="174"/>
      <c r="CO334" s="174"/>
      <c r="CP334" s="174"/>
      <c r="CQ334" s="174"/>
      <c r="CR334" s="174"/>
      <c r="CS334" s="174"/>
      <c r="CT334" s="174"/>
      <c r="CU334" s="174"/>
      <c r="CV334" s="174"/>
      <c r="CW334" s="174"/>
      <c r="CX334" s="174"/>
      <c r="CY334" s="174"/>
      <c r="CZ334" s="174"/>
      <c r="DA334" s="174"/>
      <c r="DB334" s="174"/>
      <c r="DC334" s="174"/>
      <c r="DD334" s="174"/>
      <c r="DE334" s="174"/>
      <c r="DF334" s="174"/>
      <c r="DG334" s="174"/>
      <c r="DH334" s="174"/>
      <c r="DI334" s="174"/>
      <c r="DJ334" s="174"/>
      <c r="DK334" s="174"/>
      <c r="DL334" s="174"/>
      <c r="DM334" s="174"/>
      <c r="DN334" s="174"/>
      <c r="DO334" s="174"/>
      <c r="DP334" s="174"/>
      <c r="DQ334" s="174"/>
      <c r="DR334" s="174"/>
      <c r="DS334" s="174"/>
      <c r="DT334" s="174"/>
      <c r="DU334" s="174"/>
      <c r="DV334" s="174"/>
      <c r="DW334" s="174"/>
      <c r="DX334" s="174"/>
      <c r="DY334" s="174"/>
      <c r="DZ334" s="174"/>
      <c r="EA334" s="174"/>
      <c r="EB334" s="174"/>
      <c r="EC334" s="174"/>
      <c r="ED334" s="174"/>
      <c r="EE334" s="174"/>
      <c r="EF334" s="174"/>
      <c r="EG334" s="174"/>
      <c r="EH334" s="174"/>
      <c r="EI334" s="174"/>
      <c r="EJ334" s="174"/>
      <c r="EK334" s="174"/>
      <c r="EL334" s="174"/>
      <c r="EM334" s="174"/>
      <c r="EN334" s="174"/>
      <c r="EO334" s="174"/>
      <c r="EP334" s="174"/>
      <c r="EQ334" s="174"/>
      <c r="ER334" s="174"/>
      <c r="ES334" s="174"/>
    </row>
    <row r="335" spans="1:16" ht="10.5" customHeight="1">
      <c r="A335" s="5" t="s">
        <v>4</v>
      </c>
      <c r="B335" s="36"/>
      <c r="C335" s="36"/>
      <c r="D335" s="29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</row>
    <row r="336" spans="1:16" ht="32.25" customHeight="1">
      <c r="A336" s="8" t="s">
        <v>335</v>
      </c>
      <c r="B336" s="36"/>
      <c r="C336" s="36"/>
      <c r="D336" s="29"/>
      <c r="E336" s="7">
        <v>800003</v>
      </c>
      <c r="F336" s="7">
        <v>800003</v>
      </c>
      <c r="G336" s="7"/>
      <c r="H336" s="7">
        <v>742600</v>
      </c>
      <c r="I336" s="7">
        <v>742600</v>
      </c>
      <c r="J336" s="7">
        <v>742600</v>
      </c>
      <c r="K336" s="7"/>
      <c r="L336" s="7"/>
      <c r="M336" s="7"/>
      <c r="N336" s="7"/>
      <c r="O336" s="7">
        <f>O338*O340</f>
        <v>133200</v>
      </c>
      <c r="P336" s="7">
        <f>P338*P340</f>
        <v>133200</v>
      </c>
    </row>
    <row r="337" spans="1:16" ht="16.5" customHeight="1">
      <c r="A337" s="5" t="s">
        <v>5</v>
      </c>
      <c r="B337" s="36"/>
      <c r="C337" s="36"/>
      <c r="D337" s="29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</row>
    <row r="338" spans="1:16" ht="26.25" customHeight="1">
      <c r="A338" s="8" t="s">
        <v>124</v>
      </c>
      <c r="B338" s="36"/>
      <c r="C338" s="36"/>
      <c r="D338" s="29"/>
      <c r="E338" s="7">
        <v>10</v>
      </c>
      <c r="F338" s="7">
        <v>10</v>
      </c>
      <c r="G338" s="7"/>
      <c r="H338" s="7">
        <v>10</v>
      </c>
      <c r="I338" s="7">
        <v>10</v>
      </c>
      <c r="J338" s="7">
        <v>10</v>
      </c>
      <c r="K338" s="7"/>
      <c r="L338" s="7"/>
      <c r="M338" s="7"/>
      <c r="N338" s="7"/>
      <c r="O338" s="7">
        <v>10</v>
      </c>
      <c r="P338" s="7">
        <v>10</v>
      </c>
    </row>
    <row r="339" spans="1:149" s="51" customFormat="1" ht="18" customHeight="1">
      <c r="A339" s="5" t="s">
        <v>7</v>
      </c>
      <c r="B339" s="36"/>
      <c r="C339" s="36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  <c r="CW339" s="50"/>
      <c r="CX339" s="50"/>
      <c r="CY339" s="50"/>
      <c r="CZ339" s="50"/>
      <c r="DA339" s="50"/>
      <c r="DB339" s="50"/>
      <c r="DC339" s="50"/>
      <c r="DD339" s="50"/>
      <c r="DE339" s="50"/>
      <c r="DF339" s="50"/>
      <c r="DG339" s="50"/>
      <c r="DH339" s="50"/>
      <c r="DI339" s="50"/>
      <c r="DJ339" s="50"/>
      <c r="DK339" s="50"/>
      <c r="DL339" s="50"/>
      <c r="DM339" s="50"/>
      <c r="DN339" s="50"/>
      <c r="DO339" s="50"/>
      <c r="DP339" s="50"/>
      <c r="DQ339" s="50"/>
      <c r="DR339" s="50"/>
      <c r="DS339" s="50"/>
      <c r="DT339" s="50"/>
      <c r="DU339" s="50"/>
      <c r="DV339" s="50"/>
      <c r="DW339" s="50"/>
      <c r="DX339" s="50"/>
      <c r="DY339" s="50"/>
      <c r="DZ339" s="50"/>
      <c r="EA339" s="50"/>
      <c r="EB339" s="50"/>
      <c r="EC339" s="50"/>
      <c r="ED339" s="50"/>
      <c r="EE339" s="50"/>
      <c r="EF339" s="50"/>
      <c r="EG339" s="50"/>
      <c r="EH339" s="50"/>
      <c r="EI339" s="50"/>
      <c r="EJ339" s="50"/>
      <c r="EK339" s="50"/>
      <c r="EL339" s="50"/>
      <c r="EM339" s="50"/>
      <c r="EN339" s="50"/>
      <c r="EO339" s="50"/>
      <c r="EP339" s="50"/>
      <c r="EQ339" s="50"/>
      <c r="ER339" s="50"/>
      <c r="ES339" s="50"/>
    </row>
    <row r="340" spans="1:16" ht="37.5" customHeight="1">
      <c r="A340" s="8" t="s">
        <v>336</v>
      </c>
      <c r="B340" s="36"/>
      <c r="C340" s="36"/>
      <c r="D340" s="29"/>
      <c r="E340" s="7">
        <f>SUM(E336)/E338</f>
        <v>80000.3</v>
      </c>
      <c r="F340" s="7">
        <f>SUM(F336)/F338</f>
        <v>80000.3</v>
      </c>
      <c r="G340" s="7"/>
      <c r="H340" s="7">
        <f>H336/H338</f>
        <v>74260</v>
      </c>
      <c r="I340" s="7">
        <f>I336/I338</f>
        <v>74260</v>
      </c>
      <c r="J340" s="7">
        <f>J336/J338</f>
        <v>74260</v>
      </c>
      <c r="K340" s="7"/>
      <c r="L340" s="7"/>
      <c r="M340" s="7"/>
      <c r="N340" s="7"/>
      <c r="O340" s="7">
        <v>13320</v>
      </c>
      <c r="P340" s="7">
        <v>13320</v>
      </c>
    </row>
    <row r="341" spans="1:16" ht="16.5" customHeight="1">
      <c r="A341" s="36" t="s">
        <v>357</v>
      </c>
      <c r="B341" s="36"/>
      <c r="C341" s="36"/>
      <c r="D341" s="29">
        <f>D342+D343</f>
        <v>3794380.0029998</v>
      </c>
      <c r="E341" s="29">
        <f>E342+E343</f>
        <v>692840</v>
      </c>
      <c r="F341" s="29">
        <f>D341+E341</f>
        <v>4487220.002999799</v>
      </c>
      <c r="G341" s="29">
        <f>G342+G343</f>
        <v>4506475</v>
      </c>
      <c r="H341" s="29">
        <f>H342+H343</f>
        <v>763900</v>
      </c>
      <c r="I341" s="29">
        <f>I342+I343</f>
        <v>0</v>
      </c>
      <c r="J341" s="29">
        <f>G341+H341</f>
        <v>5270375</v>
      </c>
      <c r="K341" s="29" t="e">
        <f>K342+K343</f>
        <v>#REF!</v>
      </c>
      <c r="L341" s="29">
        <f>L342+L343</f>
        <v>0</v>
      </c>
      <c r="M341" s="29">
        <f>M342+M343</f>
        <v>0</v>
      </c>
      <c r="N341" s="29">
        <f>N342+N343</f>
        <v>5818061.99999968</v>
      </c>
      <c r="O341" s="29">
        <f>O342+O343</f>
        <v>787532</v>
      </c>
      <c r="P341" s="29">
        <f>N341+O341</f>
        <v>6605593.99999968</v>
      </c>
    </row>
    <row r="342" spans="1:16" ht="13.5" customHeight="1">
      <c r="A342" s="36" t="s">
        <v>54</v>
      </c>
      <c r="B342" s="36"/>
      <c r="C342" s="36"/>
      <c r="D342" s="29">
        <f>D345+D352+D430+D435</f>
        <v>3331999.9999997998</v>
      </c>
      <c r="E342" s="29">
        <f>E345+E352+E430+E435</f>
        <v>0</v>
      </c>
      <c r="F342" s="29">
        <f>D342+E342</f>
        <v>3331999.9999997998</v>
      </c>
      <c r="G342" s="29">
        <f>G345+G352+G430+G435+G362</f>
        <v>4062700</v>
      </c>
      <c r="H342" s="29">
        <f>H345+H352+H430+H435</f>
        <v>0</v>
      </c>
      <c r="I342" s="29">
        <f>I345+I352+I430+I435</f>
        <v>0</v>
      </c>
      <c r="J342" s="29">
        <f>G342+H342</f>
        <v>4062700</v>
      </c>
      <c r="K342" s="29" t="e">
        <f>K345+K352+K430+K435</f>
        <v>#REF!</v>
      </c>
      <c r="L342" s="29">
        <f>L345+L352+L430+L435</f>
        <v>0</v>
      </c>
      <c r="M342" s="29">
        <f>M345+M352+M430+M435</f>
        <v>0</v>
      </c>
      <c r="N342" s="29">
        <f>N345+N352+N430+N435</f>
        <v>5465541.99999968</v>
      </c>
      <c r="O342" s="29">
        <f>O345+O352+O430+O435</f>
        <v>0</v>
      </c>
      <c r="P342" s="29">
        <f>N342+O342</f>
        <v>5465541.99999968</v>
      </c>
    </row>
    <row r="343" spans="1:149" s="137" customFormat="1" ht="11.25">
      <c r="A343" s="150" t="s">
        <v>188</v>
      </c>
      <c r="B343" s="150"/>
      <c r="C343" s="150"/>
      <c r="D343" s="151">
        <f>D371+D474</f>
        <v>462380.003</v>
      </c>
      <c r="E343" s="151">
        <f>E405</f>
        <v>692840</v>
      </c>
      <c r="F343" s="151">
        <f>D343+E343</f>
        <v>1155220.003</v>
      </c>
      <c r="G343" s="151">
        <f>G371+G474</f>
        <v>443775</v>
      </c>
      <c r="H343" s="151">
        <f>H405</f>
        <v>763900</v>
      </c>
      <c r="I343" s="151">
        <f>I373+I383</f>
        <v>0</v>
      </c>
      <c r="J343" s="151">
        <f>G343+H343</f>
        <v>1207675</v>
      </c>
      <c r="K343" s="151">
        <f>K373+K383</f>
        <v>0</v>
      </c>
      <c r="L343" s="151">
        <f>L373+L383</f>
        <v>0</v>
      </c>
      <c r="M343" s="151">
        <f>M373+M383</f>
        <v>0</v>
      </c>
      <c r="N343" s="151">
        <f>N371</f>
        <v>352520</v>
      </c>
      <c r="O343" s="151">
        <f>O405</f>
        <v>787532</v>
      </c>
      <c r="P343" s="151">
        <f>N343+O343</f>
        <v>1140052</v>
      </c>
      <c r="Q343" s="136"/>
      <c r="R343" s="136"/>
      <c r="S343" s="136"/>
      <c r="T343" s="136"/>
      <c r="U343" s="136"/>
      <c r="V343" s="136"/>
      <c r="W343" s="136"/>
      <c r="X343" s="136"/>
      <c r="Y343" s="136"/>
      <c r="Z343" s="136"/>
      <c r="AA343" s="136"/>
      <c r="AB343" s="136"/>
      <c r="AC343" s="136"/>
      <c r="AD343" s="136"/>
      <c r="AE343" s="136"/>
      <c r="AF343" s="136"/>
      <c r="AG343" s="136"/>
      <c r="AH343" s="136"/>
      <c r="AI343" s="136"/>
      <c r="AJ343" s="136"/>
      <c r="AK343" s="136"/>
      <c r="AL343" s="136"/>
      <c r="AM343" s="136"/>
      <c r="AN343" s="136"/>
      <c r="AO343" s="136"/>
      <c r="AP343" s="136"/>
      <c r="AQ343" s="136"/>
      <c r="AR343" s="136"/>
      <c r="AS343" s="136"/>
      <c r="AT343" s="136"/>
      <c r="AU343" s="136"/>
      <c r="AV343" s="136"/>
      <c r="AW343" s="136"/>
      <c r="AX343" s="136"/>
      <c r="AY343" s="136"/>
      <c r="AZ343" s="136"/>
      <c r="BA343" s="136"/>
      <c r="BB343" s="136"/>
      <c r="BC343" s="136"/>
      <c r="BD343" s="136"/>
      <c r="BE343" s="136"/>
      <c r="BF343" s="136"/>
      <c r="BG343" s="136"/>
      <c r="BH343" s="136"/>
      <c r="BI343" s="136"/>
      <c r="BJ343" s="136"/>
      <c r="BK343" s="136"/>
      <c r="BL343" s="136"/>
      <c r="BM343" s="136"/>
      <c r="BN343" s="136"/>
      <c r="BO343" s="136"/>
      <c r="BP343" s="136"/>
      <c r="BQ343" s="136"/>
      <c r="BR343" s="136"/>
      <c r="BS343" s="136"/>
      <c r="BT343" s="136"/>
      <c r="BU343" s="136"/>
      <c r="BV343" s="136"/>
      <c r="BW343" s="136"/>
      <c r="BX343" s="136"/>
      <c r="BY343" s="136"/>
      <c r="BZ343" s="136"/>
      <c r="CA343" s="136"/>
      <c r="CB343" s="136"/>
      <c r="CC343" s="136"/>
      <c r="CD343" s="136"/>
      <c r="CE343" s="136"/>
      <c r="CF343" s="136"/>
      <c r="CG343" s="136"/>
      <c r="CH343" s="136"/>
      <c r="CI343" s="136"/>
      <c r="CJ343" s="136"/>
      <c r="CK343" s="136"/>
      <c r="CL343" s="136"/>
      <c r="CM343" s="136"/>
      <c r="CN343" s="136"/>
      <c r="CO343" s="136"/>
      <c r="CP343" s="136"/>
      <c r="CQ343" s="136"/>
      <c r="CR343" s="136"/>
      <c r="CS343" s="136"/>
      <c r="CT343" s="136"/>
      <c r="CU343" s="136"/>
      <c r="CV343" s="136"/>
      <c r="CW343" s="136"/>
      <c r="CX343" s="136"/>
      <c r="CY343" s="136"/>
      <c r="CZ343" s="136"/>
      <c r="DA343" s="136"/>
      <c r="DB343" s="136"/>
      <c r="DC343" s="136"/>
      <c r="DD343" s="136"/>
      <c r="DE343" s="136"/>
      <c r="DF343" s="136"/>
      <c r="DG343" s="136"/>
      <c r="DH343" s="136"/>
      <c r="DI343" s="136"/>
      <c r="DJ343" s="136"/>
      <c r="DK343" s="136"/>
      <c r="DL343" s="136"/>
      <c r="DM343" s="136"/>
      <c r="DN343" s="136"/>
      <c r="DO343" s="136"/>
      <c r="DP343" s="136"/>
      <c r="DQ343" s="136"/>
      <c r="DR343" s="136"/>
      <c r="DS343" s="136"/>
      <c r="DT343" s="136"/>
      <c r="DU343" s="136"/>
      <c r="DV343" s="136"/>
      <c r="DW343" s="136"/>
      <c r="DX343" s="136"/>
      <c r="DY343" s="136"/>
      <c r="DZ343" s="136"/>
      <c r="EA343" s="136"/>
      <c r="EB343" s="136"/>
      <c r="EC343" s="136"/>
      <c r="ED343" s="136"/>
      <c r="EE343" s="136"/>
      <c r="EF343" s="136"/>
      <c r="EG343" s="136"/>
      <c r="EH343" s="136"/>
      <c r="EI343" s="136"/>
      <c r="EJ343" s="136"/>
      <c r="EK343" s="136"/>
      <c r="EL343" s="136"/>
      <c r="EM343" s="136"/>
      <c r="EN343" s="136"/>
      <c r="EO343" s="136"/>
      <c r="EP343" s="136"/>
      <c r="EQ343" s="136"/>
      <c r="ER343" s="136"/>
      <c r="ES343" s="136"/>
    </row>
    <row r="344" spans="1:16" ht="36" customHeight="1">
      <c r="A344" s="8" t="s">
        <v>128</v>
      </c>
      <c r="B344" s="6"/>
      <c r="C344" s="6"/>
      <c r="D344" s="35"/>
      <c r="E344" s="35"/>
      <c r="F344" s="35"/>
      <c r="G344" s="35"/>
      <c r="H344" s="35"/>
      <c r="I344" s="35"/>
      <c r="J344" s="35"/>
      <c r="K344" s="7"/>
      <c r="L344" s="35"/>
      <c r="M344" s="35"/>
      <c r="N344" s="35"/>
      <c r="O344" s="35"/>
      <c r="P344" s="35"/>
    </row>
    <row r="345" spans="1:149" s="38" customFormat="1" ht="22.5">
      <c r="A345" s="33" t="s">
        <v>384</v>
      </c>
      <c r="B345" s="34"/>
      <c r="C345" s="34"/>
      <c r="D345" s="35">
        <f>D347</f>
        <v>2700000</v>
      </c>
      <c r="E345" s="35"/>
      <c r="F345" s="35">
        <f>F347</f>
        <v>2700000</v>
      </c>
      <c r="G345" s="35">
        <f>G349*G351+800000-2000-220000-11090</f>
        <v>2566910</v>
      </c>
      <c r="H345" s="35"/>
      <c r="I345" s="35"/>
      <c r="J345" s="35">
        <f>J347</f>
        <v>2578000</v>
      </c>
      <c r="K345" s="35"/>
      <c r="L345" s="35"/>
      <c r="M345" s="35"/>
      <c r="N345" s="35">
        <f>N347</f>
        <v>2934892</v>
      </c>
      <c r="O345" s="35"/>
      <c r="P345" s="35">
        <f>N345</f>
        <v>2934892</v>
      </c>
      <c r="Q345" s="37"/>
      <c r="R345" s="37"/>
      <c r="S345" s="37"/>
      <c r="T345" s="37"/>
      <c r="U345" s="37"/>
      <c r="V345" s="37"/>
      <c r="W345" s="37"/>
      <c r="X345" s="37"/>
      <c r="Y345" s="37"/>
      <c r="Z345" s="37"/>
      <c r="AA345" s="37"/>
      <c r="AB345" s="37"/>
      <c r="AC345" s="37"/>
      <c r="AD345" s="37"/>
      <c r="AE345" s="37"/>
      <c r="AF345" s="37"/>
      <c r="AG345" s="37"/>
      <c r="AH345" s="37"/>
      <c r="AI345" s="37"/>
      <c r="AJ345" s="37"/>
      <c r="AK345" s="37"/>
      <c r="AL345" s="37"/>
      <c r="AM345" s="37"/>
      <c r="AN345" s="37"/>
      <c r="AO345" s="37"/>
      <c r="AP345" s="37"/>
      <c r="AQ345" s="37"/>
      <c r="AR345" s="37"/>
      <c r="AS345" s="37"/>
      <c r="AT345" s="37"/>
      <c r="AU345" s="37"/>
      <c r="AV345" s="37"/>
      <c r="AW345" s="37"/>
      <c r="AX345" s="37"/>
      <c r="AY345" s="37"/>
      <c r="AZ345" s="37"/>
      <c r="BA345" s="37"/>
      <c r="BB345" s="37"/>
      <c r="BC345" s="37"/>
      <c r="BD345" s="37"/>
      <c r="BE345" s="37"/>
      <c r="BF345" s="37"/>
      <c r="BG345" s="37"/>
      <c r="BH345" s="37"/>
      <c r="BI345" s="37"/>
      <c r="BJ345" s="37"/>
      <c r="BK345" s="37"/>
      <c r="BL345" s="37"/>
      <c r="BM345" s="37"/>
      <c r="BN345" s="37"/>
      <c r="BO345" s="37"/>
      <c r="BP345" s="37"/>
      <c r="BQ345" s="37"/>
      <c r="BR345" s="37"/>
      <c r="BS345" s="37"/>
      <c r="BT345" s="37"/>
      <c r="BU345" s="37"/>
      <c r="BV345" s="37"/>
      <c r="BW345" s="37"/>
      <c r="BX345" s="37"/>
      <c r="BY345" s="37"/>
      <c r="BZ345" s="37"/>
      <c r="CA345" s="37"/>
      <c r="CB345" s="37"/>
      <c r="CC345" s="37"/>
      <c r="CD345" s="37"/>
      <c r="CE345" s="37"/>
      <c r="CF345" s="37"/>
      <c r="CG345" s="37"/>
      <c r="CH345" s="37"/>
      <c r="CI345" s="37"/>
      <c r="CJ345" s="37"/>
      <c r="CK345" s="37"/>
      <c r="CL345" s="37"/>
      <c r="CM345" s="37"/>
      <c r="CN345" s="37"/>
      <c r="CO345" s="37"/>
      <c r="CP345" s="37"/>
      <c r="CQ345" s="37"/>
      <c r="CR345" s="37"/>
      <c r="CS345" s="37"/>
      <c r="CT345" s="37"/>
      <c r="CU345" s="37"/>
      <c r="CV345" s="37"/>
      <c r="CW345" s="37"/>
      <c r="CX345" s="37"/>
      <c r="CY345" s="37"/>
      <c r="CZ345" s="37"/>
      <c r="DA345" s="37"/>
      <c r="DB345" s="37"/>
      <c r="DC345" s="37"/>
      <c r="DD345" s="37"/>
      <c r="DE345" s="37"/>
      <c r="DF345" s="37"/>
      <c r="DG345" s="37"/>
      <c r="DH345" s="37"/>
      <c r="DI345" s="37"/>
      <c r="DJ345" s="37"/>
      <c r="DK345" s="37"/>
      <c r="DL345" s="37"/>
      <c r="DM345" s="37"/>
      <c r="DN345" s="37"/>
      <c r="DO345" s="37"/>
      <c r="DP345" s="37"/>
      <c r="DQ345" s="37"/>
      <c r="DR345" s="37"/>
      <c r="DS345" s="37"/>
      <c r="DT345" s="37"/>
      <c r="DU345" s="37"/>
      <c r="DV345" s="37"/>
      <c r="DW345" s="37"/>
      <c r="DX345" s="37"/>
      <c r="DY345" s="37"/>
      <c r="DZ345" s="37"/>
      <c r="EA345" s="37"/>
      <c r="EB345" s="37"/>
      <c r="EC345" s="37"/>
      <c r="ED345" s="37"/>
      <c r="EE345" s="37"/>
      <c r="EF345" s="37"/>
      <c r="EG345" s="37"/>
      <c r="EH345" s="37"/>
      <c r="EI345" s="37"/>
      <c r="EJ345" s="37"/>
      <c r="EK345" s="37"/>
      <c r="EL345" s="37"/>
      <c r="EM345" s="37"/>
      <c r="EN345" s="37"/>
      <c r="EO345" s="37"/>
      <c r="EP345" s="37"/>
      <c r="EQ345" s="37"/>
      <c r="ER345" s="37"/>
      <c r="ES345" s="37"/>
    </row>
    <row r="346" spans="1:16" ht="11.25">
      <c r="A346" s="5" t="s">
        <v>38</v>
      </c>
      <c r="B346" s="36"/>
      <c r="C346" s="36"/>
      <c r="D346" s="29"/>
      <c r="E346" s="29"/>
      <c r="F346" s="29"/>
      <c r="G346" s="29"/>
      <c r="H346" s="29"/>
      <c r="I346" s="29"/>
      <c r="J346" s="29"/>
      <c r="K346" s="7"/>
      <c r="L346" s="29"/>
      <c r="M346" s="29"/>
      <c r="N346" s="29"/>
      <c r="O346" s="29"/>
      <c r="P346" s="29"/>
    </row>
    <row r="347" spans="1:16" ht="23.25" customHeight="1">
      <c r="A347" s="8" t="s">
        <v>267</v>
      </c>
      <c r="B347" s="6"/>
      <c r="C347" s="6"/>
      <c r="D347" s="7">
        <f>(D349*D351)+280000+700000</f>
        <v>2700000</v>
      </c>
      <c r="E347" s="7"/>
      <c r="F347" s="7">
        <f>D347</f>
        <v>2700000</v>
      </c>
      <c r="G347" s="7">
        <f>G349*G351+800000-2000-220000</f>
        <v>2578000</v>
      </c>
      <c r="H347" s="7"/>
      <c r="I347" s="7"/>
      <c r="J347" s="7">
        <f>G347</f>
        <v>2578000</v>
      </c>
      <c r="K347" s="7">
        <f>G347/D347*100</f>
        <v>95.48148148148148</v>
      </c>
      <c r="L347" s="7"/>
      <c r="M347" s="7"/>
      <c r="N347" s="7">
        <f>N349*N351+700000+34892</f>
        <v>2934892</v>
      </c>
      <c r="O347" s="7"/>
      <c r="P347" s="7">
        <f>N347</f>
        <v>2934892</v>
      </c>
    </row>
    <row r="348" spans="1:16" ht="11.25">
      <c r="A348" s="5" t="s">
        <v>5</v>
      </c>
      <c r="B348" s="36"/>
      <c r="C348" s="36"/>
      <c r="D348" s="29"/>
      <c r="E348" s="29"/>
      <c r="F348" s="7"/>
      <c r="G348" s="29"/>
      <c r="H348" s="29"/>
      <c r="I348" s="29"/>
      <c r="J348" s="7"/>
      <c r="K348" s="7"/>
      <c r="L348" s="29"/>
      <c r="M348" s="29"/>
      <c r="N348" s="29"/>
      <c r="O348" s="29"/>
      <c r="P348" s="7"/>
    </row>
    <row r="349" spans="1:16" ht="22.5">
      <c r="A349" s="8" t="s">
        <v>266</v>
      </c>
      <c r="B349" s="6"/>
      <c r="C349" s="6"/>
      <c r="D349" s="7">
        <v>8</v>
      </c>
      <c r="E349" s="7"/>
      <c r="F349" s="7">
        <f>D349</f>
        <v>8</v>
      </c>
      <c r="G349" s="7">
        <v>8</v>
      </c>
      <c r="H349" s="7"/>
      <c r="I349" s="7"/>
      <c r="J349" s="7">
        <f>G349</f>
        <v>8</v>
      </c>
      <c r="K349" s="7">
        <f>G349/D349*100</f>
        <v>100</v>
      </c>
      <c r="L349" s="7"/>
      <c r="M349" s="7"/>
      <c r="N349" s="7">
        <v>8</v>
      </c>
      <c r="O349" s="7"/>
      <c r="P349" s="7">
        <f>N349</f>
        <v>8</v>
      </c>
    </row>
    <row r="350" spans="1:16" ht="11.25">
      <c r="A350" s="5" t="s">
        <v>7</v>
      </c>
      <c r="B350" s="36"/>
      <c r="C350" s="36"/>
      <c r="D350" s="29"/>
      <c r="E350" s="29"/>
      <c r="F350" s="7"/>
      <c r="G350" s="29"/>
      <c r="H350" s="29"/>
      <c r="I350" s="29"/>
      <c r="J350" s="7"/>
      <c r="K350" s="7"/>
      <c r="L350" s="29"/>
      <c r="M350" s="29"/>
      <c r="N350" s="29"/>
      <c r="O350" s="29"/>
      <c r="P350" s="7"/>
    </row>
    <row r="351" spans="1:16" ht="22.5">
      <c r="A351" s="8" t="s">
        <v>268</v>
      </c>
      <c r="B351" s="6"/>
      <c r="C351" s="6"/>
      <c r="D351" s="7">
        <v>215000</v>
      </c>
      <c r="E351" s="7"/>
      <c r="F351" s="7">
        <f>D351</f>
        <v>215000</v>
      </c>
      <c r="G351" s="7">
        <v>250000</v>
      </c>
      <c r="H351" s="7"/>
      <c r="I351" s="7"/>
      <c r="J351" s="7">
        <f>G351</f>
        <v>250000</v>
      </c>
      <c r="K351" s="7">
        <f>G351/D351*100</f>
        <v>116.27906976744187</v>
      </c>
      <c r="L351" s="7"/>
      <c r="M351" s="7"/>
      <c r="N351" s="7">
        <v>275000</v>
      </c>
      <c r="O351" s="7"/>
      <c r="P351" s="7">
        <f>N351</f>
        <v>275000</v>
      </c>
    </row>
    <row r="352" spans="1:149" s="38" customFormat="1" ht="36" customHeight="1">
      <c r="A352" s="33" t="s">
        <v>385</v>
      </c>
      <c r="B352" s="34"/>
      <c r="C352" s="34"/>
      <c r="D352" s="44">
        <f>D356*D359</f>
        <v>163000</v>
      </c>
      <c r="E352" s="44"/>
      <c r="F352" s="44">
        <f>D352+E352</f>
        <v>163000</v>
      </c>
      <c r="G352" s="44">
        <f>G356*G359</f>
        <v>300000</v>
      </c>
      <c r="H352" s="44"/>
      <c r="I352" s="44"/>
      <c r="J352" s="44">
        <f>J356*J359</f>
        <v>300000</v>
      </c>
      <c r="K352" s="44" t="e">
        <f>K356*K359</f>
        <v>#REF!</v>
      </c>
      <c r="L352" s="44">
        <f>L356*L359</f>
        <v>0</v>
      </c>
      <c r="M352" s="44">
        <f>M356*M359</f>
        <v>0</v>
      </c>
      <c r="N352" s="44">
        <f>N356*N359</f>
        <v>350000</v>
      </c>
      <c r="O352" s="44"/>
      <c r="P352" s="44">
        <f>P356*P359+P357</f>
        <v>350005</v>
      </c>
      <c r="Q352" s="37"/>
      <c r="R352" s="37"/>
      <c r="S352" s="37"/>
      <c r="T352" s="37"/>
      <c r="U352" s="37"/>
      <c r="V352" s="37"/>
      <c r="W352" s="37"/>
      <c r="X352" s="37"/>
      <c r="Y352" s="37"/>
      <c r="Z352" s="37"/>
      <c r="AA352" s="37"/>
      <c r="AB352" s="37"/>
      <c r="AC352" s="37"/>
      <c r="AD352" s="37"/>
      <c r="AE352" s="37"/>
      <c r="AF352" s="37"/>
      <c r="AG352" s="37"/>
      <c r="AH352" s="37"/>
      <c r="AI352" s="37"/>
      <c r="AJ352" s="37"/>
      <c r="AK352" s="37"/>
      <c r="AL352" s="37"/>
      <c r="AM352" s="37"/>
      <c r="AN352" s="37"/>
      <c r="AO352" s="37"/>
      <c r="AP352" s="37"/>
      <c r="AQ352" s="37"/>
      <c r="AR352" s="37"/>
      <c r="AS352" s="37"/>
      <c r="AT352" s="37"/>
      <c r="AU352" s="37"/>
      <c r="AV352" s="37"/>
      <c r="AW352" s="37"/>
      <c r="AX352" s="37"/>
      <c r="AY352" s="37"/>
      <c r="AZ352" s="37"/>
      <c r="BA352" s="37"/>
      <c r="BB352" s="37"/>
      <c r="BC352" s="37"/>
      <c r="BD352" s="37"/>
      <c r="BE352" s="37"/>
      <c r="BF352" s="37"/>
      <c r="BG352" s="37"/>
      <c r="BH352" s="37"/>
      <c r="BI352" s="37"/>
      <c r="BJ352" s="37"/>
      <c r="BK352" s="37"/>
      <c r="BL352" s="37"/>
      <c r="BM352" s="37"/>
      <c r="BN352" s="37"/>
      <c r="BO352" s="37"/>
      <c r="BP352" s="37"/>
      <c r="BQ352" s="37"/>
      <c r="BR352" s="37"/>
      <c r="BS352" s="37"/>
      <c r="BT352" s="37"/>
      <c r="BU352" s="37"/>
      <c r="BV352" s="37"/>
      <c r="BW352" s="37"/>
      <c r="BX352" s="37"/>
      <c r="BY352" s="37"/>
      <c r="BZ352" s="37"/>
      <c r="CA352" s="37"/>
      <c r="CB352" s="37"/>
      <c r="CC352" s="37"/>
      <c r="CD352" s="37"/>
      <c r="CE352" s="37"/>
      <c r="CF352" s="37"/>
      <c r="CG352" s="37"/>
      <c r="CH352" s="37"/>
      <c r="CI352" s="37"/>
      <c r="CJ352" s="37"/>
      <c r="CK352" s="37"/>
      <c r="CL352" s="37"/>
      <c r="CM352" s="37"/>
      <c r="CN352" s="37"/>
      <c r="CO352" s="37"/>
      <c r="CP352" s="37"/>
      <c r="CQ352" s="37"/>
      <c r="CR352" s="37"/>
      <c r="CS352" s="37"/>
      <c r="CT352" s="37"/>
      <c r="CU352" s="37"/>
      <c r="CV352" s="37"/>
      <c r="CW352" s="37"/>
      <c r="CX352" s="37"/>
      <c r="CY352" s="37"/>
      <c r="CZ352" s="37"/>
      <c r="DA352" s="37"/>
      <c r="DB352" s="37"/>
      <c r="DC352" s="37"/>
      <c r="DD352" s="37"/>
      <c r="DE352" s="37"/>
      <c r="DF352" s="37"/>
      <c r="DG352" s="37"/>
      <c r="DH352" s="37"/>
      <c r="DI352" s="37"/>
      <c r="DJ352" s="37"/>
      <c r="DK352" s="37"/>
      <c r="DL352" s="37"/>
      <c r="DM352" s="37"/>
      <c r="DN352" s="37"/>
      <c r="DO352" s="37"/>
      <c r="DP352" s="37"/>
      <c r="DQ352" s="37"/>
      <c r="DR352" s="37"/>
      <c r="DS352" s="37"/>
      <c r="DT352" s="37"/>
      <c r="DU352" s="37"/>
      <c r="DV352" s="37"/>
      <c r="DW352" s="37"/>
      <c r="DX352" s="37"/>
      <c r="DY352" s="37"/>
      <c r="DZ352" s="37"/>
      <c r="EA352" s="37"/>
      <c r="EB352" s="37"/>
      <c r="EC352" s="37"/>
      <c r="ED352" s="37"/>
      <c r="EE352" s="37"/>
      <c r="EF352" s="37"/>
      <c r="EG352" s="37"/>
      <c r="EH352" s="37"/>
      <c r="EI352" s="37"/>
      <c r="EJ352" s="37"/>
      <c r="EK352" s="37"/>
      <c r="EL352" s="37"/>
      <c r="EM352" s="37"/>
      <c r="EN352" s="37"/>
      <c r="EO352" s="37"/>
      <c r="EP352" s="37"/>
      <c r="EQ352" s="37"/>
      <c r="ER352" s="37"/>
      <c r="ES352" s="37"/>
    </row>
    <row r="353" spans="1:16" ht="11.25">
      <c r="A353" s="5" t="s">
        <v>38</v>
      </c>
      <c r="B353" s="36"/>
      <c r="C353" s="36"/>
      <c r="D353" s="43"/>
      <c r="E353" s="43"/>
      <c r="F353" s="43"/>
      <c r="G353" s="29"/>
      <c r="H353" s="29"/>
      <c r="I353" s="29"/>
      <c r="J353" s="29"/>
      <c r="K353" s="7"/>
      <c r="L353" s="29"/>
      <c r="M353" s="29"/>
      <c r="N353" s="29"/>
      <c r="O353" s="29"/>
      <c r="P353" s="29"/>
    </row>
    <row r="354" spans="1:16" ht="23.25" customHeight="1">
      <c r="A354" s="8" t="s">
        <v>131</v>
      </c>
      <c r="B354" s="6"/>
      <c r="C354" s="6"/>
      <c r="D354" s="43">
        <v>2752</v>
      </c>
      <c r="E354" s="43"/>
      <c r="F354" s="43">
        <f>D354</f>
        <v>2752</v>
      </c>
      <c r="G354" s="43">
        <v>1752</v>
      </c>
      <c r="H354" s="43"/>
      <c r="I354" s="43"/>
      <c r="J354" s="43">
        <f>G354</f>
        <v>1752</v>
      </c>
      <c r="K354" s="7" t="e">
        <f>#REF!/G354*100</f>
        <v>#REF!</v>
      </c>
      <c r="L354" s="7"/>
      <c r="M354" s="7"/>
      <c r="N354" s="43">
        <v>952</v>
      </c>
      <c r="O354" s="43"/>
      <c r="P354" s="43">
        <f>N354</f>
        <v>952</v>
      </c>
    </row>
    <row r="355" spans="1:16" ht="11.25">
      <c r="A355" s="5" t="s">
        <v>5</v>
      </c>
      <c r="B355" s="36"/>
      <c r="C355" s="36"/>
      <c r="D355" s="43"/>
      <c r="E355" s="43"/>
      <c r="F355" s="43"/>
      <c r="G355" s="29"/>
      <c r="H355" s="29"/>
      <c r="I355" s="29"/>
      <c r="J355" s="7"/>
      <c r="K355" s="7"/>
      <c r="L355" s="29"/>
      <c r="M355" s="29"/>
      <c r="N355" s="29"/>
      <c r="O355" s="29"/>
      <c r="P355" s="7"/>
    </row>
    <row r="356" spans="1:16" ht="24" customHeight="1">
      <c r="A356" s="8" t="s">
        <v>129</v>
      </c>
      <c r="B356" s="6"/>
      <c r="C356" s="6"/>
      <c r="D356" s="43">
        <v>1000</v>
      </c>
      <c r="E356" s="43"/>
      <c r="F356" s="43">
        <f>D356</f>
        <v>1000</v>
      </c>
      <c r="G356" s="43">
        <v>800</v>
      </c>
      <c r="H356" s="43"/>
      <c r="I356" s="43"/>
      <c r="J356" s="43">
        <f>G356</f>
        <v>800</v>
      </c>
      <c r="K356" s="7" t="e">
        <f>#REF!/G356*100</f>
        <v>#REF!</v>
      </c>
      <c r="L356" s="7"/>
      <c r="M356" s="7"/>
      <c r="N356" s="43">
        <v>875</v>
      </c>
      <c r="O356" s="43"/>
      <c r="P356" s="43">
        <f>N356</f>
        <v>875</v>
      </c>
    </row>
    <row r="357" spans="1:16" ht="33.75" customHeight="1">
      <c r="A357" s="8" t="s">
        <v>201</v>
      </c>
      <c r="B357" s="6"/>
      <c r="C357" s="6"/>
      <c r="D357" s="43"/>
      <c r="E357" s="43"/>
      <c r="F357" s="43"/>
      <c r="G357" s="43">
        <v>0</v>
      </c>
      <c r="H357" s="43"/>
      <c r="I357" s="43"/>
      <c r="J357" s="43"/>
      <c r="K357" s="7"/>
      <c r="L357" s="7"/>
      <c r="M357" s="7"/>
      <c r="N357" s="43">
        <v>5</v>
      </c>
      <c r="O357" s="43"/>
      <c r="P357" s="43">
        <f>N357</f>
        <v>5</v>
      </c>
    </row>
    <row r="358" spans="1:16" ht="11.25">
      <c r="A358" s="5" t="s">
        <v>7</v>
      </c>
      <c r="B358" s="36"/>
      <c r="C358" s="36"/>
      <c r="D358" s="43"/>
      <c r="E358" s="43"/>
      <c r="F358" s="43"/>
      <c r="G358" s="43"/>
      <c r="H358" s="43"/>
      <c r="I358" s="43"/>
      <c r="J358" s="43"/>
      <c r="K358" s="7"/>
      <c r="L358" s="29"/>
      <c r="M358" s="29"/>
      <c r="N358" s="43"/>
      <c r="O358" s="43"/>
      <c r="P358" s="43"/>
    </row>
    <row r="359" spans="1:16" ht="24" customHeight="1">
      <c r="A359" s="8" t="s">
        <v>40</v>
      </c>
      <c r="B359" s="6"/>
      <c r="C359" s="6"/>
      <c r="D359" s="43">
        <v>163</v>
      </c>
      <c r="E359" s="43"/>
      <c r="F359" s="43">
        <f>D359</f>
        <v>163</v>
      </c>
      <c r="G359" s="43">
        <v>375</v>
      </c>
      <c r="H359" s="43"/>
      <c r="I359" s="43"/>
      <c r="J359" s="43">
        <f>G359</f>
        <v>375</v>
      </c>
      <c r="K359" s="7" t="e">
        <f>#REF!/G359*100</f>
        <v>#REF!</v>
      </c>
      <c r="L359" s="7"/>
      <c r="M359" s="7"/>
      <c r="N359" s="43">
        <v>400</v>
      </c>
      <c r="O359" s="43"/>
      <c r="P359" s="43">
        <f>N359</f>
        <v>400</v>
      </c>
    </row>
    <row r="360" spans="1:16" ht="11.25">
      <c r="A360" s="53" t="s">
        <v>6</v>
      </c>
      <c r="B360" s="54"/>
      <c r="C360" s="54"/>
      <c r="D360" s="47"/>
      <c r="E360" s="47"/>
      <c r="F360" s="47"/>
      <c r="G360" s="23"/>
      <c r="H360" s="23"/>
      <c r="I360" s="23"/>
      <c r="J360" s="23"/>
      <c r="K360" s="23"/>
      <c r="L360" s="23"/>
      <c r="M360" s="23"/>
      <c r="N360" s="23"/>
      <c r="O360" s="23"/>
      <c r="P360" s="23"/>
    </row>
    <row r="361" spans="1:149" s="22" customFormat="1" ht="39" customHeight="1">
      <c r="A361" s="8" t="s">
        <v>130</v>
      </c>
      <c r="B361" s="6"/>
      <c r="C361" s="6"/>
      <c r="D361" s="43">
        <f>D356/D354*100</f>
        <v>36.337209302325576</v>
      </c>
      <c r="E361" s="43"/>
      <c r="F361" s="43">
        <f>D361</f>
        <v>36.337209302325576</v>
      </c>
      <c r="G361" s="43">
        <f>G356/G354*100</f>
        <v>45.662100456621005</v>
      </c>
      <c r="H361" s="43"/>
      <c r="I361" s="43"/>
      <c r="J361" s="43">
        <f>G361</f>
        <v>45.662100456621005</v>
      </c>
      <c r="K361" s="7"/>
      <c r="L361" s="7"/>
      <c r="M361" s="7"/>
      <c r="N361" s="43">
        <f>N356/N354*100</f>
        <v>91.91176470588235</v>
      </c>
      <c r="O361" s="43"/>
      <c r="P361" s="43">
        <f>N361</f>
        <v>91.91176470588235</v>
      </c>
      <c r="Q361" s="55"/>
      <c r="R361" s="55"/>
      <c r="S361" s="55"/>
      <c r="T361" s="55"/>
      <c r="U361" s="55"/>
      <c r="V361" s="55"/>
      <c r="W361" s="55"/>
      <c r="X361" s="55"/>
      <c r="Y361" s="55"/>
      <c r="Z361" s="55"/>
      <c r="AA361" s="55"/>
      <c r="AB361" s="55"/>
      <c r="AC361" s="55"/>
      <c r="AD361" s="55"/>
      <c r="AE361" s="55"/>
      <c r="AF361" s="55"/>
      <c r="AG361" s="55"/>
      <c r="AH361" s="55"/>
      <c r="AI361" s="55"/>
      <c r="AJ361" s="55"/>
      <c r="AK361" s="55"/>
      <c r="AL361" s="55"/>
      <c r="AM361" s="55"/>
      <c r="AN361" s="55"/>
      <c r="AO361" s="55"/>
      <c r="AP361" s="55"/>
      <c r="AQ361" s="55"/>
      <c r="AR361" s="55"/>
      <c r="AS361" s="55"/>
      <c r="AT361" s="55"/>
      <c r="AU361" s="55"/>
      <c r="AV361" s="55"/>
      <c r="AW361" s="55"/>
      <c r="AX361" s="55"/>
      <c r="AY361" s="55"/>
      <c r="AZ361" s="55"/>
      <c r="BA361" s="55"/>
      <c r="BB361" s="55"/>
      <c r="BC361" s="55"/>
      <c r="BD361" s="55"/>
      <c r="BE361" s="55"/>
      <c r="BF361" s="55"/>
      <c r="BG361" s="55"/>
      <c r="BH361" s="55"/>
      <c r="BI361" s="55"/>
      <c r="BJ361" s="55"/>
      <c r="BK361" s="55"/>
      <c r="BL361" s="55"/>
      <c r="BM361" s="55"/>
      <c r="BN361" s="55"/>
      <c r="BO361" s="55"/>
      <c r="BP361" s="55"/>
      <c r="BQ361" s="55"/>
      <c r="BR361" s="55"/>
      <c r="BS361" s="55"/>
      <c r="BT361" s="55"/>
      <c r="BU361" s="55"/>
      <c r="BV361" s="55"/>
      <c r="BW361" s="55"/>
      <c r="BX361" s="55"/>
      <c r="BY361" s="55"/>
      <c r="BZ361" s="55"/>
      <c r="CA361" s="55"/>
      <c r="CB361" s="55"/>
      <c r="CC361" s="55"/>
      <c r="CD361" s="55"/>
      <c r="CE361" s="55"/>
      <c r="CF361" s="55"/>
      <c r="CG361" s="55"/>
      <c r="CH361" s="55"/>
      <c r="CI361" s="55"/>
      <c r="CJ361" s="55"/>
      <c r="CK361" s="55"/>
      <c r="CL361" s="55"/>
      <c r="CM361" s="55"/>
      <c r="CN361" s="55"/>
      <c r="CO361" s="55"/>
      <c r="CP361" s="55"/>
      <c r="CQ361" s="55"/>
      <c r="CR361" s="55"/>
      <c r="CS361" s="55"/>
      <c r="CT361" s="55"/>
      <c r="CU361" s="55"/>
      <c r="CV361" s="55"/>
      <c r="CW361" s="55"/>
      <c r="CX361" s="55"/>
      <c r="CY361" s="55"/>
      <c r="CZ361" s="55"/>
      <c r="DA361" s="55"/>
      <c r="DB361" s="55"/>
      <c r="DC361" s="55"/>
      <c r="DD361" s="55"/>
      <c r="DE361" s="55"/>
      <c r="DF361" s="55"/>
      <c r="DG361" s="55"/>
      <c r="DH361" s="55"/>
      <c r="DI361" s="55"/>
      <c r="DJ361" s="55"/>
      <c r="DK361" s="55"/>
      <c r="DL361" s="55"/>
      <c r="DM361" s="55"/>
      <c r="DN361" s="55"/>
      <c r="DO361" s="55"/>
      <c r="DP361" s="55"/>
      <c r="DQ361" s="55"/>
      <c r="DR361" s="55"/>
      <c r="DS361" s="55"/>
      <c r="DT361" s="55"/>
      <c r="DU361" s="55"/>
      <c r="DV361" s="55"/>
      <c r="DW361" s="55"/>
      <c r="DX361" s="55"/>
      <c r="DY361" s="55"/>
      <c r="DZ361" s="55"/>
      <c r="EA361" s="55"/>
      <c r="EB361" s="55"/>
      <c r="EC361" s="55"/>
      <c r="ED361" s="55"/>
      <c r="EE361" s="55"/>
      <c r="EF361" s="55"/>
      <c r="EG361" s="55"/>
      <c r="EH361" s="55"/>
      <c r="EI361" s="55"/>
      <c r="EJ361" s="55"/>
      <c r="EK361" s="55"/>
      <c r="EL361" s="55"/>
      <c r="EM361" s="55"/>
      <c r="EN361" s="55"/>
      <c r="EO361" s="55"/>
      <c r="EP361" s="55"/>
      <c r="EQ361" s="55"/>
      <c r="ER361" s="55"/>
      <c r="ES361" s="55"/>
    </row>
    <row r="362" spans="1:149" s="22" customFormat="1" ht="45.75" customHeight="1">
      <c r="A362" s="33" t="s">
        <v>394</v>
      </c>
      <c r="B362" s="6"/>
      <c r="C362" s="6"/>
      <c r="D362" s="43"/>
      <c r="E362" s="43"/>
      <c r="F362" s="43"/>
      <c r="G362" s="56">
        <f>G364</f>
        <v>250000</v>
      </c>
      <c r="H362" s="43"/>
      <c r="I362" s="43"/>
      <c r="J362" s="43">
        <f>G362</f>
        <v>250000</v>
      </c>
      <c r="K362" s="7"/>
      <c r="L362" s="7"/>
      <c r="M362" s="7"/>
      <c r="N362" s="43"/>
      <c r="O362" s="43"/>
      <c r="P362" s="43"/>
      <c r="Q362" s="55"/>
      <c r="R362" s="55"/>
      <c r="S362" s="55"/>
      <c r="T362" s="55"/>
      <c r="U362" s="55"/>
      <c r="V362" s="55"/>
      <c r="W362" s="55"/>
      <c r="X362" s="55"/>
      <c r="Y362" s="55"/>
      <c r="Z362" s="55"/>
      <c r="AA362" s="55"/>
      <c r="AB362" s="55"/>
      <c r="AC362" s="55"/>
      <c r="AD362" s="55"/>
      <c r="AE362" s="55"/>
      <c r="AF362" s="55"/>
      <c r="AG362" s="55"/>
      <c r="AH362" s="55"/>
      <c r="AI362" s="55"/>
      <c r="AJ362" s="55"/>
      <c r="AK362" s="55"/>
      <c r="AL362" s="55"/>
      <c r="AM362" s="55"/>
      <c r="AN362" s="55"/>
      <c r="AO362" s="55"/>
      <c r="AP362" s="55"/>
      <c r="AQ362" s="55"/>
      <c r="AR362" s="55"/>
      <c r="AS362" s="55"/>
      <c r="AT362" s="55"/>
      <c r="AU362" s="55"/>
      <c r="AV362" s="55"/>
      <c r="AW362" s="55"/>
      <c r="AX362" s="55"/>
      <c r="AY362" s="55"/>
      <c r="AZ362" s="55"/>
      <c r="BA362" s="55"/>
      <c r="BB362" s="55"/>
      <c r="BC362" s="55"/>
      <c r="BD362" s="55"/>
      <c r="BE362" s="55"/>
      <c r="BF362" s="55"/>
      <c r="BG362" s="55"/>
      <c r="BH362" s="55"/>
      <c r="BI362" s="55"/>
      <c r="BJ362" s="55"/>
      <c r="BK362" s="55"/>
      <c r="BL362" s="55"/>
      <c r="BM362" s="55"/>
      <c r="BN362" s="55"/>
      <c r="BO362" s="55"/>
      <c r="BP362" s="55"/>
      <c r="BQ362" s="55"/>
      <c r="BR362" s="55"/>
      <c r="BS362" s="55"/>
      <c r="BT362" s="55"/>
      <c r="BU362" s="55"/>
      <c r="BV362" s="55"/>
      <c r="BW362" s="55"/>
      <c r="BX362" s="55"/>
      <c r="BY362" s="55"/>
      <c r="BZ362" s="55"/>
      <c r="CA362" s="55"/>
      <c r="CB362" s="55"/>
      <c r="CC362" s="55"/>
      <c r="CD362" s="55"/>
      <c r="CE362" s="55"/>
      <c r="CF362" s="55"/>
      <c r="CG362" s="55"/>
      <c r="CH362" s="55"/>
      <c r="CI362" s="55"/>
      <c r="CJ362" s="55"/>
      <c r="CK362" s="55"/>
      <c r="CL362" s="55"/>
      <c r="CM362" s="55"/>
      <c r="CN362" s="55"/>
      <c r="CO362" s="55"/>
      <c r="CP362" s="55"/>
      <c r="CQ362" s="55"/>
      <c r="CR362" s="55"/>
      <c r="CS362" s="55"/>
      <c r="CT362" s="55"/>
      <c r="CU362" s="55"/>
      <c r="CV362" s="55"/>
      <c r="CW362" s="55"/>
      <c r="CX362" s="55"/>
      <c r="CY362" s="55"/>
      <c r="CZ362" s="55"/>
      <c r="DA362" s="55"/>
      <c r="DB362" s="55"/>
      <c r="DC362" s="55"/>
      <c r="DD362" s="55"/>
      <c r="DE362" s="55"/>
      <c r="DF362" s="55"/>
      <c r="DG362" s="55"/>
      <c r="DH362" s="55"/>
      <c r="DI362" s="55"/>
      <c r="DJ362" s="55"/>
      <c r="DK362" s="55"/>
      <c r="DL362" s="55"/>
      <c r="DM362" s="55"/>
      <c r="DN362" s="55"/>
      <c r="DO362" s="55"/>
      <c r="DP362" s="55"/>
      <c r="DQ362" s="55"/>
      <c r="DR362" s="55"/>
      <c r="DS362" s="55"/>
      <c r="DT362" s="55"/>
      <c r="DU362" s="55"/>
      <c r="DV362" s="55"/>
      <c r="DW362" s="55"/>
      <c r="DX362" s="55"/>
      <c r="DY362" s="55"/>
      <c r="DZ362" s="55"/>
      <c r="EA362" s="55"/>
      <c r="EB362" s="55"/>
      <c r="EC362" s="55"/>
      <c r="ED362" s="55"/>
      <c r="EE362" s="55"/>
      <c r="EF362" s="55"/>
      <c r="EG362" s="55"/>
      <c r="EH362" s="55"/>
      <c r="EI362" s="55"/>
      <c r="EJ362" s="55"/>
      <c r="EK362" s="55"/>
      <c r="EL362" s="55"/>
      <c r="EM362" s="55"/>
      <c r="EN362" s="55"/>
      <c r="EO362" s="55"/>
      <c r="EP362" s="55"/>
      <c r="EQ362" s="55"/>
      <c r="ER362" s="55"/>
      <c r="ES362" s="55"/>
    </row>
    <row r="363" spans="1:149" s="22" customFormat="1" ht="15" customHeight="1">
      <c r="A363" s="5" t="s">
        <v>38</v>
      </c>
      <c r="B363" s="6"/>
      <c r="C363" s="6"/>
      <c r="D363" s="43"/>
      <c r="E363" s="43"/>
      <c r="F363" s="43"/>
      <c r="G363" s="43"/>
      <c r="H363" s="43"/>
      <c r="I363" s="43"/>
      <c r="J363" s="43"/>
      <c r="K363" s="7"/>
      <c r="L363" s="7"/>
      <c r="M363" s="7"/>
      <c r="N363" s="43"/>
      <c r="O363" s="43"/>
      <c r="P363" s="43"/>
      <c r="Q363" s="55"/>
      <c r="R363" s="55"/>
      <c r="S363" s="55"/>
      <c r="T363" s="55"/>
      <c r="U363" s="55"/>
      <c r="V363" s="55"/>
      <c r="W363" s="55"/>
      <c r="X363" s="55"/>
      <c r="Y363" s="55"/>
      <c r="Z363" s="55"/>
      <c r="AA363" s="55"/>
      <c r="AB363" s="55"/>
      <c r="AC363" s="55"/>
      <c r="AD363" s="55"/>
      <c r="AE363" s="55"/>
      <c r="AF363" s="55"/>
      <c r="AG363" s="55"/>
      <c r="AH363" s="55"/>
      <c r="AI363" s="55"/>
      <c r="AJ363" s="55"/>
      <c r="AK363" s="55"/>
      <c r="AL363" s="55"/>
      <c r="AM363" s="55"/>
      <c r="AN363" s="55"/>
      <c r="AO363" s="55"/>
      <c r="AP363" s="55"/>
      <c r="AQ363" s="55"/>
      <c r="AR363" s="55"/>
      <c r="AS363" s="55"/>
      <c r="AT363" s="55"/>
      <c r="AU363" s="55"/>
      <c r="AV363" s="55"/>
      <c r="AW363" s="55"/>
      <c r="AX363" s="55"/>
      <c r="AY363" s="55"/>
      <c r="AZ363" s="55"/>
      <c r="BA363" s="55"/>
      <c r="BB363" s="55"/>
      <c r="BC363" s="55"/>
      <c r="BD363" s="55"/>
      <c r="BE363" s="55"/>
      <c r="BF363" s="55"/>
      <c r="BG363" s="55"/>
      <c r="BH363" s="55"/>
      <c r="BI363" s="55"/>
      <c r="BJ363" s="55"/>
      <c r="BK363" s="55"/>
      <c r="BL363" s="55"/>
      <c r="BM363" s="55"/>
      <c r="BN363" s="55"/>
      <c r="BO363" s="55"/>
      <c r="BP363" s="55"/>
      <c r="BQ363" s="55"/>
      <c r="BR363" s="55"/>
      <c r="BS363" s="55"/>
      <c r="BT363" s="55"/>
      <c r="BU363" s="55"/>
      <c r="BV363" s="55"/>
      <c r="BW363" s="55"/>
      <c r="BX363" s="55"/>
      <c r="BY363" s="55"/>
      <c r="BZ363" s="55"/>
      <c r="CA363" s="55"/>
      <c r="CB363" s="55"/>
      <c r="CC363" s="55"/>
      <c r="CD363" s="55"/>
      <c r="CE363" s="55"/>
      <c r="CF363" s="55"/>
      <c r="CG363" s="55"/>
      <c r="CH363" s="55"/>
      <c r="CI363" s="55"/>
      <c r="CJ363" s="55"/>
      <c r="CK363" s="55"/>
      <c r="CL363" s="55"/>
      <c r="CM363" s="55"/>
      <c r="CN363" s="55"/>
      <c r="CO363" s="55"/>
      <c r="CP363" s="55"/>
      <c r="CQ363" s="55"/>
      <c r="CR363" s="55"/>
      <c r="CS363" s="55"/>
      <c r="CT363" s="55"/>
      <c r="CU363" s="55"/>
      <c r="CV363" s="55"/>
      <c r="CW363" s="55"/>
      <c r="CX363" s="55"/>
      <c r="CY363" s="55"/>
      <c r="CZ363" s="55"/>
      <c r="DA363" s="55"/>
      <c r="DB363" s="55"/>
      <c r="DC363" s="55"/>
      <c r="DD363" s="55"/>
      <c r="DE363" s="55"/>
      <c r="DF363" s="55"/>
      <c r="DG363" s="55"/>
      <c r="DH363" s="55"/>
      <c r="DI363" s="55"/>
      <c r="DJ363" s="55"/>
      <c r="DK363" s="55"/>
      <c r="DL363" s="55"/>
      <c r="DM363" s="55"/>
      <c r="DN363" s="55"/>
      <c r="DO363" s="55"/>
      <c r="DP363" s="55"/>
      <c r="DQ363" s="55"/>
      <c r="DR363" s="55"/>
      <c r="DS363" s="55"/>
      <c r="DT363" s="55"/>
      <c r="DU363" s="55"/>
      <c r="DV363" s="55"/>
      <c r="DW363" s="55"/>
      <c r="DX363" s="55"/>
      <c r="DY363" s="55"/>
      <c r="DZ363" s="55"/>
      <c r="EA363" s="55"/>
      <c r="EB363" s="55"/>
      <c r="EC363" s="55"/>
      <c r="ED363" s="55"/>
      <c r="EE363" s="55"/>
      <c r="EF363" s="55"/>
      <c r="EG363" s="55"/>
      <c r="EH363" s="55"/>
      <c r="EI363" s="55"/>
      <c r="EJ363" s="55"/>
      <c r="EK363" s="55"/>
      <c r="EL363" s="55"/>
      <c r="EM363" s="55"/>
      <c r="EN363" s="55"/>
      <c r="EO363" s="55"/>
      <c r="EP363" s="55"/>
      <c r="EQ363" s="55"/>
      <c r="ER363" s="55"/>
      <c r="ES363" s="55"/>
    </row>
    <row r="364" spans="1:149" s="22" customFormat="1" ht="22.5" customHeight="1">
      <c r="A364" s="8" t="s">
        <v>397</v>
      </c>
      <c r="B364" s="6"/>
      <c r="C364" s="6"/>
      <c r="D364" s="43"/>
      <c r="E364" s="43"/>
      <c r="F364" s="43"/>
      <c r="G364" s="43">
        <f>G366*G368</f>
        <v>250000</v>
      </c>
      <c r="H364" s="43"/>
      <c r="I364" s="43"/>
      <c r="J364" s="43">
        <f>G364</f>
        <v>250000</v>
      </c>
      <c r="K364" s="7"/>
      <c r="L364" s="7"/>
      <c r="M364" s="7"/>
      <c r="N364" s="43"/>
      <c r="O364" s="43"/>
      <c r="P364" s="43"/>
      <c r="Q364" s="55"/>
      <c r="R364" s="55"/>
      <c r="S364" s="55"/>
      <c r="T364" s="55"/>
      <c r="U364" s="55"/>
      <c r="V364" s="55"/>
      <c r="W364" s="55"/>
      <c r="X364" s="55"/>
      <c r="Y364" s="55"/>
      <c r="Z364" s="55"/>
      <c r="AA364" s="55"/>
      <c r="AB364" s="55"/>
      <c r="AC364" s="55"/>
      <c r="AD364" s="55"/>
      <c r="AE364" s="55"/>
      <c r="AF364" s="55"/>
      <c r="AG364" s="55"/>
      <c r="AH364" s="55"/>
      <c r="AI364" s="55"/>
      <c r="AJ364" s="55"/>
      <c r="AK364" s="55"/>
      <c r="AL364" s="55"/>
      <c r="AM364" s="55"/>
      <c r="AN364" s="55"/>
      <c r="AO364" s="55"/>
      <c r="AP364" s="55"/>
      <c r="AQ364" s="55"/>
      <c r="AR364" s="55"/>
      <c r="AS364" s="55"/>
      <c r="AT364" s="55"/>
      <c r="AU364" s="55"/>
      <c r="AV364" s="55"/>
      <c r="AW364" s="55"/>
      <c r="AX364" s="55"/>
      <c r="AY364" s="55"/>
      <c r="AZ364" s="55"/>
      <c r="BA364" s="55"/>
      <c r="BB364" s="55"/>
      <c r="BC364" s="55"/>
      <c r="BD364" s="55"/>
      <c r="BE364" s="55"/>
      <c r="BF364" s="55"/>
      <c r="BG364" s="55"/>
      <c r="BH364" s="55"/>
      <c r="BI364" s="55"/>
      <c r="BJ364" s="55"/>
      <c r="BK364" s="55"/>
      <c r="BL364" s="55"/>
      <c r="BM364" s="55"/>
      <c r="BN364" s="55"/>
      <c r="BO364" s="55"/>
      <c r="BP364" s="55"/>
      <c r="BQ364" s="55"/>
      <c r="BR364" s="55"/>
      <c r="BS364" s="55"/>
      <c r="BT364" s="55"/>
      <c r="BU364" s="55"/>
      <c r="BV364" s="55"/>
      <c r="BW364" s="55"/>
      <c r="BX364" s="55"/>
      <c r="BY364" s="55"/>
      <c r="BZ364" s="55"/>
      <c r="CA364" s="55"/>
      <c r="CB364" s="55"/>
      <c r="CC364" s="55"/>
      <c r="CD364" s="55"/>
      <c r="CE364" s="55"/>
      <c r="CF364" s="55"/>
      <c r="CG364" s="55"/>
      <c r="CH364" s="55"/>
      <c r="CI364" s="55"/>
      <c r="CJ364" s="55"/>
      <c r="CK364" s="55"/>
      <c r="CL364" s="55"/>
      <c r="CM364" s="55"/>
      <c r="CN364" s="55"/>
      <c r="CO364" s="55"/>
      <c r="CP364" s="55"/>
      <c r="CQ364" s="55"/>
      <c r="CR364" s="55"/>
      <c r="CS364" s="55"/>
      <c r="CT364" s="55"/>
      <c r="CU364" s="55"/>
      <c r="CV364" s="55"/>
      <c r="CW364" s="55"/>
      <c r="CX364" s="55"/>
      <c r="CY364" s="55"/>
      <c r="CZ364" s="55"/>
      <c r="DA364" s="55"/>
      <c r="DB364" s="55"/>
      <c r="DC364" s="55"/>
      <c r="DD364" s="55"/>
      <c r="DE364" s="55"/>
      <c r="DF364" s="55"/>
      <c r="DG364" s="55"/>
      <c r="DH364" s="55"/>
      <c r="DI364" s="55"/>
      <c r="DJ364" s="55"/>
      <c r="DK364" s="55"/>
      <c r="DL364" s="55"/>
      <c r="DM364" s="55"/>
      <c r="DN364" s="55"/>
      <c r="DO364" s="55"/>
      <c r="DP364" s="55"/>
      <c r="DQ364" s="55"/>
      <c r="DR364" s="55"/>
      <c r="DS364" s="55"/>
      <c r="DT364" s="55"/>
      <c r="DU364" s="55"/>
      <c r="DV364" s="55"/>
      <c r="DW364" s="55"/>
      <c r="DX364" s="55"/>
      <c r="DY364" s="55"/>
      <c r="DZ364" s="55"/>
      <c r="EA364" s="55"/>
      <c r="EB364" s="55"/>
      <c r="EC364" s="55"/>
      <c r="ED364" s="55"/>
      <c r="EE364" s="55"/>
      <c r="EF364" s="55"/>
      <c r="EG364" s="55"/>
      <c r="EH364" s="55"/>
      <c r="EI364" s="55"/>
      <c r="EJ364" s="55"/>
      <c r="EK364" s="55"/>
      <c r="EL364" s="55"/>
      <c r="EM364" s="55"/>
      <c r="EN364" s="55"/>
      <c r="EO364" s="55"/>
      <c r="EP364" s="55"/>
      <c r="EQ364" s="55"/>
      <c r="ER364" s="55"/>
      <c r="ES364" s="55"/>
    </row>
    <row r="365" spans="1:149" s="22" customFormat="1" ht="15.75" customHeight="1">
      <c r="A365" s="5" t="s">
        <v>5</v>
      </c>
      <c r="B365" s="6"/>
      <c r="C365" s="6"/>
      <c r="D365" s="43"/>
      <c r="E365" s="43"/>
      <c r="F365" s="43"/>
      <c r="G365" s="43"/>
      <c r="H365" s="43"/>
      <c r="I365" s="43"/>
      <c r="J365" s="43"/>
      <c r="K365" s="7"/>
      <c r="L365" s="7"/>
      <c r="M365" s="7"/>
      <c r="N365" s="43"/>
      <c r="O365" s="43"/>
      <c r="P365" s="43"/>
      <c r="Q365" s="55"/>
      <c r="R365" s="55"/>
      <c r="S365" s="55"/>
      <c r="T365" s="55"/>
      <c r="U365" s="55"/>
      <c r="V365" s="55"/>
      <c r="W365" s="55"/>
      <c r="X365" s="55"/>
      <c r="Y365" s="55"/>
      <c r="Z365" s="55"/>
      <c r="AA365" s="55"/>
      <c r="AB365" s="55"/>
      <c r="AC365" s="55"/>
      <c r="AD365" s="55"/>
      <c r="AE365" s="55"/>
      <c r="AF365" s="55"/>
      <c r="AG365" s="55"/>
      <c r="AH365" s="55"/>
      <c r="AI365" s="55"/>
      <c r="AJ365" s="55"/>
      <c r="AK365" s="55"/>
      <c r="AL365" s="55"/>
      <c r="AM365" s="55"/>
      <c r="AN365" s="55"/>
      <c r="AO365" s="55"/>
      <c r="AP365" s="55"/>
      <c r="AQ365" s="55"/>
      <c r="AR365" s="55"/>
      <c r="AS365" s="55"/>
      <c r="AT365" s="55"/>
      <c r="AU365" s="55"/>
      <c r="AV365" s="55"/>
      <c r="AW365" s="55"/>
      <c r="AX365" s="55"/>
      <c r="AY365" s="55"/>
      <c r="AZ365" s="55"/>
      <c r="BA365" s="55"/>
      <c r="BB365" s="55"/>
      <c r="BC365" s="55"/>
      <c r="BD365" s="55"/>
      <c r="BE365" s="55"/>
      <c r="BF365" s="55"/>
      <c r="BG365" s="55"/>
      <c r="BH365" s="55"/>
      <c r="BI365" s="55"/>
      <c r="BJ365" s="55"/>
      <c r="BK365" s="55"/>
      <c r="BL365" s="55"/>
      <c r="BM365" s="55"/>
      <c r="BN365" s="55"/>
      <c r="BO365" s="55"/>
      <c r="BP365" s="55"/>
      <c r="BQ365" s="55"/>
      <c r="BR365" s="55"/>
      <c r="BS365" s="55"/>
      <c r="BT365" s="55"/>
      <c r="BU365" s="55"/>
      <c r="BV365" s="55"/>
      <c r="BW365" s="55"/>
      <c r="BX365" s="55"/>
      <c r="BY365" s="55"/>
      <c r="BZ365" s="55"/>
      <c r="CA365" s="55"/>
      <c r="CB365" s="55"/>
      <c r="CC365" s="55"/>
      <c r="CD365" s="55"/>
      <c r="CE365" s="55"/>
      <c r="CF365" s="55"/>
      <c r="CG365" s="55"/>
      <c r="CH365" s="55"/>
      <c r="CI365" s="55"/>
      <c r="CJ365" s="55"/>
      <c r="CK365" s="55"/>
      <c r="CL365" s="55"/>
      <c r="CM365" s="55"/>
      <c r="CN365" s="55"/>
      <c r="CO365" s="55"/>
      <c r="CP365" s="55"/>
      <c r="CQ365" s="55"/>
      <c r="CR365" s="55"/>
      <c r="CS365" s="55"/>
      <c r="CT365" s="55"/>
      <c r="CU365" s="55"/>
      <c r="CV365" s="55"/>
      <c r="CW365" s="55"/>
      <c r="CX365" s="55"/>
      <c r="CY365" s="55"/>
      <c r="CZ365" s="55"/>
      <c r="DA365" s="55"/>
      <c r="DB365" s="55"/>
      <c r="DC365" s="55"/>
      <c r="DD365" s="55"/>
      <c r="DE365" s="55"/>
      <c r="DF365" s="55"/>
      <c r="DG365" s="55"/>
      <c r="DH365" s="55"/>
      <c r="DI365" s="55"/>
      <c r="DJ365" s="55"/>
      <c r="DK365" s="55"/>
      <c r="DL365" s="55"/>
      <c r="DM365" s="55"/>
      <c r="DN365" s="55"/>
      <c r="DO365" s="55"/>
      <c r="DP365" s="55"/>
      <c r="DQ365" s="55"/>
      <c r="DR365" s="55"/>
      <c r="DS365" s="55"/>
      <c r="DT365" s="55"/>
      <c r="DU365" s="55"/>
      <c r="DV365" s="55"/>
      <c r="DW365" s="55"/>
      <c r="DX365" s="55"/>
      <c r="DY365" s="55"/>
      <c r="DZ365" s="55"/>
      <c r="EA365" s="55"/>
      <c r="EB365" s="55"/>
      <c r="EC365" s="55"/>
      <c r="ED365" s="55"/>
      <c r="EE365" s="55"/>
      <c r="EF365" s="55"/>
      <c r="EG365" s="55"/>
      <c r="EH365" s="55"/>
      <c r="EI365" s="55"/>
      <c r="EJ365" s="55"/>
      <c r="EK365" s="55"/>
      <c r="EL365" s="55"/>
      <c r="EM365" s="55"/>
      <c r="EN365" s="55"/>
      <c r="EO365" s="55"/>
      <c r="EP365" s="55"/>
      <c r="EQ365" s="55"/>
      <c r="ER365" s="55"/>
      <c r="ES365" s="55"/>
    </row>
    <row r="366" spans="1:149" s="22" customFormat="1" ht="22.5" customHeight="1">
      <c r="A366" s="8" t="s">
        <v>395</v>
      </c>
      <c r="B366" s="6"/>
      <c r="C366" s="6"/>
      <c r="D366" s="43"/>
      <c r="E366" s="43"/>
      <c r="F366" s="43"/>
      <c r="G366" s="43">
        <v>5000</v>
      </c>
      <c r="H366" s="43"/>
      <c r="I366" s="43"/>
      <c r="J366" s="43">
        <f>G366</f>
        <v>5000</v>
      </c>
      <c r="K366" s="7"/>
      <c r="L366" s="7"/>
      <c r="M366" s="7"/>
      <c r="N366" s="43"/>
      <c r="O366" s="43"/>
      <c r="P366" s="43"/>
      <c r="Q366" s="55"/>
      <c r="R366" s="55"/>
      <c r="S366" s="55"/>
      <c r="T366" s="55"/>
      <c r="U366" s="55"/>
      <c r="V366" s="55"/>
      <c r="W366" s="55"/>
      <c r="X366" s="55"/>
      <c r="Y366" s="55"/>
      <c r="Z366" s="55"/>
      <c r="AA366" s="55"/>
      <c r="AB366" s="55"/>
      <c r="AC366" s="55"/>
      <c r="AD366" s="55"/>
      <c r="AE366" s="55"/>
      <c r="AF366" s="55"/>
      <c r="AG366" s="55"/>
      <c r="AH366" s="55"/>
      <c r="AI366" s="55"/>
      <c r="AJ366" s="55"/>
      <c r="AK366" s="55"/>
      <c r="AL366" s="55"/>
      <c r="AM366" s="55"/>
      <c r="AN366" s="55"/>
      <c r="AO366" s="55"/>
      <c r="AP366" s="55"/>
      <c r="AQ366" s="55"/>
      <c r="AR366" s="55"/>
      <c r="AS366" s="55"/>
      <c r="AT366" s="55"/>
      <c r="AU366" s="55"/>
      <c r="AV366" s="55"/>
      <c r="AW366" s="55"/>
      <c r="AX366" s="55"/>
      <c r="AY366" s="55"/>
      <c r="AZ366" s="55"/>
      <c r="BA366" s="55"/>
      <c r="BB366" s="55"/>
      <c r="BC366" s="55"/>
      <c r="BD366" s="55"/>
      <c r="BE366" s="55"/>
      <c r="BF366" s="55"/>
      <c r="BG366" s="55"/>
      <c r="BH366" s="55"/>
      <c r="BI366" s="55"/>
      <c r="BJ366" s="55"/>
      <c r="BK366" s="55"/>
      <c r="BL366" s="55"/>
      <c r="BM366" s="55"/>
      <c r="BN366" s="55"/>
      <c r="BO366" s="55"/>
      <c r="BP366" s="55"/>
      <c r="BQ366" s="55"/>
      <c r="BR366" s="55"/>
      <c r="BS366" s="55"/>
      <c r="BT366" s="55"/>
      <c r="BU366" s="55"/>
      <c r="BV366" s="55"/>
      <c r="BW366" s="55"/>
      <c r="BX366" s="55"/>
      <c r="BY366" s="55"/>
      <c r="BZ366" s="55"/>
      <c r="CA366" s="55"/>
      <c r="CB366" s="55"/>
      <c r="CC366" s="55"/>
      <c r="CD366" s="55"/>
      <c r="CE366" s="55"/>
      <c r="CF366" s="55"/>
      <c r="CG366" s="55"/>
      <c r="CH366" s="55"/>
      <c r="CI366" s="55"/>
      <c r="CJ366" s="55"/>
      <c r="CK366" s="55"/>
      <c r="CL366" s="55"/>
      <c r="CM366" s="55"/>
      <c r="CN366" s="55"/>
      <c r="CO366" s="55"/>
      <c r="CP366" s="55"/>
      <c r="CQ366" s="55"/>
      <c r="CR366" s="55"/>
      <c r="CS366" s="55"/>
      <c r="CT366" s="55"/>
      <c r="CU366" s="55"/>
      <c r="CV366" s="55"/>
      <c r="CW366" s="55"/>
      <c r="CX366" s="55"/>
      <c r="CY366" s="55"/>
      <c r="CZ366" s="55"/>
      <c r="DA366" s="55"/>
      <c r="DB366" s="55"/>
      <c r="DC366" s="55"/>
      <c r="DD366" s="55"/>
      <c r="DE366" s="55"/>
      <c r="DF366" s="55"/>
      <c r="DG366" s="55"/>
      <c r="DH366" s="55"/>
      <c r="DI366" s="55"/>
      <c r="DJ366" s="55"/>
      <c r="DK366" s="55"/>
      <c r="DL366" s="55"/>
      <c r="DM366" s="55"/>
      <c r="DN366" s="55"/>
      <c r="DO366" s="55"/>
      <c r="DP366" s="55"/>
      <c r="DQ366" s="55"/>
      <c r="DR366" s="55"/>
      <c r="DS366" s="55"/>
      <c r="DT366" s="55"/>
      <c r="DU366" s="55"/>
      <c r="DV366" s="55"/>
      <c r="DW366" s="55"/>
      <c r="DX366" s="55"/>
      <c r="DY366" s="55"/>
      <c r="DZ366" s="55"/>
      <c r="EA366" s="55"/>
      <c r="EB366" s="55"/>
      <c r="EC366" s="55"/>
      <c r="ED366" s="55"/>
      <c r="EE366" s="55"/>
      <c r="EF366" s="55"/>
      <c r="EG366" s="55"/>
      <c r="EH366" s="55"/>
      <c r="EI366" s="55"/>
      <c r="EJ366" s="55"/>
      <c r="EK366" s="55"/>
      <c r="EL366" s="55"/>
      <c r="EM366" s="55"/>
      <c r="EN366" s="55"/>
      <c r="EO366" s="55"/>
      <c r="EP366" s="55"/>
      <c r="EQ366" s="55"/>
      <c r="ER366" s="55"/>
      <c r="ES366" s="55"/>
    </row>
    <row r="367" spans="1:149" s="22" customFormat="1" ht="22.5" customHeight="1">
      <c r="A367" s="5" t="s">
        <v>7</v>
      </c>
      <c r="B367" s="6"/>
      <c r="C367" s="6"/>
      <c r="D367" s="43"/>
      <c r="E367" s="43"/>
      <c r="F367" s="43"/>
      <c r="G367" s="43"/>
      <c r="H367" s="43"/>
      <c r="I367" s="43"/>
      <c r="J367" s="43"/>
      <c r="K367" s="7"/>
      <c r="L367" s="7"/>
      <c r="M367" s="7"/>
      <c r="N367" s="43"/>
      <c r="O367" s="43"/>
      <c r="P367" s="43"/>
      <c r="Q367" s="55"/>
      <c r="R367" s="55"/>
      <c r="S367" s="55"/>
      <c r="T367" s="55"/>
      <c r="U367" s="55"/>
      <c r="V367" s="55"/>
      <c r="W367" s="55"/>
      <c r="X367" s="55"/>
      <c r="Y367" s="55"/>
      <c r="Z367" s="55"/>
      <c r="AA367" s="55"/>
      <c r="AB367" s="55"/>
      <c r="AC367" s="55"/>
      <c r="AD367" s="55"/>
      <c r="AE367" s="55"/>
      <c r="AF367" s="55"/>
      <c r="AG367" s="55"/>
      <c r="AH367" s="55"/>
      <c r="AI367" s="55"/>
      <c r="AJ367" s="55"/>
      <c r="AK367" s="55"/>
      <c r="AL367" s="55"/>
      <c r="AM367" s="55"/>
      <c r="AN367" s="55"/>
      <c r="AO367" s="55"/>
      <c r="AP367" s="55"/>
      <c r="AQ367" s="55"/>
      <c r="AR367" s="55"/>
      <c r="AS367" s="55"/>
      <c r="AT367" s="55"/>
      <c r="AU367" s="55"/>
      <c r="AV367" s="55"/>
      <c r="AW367" s="55"/>
      <c r="AX367" s="55"/>
      <c r="AY367" s="55"/>
      <c r="AZ367" s="55"/>
      <c r="BA367" s="55"/>
      <c r="BB367" s="55"/>
      <c r="BC367" s="55"/>
      <c r="BD367" s="55"/>
      <c r="BE367" s="55"/>
      <c r="BF367" s="55"/>
      <c r="BG367" s="55"/>
      <c r="BH367" s="55"/>
      <c r="BI367" s="55"/>
      <c r="BJ367" s="55"/>
      <c r="BK367" s="55"/>
      <c r="BL367" s="55"/>
      <c r="BM367" s="55"/>
      <c r="BN367" s="55"/>
      <c r="BO367" s="55"/>
      <c r="BP367" s="55"/>
      <c r="BQ367" s="55"/>
      <c r="BR367" s="55"/>
      <c r="BS367" s="55"/>
      <c r="BT367" s="55"/>
      <c r="BU367" s="55"/>
      <c r="BV367" s="55"/>
      <c r="BW367" s="55"/>
      <c r="BX367" s="55"/>
      <c r="BY367" s="55"/>
      <c r="BZ367" s="55"/>
      <c r="CA367" s="55"/>
      <c r="CB367" s="55"/>
      <c r="CC367" s="55"/>
      <c r="CD367" s="55"/>
      <c r="CE367" s="55"/>
      <c r="CF367" s="55"/>
      <c r="CG367" s="55"/>
      <c r="CH367" s="55"/>
      <c r="CI367" s="55"/>
      <c r="CJ367" s="55"/>
      <c r="CK367" s="55"/>
      <c r="CL367" s="55"/>
      <c r="CM367" s="55"/>
      <c r="CN367" s="55"/>
      <c r="CO367" s="55"/>
      <c r="CP367" s="55"/>
      <c r="CQ367" s="55"/>
      <c r="CR367" s="55"/>
      <c r="CS367" s="55"/>
      <c r="CT367" s="55"/>
      <c r="CU367" s="55"/>
      <c r="CV367" s="55"/>
      <c r="CW367" s="55"/>
      <c r="CX367" s="55"/>
      <c r="CY367" s="55"/>
      <c r="CZ367" s="55"/>
      <c r="DA367" s="55"/>
      <c r="DB367" s="55"/>
      <c r="DC367" s="55"/>
      <c r="DD367" s="55"/>
      <c r="DE367" s="55"/>
      <c r="DF367" s="55"/>
      <c r="DG367" s="55"/>
      <c r="DH367" s="55"/>
      <c r="DI367" s="55"/>
      <c r="DJ367" s="55"/>
      <c r="DK367" s="55"/>
      <c r="DL367" s="55"/>
      <c r="DM367" s="55"/>
      <c r="DN367" s="55"/>
      <c r="DO367" s="55"/>
      <c r="DP367" s="55"/>
      <c r="DQ367" s="55"/>
      <c r="DR367" s="55"/>
      <c r="DS367" s="55"/>
      <c r="DT367" s="55"/>
      <c r="DU367" s="55"/>
      <c r="DV367" s="55"/>
      <c r="DW367" s="55"/>
      <c r="DX367" s="55"/>
      <c r="DY367" s="55"/>
      <c r="DZ367" s="55"/>
      <c r="EA367" s="55"/>
      <c r="EB367" s="55"/>
      <c r="EC367" s="55"/>
      <c r="ED367" s="55"/>
      <c r="EE367" s="55"/>
      <c r="EF367" s="55"/>
      <c r="EG367" s="55"/>
      <c r="EH367" s="55"/>
      <c r="EI367" s="55"/>
      <c r="EJ367" s="55"/>
      <c r="EK367" s="55"/>
      <c r="EL367" s="55"/>
      <c r="EM367" s="55"/>
      <c r="EN367" s="55"/>
      <c r="EO367" s="55"/>
      <c r="EP367" s="55"/>
      <c r="EQ367" s="55"/>
      <c r="ER367" s="55"/>
      <c r="ES367" s="55"/>
    </row>
    <row r="368" spans="1:149" s="22" customFormat="1" ht="22.5" customHeight="1">
      <c r="A368" s="8" t="s">
        <v>396</v>
      </c>
      <c r="B368" s="6"/>
      <c r="C368" s="6"/>
      <c r="D368" s="43"/>
      <c r="E368" s="43"/>
      <c r="F368" s="43"/>
      <c r="G368" s="43">
        <v>50</v>
      </c>
      <c r="H368" s="43"/>
      <c r="I368" s="43"/>
      <c r="J368" s="43">
        <f>G368</f>
        <v>50</v>
      </c>
      <c r="K368" s="7"/>
      <c r="L368" s="7"/>
      <c r="M368" s="7"/>
      <c r="N368" s="43"/>
      <c r="O368" s="43"/>
      <c r="P368" s="43"/>
      <c r="Q368" s="55"/>
      <c r="R368" s="55"/>
      <c r="S368" s="55"/>
      <c r="T368" s="55"/>
      <c r="U368" s="55"/>
      <c r="V368" s="55"/>
      <c r="W368" s="55"/>
      <c r="X368" s="55"/>
      <c r="Y368" s="55"/>
      <c r="Z368" s="55"/>
      <c r="AA368" s="55"/>
      <c r="AB368" s="55"/>
      <c r="AC368" s="55"/>
      <c r="AD368" s="55"/>
      <c r="AE368" s="55"/>
      <c r="AF368" s="55"/>
      <c r="AG368" s="55"/>
      <c r="AH368" s="55"/>
      <c r="AI368" s="55"/>
      <c r="AJ368" s="55"/>
      <c r="AK368" s="55"/>
      <c r="AL368" s="55"/>
      <c r="AM368" s="55"/>
      <c r="AN368" s="55"/>
      <c r="AO368" s="55"/>
      <c r="AP368" s="55"/>
      <c r="AQ368" s="55"/>
      <c r="AR368" s="55"/>
      <c r="AS368" s="55"/>
      <c r="AT368" s="55"/>
      <c r="AU368" s="55"/>
      <c r="AV368" s="55"/>
      <c r="AW368" s="55"/>
      <c r="AX368" s="55"/>
      <c r="AY368" s="55"/>
      <c r="AZ368" s="55"/>
      <c r="BA368" s="55"/>
      <c r="BB368" s="55"/>
      <c r="BC368" s="55"/>
      <c r="BD368" s="55"/>
      <c r="BE368" s="55"/>
      <c r="BF368" s="55"/>
      <c r="BG368" s="55"/>
      <c r="BH368" s="55"/>
      <c r="BI368" s="55"/>
      <c r="BJ368" s="55"/>
      <c r="BK368" s="55"/>
      <c r="BL368" s="55"/>
      <c r="BM368" s="55"/>
      <c r="BN368" s="55"/>
      <c r="BO368" s="55"/>
      <c r="BP368" s="55"/>
      <c r="BQ368" s="55"/>
      <c r="BR368" s="55"/>
      <c r="BS368" s="55"/>
      <c r="BT368" s="55"/>
      <c r="BU368" s="55"/>
      <c r="BV368" s="55"/>
      <c r="BW368" s="55"/>
      <c r="BX368" s="55"/>
      <c r="BY368" s="55"/>
      <c r="BZ368" s="55"/>
      <c r="CA368" s="55"/>
      <c r="CB368" s="55"/>
      <c r="CC368" s="55"/>
      <c r="CD368" s="55"/>
      <c r="CE368" s="55"/>
      <c r="CF368" s="55"/>
      <c r="CG368" s="55"/>
      <c r="CH368" s="55"/>
      <c r="CI368" s="55"/>
      <c r="CJ368" s="55"/>
      <c r="CK368" s="55"/>
      <c r="CL368" s="55"/>
      <c r="CM368" s="55"/>
      <c r="CN368" s="55"/>
      <c r="CO368" s="55"/>
      <c r="CP368" s="55"/>
      <c r="CQ368" s="55"/>
      <c r="CR368" s="55"/>
      <c r="CS368" s="55"/>
      <c r="CT368" s="55"/>
      <c r="CU368" s="55"/>
      <c r="CV368" s="55"/>
      <c r="CW368" s="55"/>
      <c r="CX368" s="55"/>
      <c r="CY368" s="55"/>
      <c r="CZ368" s="55"/>
      <c r="DA368" s="55"/>
      <c r="DB368" s="55"/>
      <c r="DC368" s="55"/>
      <c r="DD368" s="55"/>
      <c r="DE368" s="55"/>
      <c r="DF368" s="55"/>
      <c r="DG368" s="55"/>
      <c r="DH368" s="55"/>
      <c r="DI368" s="55"/>
      <c r="DJ368" s="55"/>
      <c r="DK368" s="55"/>
      <c r="DL368" s="55"/>
      <c r="DM368" s="55"/>
      <c r="DN368" s="55"/>
      <c r="DO368" s="55"/>
      <c r="DP368" s="55"/>
      <c r="DQ368" s="55"/>
      <c r="DR368" s="55"/>
      <c r="DS368" s="55"/>
      <c r="DT368" s="55"/>
      <c r="DU368" s="55"/>
      <c r="DV368" s="55"/>
      <c r="DW368" s="55"/>
      <c r="DX368" s="55"/>
      <c r="DY368" s="55"/>
      <c r="DZ368" s="55"/>
      <c r="EA368" s="55"/>
      <c r="EB368" s="55"/>
      <c r="EC368" s="55"/>
      <c r="ED368" s="55"/>
      <c r="EE368" s="55"/>
      <c r="EF368" s="55"/>
      <c r="EG368" s="55"/>
      <c r="EH368" s="55"/>
      <c r="EI368" s="55"/>
      <c r="EJ368" s="55"/>
      <c r="EK368" s="55"/>
      <c r="EL368" s="55"/>
      <c r="EM368" s="55"/>
      <c r="EN368" s="55"/>
      <c r="EO368" s="55"/>
      <c r="EP368" s="55"/>
      <c r="EQ368" s="55"/>
      <c r="ER368" s="55"/>
      <c r="ES368" s="55"/>
    </row>
    <row r="369" spans="1:149" s="22" customFormat="1" ht="16.5" customHeight="1">
      <c r="A369" s="53" t="s">
        <v>6</v>
      </c>
      <c r="B369" s="6"/>
      <c r="C369" s="6"/>
      <c r="D369" s="43"/>
      <c r="E369" s="43"/>
      <c r="F369" s="43"/>
      <c r="G369" s="43"/>
      <c r="H369" s="43"/>
      <c r="I369" s="43"/>
      <c r="J369" s="43"/>
      <c r="K369" s="7"/>
      <c r="L369" s="7"/>
      <c r="M369" s="7"/>
      <c r="N369" s="43"/>
      <c r="O369" s="43"/>
      <c r="P369" s="43"/>
      <c r="Q369" s="55"/>
      <c r="R369" s="55"/>
      <c r="S369" s="55"/>
      <c r="T369" s="55"/>
      <c r="U369" s="55"/>
      <c r="V369" s="55"/>
      <c r="W369" s="55"/>
      <c r="X369" s="55"/>
      <c r="Y369" s="55"/>
      <c r="Z369" s="55"/>
      <c r="AA369" s="55"/>
      <c r="AB369" s="55"/>
      <c r="AC369" s="55"/>
      <c r="AD369" s="55"/>
      <c r="AE369" s="55"/>
      <c r="AF369" s="55"/>
      <c r="AG369" s="55"/>
      <c r="AH369" s="55"/>
      <c r="AI369" s="55"/>
      <c r="AJ369" s="55"/>
      <c r="AK369" s="55"/>
      <c r="AL369" s="55"/>
      <c r="AM369" s="55"/>
      <c r="AN369" s="55"/>
      <c r="AO369" s="55"/>
      <c r="AP369" s="55"/>
      <c r="AQ369" s="55"/>
      <c r="AR369" s="55"/>
      <c r="AS369" s="55"/>
      <c r="AT369" s="55"/>
      <c r="AU369" s="55"/>
      <c r="AV369" s="55"/>
      <c r="AW369" s="55"/>
      <c r="AX369" s="55"/>
      <c r="AY369" s="55"/>
      <c r="AZ369" s="55"/>
      <c r="BA369" s="55"/>
      <c r="BB369" s="55"/>
      <c r="BC369" s="55"/>
      <c r="BD369" s="55"/>
      <c r="BE369" s="55"/>
      <c r="BF369" s="55"/>
      <c r="BG369" s="55"/>
      <c r="BH369" s="55"/>
      <c r="BI369" s="55"/>
      <c r="BJ369" s="55"/>
      <c r="BK369" s="55"/>
      <c r="BL369" s="55"/>
      <c r="BM369" s="55"/>
      <c r="BN369" s="55"/>
      <c r="BO369" s="55"/>
      <c r="BP369" s="55"/>
      <c r="BQ369" s="55"/>
      <c r="BR369" s="55"/>
      <c r="BS369" s="55"/>
      <c r="BT369" s="55"/>
      <c r="BU369" s="55"/>
      <c r="BV369" s="55"/>
      <c r="BW369" s="55"/>
      <c r="BX369" s="55"/>
      <c r="BY369" s="55"/>
      <c r="BZ369" s="55"/>
      <c r="CA369" s="55"/>
      <c r="CB369" s="55"/>
      <c r="CC369" s="55"/>
      <c r="CD369" s="55"/>
      <c r="CE369" s="55"/>
      <c r="CF369" s="55"/>
      <c r="CG369" s="55"/>
      <c r="CH369" s="55"/>
      <c r="CI369" s="55"/>
      <c r="CJ369" s="55"/>
      <c r="CK369" s="55"/>
      <c r="CL369" s="55"/>
      <c r="CM369" s="55"/>
      <c r="CN369" s="55"/>
      <c r="CO369" s="55"/>
      <c r="CP369" s="55"/>
      <c r="CQ369" s="55"/>
      <c r="CR369" s="55"/>
      <c r="CS369" s="55"/>
      <c r="CT369" s="55"/>
      <c r="CU369" s="55"/>
      <c r="CV369" s="55"/>
      <c r="CW369" s="55"/>
      <c r="CX369" s="55"/>
      <c r="CY369" s="55"/>
      <c r="CZ369" s="55"/>
      <c r="DA369" s="55"/>
      <c r="DB369" s="55"/>
      <c r="DC369" s="55"/>
      <c r="DD369" s="55"/>
      <c r="DE369" s="55"/>
      <c r="DF369" s="55"/>
      <c r="DG369" s="55"/>
      <c r="DH369" s="55"/>
      <c r="DI369" s="55"/>
      <c r="DJ369" s="55"/>
      <c r="DK369" s="55"/>
      <c r="DL369" s="55"/>
      <c r="DM369" s="55"/>
      <c r="DN369" s="55"/>
      <c r="DO369" s="55"/>
      <c r="DP369" s="55"/>
      <c r="DQ369" s="55"/>
      <c r="DR369" s="55"/>
      <c r="DS369" s="55"/>
      <c r="DT369" s="55"/>
      <c r="DU369" s="55"/>
      <c r="DV369" s="55"/>
      <c r="DW369" s="55"/>
      <c r="DX369" s="55"/>
      <c r="DY369" s="55"/>
      <c r="DZ369" s="55"/>
      <c r="EA369" s="55"/>
      <c r="EB369" s="55"/>
      <c r="EC369" s="55"/>
      <c r="ED369" s="55"/>
      <c r="EE369" s="55"/>
      <c r="EF369" s="55"/>
      <c r="EG369" s="55"/>
      <c r="EH369" s="55"/>
      <c r="EI369" s="55"/>
      <c r="EJ369" s="55"/>
      <c r="EK369" s="55"/>
      <c r="EL369" s="55"/>
      <c r="EM369" s="55"/>
      <c r="EN369" s="55"/>
      <c r="EO369" s="55"/>
      <c r="EP369" s="55"/>
      <c r="EQ369" s="55"/>
      <c r="ER369" s="55"/>
      <c r="ES369" s="55"/>
    </row>
    <row r="370" spans="1:149" s="22" customFormat="1" ht="22.5" customHeight="1">
      <c r="A370" s="8" t="s">
        <v>130</v>
      </c>
      <c r="B370" s="6"/>
      <c r="C370" s="6"/>
      <c r="D370" s="43"/>
      <c r="E370" s="43"/>
      <c r="F370" s="43"/>
      <c r="G370" s="43"/>
      <c r="H370" s="43"/>
      <c r="I370" s="43"/>
      <c r="J370" s="43"/>
      <c r="K370" s="7"/>
      <c r="L370" s="7"/>
      <c r="M370" s="7"/>
      <c r="N370" s="43"/>
      <c r="O370" s="43"/>
      <c r="P370" s="43"/>
      <c r="Q370" s="55"/>
      <c r="R370" s="55"/>
      <c r="S370" s="55"/>
      <c r="T370" s="55"/>
      <c r="U370" s="55"/>
      <c r="V370" s="55"/>
      <c r="W370" s="55"/>
      <c r="X370" s="55"/>
      <c r="Y370" s="55"/>
      <c r="Z370" s="55"/>
      <c r="AA370" s="55"/>
      <c r="AB370" s="55"/>
      <c r="AC370" s="55"/>
      <c r="AD370" s="55"/>
      <c r="AE370" s="55"/>
      <c r="AF370" s="55"/>
      <c r="AG370" s="55"/>
      <c r="AH370" s="55"/>
      <c r="AI370" s="55"/>
      <c r="AJ370" s="55"/>
      <c r="AK370" s="55"/>
      <c r="AL370" s="55"/>
      <c r="AM370" s="55"/>
      <c r="AN370" s="55"/>
      <c r="AO370" s="55"/>
      <c r="AP370" s="55"/>
      <c r="AQ370" s="55"/>
      <c r="AR370" s="55"/>
      <c r="AS370" s="55"/>
      <c r="AT370" s="55"/>
      <c r="AU370" s="55"/>
      <c r="AV370" s="55"/>
      <c r="AW370" s="55"/>
      <c r="AX370" s="55"/>
      <c r="AY370" s="55"/>
      <c r="AZ370" s="55"/>
      <c r="BA370" s="55"/>
      <c r="BB370" s="55"/>
      <c r="BC370" s="55"/>
      <c r="BD370" s="55"/>
      <c r="BE370" s="55"/>
      <c r="BF370" s="55"/>
      <c r="BG370" s="55"/>
      <c r="BH370" s="55"/>
      <c r="BI370" s="55"/>
      <c r="BJ370" s="55"/>
      <c r="BK370" s="55"/>
      <c r="BL370" s="55"/>
      <c r="BM370" s="55"/>
      <c r="BN370" s="55"/>
      <c r="BO370" s="55"/>
      <c r="BP370" s="55"/>
      <c r="BQ370" s="55"/>
      <c r="BR370" s="55"/>
      <c r="BS370" s="55"/>
      <c r="BT370" s="55"/>
      <c r="BU370" s="55"/>
      <c r="BV370" s="55"/>
      <c r="BW370" s="55"/>
      <c r="BX370" s="55"/>
      <c r="BY370" s="55"/>
      <c r="BZ370" s="55"/>
      <c r="CA370" s="55"/>
      <c r="CB370" s="55"/>
      <c r="CC370" s="55"/>
      <c r="CD370" s="55"/>
      <c r="CE370" s="55"/>
      <c r="CF370" s="55"/>
      <c r="CG370" s="55"/>
      <c r="CH370" s="55"/>
      <c r="CI370" s="55"/>
      <c r="CJ370" s="55"/>
      <c r="CK370" s="55"/>
      <c r="CL370" s="55"/>
      <c r="CM370" s="55"/>
      <c r="CN370" s="55"/>
      <c r="CO370" s="55"/>
      <c r="CP370" s="55"/>
      <c r="CQ370" s="55"/>
      <c r="CR370" s="55"/>
      <c r="CS370" s="55"/>
      <c r="CT370" s="55"/>
      <c r="CU370" s="55"/>
      <c r="CV370" s="55"/>
      <c r="CW370" s="55"/>
      <c r="CX370" s="55"/>
      <c r="CY370" s="55"/>
      <c r="CZ370" s="55"/>
      <c r="DA370" s="55"/>
      <c r="DB370" s="55"/>
      <c r="DC370" s="55"/>
      <c r="DD370" s="55"/>
      <c r="DE370" s="55"/>
      <c r="DF370" s="55"/>
      <c r="DG370" s="55"/>
      <c r="DH370" s="55"/>
      <c r="DI370" s="55"/>
      <c r="DJ370" s="55"/>
      <c r="DK370" s="55"/>
      <c r="DL370" s="55"/>
      <c r="DM370" s="55"/>
      <c r="DN370" s="55"/>
      <c r="DO370" s="55"/>
      <c r="DP370" s="55"/>
      <c r="DQ370" s="55"/>
      <c r="DR370" s="55"/>
      <c r="DS370" s="55"/>
      <c r="DT370" s="55"/>
      <c r="DU370" s="55"/>
      <c r="DV370" s="55"/>
      <c r="DW370" s="55"/>
      <c r="DX370" s="55"/>
      <c r="DY370" s="55"/>
      <c r="DZ370" s="55"/>
      <c r="EA370" s="55"/>
      <c r="EB370" s="55"/>
      <c r="EC370" s="55"/>
      <c r="ED370" s="55"/>
      <c r="EE370" s="55"/>
      <c r="EF370" s="55"/>
      <c r="EG370" s="55"/>
      <c r="EH370" s="55"/>
      <c r="EI370" s="55"/>
      <c r="EJ370" s="55"/>
      <c r="EK370" s="55"/>
      <c r="EL370" s="55"/>
      <c r="EM370" s="55"/>
      <c r="EN370" s="55"/>
      <c r="EO370" s="55"/>
      <c r="EP370" s="55"/>
      <c r="EQ370" s="55"/>
      <c r="ER370" s="55"/>
      <c r="ES370" s="55"/>
    </row>
    <row r="371" spans="1:149" s="22" customFormat="1" ht="24" customHeight="1">
      <c r="A371" s="36" t="s">
        <v>300</v>
      </c>
      <c r="B371" s="20"/>
      <c r="C371" s="20"/>
      <c r="D371" s="56">
        <f>D373+D383</f>
        <v>312380.003</v>
      </c>
      <c r="E371" s="56"/>
      <c r="F371" s="56">
        <f>F373+F383</f>
        <v>312380.003</v>
      </c>
      <c r="G371" s="56">
        <f>G373+G383</f>
        <v>343775</v>
      </c>
      <c r="H371" s="56"/>
      <c r="I371" s="56"/>
      <c r="J371" s="56">
        <f>J373+J383</f>
        <v>343775</v>
      </c>
      <c r="K371" s="56"/>
      <c r="L371" s="56"/>
      <c r="M371" s="56"/>
      <c r="N371" s="56">
        <f>N373+N383</f>
        <v>352520</v>
      </c>
      <c r="O371" s="56"/>
      <c r="P371" s="56">
        <f>P373+P383</f>
        <v>352520</v>
      </c>
      <c r="Q371" s="55"/>
      <c r="R371" s="55"/>
      <c r="S371" s="55"/>
      <c r="T371" s="55"/>
      <c r="U371" s="55"/>
      <c r="V371" s="55"/>
      <c r="W371" s="55"/>
      <c r="X371" s="55"/>
      <c r="Y371" s="55"/>
      <c r="Z371" s="55"/>
      <c r="AA371" s="55"/>
      <c r="AB371" s="55"/>
      <c r="AC371" s="55"/>
      <c r="AD371" s="55"/>
      <c r="AE371" s="55"/>
      <c r="AF371" s="55"/>
      <c r="AG371" s="55"/>
      <c r="AH371" s="55"/>
      <c r="AI371" s="55"/>
      <c r="AJ371" s="55"/>
      <c r="AK371" s="55"/>
      <c r="AL371" s="55"/>
      <c r="AM371" s="55"/>
      <c r="AN371" s="55"/>
      <c r="AO371" s="55"/>
      <c r="AP371" s="55"/>
      <c r="AQ371" s="55"/>
      <c r="AR371" s="55"/>
      <c r="AS371" s="55"/>
      <c r="AT371" s="55"/>
      <c r="AU371" s="55"/>
      <c r="AV371" s="55"/>
      <c r="AW371" s="55"/>
      <c r="AX371" s="55"/>
      <c r="AY371" s="55"/>
      <c r="AZ371" s="55"/>
      <c r="BA371" s="55"/>
      <c r="BB371" s="55"/>
      <c r="BC371" s="55"/>
      <c r="BD371" s="55"/>
      <c r="BE371" s="55"/>
      <c r="BF371" s="55"/>
      <c r="BG371" s="55"/>
      <c r="BH371" s="55"/>
      <c r="BI371" s="55"/>
      <c r="BJ371" s="55"/>
      <c r="BK371" s="55"/>
      <c r="BL371" s="55"/>
      <c r="BM371" s="55"/>
      <c r="BN371" s="55"/>
      <c r="BO371" s="55"/>
      <c r="BP371" s="55"/>
      <c r="BQ371" s="55"/>
      <c r="BR371" s="55"/>
      <c r="BS371" s="55"/>
      <c r="BT371" s="55"/>
      <c r="BU371" s="55"/>
      <c r="BV371" s="55"/>
      <c r="BW371" s="55"/>
      <c r="BX371" s="55"/>
      <c r="BY371" s="55"/>
      <c r="BZ371" s="55"/>
      <c r="CA371" s="55"/>
      <c r="CB371" s="55"/>
      <c r="CC371" s="55"/>
      <c r="CD371" s="55"/>
      <c r="CE371" s="55"/>
      <c r="CF371" s="55"/>
      <c r="CG371" s="55"/>
      <c r="CH371" s="55"/>
      <c r="CI371" s="55"/>
      <c r="CJ371" s="55"/>
      <c r="CK371" s="55"/>
      <c r="CL371" s="55"/>
      <c r="CM371" s="55"/>
      <c r="CN371" s="55"/>
      <c r="CO371" s="55"/>
      <c r="CP371" s="55"/>
      <c r="CQ371" s="55"/>
      <c r="CR371" s="55"/>
      <c r="CS371" s="55"/>
      <c r="CT371" s="55"/>
      <c r="CU371" s="55"/>
      <c r="CV371" s="55"/>
      <c r="CW371" s="55"/>
      <c r="CX371" s="55"/>
      <c r="CY371" s="55"/>
      <c r="CZ371" s="55"/>
      <c r="DA371" s="55"/>
      <c r="DB371" s="55"/>
      <c r="DC371" s="55"/>
      <c r="DD371" s="55"/>
      <c r="DE371" s="55"/>
      <c r="DF371" s="55"/>
      <c r="DG371" s="55"/>
      <c r="DH371" s="55"/>
      <c r="DI371" s="55"/>
      <c r="DJ371" s="55"/>
      <c r="DK371" s="55"/>
      <c r="DL371" s="55"/>
      <c r="DM371" s="55"/>
      <c r="DN371" s="55"/>
      <c r="DO371" s="55"/>
      <c r="DP371" s="55"/>
      <c r="DQ371" s="55"/>
      <c r="DR371" s="55"/>
      <c r="DS371" s="55"/>
      <c r="DT371" s="55"/>
      <c r="DU371" s="55"/>
      <c r="DV371" s="55"/>
      <c r="DW371" s="55"/>
      <c r="DX371" s="55"/>
      <c r="DY371" s="55"/>
      <c r="DZ371" s="55"/>
      <c r="EA371" s="55"/>
      <c r="EB371" s="55"/>
      <c r="EC371" s="55"/>
      <c r="ED371" s="55"/>
      <c r="EE371" s="55"/>
      <c r="EF371" s="55"/>
      <c r="EG371" s="55"/>
      <c r="EH371" s="55"/>
      <c r="EI371" s="55"/>
      <c r="EJ371" s="55"/>
      <c r="EK371" s="55"/>
      <c r="EL371" s="55"/>
      <c r="EM371" s="55"/>
      <c r="EN371" s="55"/>
      <c r="EO371" s="55"/>
      <c r="EP371" s="55"/>
      <c r="EQ371" s="55"/>
      <c r="ER371" s="55"/>
      <c r="ES371" s="55"/>
    </row>
    <row r="372" spans="1:149" s="22" customFormat="1" ht="24" customHeight="1">
      <c r="A372" s="8" t="s">
        <v>277</v>
      </c>
      <c r="B372" s="20"/>
      <c r="C372" s="20"/>
      <c r="D372" s="43"/>
      <c r="E372" s="43"/>
      <c r="F372" s="43"/>
      <c r="G372" s="43"/>
      <c r="H372" s="43"/>
      <c r="I372" s="43"/>
      <c r="J372" s="43"/>
      <c r="K372" s="43"/>
      <c r="L372" s="43"/>
      <c r="M372" s="43"/>
      <c r="N372" s="43"/>
      <c r="O372" s="43"/>
      <c r="P372" s="43"/>
      <c r="Q372" s="55"/>
      <c r="R372" s="55"/>
      <c r="S372" s="55"/>
      <c r="T372" s="55"/>
      <c r="U372" s="55"/>
      <c r="V372" s="55"/>
      <c r="W372" s="55"/>
      <c r="X372" s="55"/>
      <c r="Y372" s="55"/>
      <c r="Z372" s="55"/>
      <c r="AA372" s="55"/>
      <c r="AB372" s="55"/>
      <c r="AC372" s="55"/>
      <c r="AD372" s="55"/>
      <c r="AE372" s="55"/>
      <c r="AF372" s="55"/>
      <c r="AG372" s="55"/>
      <c r="AH372" s="55"/>
      <c r="AI372" s="55"/>
      <c r="AJ372" s="55"/>
      <c r="AK372" s="55"/>
      <c r="AL372" s="55"/>
      <c r="AM372" s="55"/>
      <c r="AN372" s="55"/>
      <c r="AO372" s="55"/>
      <c r="AP372" s="55"/>
      <c r="AQ372" s="55"/>
      <c r="AR372" s="55"/>
      <c r="AS372" s="55"/>
      <c r="AT372" s="55"/>
      <c r="AU372" s="55"/>
      <c r="AV372" s="55"/>
      <c r="AW372" s="55"/>
      <c r="AX372" s="55"/>
      <c r="AY372" s="55"/>
      <c r="AZ372" s="55"/>
      <c r="BA372" s="55"/>
      <c r="BB372" s="55"/>
      <c r="BC372" s="55"/>
      <c r="BD372" s="55"/>
      <c r="BE372" s="55"/>
      <c r="BF372" s="55"/>
      <c r="BG372" s="55"/>
      <c r="BH372" s="55"/>
      <c r="BI372" s="55"/>
      <c r="BJ372" s="55"/>
      <c r="BK372" s="55"/>
      <c r="BL372" s="55"/>
      <c r="BM372" s="55"/>
      <c r="BN372" s="55"/>
      <c r="BO372" s="55"/>
      <c r="BP372" s="55"/>
      <c r="BQ372" s="55"/>
      <c r="BR372" s="55"/>
      <c r="BS372" s="55"/>
      <c r="BT372" s="55"/>
      <c r="BU372" s="55"/>
      <c r="BV372" s="55"/>
      <c r="BW372" s="55"/>
      <c r="BX372" s="55"/>
      <c r="BY372" s="55"/>
      <c r="BZ372" s="55"/>
      <c r="CA372" s="55"/>
      <c r="CB372" s="55"/>
      <c r="CC372" s="55"/>
      <c r="CD372" s="55"/>
      <c r="CE372" s="55"/>
      <c r="CF372" s="55"/>
      <c r="CG372" s="55"/>
      <c r="CH372" s="55"/>
      <c r="CI372" s="55"/>
      <c r="CJ372" s="55"/>
      <c r="CK372" s="55"/>
      <c r="CL372" s="55"/>
      <c r="CM372" s="55"/>
      <c r="CN372" s="55"/>
      <c r="CO372" s="55"/>
      <c r="CP372" s="55"/>
      <c r="CQ372" s="55"/>
      <c r="CR372" s="55"/>
      <c r="CS372" s="55"/>
      <c r="CT372" s="55"/>
      <c r="CU372" s="55"/>
      <c r="CV372" s="55"/>
      <c r="CW372" s="55"/>
      <c r="CX372" s="55"/>
      <c r="CY372" s="55"/>
      <c r="CZ372" s="55"/>
      <c r="DA372" s="55"/>
      <c r="DB372" s="55"/>
      <c r="DC372" s="55"/>
      <c r="DD372" s="55"/>
      <c r="DE372" s="55"/>
      <c r="DF372" s="55"/>
      <c r="DG372" s="55"/>
      <c r="DH372" s="55"/>
      <c r="DI372" s="55"/>
      <c r="DJ372" s="55"/>
      <c r="DK372" s="55"/>
      <c r="DL372" s="55"/>
      <c r="DM372" s="55"/>
      <c r="DN372" s="55"/>
      <c r="DO372" s="55"/>
      <c r="DP372" s="55"/>
      <c r="DQ372" s="55"/>
      <c r="DR372" s="55"/>
      <c r="DS372" s="55"/>
      <c r="DT372" s="55"/>
      <c r="DU372" s="55"/>
      <c r="DV372" s="55"/>
      <c r="DW372" s="55"/>
      <c r="DX372" s="55"/>
      <c r="DY372" s="55"/>
      <c r="DZ372" s="55"/>
      <c r="EA372" s="55"/>
      <c r="EB372" s="55"/>
      <c r="EC372" s="55"/>
      <c r="ED372" s="55"/>
      <c r="EE372" s="55"/>
      <c r="EF372" s="55"/>
      <c r="EG372" s="55"/>
      <c r="EH372" s="55"/>
      <c r="EI372" s="55"/>
      <c r="EJ372" s="55"/>
      <c r="EK372" s="55"/>
      <c r="EL372" s="55"/>
      <c r="EM372" s="55"/>
      <c r="EN372" s="55"/>
      <c r="EO372" s="55"/>
      <c r="EP372" s="55"/>
      <c r="EQ372" s="55"/>
      <c r="ER372" s="55"/>
      <c r="ES372" s="55"/>
    </row>
    <row r="373" spans="1:149" s="59" customFormat="1" ht="44.25" customHeight="1">
      <c r="A373" s="57" t="s">
        <v>401</v>
      </c>
      <c r="B373" s="57"/>
      <c r="C373" s="57"/>
      <c r="D373" s="44">
        <f>D375+D376</f>
        <v>209000.003</v>
      </c>
      <c r="E373" s="44"/>
      <c r="F373" s="44">
        <f>F375+F376</f>
        <v>209000.003</v>
      </c>
      <c r="G373" s="44">
        <f>G375+G376</f>
        <v>224075</v>
      </c>
      <c r="H373" s="44"/>
      <c r="I373" s="44"/>
      <c r="J373" s="44">
        <f>J375+J376</f>
        <v>224075</v>
      </c>
      <c r="K373" s="44"/>
      <c r="L373" s="44"/>
      <c r="M373" s="44"/>
      <c r="N373" s="44">
        <f>N375+N376</f>
        <v>237530</v>
      </c>
      <c r="O373" s="44"/>
      <c r="P373" s="44">
        <f>P375+P376</f>
        <v>237530</v>
      </c>
      <c r="Q373" s="58"/>
      <c r="R373" s="58"/>
      <c r="S373" s="58"/>
      <c r="T373" s="58"/>
      <c r="U373" s="58"/>
      <c r="V373" s="58"/>
      <c r="W373" s="58"/>
      <c r="X373" s="58"/>
      <c r="Y373" s="58"/>
      <c r="Z373" s="58"/>
      <c r="AA373" s="58"/>
      <c r="AB373" s="58"/>
      <c r="AC373" s="58"/>
      <c r="AD373" s="58"/>
      <c r="AE373" s="58"/>
      <c r="AF373" s="58"/>
      <c r="AG373" s="58"/>
      <c r="AH373" s="58"/>
      <c r="AI373" s="58"/>
      <c r="AJ373" s="58"/>
      <c r="AK373" s="58"/>
      <c r="AL373" s="58"/>
      <c r="AM373" s="58"/>
      <c r="AN373" s="58"/>
      <c r="AO373" s="58"/>
      <c r="AP373" s="58"/>
      <c r="AQ373" s="58"/>
      <c r="AR373" s="58"/>
      <c r="AS373" s="58"/>
      <c r="AT373" s="58"/>
      <c r="AU373" s="58"/>
      <c r="AV373" s="58"/>
      <c r="AW373" s="58"/>
      <c r="AX373" s="58"/>
      <c r="AY373" s="58"/>
      <c r="AZ373" s="58"/>
      <c r="BA373" s="58"/>
      <c r="BB373" s="58"/>
      <c r="BC373" s="58"/>
      <c r="BD373" s="58"/>
      <c r="BE373" s="58"/>
      <c r="BF373" s="58"/>
      <c r="BG373" s="58"/>
      <c r="BH373" s="58"/>
      <c r="BI373" s="58"/>
      <c r="BJ373" s="58"/>
      <c r="BK373" s="58"/>
      <c r="BL373" s="58"/>
      <c r="BM373" s="58"/>
      <c r="BN373" s="58"/>
      <c r="BO373" s="58"/>
      <c r="BP373" s="58"/>
      <c r="BQ373" s="58"/>
      <c r="BR373" s="58"/>
      <c r="BS373" s="58"/>
      <c r="BT373" s="58"/>
      <c r="BU373" s="58"/>
      <c r="BV373" s="58"/>
      <c r="BW373" s="58"/>
      <c r="BX373" s="58"/>
      <c r="BY373" s="58"/>
      <c r="BZ373" s="58"/>
      <c r="CA373" s="58"/>
      <c r="CB373" s="58"/>
      <c r="CC373" s="58"/>
      <c r="CD373" s="58"/>
      <c r="CE373" s="58"/>
      <c r="CF373" s="58"/>
      <c r="CG373" s="58"/>
      <c r="CH373" s="58"/>
      <c r="CI373" s="58"/>
      <c r="CJ373" s="58"/>
      <c r="CK373" s="58"/>
      <c r="CL373" s="58"/>
      <c r="CM373" s="58"/>
      <c r="CN373" s="58"/>
      <c r="CO373" s="58"/>
      <c r="CP373" s="58"/>
      <c r="CQ373" s="58"/>
      <c r="CR373" s="58"/>
      <c r="CS373" s="58"/>
      <c r="CT373" s="58"/>
      <c r="CU373" s="58"/>
      <c r="CV373" s="58"/>
      <c r="CW373" s="58"/>
      <c r="CX373" s="58"/>
      <c r="CY373" s="58"/>
      <c r="CZ373" s="58"/>
      <c r="DA373" s="58"/>
      <c r="DB373" s="58"/>
      <c r="DC373" s="58"/>
      <c r="DD373" s="58"/>
      <c r="DE373" s="58"/>
      <c r="DF373" s="58"/>
      <c r="DG373" s="58"/>
      <c r="DH373" s="58"/>
      <c r="DI373" s="58"/>
      <c r="DJ373" s="58"/>
      <c r="DK373" s="58"/>
      <c r="DL373" s="58"/>
      <c r="DM373" s="58"/>
      <c r="DN373" s="58"/>
      <c r="DO373" s="58"/>
      <c r="DP373" s="58"/>
      <c r="DQ373" s="58"/>
      <c r="DR373" s="58"/>
      <c r="DS373" s="58"/>
      <c r="DT373" s="58"/>
      <c r="DU373" s="58"/>
      <c r="DV373" s="58"/>
      <c r="DW373" s="58"/>
      <c r="DX373" s="58"/>
      <c r="DY373" s="58"/>
      <c r="DZ373" s="58"/>
      <c r="EA373" s="58"/>
      <c r="EB373" s="58"/>
      <c r="EC373" s="58"/>
      <c r="ED373" s="58"/>
      <c r="EE373" s="58"/>
      <c r="EF373" s="58"/>
      <c r="EG373" s="58"/>
      <c r="EH373" s="58"/>
      <c r="EI373" s="58"/>
      <c r="EJ373" s="58"/>
      <c r="EK373" s="58"/>
      <c r="EL373" s="58"/>
      <c r="EM373" s="58"/>
      <c r="EN373" s="58"/>
      <c r="EO373" s="58"/>
      <c r="EP373" s="58"/>
      <c r="EQ373" s="58"/>
      <c r="ER373" s="58"/>
      <c r="ES373" s="58"/>
    </row>
    <row r="374" spans="1:16" ht="11.25">
      <c r="A374" s="60" t="s">
        <v>4</v>
      </c>
      <c r="B374" s="60"/>
      <c r="C374" s="60"/>
      <c r="D374" s="61"/>
      <c r="E374" s="61"/>
      <c r="F374" s="61"/>
      <c r="G374" s="61"/>
      <c r="H374" s="61"/>
      <c r="I374" s="61"/>
      <c r="J374" s="61"/>
      <c r="K374" s="62"/>
      <c r="L374" s="61"/>
      <c r="M374" s="61"/>
      <c r="N374" s="61"/>
      <c r="O374" s="61"/>
      <c r="P374" s="61"/>
    </row>
    <row r="375" spans="1:16" ht="33.75">
      <c r="A375" s="11" t="s">
        <v>389</v>
      </c>
      <c r="B375" s="11"/>
      <c r="C375" s="11"/>
      <c r="D375" s="42">
        <f>D378*D381</f>
        <v>132000.003</v>
      </c>
      <c r="E375" s="42"/>
      <c r="F375" s="42">
        <f>F378*F381</f>
        <v>132000.003</v>
      </c>
      <c r="G375" s="42">
        <f>G378*G381</f>
        <v>141525</v>
      </c>
      <c r="H375" s="42"/>
      <c r="I375" s="42"/>
      <c r="J375" s="42">
        <f>J378*J381</f>
        <v>141525</v>
      </c>
      <c r="K375" s="42">
        <f>G375/D375*100</f>
        <v>107.21590665418394</v>
      </c>
      <c r="L375" s="42"/>
      <c r="M375" s="42"/>
      <c r="N375" s="42">
        <f>N378*N381</f>
        <v>150030</v>
      </c>
      <c r="O375" s="42"/>
      <c r="P375" s="42">
        <f>P378*P381</f>
        <v>150030</v>
      </c>
    </row>
    <row r="376" spans="1:16" ht="36.75" customHeight="1">
      <c r="A376" s="11" t="s">
        <v>390</v>
      </c>
      <c r="B376" s="11"/>
      <c r="C376" s="11"/>
      <c r="D376" s="42">
        <f>D379*D382</f>
        <v>77000</v>
      </c>
      <c r="E376" s="42"/>
      <c r="F376" s="42">
        <f>F379*F382</f>
        <v>77000</v>
      </c>
      <c r="G376" s="42">
        <f>G379*G382</f>
        <v>82550</v>
      </c>
      <c r="H376" s="42"/>
      <c r="I376" s="42"/>
      <c r="J376" s="42">
        <f>J379*J382</f>
        <v>82550</v>
      </c>
      <c r="K376" s="42"/>
      <c r="L376" s="42"/>
      <c r="M376" s="42"/>
      <c r="N376" s="42">
        <f>N379*N382</f>
        <v>87500</v>
      </c>
      <c r="O376" s="42"/>
      <c r="P376" s="42">
        <f>P379*P382</f>
        <v>87500</v>
      </c>
    </row>
    <row r="377" spans="1:16" ht="11.25">
      <c r="A377" s="13" t="s">
        <v>5</v>
      </c>
      <c r="B377" s="13"/>
      <c r="C377" s="13"/>
      <c r="D377" s="10"/>
      <c r="E377" s="10"/>
      <c r="F377" s="42"/>
      <c r="G377" s="10"/>
      <c r="H377" s="10"/>
      <c r="I377" s="10"/>
      <c r="J377" s="42"/>
      <c r="K377" s="42"/>
      <c r="L377" s="10"/>
      <c r="M377" s="10"/>
      <c r="N377" s="10"/>
      <c r="O377" s="10"/>
      <c r="P377" s="42"/>
    </row>
    <row r="378" spans="1:16" ht="25.5" customHeight="1">
      <c r="A378" s="11" t="s">
        <v>279</v>
      </c>
      <c r="B378" s="11"/>
      <c r="C378" s="11"/>
      <c r="D378" s="42">
        <v>9</v>
      </c>
      <c r="E378" s="42"/>
      <c r="F378" s="42">
        <f>D378</f>
        <v>9</v>
      </c>
      <c r="G378" s="42">
        <v>9</v>
      </c>
      <c r="H378" s="42"/>
      <c r="I378" s="42"/>
      <c r="J378" s="42">
        <f>G378+H378</f>
        <v>9</v>
      </c>
      <c r="K378" s="42">
        <f>G378/D378*100</f>
        <v>100</v>
      </c>
      <c r="L378" s="42"/>
      <c r="M378" s="42"/>
      <c r="N378" s="42">
        <v>9</v>
      </c>
      <c r="O378" s="42"/>
      <c r="P378" s="42">
        <f>N378</f>
        <v>9</v>
      </c>
    </row>
    <row r="379" spans="1:16" ht="25.5" customHeight="1">
      <c r="A379" s="11" t="s">
        <v>278</v>
      </c>
      <c r="B379" s="11"/>
      <c r="C379" s="11"/>
      <c r="D379" s="42">
        <v>10</v>
      </c>
      <c r="E379" s="42"/>
      <c r="F379" s="42">
        <v>10</v>
      </c>
      <c r="G379" s="42">
        <v>10</v>
      </c>
      <c r="H379" s="42"/>
      <c r="I379" s="42"/>
      <c r="J379" s="42">
        <v>10</v>
      </c>
      <c r="K379" s="42"/>
      <c r="L379" s="42"/>
      <c r="M379" s="42"/>
      <c r="N379" s="42">
        <v>10</v>
      </c>
      <c r="O379" s="42"/>
      <c r="P379" s="42">
        <v>10</v>
      </c>
    </row>
    <row r="380" spans="1:16" ht="11.25">
      <c r="A380" s="13" t="s">
        <v>7</v>
      </c>
      <c r="B380" s="13"/>
      <c r="C380" s="13"/>
      <c r="D380" s="63"/>
      <c r="E380" s="63"/>
      <c r="F380" s="64"/>
      <c r="G380" s="63"/>
      <c r="H380" s="63"/>
      <c r="I380" s="63"/>
      <c r="J380" s="64"/>
      <c r="K380" s="64"/>
      <c r="L380" s="63"/>
      <c r="M380" s="63"/>
      <c r="N380" s="63"/>
      <c r="O380" s="63"/>
      <c r="P380" s="64"/>
    </row>
    <row r="381" spans="1:16" ht="33.75">
      <c r="A381" s="11" t="s">
        <v>280</v>
      </c>
      <c r="B381" s="11"/>
      <c r="C381" s="11"/>
      <c r="D381" s="64">
        <v>14666.667</v>
      </c>
      <c r="E381" s="64"/>
      <c r="F381" s="64">
        <f>D381</f>
        <v>14666.667</v>
      </c>
      <c r="G381" s="64">
        <v>15725</v>
      </c>
      <c r="H381" s="64"/>
      <c r="I381" s="64"/>
      <c r="J381" s="64">
        <f>G381</f>
        <v>15725</v>
      </c>
      <c r="K381" s="64">
        <f>G381/D381*100</f>
        <v>107.21590665418394</v>
      </c>
      <c r="L381" s="64"/>
      <c r="M381" s="64"/>
      <c r="N381" s="64">
        <v>16670</v>
      </c>
      <c r="O381" s="64"/>
      <c r="P381" s="64">
        <f>N381</f>
        <v>16670</v>
      </c>
    </row>
    <row r="382" spans="1:16" ht="24" customHeight="1">
      <c r="A382" s="11" t="s">
        <v>281</v>
      </c>
      <c r="B382" s="11"/>
      <c r="C382" s="11"/>
      <c r="D382" s="42">
        <v>7700</v>
      </c>
      <c r="E382" s="42"/>
      <c r="F382" s="42">
        <v>7700</v>
      </c>
      <c r="G382" s="42">
        <v>8255</v>
      </c>
      <c r="H382" s="42"/>
      <c r="I382" s="42"/>
      <c r="J382" s="42">
        <v>8255</v>
      </c>
      <c r="K382" s="64"/>
      <c r="L382" s="64"/>
      <c r="M382" s="64"/>
      <c r="N382" s="42">
        <v>8750</v>
      </c>
      <c r="O382" s="42"/>
      <c r="P382" s="42">
        <v>8750</v>
      </c>
    </row>
    <row r="383" spans="1:149" s="38" customFormat="1" ht="33.75">
      <c r="A383" s="9" t="s">
        <v>402</v>
      </c>
      <c r="B383" s="9"/>
      <c r="C383" s="9"/>
      <c r="D383" s="10">
        <f>D385+D386+D387+D388+D389+D390</f>
        <v>103380</v>
      </c>
      <c r="E383" s="10"/>
      <c r="F383" s="10">
        <f>D383+E383</f>
        <v>103380</v>
      </c>
      <c r="G383" s="10">
        <f>G385+G386+G387+G388+G389+G390</f>
        <v>119700</v>
      </c>
      <c r="H383" s="10"/>
      <c r="I383" s="10"/>
      <c r="J383" s="10">
        <f>G383+H383</f>
        <v>119700</v>
      </c>
      <c r="K383" s="10"/>
      <c r="L383" s="10"/>
      <c r="M383" s="10"/>
      <c r="N383" s="10">
        <f>N385+N386+N387+N388+N389+N390</f>
        <v>114990</v>
      </c>
      <c r="O383" s="10"/>
      <c r="P383" s="10">
        <f>N383</f>
        <v>114990</v>
      </c>
      <c r="Q383" s="37"/>
      <c r="R383" s="37"/>
      <c r="S383" s="37"/>
      <c r="T383" s="37"/>
      <c r="U383" s="37"/>
      <c r="V383" s="37"/>
      <c r="W383" s="37"/>
      <c r="X383" s="37"/>
      <c r="Y383" s="37"/>
      <c r="Z383" s="37"/>
      <c r="AA383" s="37"/>
      <c r="AB383" s="37"/>
      <c r="AC383" s="37"/>
      <c r="AD383" s="37"/>
      <c r="AE383" s="37"/>
      <c r="AF383" s="37"/>
      <c r="AG383" s="37"/>
      <c r="AH383" s="37"/>
      <c r="AI383" s="37"/>
      <c r="AJ383" s="37"/>
      <c r="AK383" s="37"/>
      <c r="AL383" s="37"/>
      <c r="AM383" s="37"/>
      <c r="AN383" s="37"/>
      <c r="AO383" s="37"/>
      <c r="AP383" s="37"/>
      <c r="AQ383" s="37"/>
      <c r="AR383" s="37"/>
      <c r="AS383" s="37"/>
      <c r="AT383" s="37"/>
      <c r="AU383" s="37"/>
      <c r="AV383" s="37"/>
      <c r="AW383" s="37"/>
      <c r="AX383" s="37"/>
      <c r="AY383" s="37"/>
      <c r="AZ383" s="37"/>
      <c r="BA383" s="37"/>
      <c r="BB383" s="37"/>
      <c r="BC383" s="37"/>
      <c r="BD383" s="37"/>
      <c r="BE383" s="37"/>
      <c r="BF383" s="37"/>
      <c r="BG383" s="37"/>
      <c r="BH383" s="37"/>
      <c r="BI383" s="37"/>
      <c r="BJ383" s="37"/>
      <c r="BK383" s="37"/>
      <c r="BL383" s="37"/>
      <c r="BM383" s="37"/>
      <c r="BN383" s="37"/>
      <c r="BO383" s="37"/>
      <c r="BP383" s="37"/>
      <c r="BQ383" s="37"/>
      <c r="BR383" s="37"/>
      <c r="BS383" s="37"/>
      <c r="BT383" s="37"/>
      <c r="BU383" s="37"/>
      <c r="BV383" s="37"/>
      <c r="BW383" s="37"/>
      <c r="BX383" s="37"/>
      <c r="BY383" s="37"/>
      <c r="BZ383" s="37"/>
      <c r="CA383" s="37"/>
      <c r="CB383" s="37"/>
      <c r="CC383" s="37"/>
      <c r="CD383" s="37"/>
      <c r="CE383" s="37"/>
      <c r="CF383" s="37"/>
      <c r="CG383" s="37"/>
      <c r="CH383" s="37"/>
      <c r="CI383" s="37"/>
      <c r="CJ383" s="37"/>
      <c r="CK383" s="37"/>
      <c r="CL383" s="37"/>
      <c r="CM383" s="37"/>
      <c r="CN383" s="37"/>
      <c r="CO383" s="37"/>
      <c r="CP383" s="37"/>
      <c r="CQ383" s="37"/>
      <c r="CR383" s="37"/>
      <c r="CS383" s="37"/>
      <c r="CT383" s="37"/>
      <c r="CU383" s="37"/>
      <c r="CV383" s="37"/>
      <c r="CW383" s="37"/>
      <c r="CX383" s="37"/>
      <c r="CY383" s="37"/>
      <c r="CZ383" s="37"/>
      <c r="DA383" s="37"/>
      <c r="DB383" s="37"/>
      <c r="DC383" s="37"/>
      <c r="DD383" s="37"/>
      <c r="DE383" s="37"/>
      <c r="DF383" s="37"/>
      <c r="DG383" s="37"/>
      <c r="DH383" s="37"/>
      <c r="DI383" s="37"/>
      <c r="DJ383" s="37"/>
      <c r="DK383" s="37"/>
      <c r="DL383" s="37"/>
      <c r="DM383" s="37"/>
      <c r="DN383" s="37"/>
      <c r="DO383" s="37"/>
      <c r="DP383" s="37"/>
      <c r="DQ383" s="37"/>
      <c r="DR383" s="37"/>
      <c r="DS383" s="37"/>
      <c r="DT383" s="37"/>
      <c r="DU383" s="37"/>
      <c r="DV383" s="37"/>
      <c r="DW383" s="37"/>
      <c r="DX383" s="37"/>
      <c r="DY383" s="37"/>
      <c r="DZ383" s="37"/>
      <c r="EA383" s="37"/>
      <c r="EB383" s="37"/>
      <c r="EC383" s="37"/>
      <c r="ED383" s="37"/>
      <c r="EE383" s="37"/>
      <c r="EF383" s="37"/>
      <c r="EG383" s="37"/>
      <c r="EH383" s="37"/>
      <c r="EI383" s="37"/>
      <c r="EJ383" s="37"/>
      <c r="EK383" s="37"/>
      <c r="EL383" s="37"/>
      <c r="EM383" s="37"/>
      <c r="EN383" s="37"/>
      <c r="EO383" s="37"/>
      <c r="EP383" s="37"/>
      <c r="EQ383" s="37"/>
      <c r="ER383" s="37"/>
      <c r="ES383" s="37"/>
    </row>
    <row r="384" spans="1:149" s="38" customFormat="1" ht="11.25">
      <c r="A384" s="60" t="s">
        <v>4</v>
      </c>
      <c r="B384" s="9"/>
      <c r="C384" s="9"/>
      <c r="D384" s="10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37"/>
      <c r="R384" s="37"/>
      <c r="S384" s="37"/>
      <c r="T384" s="37"/>
      <c r="U384" s="37"/>
      <c r="V384" s="37"/>
      <c r="W384" s="37"/>
      <c r="X384" s="37"/>
      <c r="Y384" s="37"/>
      <c r="Z384" s="37"/>
      <c r="AA384" s="37"/>
      <c r="AB384" s="37"/>
      <c r="AC384" s="37"/>
      <c r="AD384" s="37"/>
      <c r="AE384" s="37"/>
      <c r="AF384" s="37"/>
      <c r="AG384" s="37"/>
      <c r="AH384" s="37"/>
      <c r="AI384" s="37"/>
      <c r="AJ384" s="37"/>
      <c r="AK384" s="37"/>
      <c r="AL384" s="37"/>
      <c r="AM384" s="37"/>
      <c r="AN384" s="37"/>
      <c r="AO384" s="37"/>
      <c r="AP384" s="37"/>
      <c r="AQ384" s="37"/>
      <c r="AR384" s="37"/>
      <c r="AS384" s="37"/>
      <c r="AT384" s="37"/>
      <c r="AU384" s="37"/>
      <c r="AV384" s="37"/>
      <c r="AW384" s="37"/>
      <c r="AX384" s="37"/>
      <c r="AY384" s="37"/>
      <c r="AZ384" s="37"/>
      <c r="BA384" s="37"/>
      <c r="BB384" s="37"/>
      <c r="BC384" s="37"/>
      <c r="BD384" s="37"/>
      <c r="BE384" s="37"/>
      <c r="BF384" s="37"/>
      <c r="BG384" s="37"/>
      <c r="BH384" s="37"/>
      <c r="BI384" s="37"/>
      <c r="BJ384" s="37"/>
      <c r="BK384" s="37"/>
      <c r="BL384" s="37"/>
      <c r="BM384" s="37"/>
      <c r="BN384" s="37"/>
      <c r="BO384" s="37"/>
      <c r="BP384" s="37"/>
      <c r="BQ384" s="37"/>
      <c r="BR384" s="37"/>
      <c r="BS384" s="37"/>
      <c r="BT384" s="37"/>
      <c r="BU384" s="37"/>
      <c r="BV384" s="37"/>
      <c r="BW384" s="37"/>
      <c r="BX384" s="37"/>
      <c r="BY384" s="37"/>
      <c r="BZ384" s="37"/>
      <c r="CA384" s="37"/>
      <c r="CB384" s="37"/>
      <c r="CC384" s="37"/>
      <c r="CD384" s="37"/>
      <c r="CE384" s="37"/>
      <c r="CF384" s="37"/>
      <c r="CG384" s="37"/>
      <c r="CH384" s="37"/>
      <c r="CI384" s="37"/>
      <c r="CJ384" s="37"/>
      <c r="CK384" s="37"/>
      <c r="CL384" s="37"/>
      <c r="CM384" s="37"/>
      <c r="CN384" s="37"/>
      <c r="CO384" s="37"/>
      <c r="CP384" s="37"/>
      <c r="CQ384" s="37"/>
      <c r="CR384" s="37"/>
      <c r="CS384" s="37"/>
      <c r="CT384" s="37"/>
      <c r="CU384" s="37"/>
      <c r="CV384" s="37"/>
      <c r="CW384" s="37"/>
      <c r="CX384" s="37"/>
      <c r="CY384" s="37"/>
      <c r="CZ384" s="37"/>
      <c r="DA384" s="37"/>
      <c r="DB384" s="37"/>
      <c r="DC384" s="37"/>
      <c r="DD384" s="37"/>
      <c r="DE384" s="37"/>
      <c r="DF384" s="37"/>
      <c r="DG384" s="37"/>
      <c r="DH384" s="37"/>
      <c r="DI384" s="37"/>
      <c r="DJ384" s="37"/>
      <c r="DK384" s="37"/>
      <c r="DL384" s="37"/>
      <c r="DM384" s="37"/>
      <c r="DN384" s="37"/>
      <c r="DO384" s="37"/>
      <c r="DP384" s="37"/>
      <c r="DQ384" s="37"/>
      <c r="DR384" s="37"/>
      <c r="DS384" s="37"/>
      <c r="DT384" s="37"/>
      <c r="DU384" s="37"/>
      <c r="DV384" s="37"/>
      <c r="DW384" s="37"/>
      <c r="DX384" s="37"/>
      <c r="DY384" s="37"/>
      <c r="DZ384" s="37"/>
      <c r="EA384" s="37"/>
      <c r="EB384" s="37"/>
      <c r="EC384" s="37"/>
      <c r="ED384" s="37"/>
      <c r="EE384" s="37"/>
      <c r="EF384" s="37"/>
      <c r="EG384" s="37"/>
      <c r="EH384" s="37"/>
      <c r="EI384" s="37"/>
      <c r="EJ384" s="37"/>
      <c r="EK384" s="37"/>
      <c r="EL384" s="37"/>
      <c r="EM384" s="37"/>
      <c r="EN384" s="37"/>
      <c r="EO384" s="37"/>
      <c r="EP384" s="37"/>
      <c r="EQ384" s="37"/>
      <c r="ER384" s="37"/>
      <c r="ES384" s="37"/>
    </row>
    <row r="385" spans="1:149" s="38" customFormat="1" ht="32.25" customHeight="1">
      <c r="A385" s="9" t="s">
        <v>282</v>
      </c>
      <c r="B385" s="9"/>
      <c r="C385" s="9"/>
      <c r="D385" s="10">
        <f>D392*D399</f>
        <v>7200</v>
      </c>
      <c r="E385" s="10"/>
      <c r="F385" s="10">
        <f aca="true" t="shared" si="44" ref="F385:F390">D385+E385</f>
        <v>7200</v>
      </c>
      <c r="G385" s="10">
        <f>G392*G399</f>
        <v>7800</v>
      </c>
      <c r="H385" s="10"/>
      <c r="I385" s="10"/>
      <c r="J385" s="10">
        <f aca="true" t="shared" si="45" ref="J385:J390">G385+H385</f>
        <v>7800</v>
      </c>
      <c r="K385" s="10"/>
      <c r="L385" s="10"/>
      <c r="M385" s="10"/>
      <c r="N385" s="10">
        <f>N392*N399</f>
        <v>8250</v>
      </c>
      <c r="O385" s="10"/>
      <c r="P385" s="10">
        <f aca="true" t="shared" si="46" ref="P385:P390">N385+O385</f>
        <v>8250</v>
      </c>
      <c r="Q385" s="37"/>
      <c r="R385" s="37"/>
      <c r="S385" s="37"/>
      <c r="T385" s="37"/>
      <c r="U385" s="37"/>
      <c r="V385" s="37"/>
      <c r="W385" s="37"/>
      <c r="X385" s="37"/>
      <c r="Y385" s="37"/>
      <c r="Z385" s="37"/>
      <c r="AA385" s="37"/>
      <c r="AB385" s="37"/>
      <c r="AC385" s="37"/>
      <c r="AD385" s="37"/>
      <c r="AE385" s="37"/>
      <c r="AF385" s="37"/>
      <c r="AG385" s="37"/>
      <c r="AH385" s="37"/>
      <c r="AI385" s="37"/>
      <c r="AJ385" s="37"/>
      <c r="AK385" s="37"/>
      <c r="AL385" s="37"/>
      <c r="AM385" s="37"/>
      <c r="AN385" s="37"/>
      <c r="AO385" s="37"/>
      <c r="AP385" s="37"/>
      <c r="AQ385" s="37"/>
      <c r="AR385" s="37"/>
      <c r="AS385" s="37"/>
      <c r="AT385" s="37"/>
      <c r="AU385" s="37"/>
      <c r="AV385" s="37"/>
      <c r="AW385" s="37"/>
      <c r="AX385" s="37"/>
      <c r="AY385" s="37"/>
      <c r="AZ385" s="37"/>
      <c r="BA385" s="37"/>
      <c r="BB385" s="37"/>
      <c r="BC385" s="37"/>
      <c r="BD385" s="37"/>
      <c r="BE385" s="37"/>
      <c r="BF385" s="37"/>
      <c r="BG385" s="37"/>
      <c r="BH385" s="37"/>
      <c r="BI385" s="37"/>
      <c r="BJ385" s="37"/>
      <c r="BK385" s="37"/>
      <c r="BL385" s="37"/>
      <c r="BM385" s="37"/>
      <c r="BN385" s="37"/>
      <c r="BO385" s="37"/>
      <c r="BP385" s="37"/>
      <c r="BQ385" s="37"/>
      <c r="BR385" s="37"/>
      <c r="BS385" s="37"/>
      <c r="BT385" s="37"/>
      <c r="BU385" s="37"/>
      <c r="BV385" s="37"/>
      <c r="BW385" s="37"/>
      <c r="BX385" s="37"/>
      <c r="BY385" s="37"/>
      <c r="BZ385" s="37"/>
      <c r="CA385" s="37"/>
      <c r="CB385" s="37"/>
      <c r="CC385" s="37"/>
      <c r="CD385" s="37"/>
      <c r="CE385" s="37"/>
      <c r="CF385" s="37"/>
      <c r="CG385" s="37"/>
      <c r="CH385" s="37"/>
      <c r="CI385" s="37"/>
      <c r="CJ385" s="37"/>
      <c r="CK385" s="37"/>
      <c r="CL385" s="37"/>
      <c r="CM385" s="37"/>
      <c r="CN385" s="37"/>
      <c r="CO385" s="37"/>
      <c r="CP385" s="37"/>
      <c r="CQ385" s="37"/>
      <c r="CR385" s="37"/>
      <c r="CS385" s="37"/>
      <c r="CT385" s="37"/>
      <c r="CU385" s="37"/>
      <c r="CV385" s="37"/>
      <c r="CW385" s="37"/>
      <c r="CX385" s="37"/>
      <c r="CY385" s="37"/>
      <c r="CZ385" s="37"/>
      <c r="DA385" s="37"/>
      <c r="DB385" s="37"/>
      <c r="DC385" s="37"/>
      <c r="DD385" s="37"/>
      <c r="DE385" s="37"/>
      <c r="DF385" s="37"/>
      <c r="DG385" s="37"/>
      <c r="DH385" s="37"/>
      <c r="DI385" s="37"/>
      <c r="DJ385" s="37"/>
      <c r="DK385" s="37"/>
      <c r="DL385" s="37"/>
      <c r="DM385" s="37"/>
      <c r="DN385" s="37"/>
      <c r="DO385" s="37"/>
      <c r="DP385" s="37"/>
      <c r="DQ385" s="37"/>
      <c r="DR385" s="37"/>
      <c r="DS385" s="37"/>
      <c r="DT385" s="37"/>
      <c r="DU385" s="37"/>
      <c r="DV385" s="37"/>
      <c r="DW385" s="37"/>
      <c r="DX385" s="37"/>
      <c r="DY385" s="37"/>
      <c r="DZ385" s="37"/>
      <c r="EA385" s="37"/>
      <c r="EB385" s="37"/>
      <c r="EC385" s="37"/>
      <c r="ED385" s="37"/>
      <c r="EE385" s="37"/>
      <c r="EF385" s="37"/>
      <c r="EG385" s="37"/>
      <c r="EH385" s="37"/>
      <c r="EI385" s="37"/>
      <c r="EJ385" s="37"/>
      <c r="EK385" s="37"/>
      <c r="EL385" s="37"/>
      <c r="EM385" s="37"/>
      <c r="EN385" s="37"/>
      <c r="EO385" s="37"/>
      <c r="EP385" s="37"/>
      <c r="EQ385" s="37"/>
      <c r="ER385" s="37"/>
      <c r="ES385" s="37"/>
    </row>
    <row r="386" spans="1:149" s="38" customFormat="1" ht="33.75">
      <c r="A386" s="9" t="s">
        <v>283</v>
      </c>
      <c r="B386" s="9"/>
      <c r="C386" s="9"/>
      <c r="D386" s="10">
        <f>D400*D393</f>
        <v>22800</v>
      </c>
      <c r="E386" s="10"/>
      <c r="F386" s="10">
        <f t="shared" si="44"/>
        <v>22800</v>
      </c>
      <c r="G386" s="10">
        <f>G400*G393</f>
        <v>24600</v>
      </c>
      <c r="H386" s="10"/>
      <c r="I386" s="10"/>
      <c r="J386" s="10">
        <f t="shared" si="45"/>
        <v>24600</v>
      </c>
      <c r="K386" s="10"/>
      <c r="L386" s="10"/>
      <c r="M386" s="10"/>
      <c r="N386" s="10">
        <f>N400*N393</f>
        <v>26100</v>
      </c>
      <c r="O386" s="10"/>
      <c r="P386" s="10">
        <f t="shared" si="46"/>
        <v>26100</v>
      </c>
      <c r="Q386" s="37"/>
      <c r="R386" s="37"/>
      <c r="S386" s="37"/>
      <c r="T386" s="37"/>
      <c r="U386" s="37"/>
      <c r="V386" s="37"/>
      <c r="W386" s="37"/>
      <c r="X386" s="37"/>
      <c r="Y386" s="37"/>
      <c r="Z386" s="37"/>
      <c r="AA386" s="37"/>
      <c r="AB386" s="37"/>
      <c r="AC386" s="37"/>
      <c r="AD386" s="37"/>
      <c r="AE386" s="37"/>
      <c r="AF386" s="37"/>
      <c r="AG386" s="37"/>
      <c r="AH386" s="37"/>
      <c r="AI386" s="37"/>
      <c r="AJ386" s="37"/>
      <c r="AK386" s="37"/>
      <c r="AL386" s="37"/>
      <c r="AM386" s="37"/>
      <c r="AN386" s="37"/>
      <c r="AO386" s="37"/>
      <c r="AP386" s="37"/>
      <c r="AQ386" s="37"/>
      <c r="AR386" s="37"/>
      <c r="AS386" s="37"/>
      <c r="AT386" s="37"/>
      <c r="AU386" s="37"/>
      <c r="AV386" s="37"/>
      <c r="AW386" s="37"/>
      <c r="AX386" s="37"/>
      <c r="AY386" s="37"/>
      <c r="AZ386" s="37"/>
      <c r="BA386" s="37"/>
      <c r="BB386" s="37"/>
      <c r="BC386" s="37"/>
      <c r="BD386" s="37"/>
      <c r="BE386" s="37"/>
      <c r="BF386" s="37"/>
      <c r="BG386" s="37"/>
      <c r="BH386" s="37"/>
      <c r="BI386" s="37"/>
      <c r="BJ386" s="37"/>
      <c r="BK386" s="37"/>
      <c r="BL386" s="37"/>
      <c r="BM386" s="37"/>
      <c r="BN386" s="37"/>
      <c r="BO386" s="37"/>
      <c r="BP386" s="37"/>
      <c r="BQ386" s="37"/>
      <c r="BR386" s="37"/>
      <c r="BS386" s="37"/>
      <c r="BT386" s="37"/>
      <c r="BU386" s="37"/>
      <c r="BV386" s="37"/>
      <c r="BW386" s="37"/>
      <c r="BX386" s="37"/>
      <c r="BY386" s="37"/>
      <c r="BZ386" s="37"/>
      <c r="CA386" s="37"/>
      <c r="CB386" s="37"/>
      <c r="CC386" s="37"/>
      <c r="CD386" s="37"/>
      <c r="CE386" s="37"/>
      <c r="CF386" s="37"/>
      <c r="CG386" s="37"/>
      <c r="CH386" s="37"/>
      <c r="CI386" s="37"/>
      <c r="CJ386" s="37"/>
      <c r="CK386" s="37"/>
      <c r="CL386" s="37"/>
      <c r="CM386" s="37"/>
      <c r="CN386" s="37"/>
      <c r="CO386" s="37"/>
      <c r="CP386" s="37"/>
      <c r="CQ386" s="37"/>
      <c r="CR386" s="37"/>
      <c r="CS386" s="37"/>
      <c r="CT386" s="37"/>
      <c r="CU386" s="37"/>
      <c r="CV386" s="37"/>
      <c r="CW386" s="37"/>
      <c r="CX386" s="37"/>
      <c r="CY386" s="37"/>
      <c r="CZ386" s="37"/>
      <c r="DA386" s="37"/>
      <c r="DB386" s="37"/>
      <c r="DC386" s="37"/>
      <c r="DD386" s="37"/>
      <c r="DE386" s="37"/>
      <c r="DF386" s="37"/>
      <c r="DG386" s="37"/>
      <c r="DH386" s="37"/>
      <c r="DI386" s="37"/>
      <c r="DJ386" s="37"/>
      <c r="DK386" s="37"/>
      <c r="DL386" s="37"/>
      <c r="DM386" s="37"/>
      <c r="DN386" s="37"/>
      <c r="DO386" s="37"/>
      <c r="DP386" s="37"/>
      <c r="DQ386" s="37"/>
      <c r="DR386" s="37"/>
      <c r="DS386" s="37"/>
      <c r="DT386" s="37"/>
      <c r="DU386" s="37"/>
      <c r="DV386" s="37"/>
      <c r="DW386" s="37"/>
      <c r="DX386" s="37"/>
      <c r="DY386" s="37"/>
      <c r="DZ386" s="37"/>
      <c r="EA386" s="37"/>
      <c r="EB386" s="37"/>
      <c r="EC386" s="37"/>
      <c r="ED386" s="37"/>
      <c r="EE386" s="37"/>
      <c r="EF386" s="37"/>
      <c r="EG386" s="37"/>
      <c r="EH386" s="37"/>
      <c r="EI386" s="37"/>
      <c r="EJ386" s="37"/>
      <c r="EK386" s="37"/>
      <c r="EL386" s="37"/>
      <c r="EM386" s="37"/>
      <c r="EN386" s="37"/>
      <c r="EO386" s="37"/>
      <c r="EP386" s="37"/>
      <c r="EQ386" s="37"/>
      <c r="ER386" s="37"/>
      <c r="ES386" s="37"/>
    </row>
    <row r="387" spans="1:149" s="38" customFormat="1" ht="33.75">
      <c r="A387" s="9" t="s">
        <v>284</v>
      </c>
      <c r="B387" s="9"/>
      <c r="C387" s="9"/>
      <c r="D387" s="10">
        <f>D394*D401</f>
        <v>40500</v>
      </c>
      <c r="E387" s="10"/>
      <c r="F387" s="10">
        <f t="shared" si="44"/>
        <v>40500</v>
      </c>
      <c r="G387" s="10">
        <f>G394*G401</f>
        <v>43500</v>
      </c>
      <c r="H387" s="10"/>
      <c r="I387" s="10"/>
      <c r="J387" s="10">
        <f t="shared" si="45"/>
        <v>43500</v>
      </c>
      <c r="K387" s="10"/>
      <c r="L387" s="10"/>
      <c r="M387" s="10"/>
      <c r="N387" s="10">
        <f>N394*N401</f>
        <v>46200</v>
      </c>
      <c r="O387" s="10"/>
      <c r="P387" s="10">
        <f t="shared" si="46"/>
        <v>46200</v>
      </c>
      <c r="Q387" s="37"/>
      <c r="R387" s="37"/>
      <c r="S387" s="37"/>
      <c r="T387" s="37"/>
      <c r="U387" s="37"/>
      <c r="V387" s="37"/>
      <c r="W387" s="37"/>
      <c r="X387" s="37"/>
      <c r="Y387" s="37"/>
      <c r="Z387" s="37"/>
      <c r="AA387" s="37"/>
      <c r="AB387" s="37"/>
      <c r="AC387" s="37"/>
      <c r="AD387" s="37"/>
      <c r="AE387" s="37"/>
      <c r="AF387" s="37"/>
      <c r="AG387" s="37"/>
      <c r="AH387" s="37"/>
      <c r="AI387" s="37"/>
      <c r="AJ387" s="37"/>
      <c r="AK387" s="37"/>
      <c r="AL387" s="37"/>
      <c r="AM387" s="37"/>
      <c r="AN387" s="37"/>
      <c r="AO387" s="37"/>
      <c r="AP387" s="37"/>
      <c r="AQ387" s="37"/>
      <c r="AR387" s="37"/>
      <c r="AS387" s="37"/>
      <c r="AT387" s="37"/>
      <c r="AU387" s="37"/>
      <c r="AV387" s="37"/>
      <c r="AW387" s="37"/>
      <c r="AX387" s="37"/>
      <c r="AY387" s="37"/>
      <c r="AZ387" s="37"/>
      <c r="BA387" s="37"/>
      <c r="BB387" s="37"/>
      <c r="BC387" s="37"/>
      <c r="BD387" s="37"/>
      <c r="BE387" s="37"/>
      <c r="BF387" s="37"/>
      <c r="BG387" s="37"/>
      <c r="BH387" s="37"/>
      <c r="BI387" s="37"/>
      <c r="BJ387" s="37"/>
      <c r="BK387" s="37"/>
      <c r="BL387" s="37"/>
      <c r="BM387" s="37"/>
      <c r="BN387" s="37"/>
      <c r="BO387" s="37"/>
      <c r="BP387" s="37"/>
      <c r="BQ387" s="37"/>
      <c r="BR387" s="37"/>
      <c r="BS387" s="37"/>
      <c r="BT387" s="37"/>
      <c r="BU387" s="37"/>
      <c r="BV387" s="37"/>
      <c r="BW387" s="37"/>
      <c r="BX387" s="37"/>
      <c r="BY387" s="37"/>
      <c r="BZ387" s="37"/>
      <c r="CA387" s="37"/>
      <c r="CB387" s="37"/>
      <c r="CC387" s="37"/>
      <c r="CD387" s="37"/>
      <c r="CE387" s="37"/>
      <c r="CF387" s="37"/>
      <c r="CG387" s="37"/>
      <c r="CH387" s="37"/>
      <c r="CI387" s="37"/>
      <c r="CJ387" s="37"/>
      <c r="CK387" s="37"/>
      <c r="CL387" s="37"/>
      <c r="CM387" s="37"/>
      <c r="CN387" s="37"/>
      <c r="CO387" s="37"/>
      <c r="CP387" s="37"/>
      <c r="CQ387" s="37"/>
      <c r="CR387" s="37"/>
      <c r="CS387" s="37"/>
      <c r="CT387" s="37"/>
      <c r="CU387" s="37"/>
      <c r="CV387" s="37"/>
      <c r="CW387" s="37"/>
      <c r="CX387" s="37"/>
      <c r="CY387" s="37"/>
      <c r="CZ387" s="37"/>
      <c r="DA387" s="37"/>
      <c r="DB387" s="37"/>
      <c r="DC387" s="37"/>
      <c r="DD387" s="37"/>
      <c r="DE387" s="37"/>
      <c r="DF387" s="37"/>
      <c r="DG387" s="37"/>
      <c r="DH387" s="37"/>
      <c r="DI387" s="37"/>
      <c r="DJ387" s="37"/>
      <c r="DK387" s="37"/>
      <c r="DL387" s="37"/>
      <c r="DM387" s="37"/>
      <c r="DN387" s="37"/>
      <c r="DO387" s="37"/>
      <c r="DP387" s="37"/>
      <c r="DQ387" s="37"/>
      <c r="DR387" s="37"/>
      <c r="DS387" s="37"/>
      <c r="DT387" s="37"/>
      <c r="DU387" s="37"/>
      <c r="DV387" s="37"/>
      <c r="DW387" s="37"/>
      <c r="DX387" s="37"/>
      <c r="DY387" s="37"/>
      <c r="DZ387" s="37"/>
      <c r="EA387" s="37"/>
      <c r="EB387" s="37"/>
      <c r="EC387" s="37"/>
      <c r="ED387" s="37"/>
      <c r="EE387" s="37"/>
      <c r="EF387" s="37"/>
      <c r="EG387" s="37"/>
      <c r="EH387" s="37"/>
      <c r="EI387" s="37"/>
      <c r="EJ387" s="37"/>
      <c r="EK387" s="37"/>
      <c r="EL387" s="37"/>
      <c r="EM387" s="37"/>
      <c r="EN387" s="37"/>
      <c r="EO387" s="37"/>
      <c r="EP387" s="37"/>
      <c r="EQ387" s="37"/>
      <c r="ER387" s="37"/>
      <c r="ES387" s="37"/>
    </row>
    <row r="388" spans="1:149" s="38" customFormat="1" ht="33.75">
      <c r="A388" s="9" t="s">
        <v>285</v>
      </c>
      <c r="B388" s="9"/>
      <c r="C388" s="9"/>
      <c r="D388" s="10">
        <f>D402*D395</f>
        <v>25200</v>
      </c>
      <c r="E388" s="10"/>
      <c r="F388" s="10">
        <f t="shared" si="44"/>
        <v>25200</v>
      </c>
      <c r="G388" s="10">
        <f>G395*G402</f>
        <v>27000</v>
      </c>
      <c r="H388" s="10"/>
      <c r="I388" s="10"/>
      <c r="J388" s="10">
        <f t="shared" si="45"/>
        <v>27000</v>
      </c>
      <c r="K388" s="10"/>
      <c r="L388" s="10"/>
      <c r="M388" s="10"/>
      <c r="N388" s="10">
        <f>N402*N395</f>
        <v>28800</v>
      </c>
      <c r="O388" s="10"/>
      <c r="P388" s="10">
        <f t="shared" si="46"/>
        <v>28800</v>
      </c>
      <c r="Q388" s="37"/>
      <c r="R388" s="37"/>
      <c r="S388" s="37"/>
      <c r="T388" s="37"/>
      <c r="U388" s="37"/>
      <c r="V388" s="37"/>
      <c r="W388" s="37"/>
      <c r="X388" s="37"/>
      <c r="Y388" s="37"/>
      <c r="Z388" s="37"/>
      <c r="AA388" s="37"/>
      <c r="AB388" s="37"/>
      <c r="AC388" s="37"/>
      <c r="AD388" s="37"/>
      <c r="AE388" s="37"/>
      <c r="AF388" s="37"/>
      <c r="AG388" s="37"/>
      <c r="AH388" s="37"/>
      <c r="AI388" s="37"/>
      <c r="AJ388" s="37"/>
      <c r="AK388" s="37"/>
      <c r="AL388" s="37"/>
      <c r="AM388" s="37"/>
      <c r="AN388" s="37"/>
      <c r="AO388" s="37"/>
      <c r="AP388" s="37"/>
      <c r="AQ388" s="37"/>
      <c r="AR388" s="37"/>
      <c r="AS388" s="37"/>
      <c r="AT388" s="37"/>
      <c r="AU388" s="37"/>
      <c r="AV388" s="37"/>
      <c r="AW388" s="37"/>
      <c r="AX388" s="37"/>
      <c r="AY388" s="37"/>
      <c r="AZ388" s="37"/>
      <c r="BA388" s="37"/>
      <c r="BB388" s="37"/>
      <c r="BC388" s="37"/>
      <c r="BD388" s="37"/>
      <c r="BE388" s="37"/>
      <c r="BF388" s="37"/>
      <c r="BG388" s="37"/>
      <c r="BH388" s="37"/>
      <c r="BI388" s="37"/>
      <c r="BJ388" s="37"/>
      <c r="BK388" s="37"/>
      <c r="BL388" s="37"/>
      <c r="BM388" s="37"/>
      <c r="BN388" s="37"/>
      <c r="BO388" s="37"/>
      <c r="BP388" s="37"/>
      <c r="BQ388" s="37"/>
      <c r="BR388" s="37"/>
      <c r="BS388" s="37"/>
      <c r="BT388" s="37"/>
      <c r="BU388" s="37"/>
      <c r="BV388" s="37"/>
      <c r="BW388" s="37"/>
      <c r="BX388" s="37"/>
      <c r="BY388" s="37"/>
      <c r="BZ388" s="37"/>
      <c r="CA388" s="37"/>
      <c r="CB388" s="37"/>
      <c r="CC388" s="37"/>
      <c r="CD388" s="37"/>
      <c r="CE388" s="37"/>
      <c r="CF388" s="37"/>
      <c r="CG388" s="37"/>
      <c r="CH388" s="37"/>
      <c r="CI388" s="37"/>
      <c r="CJ388" s="37"/>
      <c r="CK388" s="37"/>
      <c r="CL388" s="37"/>
      <c r="CM388" s="37"/>
      <c r="CN388" s="37"/>
      <c r="CO388" s="37"/>
      <c r="CP388" s="37"/>
      <c r="CQ388" s="37"/>
      <c r="CR388" s="37"/>
      <c r="CS388" s="37"/>
      <c r="CT388" s="37"/>
      <c r="CU388" s="37"/>
      <c r="CV388" s="37"/>
      <c r="CW388" s="37"/>
      <c r="CX388" s="37"/>
      <c r="CY388" s="37"/>
      <c r="CZ388" s="37"/>
      <c r="DA388" s="37"/>
      <c r="DB388" s="37"/>
      <c r="DC388" s="37"/>
      <c r="DD388" s="37"/>
      <c r="DE388" s="37"/>
      <c r="DF388" s="37"/>
      <c r="DG388" s="37"/>
      <c r="DH388" s="37"/>
      <c r="DI388" s="37"/>
      <c r="DJ388" s="37"/>
      <c r="DK388" s="37"/>
      <c r="DL388" s="37"/>
      <c r="DM388" s="37"/>
      <c r="DN388" s="37"/>
      <c r="DO388" s="37"/>
      <c r="DP388" s="37"/>
      <c r="DQ388" s="37"/>
      <c r="DR388" s="37"/>
      <c r="DS388" s="37"/>
      <c r="DT388" s="37"/>
      <c r="DU388" s="37"/>
      <c r="DV388" s="37"/>
      <c r="DW388" s="37"/>
      <c r="DX388" s="37"/>
      <c r="DY388" s="37"/>
      <c r="DZ388" s="37"/>
      <c r="EA388" s="37"/>
      <c r="EB388" s="37"/>
      <c r="EC388" s="37"/>
      <c r="ED388" s="37"/>
      <c r="EE388" s="37"/>
      <c r="EF388" s="37"/>
      <c r="EG388" s="37"/>
      <c r="EH388" s="37"/>
      <c r="EI388" s="37"/>
      <c r="EJ388" s="37"/>
      <c r="EK388" s="37"/>
      <c r="EL388" s="37"/>
      <c r="EM388" s="37"/>
      <c r="EN388" s="37"/>
      <c r="EO388" s="37"/>
      <c r="EP388" s="37"/>
      <c r="EQ388" s="37"/>
      <c r="ER388" s="37"/>
      <c r="ES388" s="37"/>
    </row>
    <row r="389" spans="1:149" s="38" customFormat="1" ht="22.5">
      <c r="A389" s="9" t="s">
        <v>286</v>
      </c>
      <c r="B389" s="9"/>
      <c r="C389" s="9"/>
      <c r="D389" s="10">
        <f>D396*D403</f>
        <v>6120</v>
      </c>
      <c r="E389" s="10"/>
      <c r="F389" s="10">
        <f t="shared" si="44"/>
        <v>6120</v>
      </c>
      <c r="G389" s="10">
        <f>G396*G403</f>
        <v>6600</v>
      </c>
      <c r="H389" s="10"/>
      <c r="I389" s="10"/>
      <c r="J389" s="10">
        <f t="shared" si="45"/>
        <v>6600</v>
      </c>
      <c r="K389" s="10"/>
      <c r="L389" s="10"/>
      <c r="M389" s="10"/>
      <c r="N389" s="10">
        <f>N396*N402</f>
        <v>3840</v>
      </c>
      <c r="O389" s="10"/>
      <c r="P389" s="10">
        <f t="shared" si="46"/>
        <v>3840</v>
      </c>
      <c r="Q389" s="37"/>
      <c r="R389" s="37"/>
      <c r="S389" s="37"/>
      <c r="T389" s="37"/>
      <c r="U389" s="37"/>
      <c r="V389" s="37"/>
      <c r="W389" s="37"/>
      <c r="X389" s="37"/>
      <c r="Y389" s="37"/>
      <c r="Z389" s="37"/>
      <c r="AA389" s="37"/>
      <c r="AB389" s="37"/>
      <c r="AC389" s="37"/>
      <c r="AD389" s="37"/>
      <c r="AE389" s="37"/>
      <c r="AF389" s="37"/>
      <c r="AG389" s="37"/>
      <c r="AH389" s="37"/>
      <c r="AI389" s="37"/>
      <c r="AJ389" s="37"/>
      <c r="AK389" s="37"/>
      <c r="AL389" s="37"/>
      <c r="AM389" s="37"/>
      <c r="AN389" s="37"/>
      <c r="AO389" s="37"/>
      <c r="AP389" s="37"/>
      <c r="AQ389" s="37"/>
      <c r="AR389" s="37"/>
      <c r="AS389" s="37"/>
      <c r="AT389" s="37"/>
      <c r="AU389" s="37"/>
      <c r="AV389" s="37"/>
      <c r="AW389" s="37"/>
      <c r="AX389" s="37"/>
      <c r="AY389" s="37"/>
      <c r="AZ389" s="37"/>
      <c r="BA389" s="37"/>
      <c r="BB389" s="37"/>
      <c r="BC389" s="37"/>
      <c r="BD389" s="37"/>
      <c r="BE389" s="37"/>
      <c r="BF389" s="37"/>
      <c r="BG389" s="37"/>
      <c r="BH389" s="37"/>
      <c r="BI389" s="37"/>
      <c r="BJ389" s="37"/>
      <c r="BK389" s="37"/>
      <c r="BL389" s="37"/>
      <c r="BM389" s="37"/>
      <c r="BN389" s="37"/>
      <c r="BO389" s="37"/>
      <c r="BP389" s="37"/>
      <c r="BQ389" s="37"/>
      <c r="BR389" s="37"/>
      <c r="BS389" s="37"/>
      <c r="BT389" s="37"/>
      <c r="BU389" s="37"/>
      <c r="BV389" s="37"/>
      <c r="BW389" s="37"/>
      <c r="BX389" s="37"/>
      <c r="BY389" s="37"/>
      <c r="BZ389" s="37"/>
      <c r="CA389" s="37"/>
      <c r="CB389" s="37"/>
      <c r="CC389" s="37"/>
      <c r="CD389" s="37"/>
      <c r="CE389" s="37"/>
      <c r="CF389" s="37"/>
      <c r="CG389" s="37"/>
      <c r="CH389" s="37"/>
      <c r="CI389" s="37"/>
      <c r="CJ389" s="37"/>
      <c r="CK389" s="37"/>
      <c r="CL389" s="37"/>
      <c r="CM389" s="37"/>
      <c r="CN389" s="37"/>
      <c r="CO389" s="37"/>
      <c r="CP389" s="37"/>
      <c r="CQ389" s="37"/>
      <c r="CR389" s="37"/>
      <c r="CS389" s="37"/>
      <c r="CT389" s="37"/>
      <c r="CU389" s="37"/>
      <c r="CV389" s="37"/>
      <c r="CW389" s="37"/>
      <c r="CX389" s="37"/>
      <c r="CY389" s="37"/>
      <c r="CZ389" s="37"/>
      <c r="DA389" s="37"/>
      <c r="DB389" s="37"/>
      <c r="DC389" s="37"/>
      <c r="DD389" s="37"/>
      <c r="DE389" s="37"/>
      <c r="DF389" s="37"/>
      <c r="DG389" s="37"/>
      <c r="DH389" s="37"/>
      <c r="DI389" s="37"/>
      <c r="DJ389" s="37"/>
      <c r="DK389" s="37"/>
      <c r="DL389" s="37"/>
      <c r="DM389" s="37"/>
      <c r="DN389" s="37"/>
      <c r="DO389" s="37"/>
      <c r="DP389" s="37"/>
      <c r="DQ389" s="37"/>
      <c r="DR389" s="37"/>
      <c r="DS389" s="37"/>
      <c r="DT389" s="37"/>
      <c r="DU389" s="37"/>
      <c r="DV389" s="37"/>
      <c r="DW389" s="37"/>
      <c r="DX389" s="37"/>
      <c r="DY389" s="37"/>
      <c r="DZ389" s="37"/>
      <c r="EA389" s="37"/>
      <c r="EB389" s="37"/>
      <c r="EC389" s="37"/>
      <c r="ED389" s="37"/>
      <c r="EE389" s="37"/>
      <c r="EF389" s="37"/>
      <c r="EG389" s="37"/>
      <c r="EH389" s="37"/>
      <c r="EI389" s="37"/>
      <c r="EJ389" s="37"/>
      <c r="EK389" s="37"/>
      <c r="EL389" s="37"/>
      <c r="EM389" s="37"/>
      <c r="EN389" s="37"/>
      <c r="EO389" s="37"/>
      <c r="EP389" s="37"/>
      <c r="EQ389" s="37"/>
      <c r="ER389" s="37"/>
      <c r="ES389" s="37"/>
    </row>
    <row r="390" spans="1:149" s="38" customFormat="1" ht="33.75">
      <c r="A390" s="9" t="s">
        <v>287</v>
      </c>
      <c r="B390" s="9"/>
      <c r="C390" s="9"/>
      <c r="D390" s="10">
        <f>D397*D404</f>
        <v>1560</v>
      </c>
      <c r="E390" s="10"/>
      <c r="F390" s="10">
        <f t="shared" si="44"/>
        <v>1560</v>
      </c>
      <c r="G390" s="10">
        <v>10200</v>
      </c>
      <c r="H390" s="10"/>
      <c r="I390" s="10"/>
      <c r="J390" s="10">
        <f t="shared" si="45"/>
        <v>10200</v>
      </c>
      <c r="K390" s="10"/>
      <c r="L390" s="10"/>
      <c r="M390" s="10"/>
      <c r="N390" s="10">
        <f>N397*N404</f>
        <v>1800</v>
      </c>
      <c r="O390" s="10"/>
      <c r="P390" s="10">
        <f t="shared" si="46"/>
        <v>1800</v>
      </c>
      <c r="Q390" s="37"/>
      <c r="R390" s="37"/>
      <c r="S390" s="37"/>
      <c r="T390" s="37"/>
      <c r="U390" s="37"/>
      <c r="V390" s="37"/>
      <c r="W390" s="37"/>
      <c r="X390" s="37"/>
      <c r="Y390" s="37"/>
      <c r="Z390" s="37"/>
      <c r="AA390" s="37"/>
      <c r="AB390" s="37"/>
      <c r="AC390" s="37"/>
      <c r="AD390" s="37"/>
      <c r="AE390" s="37"/>
      <c r="AF390" s="37"/>
      <c r="AG390" s="37"/>
      <c r="AH390" s="37"/>
      <c r="AI390" s="37"/>
      <c r="AJ390" s="37"/>
      <c r="AK390" s="37"/>
      <c r="AL390" s="37"/>
      <c r="AM390" s="37"/>
      <c r="AN390" s="37"/>
      <c r="AO390" s="37"/>
      <c r="AP390" s="37"/>
      <c r="AQ390" s="37"/>
      <c r="AR390" s="37"/>
      <c r="AS390" s="37"/>
      <c r="AT390" s="37"/>
      <c r="AU390" s="37"/>
      <c r="AV390" s="37"/>
      <c r="AW390" s="37"/>
      <c r="AX390" s="37"/>
      <c r="AY390" s="37"/>
      <c r="AZ390" s="37"/>
      <c r="BA390" s="37"/>
      <c r="BB390" s="37"/>
      <c r="BC390" s="37"/>
      <c r="BD390" s="37"/>
      <c r="BE390" s="37"/>
      <c r="BF390" s="37"/>
      <c r="BG390" s="37"/>
      <c r="BH390" s="37"/>
      <c r="BI390" s="37"/>
      <c r="BJ390" s="37"/>
      <c r="BK390" s="37"/>
      <c r="BL390" s="37"/>
      <c r="BM390" s="37"/>
      <c r="BN390" s="37"/>
      <c r="BO390" s="37"/>
      <c r="BP390" s="37"/>
      <c r="BQ390" s="37"/>
      <c r="BR390" s="37"/>
      <c r="BS390" s="37"/>
      <c r="BT390" s="37"/>
      <c r="BU390" s="37"/>
      <c r="BV390" s="37"/>
      <c r="BW390" s="37"/>
      <c r="BX390" s="37"/>
      <c r="BY390" s="37"/>
      <c r="BZ390" s="37"/>
      <c r="CA390" s="37"/>
      <c r="CB390" s="37"/>
      <c r="CC390" s="37"/>
      <c r="CD390" s="37"/>
      <c r="CE390" s="37"/>
      <c r="CF390" s="37"/>
      <c r="CG390" s="37"/>
      <c r="CH390" s="37"/>
      <c r="CI390" s="37"/>
      <c r="CJ390" s="37"/>
      <c r="CK390" s="37"/>
      <c r="CL390" s="37"/>
      <c r="CM390" s="37"/>
      <c r="CN390" s="37"/>
      <c r="CO390" s="37"/>
      <c r="CP390" s="37"/>
      <c r="CQ390" s="37"/>
      <c r="CR390" s="37"/>
      <c r="CS390" s="37"/>
      <c r="CT390" s="37"/>
      <c r="CU390" s="37"/>
      <c r="CV390" s="37"/>
      <c r="CW390" s="37"/>
      <c r="CX390" s="37"/>
      <c r="CY390" s="37"/>
      <c r="CZ390" s="37"/>
      <c r="DA390" s="37"/>
      <c r="DB390" s="37"/>
      <c r="DC390" s="37"/>
      <c r="DD390" s="37"/>
      <c r="DE390" s="37"/>
      <c r="DF390" s="37"/>
      <c r="DG390" s="37"/>
      <c r="DH390" s="37"/>
      <c r="DI390" s="37"/>
      <c r="DJ390" s="37"/>
      <c r="DK390" s="37"/>
      <c r="DL390" s="37"/>
      <c r="DM390" s="37"/>
      <c r="DN390" s="37"/>
      <c r="DO390" s="37"/>
      <c r="DP390" s="37"/>
      <c r="DQ390" s="37"/>
      <c r="DR390" s="37"/>
      <c r="DS390" s="37"/>
      <c r="DT390" s="37"/>
      <c r="DU390" s="37"/>
      <c r="DV390" s="37"/>
      <c r="DW390" s="37"/>
      <c r="DX390" s="37"/>
      <c r="DY390" s="37"/>
      <c r="DZ390" s="37"/>
      <c r="EA390" s="37"/>
      <c r="EB390" s="37"/>
      <c r="EC390" s="37"/>
      <c r="ED390" s="37"/>
      <c r="EE390" s="37"/>
      <c r="EF390" s="37"/>
      <c r="EG390" s="37"/>
      <c r="EH390" s="37"/>
      <c r="EI390" s="37"/>
      <c r="EJ390" s="37"/>
      <c r="EK390" s="37"/>
      <c r="EL390" s="37"/>
      <c r="EM390" s="37"/>
      <c r="EN390" s="37"/>
      <c r="EO390" s="37"/>
      <c r="EP390" s="37"/>
      <c r="EQ390" s="37"/>
      <c r="ER390" s="37"/>
      <c r="ES390" s="37"/>
    </row>
    <row r="391" spans="1:16" ht="11.25">
      <c r="A391" s="13" t="s">
        <v>5</v>
      </c>
      <c r="B391" s="13"/>
      <c r="C391" s="13"/>
      <c r="D391" s="63"/>
      <c r="E391" s="63"/>
      <c r="F391" s="64"/>
      <c r="G391" s="63"/>
      <c r="H391" s="63"/>
      <c r="I391" s="63"/>
      <c r="J391" s="64"/>
      <c r="K391" s="64"/>
      <c r="L391" s="63"/>
      <c r="M391" s="63"/>
      <c r="N391" s="63"/>
      <c r="O391" s="63"/>
      <c r="P391" s="64"/>
    </row>
    <row r="392" spans="1:16" ht="33.75" customHeight="1">
      <c r="A392" s="11" t="s">
        <v>288</v>
      </c>
      <c r="B392" s="11"/>
      <c r="C392" s="11"/>
      <c r="D392" s="65">
        <v>30</v>
      </c>
      <c r="E392" s="65"/>
      <c r="F392" s="65">
        <f aca="true" t="shared" si="47" ref="F392:F397">D392+E392</f>
        <v>30</v>
      </c>
      <c r="G392" s="65">
        <v>30</v>
      </c>
      <c r="H392" s="65"/>
      <c r="I392" s="65"/>
      <c r="J392" s="65">
        <f aca="true" t="shared" si="48" ref="J392:J397">G392+H392</f>
        <v>30</v>
      </c>
      <c r="K392" s="65">
        <f aca="true" t="shared" si="49" ref="K392:K397">G392/D392*100</f>
        <v>100</v>
      </c>
      <c r="L392" s="65"/>
      <c r="M392" s="65"/>
      <c r="N392" s="65">
        <v>30</v>
      </c>
      <c r="O392" s="65"/>
      <c r="P392" s="65">
        <f>N392+O392</f>
        <v>30</v>
      </c>
    </row>
    <row r="393" spans="1:16" ht="39" customHeight="1">
      <c r="A393" s="11" t="s">
        <v>289</v>
      </c>
      <c r="B393" s="11"/>
      <c r="C393" s="11"/>
      <c r="D393" s="65">
        <v>30</v>
      </c>
      <c r="E393" s="65"/>
      <c r="F393" s="65">
        <f t="shared" si="47"/>
        <v>30</v>
      </c>
      <c r="G393" s="65">
        <v>30</v>
      </c>
      <c r="H393" s="65"/>
      <c r="I393" s="65"/>
      <c r="J393" s="65">
        <f t="shared" si="48"/>
        <v>30</v>
      </c>
      <c r="K393" s="65">
        <f t="shared" si="49"/>
        <v>100</v>
      </c>
      <c r="L393" s="65"/>
      <c r="M393" s="65"/>
      <c r="N393" s="65">
        <v>30</v>
      </c>
      <c r="O393" s="65"/>
      <c r="P393" s="65">
        <f>N393+O393</f>
        <v>30</v>
      </c>
    </row>
    <row r="394" spans="1:16" ht="33.75" customHeight="1">
      <c r="A394" s="11" t="s">
        <v>290</v>
      </c>
      <c r="B394" s="11"/>
      <c r="C394" s="11"/>
      <c r="D394" s="65">
        <v>30</v>
      </c>
      <c r="E394" s="65"/>
      <c r="F394" s="65">
        <f t="shared" si="47"/>
        <v>30</v>
      </c>
      <c r="G394" s="65">
        <v>30</v>
      </c>
      <c r="H394" s="65"/>
      <c r="I394" s="65"/>
      <c r="J394" s="65">
        <f t="shared" si="48"/>
        <v>30</v>
      </c>
      <c r="K394" s="65">
        <f t="shared" si="49"/>
        <v>100</v>
      </c>
      <c r="L394" s="65"/>
      <c r="M394" s="65"/>
      <c r="N394" s="65">
        <v>30</v>
      </c>
      <c r="O394" s="65"/>
      <c r="P394" s="65">
        <f>N394+O394</f>
        <v>30</v>
      </c>
    </row>
    <row r="395" spans="1:16" ht="39" customHeight="1">
      <c r="A395" s="11" t="s">
        <v>291</v>
      </c>
      <c r="B395" s="11"/>
      <c r="C395" s="11"/>
      <c r="D395" s="65">
        <v>90</v>
      </c>
      <c r="E395" s="65"/>
      <c r="F395" s="65">
        <f t="shared" si="47"/>
        <v>90</v>
      </c>
      <c r="G395" s="65">
        <v>90</v>
      </c>
      <c r="H395" s="65"/>
      <c r="I395" s="65"/>
      <c r="J395" s="65">
        <f t="shared" si="48"/>
        <v>90</v>
      </c>
      <c r="K395" s="65">
        <f t="shared" si="49"/>
        <v>100</v>
      </c>
      <c r="L395" s="65"/>
      <c r="M395" s="65"/>
      <c r="N395" s="65">
        <v>90</v>
      </c>
      <c r="O395" s="65"/>
      <c r="P395" s="65">
        <f>N395+O395</f>
        <v>90</v>
      </c>
    </row>
    <row r="396" spans="1:16" ht="22.5">
      <c r="A396" s="11" t="s">
        <v>292</v>
      </c>
      <c r="B396" s="11"/>
      <c r="C396" s="11"/>
      <c r="D396" s="65">
        <v>12</v>
      </c>
      <c r="E396" s="65"/>
      <c r="F396" s="65">
        <f t="shared" si="47"/>
        <v>12</v>
      </c>
      <c r="G396" s="65">
        <v>12</v>
      </c>
      <c r="H396" s="65"/>
      <c r="I396" s="65"/>
      <c r="J396" s="65">
        <f t="shared" si="48"/>
        <v>12</v>
      </c>
      <c r="K396" s="65">
        <f t="shared" si="49"/>
        <v>100</v>
      </c>
      <c r="L396" s="65"/>
      <c r="M396" s="65"/>
      <c r="N396" s="65">
        <v>12</v>
      </c>
      <c r="O396" s="65"/>
      <c r="P396" s="65">
        <f>N396</f>
        <v>12</v>
      </c>
    </row>
    <row r="397" spans="1:16" ht="22.5">
      <c r="A397" s="11" t="s">
        <v>293</v>
      </c>
      <c r="B397" s="11"/>
      <c r="C397" s="11"/>
      <c r="D397" s="65">
        <v>12</v>
      </c>
      <c r="E397" s="65"/>
      <c r="F397" s="65">
        <f t="shared" si="47"/>
        <v>12</v>
      </c>
      <c r="G397" s="65">
        <v>12</v>
      </c>
      <c r="H397" s="65"/>
      <c r="I397" s="65"/>
      <c r="J397" s="65">
        <f t="shared" si="48"/>
        <v>12</v>
      </c>
      <c r="K397" s="65">
        <f t="shared" si="49"/>
        <v>100</v>
      </c>
      <c r="L397" s="65"/>
      <c r="M397" s="65"/>
      <c r="N397" s="65">
        <v>12</v>
      </c>
      <c r="O397" s="65"/>
      <c r="P397" s="65">
        <f>N397</f>
        <v>12</v>
      </c>
    </row>
    <row r="398" spans="1:16" ht="11.25">
      <c r="A398" s="13" t="s">
        <v>7</v>
      </c>
      <c r="B398" s="13"/>
      <c r="C398" s="13"/>
      <c r="D398" s="10"/>
      <c r="E398" s="10"/>
      <c r="F398" s="42"/>
      <c r="G398" s="10"/>
      <c r="H398" s="10"/>
      <c r="I398" s="10"/>
      <c r="J398" s="42"/>
      <c r="K398" s="42"/>
      <c r="L398" s="10"/>
      <c r="M398" s="10"/>
      <c r="N398" s="10"/>
      <c r="O398" s="10"/>
      <c r="P398" s="42"/>
    </row>
    <row r="399" spans="1:16" ht="41.25" customHeight="1">
      <c r="A399" s="11" t="s">
        <v>294</v>
      </c>
      <c r="B399" s="11"/>
      <c r="C399" s="11"/>
      <c r="D399" s="42">
        <v>240</v>
      </c>
      <c r="E399" s="42"/>
      <c r="F399" s="42">
        <f aca="true" t="shared" si="50" ref="F399:F404">D399+E399</f>
        <v>240</v>
      </c>
      <c r="G399" s="42">
        <v>260</v>
      </c>
      <c r="H399" s="42"/>
      <c r="I399" s="42"/>
      <c r="J399" s="42">
        <f aca="true" t="shared" si="51" ref="J399:J404">G399+H399</f>
        <v>260</v>
      </c>
      <c r="K399" s="42">
        <f>G399/D399*100</f>
        <v>108.33333333333333</v>
      </c>
      <c r="L399" s="42"/>
      <c r="M399" s="42"/>
      <c r="N399" s="42">
        <v>275</v>
      </c>
      <c r="O399" s="42"/>
      <c r="P399" s="42">
        <f>N399+O399</f>
        <v>275</v>
      </c>
    </row>
    <row r="400" spans="1:16" ht="33.75">
      <c r="A400" s="11" t="s">
        <v>295</v>
      </c>
      <c r="B400" s="11"/>
      <c r="C400" s="11"/>
      <c r="D400" s="64">
        <v>760</v>
      </c>
      <c r="E400" s="64"/>
      <c r="F400" s="64">
        <f t="shared" si="50"/>
        <v>760</v>
      </c>
      <c r="G400" s="64">
        <v>820</v>
      </c>
      <c r="H400" s="64"/>
      <c r="I400" s="64"/>
      <c r="J400" s="64">
        <f t="shared" si="51"/>
        <v>820</v>
      </c>
      <c r="K400" s="64">
        <f>G400/D400*100</f>
        <v>107.89473684210526</v>
      </c>
      <c r="L400" s="64"/>
      <c r="M400" s="64"/>
      <c r="N400" s="64">
        <v>870</v>
      </c>
      <c r="O400" s="64"/>
      <c r="P400" s="64">
        <f>N400+O400</f>
        <v>870</v>
      </c>
    </row>
    <row r="401" spans="1:16" ht="33.75" customHeight="1">
      <c r="A401" s="11" t="s">
        <v>296</v>
      </c>
      <c r="B401" s="11"/>
      <c r="C401" s="11"/>
      <c r="D401" s="42">
        <v>1350</v>
      </c>
      <c r="E401" s="42"/>
      <c r="F401" s="42">
        <f t="shared" si="50"/>
        <v>1350</v>
      </c>
      <c r="G401" s="42">
        <v>1450</v>
      </c>
      <c r="H401" s="42"/>
      <c r="I401" s="42"/>
      <c r="J401" s="42">
        <f t="shared" si="51"/>
        <v>1450</v>
      </c>
      <c r="K401" s="64"/>
      <c r="L401" s="64"/>
      <c r="M401" s="64"/>
      <c r="N401" s="42">
        <v>1540</v>
      </c>
      <c r="O401" s="42"/>
      <c r="P401" s="42">
        <f>N401</f>
        <v>1540</v>
      </c>
    </row>
    <row r="402" spans="1:16" ht="38.25" customHeight="1">
      <c r="A402" s="11" t="s">
        <v>297</v>
      </c>
      <c r="B402" s="11"/>
      <c r="C402" s="11"/>
      <c r="D402" s="42">
        <v>280</v>
      </c>
      <c r="E402" s="42"/>
      <c r="F402" s="42">
        <f t="shared" si="50"/>
        <v>280</v>
      </c>
      <c r="G402" s="42">
        <v>300</v>
      </c>
      <c r="H402" s="42"/>
      <c r="I402" s="42"/>
      <c r="J402" s="42">
        <f t="shared" si="51"/>
        <v>300</v>
      </c>
      <c r="K402" s="64"/>
      <c r="L402" s="64"/>
      <c r="M402" s="64"/>
      <c r="N402" s="42">
        <v>320</v>
      </c>
      <c r="O402" s="42"/>
      <c r="P402" s="42">
        <f>N402</f>
        <v>320</v>
      </c>
    </row>
    <row r="403" spans="1:16" ht="22.5">
      <c r="A403" s="11" t="s">
        <v>298</v>
      </c>
      <c r="B403" s="11"/>
      <c r="C403" s="11"/>
      <c r="D403" s="42">
        <v>510</v>
      </c>
      <c r="E403" s="42"/>
      <c r="F403" s="42">
        <f t="shared" si="50"/>
        <v>510</v>
      </c>
      <c r="G403" s="42">
        <v>550</v>
      </c>
      <c r="H403" s="42"/>
      <c r="I403" s="42"/>
      <c r="J403" s="42">
        <f t="shared" si="51"/>
        <v>550</v>
      </c>
      <c r="K403" s="64"/>
      <c r="L403" s="64"/>
      <c r="M403" s="64"/>
      <c r="N403" s="42">
        <v>585</v>
      </c>
      <c r="O403" s="42"/>
      <c r="P403" s="42">
        <f>N403</f>
        <v>585</v>
      </c>
    </row>
    <row r="404" spans="1:16" ht="22.5">
      <c r="A404" s="11" t="s">
        <v>299</v>
      </c>
      <c r="B404" s="11"/>
      <c r="C404" s="11"/>
      <c r="D404" s="42">
        <v>130</v>
      </c>
      <c r="E404" s="42"/>
      <c r="F404" s="42">
        <f t="shared" si="50"/>
        <v>130</v>
      </c>
      <c r="G404" s="42">
        <v>850</v>
      </c>
      <c r="H404" s="42"/>
      <c r="I404" s="42"/>
      <c r="J404" s="42">
        <f t="shared" si="51"/>
        <v>850</v>
      </c>
      <c r="K404" s="64"/>
      <c r="L404" s="64"/>
      <c r="M404" s="64"/>
      <c r="N404" s="42">
        <v>150</v>
      </c>
      <c r="O404" s="42"/>
      <c r="P404" s="42">
        <f>N404+O404</f>
        <v>150</v>
      </c>
    </row>
    <row r="405" spans="1:16" ht="11.25">
      <c r="A405" s="123" t="s">
        <v>421</v>
      </c>
      <c r="B405" s="13"/>
      <c r="C405" s="13"/>
      <c r="D405" s="10"/>
      <c r="E405" s="10">
        <f>E407+E423</f>
        <v>692840</v>
      </c>
      <c r="F405" s="10">
        <f>F407+F423</f>
        <v>692840</v>
      </c>
      <c r="G405" s="10"/>
      <c r="H405" s="10">
        <f>H407+H423</f>
        <v>763900</v>
      </c>
      <c r="I405" s="10"/>
      <c r="J405" s="10">
        <f>J407+J423</f>
        <v>763900</v>
      </c>
      <c r="K405" s="63"/>
      <c r="L405" s="63"/>
      <c r="M405" s="63"/>
      <c r="N405" s="10"/>
      <c r="O405" s="10">
        <f>O407+O423</f>
        <v>787532</v>
      </c>
      <c r="P405" s="10">
        <f>P407+P423</f>
        <v>787532</v>
      </c>
    </row>
    <row r="406" spans="1:16" ht="101.25">
      <c r="A406" s="12" t="s">
        <v>302</v>
      </c>
      <c r="B406" s="11"/>
      <c r="C406" s="11"/>
      <c r="D406" s="42"/>
      <c r="E406" s="42"/>
      <c r="F406" s="42"/>
      <c r="G406" s="42"/>
      <c r="H406" s="42"/>
      <c r="I406" s="42"/>
      <c r="J406" s="42"/>
      <c r="K406" s="64"/>
      <c r="L406" s="64"/>
      <c r="M406" s="64"/>
      <c r="N406" s="42"/>
      <c r="O406" s="42"/>
      <c r="P406" s="42"/>
    </row>
    <row r="407" spans="1:16" ht="66.75" customHeight="1">
      <c r="A407" s="66" t="s">
        <v>403</v>
      </c>
      <c r="B407" s="11"/>
      <c r="C407" s="11"/>
      <c r="D407" s="42"/>
      <c r="E407" s="42">
        <f>E409+E410+E411+E412</f>
        <v>428840</v>
      </c>
      <c r="F407" s="42">
        <f>D407+E407</f>
        <v>428840</v>
      </c>
      <c r="G407" s="42"/>
      <c r="H407" s="42">
        <f>H409+H410+H411+H412</f>
        <v>480700</v>
      </c>
      <c r="I407" s="42"/>
      <c r="J407" s="42">
        <f>J409+J410+J411+J412</f>
        <v>480700</v>
      </c>
      <c r="K407" s="64"/>
      <c r="L407" s="64"/>
      <c r="M407" s="64"/>
      <c r="N407" s="42"/>
      <c r="O407" s="42">
        <f>O409+O410+O411+O412</f>
        <v>487340</v>
      </c>
      <c r="P407" s="42">
        <f>P409+P410+P411+P412</f>
        <v>487340</v>
      </c>
    </row>
    <row r="408" spans="1:16" ht="11.25">
      <c r="A408" s="13" t="s">
        <v>4</v>
      </c>
      <c r="B408" s="11"/>
      <c r="C408" s="11"/>
      <c r="D408" s="42"/>
      <c r="E408" s="42"/>
      <c r="F408" s="42"/>
      <c r="G408" s="42"/>
      <c r="H408" s="42"/>
      <c r="I408" s="42"/>
      <c r="J408" s="42"/>
      <c r="K408" s="64"/>
      <c r="L408" s="64"/>
      <c r="M408" s="64"/>
      <c r="N408" s="42"/>
      <c r="O408" s="42"/>
      <c r="P408" s="42"/>
    </row>
    <row r="409" spans="1:16" ht="33.75">
      <c r="A409" s="8" t="s">
        <v>304</v>
      </c>
      <c r="B409" s="11"/>
      <c r="C409" s="11"/>
      <c r="D409" s="42"/>
      <c r="E409" s="42">
        <f>E414*E419</f>
        <v>387500</v>
      </c>
      <c r="F409" s="42">
        <f>D409+E409</f>
        <v>387500</v>
      </c>
      <c r="G409" s="42"/>
      <c r="H409" s="42">
        <f>H414*H419</f>
        <v>415000</v>
      </c>
      <c r="I409" s="42"/>
      <c r="J409" s="42">
        <f>G409+H409</f>
        <v>415000</v>
      </c>
      <c r="K409" s="64"/>
      <c r="L409" s="64"/>
      <c r="M409" s="64"/>
      <c r="N409" s="42"/>
      <c r="O409" s="42">
        <f>O414*O419</f>
        <v>440000</v>
      </c>
      <c r="P409" s="42">
        <f>N409+O409</f>
        <v>440000</v>
      </c>
    </row>
    <row r="410" spans="1:16" ht="22.5">
      <c r="A410" s="8" t="s">
        <v>303</v>
      </c>
      <c r="B410" s="11"/>
      <c r="C410" s="11"/>
      <c r="D410" s="42"/>
      <c r="E410" s="42">
        <f>E415*E420</f>
        <v>12240</v>
      </c>
      <c r="F410" s="42">
        <f>D410+E410</f>
        <v>12240</v>
      </c>
      <c r="G410" s="42"/>
      <c r="H410" s="42">
        <f>H415*H420</f>
        <v>13200</v>
      </c>
      <c r="I410" s="42"/>
      <c r="J410" s="42">
        <f>G410+H410</f>
        <v>13200</v>
      </c>
      <c r="K410" s="64"/>
      <c r="L410" s="64"/>
      <c r="M410" s="64"/>
      <c r="N410" s="42"/>
      <c r="O410" s="42">
        <f>O415*O420</f>
        <v>14040</v>
      </c>
      <c r="P410" s="42">
        <f>N410+O410</f>
        <v>14040</v>
      </c>
    </row>
    <row r="411" spans="1:16" ht="33.75">
      <c r="A411" s="8" t="s">
        <v>305</v>
      </c>
      <c r="B411" s="11"/>
      <c r="C411" s="11"/>
      <c r="D411" s="42"/>
      <c r="E411" s="42">
        <f>E416*E421</f>
        <v>25200</v>
      </c>
      <c r="F411" s="42">
        <f>D411+E411</f>
        <v>25200</v>
      </c>
      <c r="G411" s="42"/>
      <c r="H411" s="42">
        <f>H416*H421</f>
        <v>27000</v>
      </c>
      <c r="I411" s="42"/>
      <c r="J411" s="42">
        <f>G411+H411</f>
        <v>27000</v>
      </c>
      <c r="K411" s="64"/>
      <c r="L411" s="64"/>
      <c r="M411" s="64"/>
      <c r="N411" s="42"/>
      <c r="O411" s="42">
        <f>O416*O421</f>
        <v>28800</v>
      </c>
      <c r="P411" s="42">
        <f>N411+O411</f>
        <v>28800</v>
      </c>
    </row>
    <row r="412" spans="1:16" ht="33.75">
      <c r="A412" s="8" t="s">
        <v>306</v>
      </c>
      <c r="B412" s="11"/>
      <c r="C412" s="11"/>
      <c r="D412" s="42"/>
      <c r="E412" s="42">
        <f>E417*E422</f>
        <v>3900</v>
      </c>
      <c r="F412" s="42">
        <f>D412+E412</f>
        <v>3900</v>
      </c>
      <c r="G412" s="42"/>
      <c r="H412" s="42">
        <v>25500</v>
      </c>
      <c r="I412" s="42"/>
      <c r="J412" s="42">
        <f>G412+H412</f>
        <v>25500</v>
      </c>
      <c r="K412" s="64"/>
      <c r="L412" s="64"/>
      <c r="M412" s="64"/>
      <c r="N412" s="42"/>
      <c r="O412" s="42">
        <f>O417*O422</f>
        <v>4500</v>
      </c>
      <c r="P412" s="42">
        <f>N412+O412</f>
        <v>4500</v>
      </c>
    </row>
    <row r="413" spans="1:16" ht="11.25">
      <c r="A413" s="13" t="s">
        <v>5</v>
      </c>
      <c r="B413" s="11"/>
      <c r="C413" s="11"/>
      <c r="D413" s="42"/>
      <c r="E413" s="42"/>
      <c r="F413" s="42"/>
      <c r="G413" s="42"/>
      <c r="H413" s="42"/>
      <c r="I413" s="42"/>
      <c r="J413" s="42"/>
      <c r="K413" s="64"/>
      <c r="L413" s="64"/>
      <c r="M413" s="64"/>
      <c r="N413" s="42"/>
      <c r="O413" s="42"/>
      <c r="P413" s="42"/>
    </row>
    <row r="414" spans="1:16" ht="30.75" customHeight="1">
      <c r="A414" s="8" t="s">
        <v>307</v>
      </c>
      <c r="B414" s="11"/>
      <c r="C414" s="11"/>
      <c r="D414" s="42"/>
      <c r="E414" s="14">
        <f>60+160+30</f>
        <v>250</v>
      </c>
      <c r="F414" s="42">
        <f aca="true" t="shared" si="52" ref="F414:F422">D414+E414</f>
        <v>250</v>
      </c>
      <c r="G414" s="42"/>
      <c r="H414" s="14">
        <f>60+160+30</f>
        <v>250</v>
      </c>
      <c r="I414" s="42"/>
      <c r="J414" s="42">
        <f aca="true" t="shared" si="53" ref="J414:J422">G414+H414</f>
        <v>250</v>
      </c>
      <c r="K414" s="64"/>
      <c r="L414" s="64"/>
      <c r="M414" s="64"/>
      <c r="N414" s="42"/>
      <c r="O414" s="14">
        <f>60+160+30</f>
        <v>250</v>
      </c>
      <c r="P414" s="42">
        <f aca="true" t="shared" si="54" ref="P414:P422">N414+O414</f>
        <v>250</v>
      </c>
    </row>
    <row r="415" spans="1:16" ht="28.5" customHeight="1">
      <c r="A415" s="8" t="s">
        <v>308</v>
      </c>
      <c r="B415" s="11"/>
      <c r="C415" s="11"/>
      <c r="D415" s="42"/>
      <c r="E415" s="14">
        <v>24</v>
      </c>
      <c r="F415" s="42">
        <f t="shared" si="52"/>
        <v>24</v>
      </c>
      <c r="G415" s="42"/>
      <c r="H415" s="14">
        <v>24</v>
      </c>
      <c r="I415" s="42"/>
      <c r="J415" s="42">
        <f t="shared" si="53"/>
        <v>24</v>
      </c>
      <c r="K415" s="64"/>
      <c r="L415" s="64"/>
      <c r="M415" s="64"/>
      <c r="N415" s="42"/>
      <c r="O415" s="14">
        <v>24</v>
      </c>
      <c r="P415" s="42">
        <f t="shared" si="54"/>
        <v>24</v>
      </c>
    </row>
    <row r="416" spans="1:16" ht="33.75">
      <c r="A416" s="8" t="s">
        <v>309</v>
      </c>
      <c r="B416" s="11"/>
      <c r="C416" s="11"/>
      <c r="D416" s="42"/>
      <c r="E416" s="14">
        <v>90</v>
      </c>
      <c r="F416" s="42">
        <f t="shared" si="52"/>
        <v>90</v>
      </c>
      <c r="G416" s="42"/>
      <c r="H416" s="14">
        <v>90</v>
      </c>
      <c r="I416" s="42"/>
      <c r="J416" s="42">
        <f t="shared" si="53"/>
        <v>90</v>
      </c>
      <c r="K416" s="64"/>
      <c r="L416" s="64"/>
      <c r="M416" s="64"/>
      <c r="N416" s="42"/>
      <c r="O416" s="14">
        <v>90</v>
      </c>
      <c r="P416" s="42">
        <f t="shared" si="54"/>
        <v>90</v>
      </c>
    </row>
    <row r="417" spans="1:16" ht="22.5">
      <c r="A417" s="8" t="s">
        <v>310</v>
      </c>
      <c r="B417" s="11"/>
      <c r="C417" s="11"/>
      <c r="D417" s="42"/>
      <c r="E417" s="14">
        <v>30</v>
      </c>
      <c r="F417" s="42">
        <f t="shared" si="52"/>
        <v>30</v>
      </c>
      <c r="G417" s="42"/>
      <c r="H417" s="14">
        <v>30</v>
      </c>
      <c r="I417" s="42"/>
      <c r="J417" s="42">
        <f t="shared" si="53"/>
        <v>30</v>
      </c>
      <c r="K417" s="64"/>
      <c r="L417" s="64"/>
      <c r="M417" s="64"/>
      <c r="N417" s="42"/>
      <c r="O417" s="14">
        <v>30</v>
      </c>
      <c r="P417" s="42">
        <f t="shared" si="54"/>
        <v>30</v>
      </c>
    </row>
    <row r="418" spans="1:16" ht="11.25">
      <c r="A418" s="13" t="s">
        <v>7</v>
      </c>
      <c r="B418" s="67"/>
      <c r="C418" s="11"/>
      <c r="D418" s="42"/>
      <c r="E418" s="15">
        <f>E419+E420+E421+E422</f>
        <v>2470</v>
      </c>
      <c r="F418" s="42">
        <f t="shared" si="52"/>
        <v>2470</v>
      </c>
      <c r="G418" s="42"/>
      <c r="H418" s="15">
        <f>H419+H420+H421+H422</f>
        <v>3360</v>
      </c>
      <c r="I418" s="42"/>
      <c r="J418" s="42">
        <f t="shared" si="53"/>
        <v>3360</v>
      </c>
      <c r="K418" s="64"/>
      <c r="L418" s="64"/>
      <c r="M418" s="64"/>
      <c r="N418" s="42"/>
      <c r="O418" s="15">
        <f>O419+O420+O421+O422</f>
        <v>2815</v>
      </c>
      <c r="P418" s="42">
        <f t="shared" si="54"/>
        <v>2815</v>
      </c>
    </row>
    <row r="419" spans="1:16" ht="30" customHeight="1">
      <c r="A419" s="11" t="s">
        <v>311</v>
      </c>
      <c r="B419" s="67"/>
      <c r="C419" s="11"/>
      <c r="D419" s="42"/>
      <c r="E419" s="15">
        <v>1550</v>
      </c>
      <c r="F419" s="42">
        <f t="shared" si="52"/>
        <v>1550</v>
      </c>
      <c r="G419" s="42"/>
      <c r="H419" s="15">
        <v>1660</v>
      </c>
      <c r="I419" s="42"/>
      <c r="J419" s="42">
        <f t="shared" si="53"/>
        <v>1660</v>
      </c>
      <c r="K419" s="64"/>
      <c r="L419" s="64"/>
      <c r="M419" s="64"/>
      <c r="N419" s="42"/>
      <c r="O419" s="15">
        <v>1760</v>
      </c>
      <c r="P419" s="42">
        <f t="shared" si="54"/>
        <v>1760</v>
      </c>
    </row>
    <row r="420" spans="1:16" ht="20.25" customHeight="1">
      <c r="A420" s="11" t="s">
        <v>312</v>
      </c>
      <c r="B420" s="67"/>
      <c r="C420" s="11"/>
      <c r="D420" s="42"/>
      <c r="E420" s="15">
        <v>510</v>
      </c>
      <c r="F420" s="42">
        <f t="shared" si="52"/>
        <v>510</v>
      </c>
      <c r="G420" s="42"/>
      <c r="H420" s="15">
        <v>550</v>
      </c>
      <c r="I420" s="42"/>
      <c r="J420" s="42">
        <f t="shared" si="53"/>
        <v>550</v>
      </c>
      <c r="K420" s="64"/>
      <c r="L420" s="64"/>
      <c r="M420" s="64"/>
      <c r="N420" s="42"/>
      <c r="O420" s="15">
        <v>585</v>
      </c>
      <c r="P420" s="42">
        <f t="shared" si="54"/>
        <v>585</v>
      </c>
    </row>
    <row r="421" spans="1:16" ht="33.75">
      <c r="A421" s="11" t="s">
        <v>313</v>
      </c>
      <c r="B421" s="11"/>
      <c r="C421" s="11"/>
      <c r="D421" s="42"/>
      <c r="E421" s="15">
        <v>280</v>
      </c>
      <c r="F421" s="42">
        <f t="shared" si="52"/>
        <v>280</v>
      </c>
      <c r="G421" s="42"/>
      <c r="H421" s="15">
        <v>300</v>
      </c>
      <c r="I421" s="42"/>
      <c r="J421" s="42">
        <f t="shared" si="53"/>
        <v>300</v>
      </c>
      <c r="K421" s="64"/>
      <c r="L421" s="64"/>
      <c r="M421" s="64"/>
      <c r="N421" s="42"/>
      <c r="O421" s="15">
        <v>320</v>
      </c>
      <c r="P421" s="42">
        <f t="shared" si="54"/>
        <v>320</v>
      </c>
    </row>
    <row r="422" spans="1:16" ht="22.5">
      <c r="A422" s="16" t="s">
        <v>314</v>
      </c>
      <c r="B422" s="11"/>
      <c r="C422" s="11"/>
      <c r="D422" s="42"/>
      <c r="E422" s="17">
        <v>130</v>
      </c>
      <c r="F422" s="42">
        <f t="shared" si="52"/>
        <v>130</v>
      </c>
      <c r="G422" s="42"/>
      <c r="H422" s="17">
        <v>850</v>
      </c>
      <c r="I422" s="42"/>
      <c r="J422" s="42">
        <f t="shared" si="53"/>
        <v>850</v>
      </c>
      <c r="K422" s="64"/>
      <c r="L422" s="64"/>
      <c r="M422" s="64"/>
      <c r="N422" s="42"/>
      <c r="O422" s="18">
        <v>150</v>
      </c>
      <c r="P422" s="42">
        <f t="shared" si="54"/>
        <v>150</v>
      </c>
    </row>
    <row r="423" spans="1:16" ht="45">
      <c r="A423" s="57" t="s">
        <v>404</v>
      </c>
      <c r="B423" s="11"/>
      <c r="C423" s="11"/>
      <c r="D423" s="42">
        <f>D425</f>
        <v>0</v>
      </c>
      <c r="E423" s="42">
        <f>E425</f>
        <v>264000</v>
      </c>
      <c r="F423" s="42">
        <f>F425</f>
        <v>264000</v>
      </c>
      <c r="G423" s="42"/>
      <c r="H423" s="42">
        <f>H425</f>
        <v>283200</v>
      </c>
      <c r="I423" s="42"/>
      <c r="J423" s="42">
        <f>J425</f>
        <v>283200</v>
      </c>
      <c r="K423" s="64"/>
      <c r="L423" s="64"/>
      <c r="M423" s="64"/>
      <c r="N423" s="42"/>
      <c r="O423" s="42">
        <f>O425</f>
        <v>300192</v>
      </c>
      <c r="P423" s="42">
        <f>P425</f>
        <v>300192</v>
      </c>
    </row>
    <row r="424" spans="1:16" ht="11.25">
      <c r="A424" s="19" t="s">
        <v>4</v>
      </c>
      <c r="B424" s="11"/>
      <c r="C424" s="11"/>
      <c r="D424" s="42"/>
      <c r="E424" s="17"/>
      <c r="F424" s="42"/>
      <c r="G424" s="42"/>
      <c r="H424" s="17"/>
      <c r="I424" s="42"/>
      <c r="J424" s="42"/>
      <c r="K424" s="64"/>
      <c r="L424" s="64"/>
      <c r="M424" s="64"/>
      <c r="N424" s="42"/>
      <c r="O424" s="18"/>
      <c r="P424" s="42"/>
    </row>
    <row r="425" spans="1:16" ht="22.5">
      <c r="A425" s="8" t="s">
        <v>315</v>
      </c>
      <c r="B425" s="11"/>
      <c r="C425" s="11"/>
      <c r="D425" s="42"/>
      <c r="E425" s="17">
        <v>264000</v>
      </c>
      <c r="F425" s="42">
        <f>D425+E425</f>
        <v>264000</v>
      </c>
      <c r="G425" s="42"/>
      <c r="H425" s="17">
        <f>H427*H429</f>
        <v>283200</v>
      </c>
      <c r="I425" s="42"/>
      <c r="J425" s="42">
        <f>G425+H425</f>
        <v>283200</v>
      </c>
      <c r="K425" s="64"/>
      <c r="L425" s="64"/>
      <c r="M425" s="64"/>
      <c r="N425" s="42"/>
      <c r="O425" s="18">
        <f>O427*O429</f>
        <v>300192</v>
      </c>
      <c r="P425" s="42">
        <f>N425+O425</f>
        <v>300192</v>
      </c>
    </row>
    <row r="426" spans="1:16" ht="11.25">
      <c r="A426" s="19" t="s">
        <v>5</v>
      </c>
      <c r="B426" s="11"/>
      <c r="C426" s="11"/>
      <c r="D426" s="42"/>
      <c r="E426" s="17"/>
      <c r="F426" s="42"/>
      <c r="G426" s="42"/>
      <c r="H426" s="17"/>
      <c r="I426" s="42"/>
      <c r="J426" s="42"/>
      <c r="K426" s="64"/>
      <c r="L426" s="64"/>
      <c r="M426" s="64"/>
      <c r="N426" s="42"/>
      <c r="O426" s="18"/>
      <c r="P426" s="42"/>
    </row>
    <row r="427" spans="1:16" ht="22.5">
      <c r="A427" s="20" t="s">
        <v>316</v>
      </c>
      <c r="B427" s="11"/>
      <c r="C427" s="11"/>
      <c r="D427" s="42"/>
      <c r="E427" s="21">
        <v>236</v>
      </c>
      <c r="F427" s="68">
        <f>D427+E427</f>
        <v>236</v>
      </c>
      <c r="G427" s="68"/>
      <c r="H427" s="21">
        <v>236</v>
      </c>
      <c r="I427" s="68"/>
      <c r="J427" s="68">
        <f>G427+H427</f>
        <v>236</v>
      </c>
      <c r="K427" s="69"/>
      <c r="L427" s="69"/>
      <c r="M427" s="69"/>
      <c r="N427" s="68"/>
      <c r="O427" s="21">
        <v>236</v>
      </c>
      <c r="P427" s="68">
        <f>N427+O427</f>
        <v>236</v>
      </c>
    </row>
    <row r="428" spans="1:16" ht="11.25">
      <c r="A428" s="19" t="s">
        <v>7</v>
      </c>
      <c r="B428" s="11"/>
      <c r="C428" s="11"/>
      <c r="D428" s="42"/>
      <c r="E428" s="17"/>
      <c r="F428" s="42"/>
      <c r="G428" s="42"/>
      <c r="H428" s="17"/>
      <c r="I428" s="42"/>
      <c r="J428" s="42"/>
      <c r="K428" s="64"/>
      <c r="L428" s="64"/>
      <c r="M428" s="64"/>
      <c r="N428" s="42"/>
      <c r="O428" s="18"/>
      <c r="P428" s="42"/>
    </row>
    <row r="429" spans="1:16" ht="22.5">
      <c r="A429" s="20" t="s">
        <v>317</v>
      </c>
      <c r="B429" s="11"/>
      <c r="C429" s="11"/>
      <c r="D429" s="42"/>
      <c r="E429" s="42">
        <v>1118.64</v>
      </c>
      <c r="F429" s="42">
        <f>D429+E429</f>
        <v>1118.64</v>
      </c>
      <c r="G429" s="42"/>
      <c r="H429" s="42">
        <v>1200</v>
      </c>
      <c r="I429" s="42"/>
      <c r="J429" s="42">
        <f>G429+H429</f>
        <v>1200</v>
      </c>
      <c r="K429" s="64"/>
      <c r="L429" s="64"/>
      <c r="M429" s="64"/>
      <c r="N429" s="42"/>
      <c r="O429" s="42">
        <v>1272</v>
      </c>
      <c r="P429" s="42">
        <f>N429+O429</f>
        <v>1272</v>
      </c>
    </row>
    <row r="430" spans="1:149" s="38" customFormat="1" ht="21" customHeight="1">
      <c r="A430" s="9" t="s">
        <v>405</v>
      </c>
      <c r="B430" s="9"/>
      <c r="C430" s="9"/>
      <c r="D430" s="10">
        <f>(D432*D434)</f>
        <v>64999.9999998</v>
      </c>
      <c r="E430" s="10"/>
      <c r="F430" s="10">
        <f>D430</f>
        <v>64999.9999998</v>
      </c>
      <c r="G430" s="10">
        <f>G432*G434</f>
        <v>58000</v>
      </c>
      <c r="H430" s="10"/>
      <c r="I430" s="10"/>
      <c r="J430" s="10">
        <f>G430</f>
        <v>58000</v>
      </c>
      <c r="K430" s="10"/>
      <c r="L430" s="10"/>
      <c r="M430" s="10"/>
      <c r="N430" s="10">
        <f>N432*N434</f>
        <v>74999.99999968</v>
      </c>
      <c r="O430" s="10"/>
      <c r="P430" s="10">
        <f>N430</f>
        <v>74999.99999968</v>
      </c>
      <c r="Q430" s="37"/>
      <c r="R430" s="37"/>
      <c r="S430" s="37"/>
      <c r="T430" s="37"/>
      <c r="U430" s="37"/>
      <c r="V430" s="37"/>
      <c r="W430" s="37"/>
      <c r="X430" s="37"/>
      <c r="Y430" s="37"/>
      <c r="Z430" s="37"/>
      <c r="AA430" s="37"/>
      <c r="AB430" s="37"/>
      <c r="AC430" s="37"/>
      <c r="AD430" s="37"/>
      <c r="AE430" s="37"/>
      <c r="AF430" s="37"/>
      <c r="AG430" s="37"/>
      <c r="AH430" s="37"/>
      <c r="AI430" s="37"/>
      <c r="AJ430" s="37"/>
      <c r="AK430" s="37"/>
      <c r="AL430" s="37"/>
      <c r="AM430" s="37"/>
      <c r="AN430" s="37"/>
      <c r="AO430" s="37"/>
      <c r="AP430" s="37"/>
      <c r="AQ430" s="37"/>
      <c r="AR430" s="37"/>
      <c r="AS430" s="37"/>
      <c r="AT430" s="37"/>
      <c r="AU430" s="37"/>
      <c r="AV430" s="37"/>
      <c r="AW430" s="37"/>
      <c r="AX430" s="37"/>
      <c r="AY430" s="37"/>
      <c r="AZ430" s="37"/>
      <c r="BA430" s="37"/>
      <c r="BB430" s="37"/>
      <c r="BC430" s="37"/>
      <c r="BD430" s="37"/>
      <c r="BE430" s="37"/>
      <c r="BF430" s="37"/>
      <c r="BG430" s="37"/>
      <c r="BH430" s="37"/>
      <c r="BI430" s="37"/>
      <c r="BJ430" s="37"/>
      <c r="BK430" s="37"/>
      <c r="BL430" s="37"/>
      <c r="BM430" s="37"/>
      <c r="BN430" s="37"/>
      <c r="BO430" s="37"/>
      <c r="BP430" s="37"/>
      <c r="BQ430" s="37"/>
      <c r="BR430" s="37"/>
      <c r="BS430" s="37"/>
      <c r="BT430" s="37"/>
      <c r="BU430" s="37"/>
      <c r="BV430" s="37"/>
      <c r="BW430" s="37"/>
      <c r="BX430" s="37"/>
      <c r="BY430" s="37"/>
      <c r="BZ430" s="37"/>
      <c r="CA430" s="37"/>
      <c r="CB430" s="37"/>
      <c r="CC430" s="37"/>
      <c r="CD430" s="37"/>
      <c r="CE430" s="37"/>
      <c r="CF430" s="37"/>
      <c r="CG430" s="37"/>
      <c r="CH430" s="37"/>
      <c r="CI430" s="37"/>
      <c r="CJ430" s="37"/>
      <c r="CK430" s="37"/>
      <c r="CL430" s="37"/>
      <c r="CM430" s="37"/>
      <c r="CN430" s="37"/>
      <c r="CO430" s="37"/>
      <c r="CP430" s="37"/>
      <c r="CQ430" s="37"/>
      <c r="CR430" s="37"/>
      <c r="CS430" s="37"/>
      <c r="CT430" s="37"/>
      <c r="CU430" s="37"/>
      <c r="CV430" s="37"/>
      <c r="CW430" s="37"/>
      <c r="CX430" s="37"/>
      <c r="CY430" s="37"/>
      <c r="CZ430" s="37"/>
      <c r="DA430" s="37"/>
      <c r="DB430" s="37"/>
      <c r="DC430" s="37"/>
      <c r="DD430" s="37"/>
      <c r="DE430" s="37"/>
      <c r="DF430" s="37"/>
      <c r="DG430" s="37"/>
      <c r="DH430" s="37"/>
      <c r="DI430" s="37"/>
      <c r="DJ430" s="37"/>
      <c r="DK430" s="37"/>
      <c r="DL430" s="37"/>
      <c r="DM430" s="37"/>
      <c r="DN430" s="37"/>
      <c r="DO430" s="37"/>
      <c r="DP430" s="37"/>
      <c r="DQ430" s="37"/>
      <c r="DR430" s="37"/>
      <c r="DS430" s="37"/>
      <c r="DT430" s="37"/>
      <c r="DU430" s="37"/>
      <c r="DV430" s="37"/>
      <c r="DW430" s="37"/>
      <c r="DX430" s="37"/>
      <c r="DY430" s="37"/>
      <c r="DZ430" s="37"/>
      <c r="EA430" s="37"/>
      <c r="EB430" s="37"/>
      <c r="EC430" s="37"/>
      <c r="ED430" s="37"/>
      <c r="EE430" s="37"/>
      <c r="EF430" s="37"/>
      <c r="EG430" s="37"/>
      <c r="EH430" s="37"/>
      <c r="EI430" s="37"/>
      <c r="EJ430" s="37"/>
      <c r="EK430" s="37"/>
      <c r="EL430" s="37"/>
      <c r="EM430" s="37"/>
      <c r="EN430" s="37"/>
      <c r="EO430" s="37"/>
      <c r="EP430" s="37"/>
      <c r="EQ430" s="37"/>
      <c r="ER430" s="37"/>
      <c r="ES430" s="37"/>
    </row>
    <row r="431" spans="1:16" ht="12.75" customHeight="1">
      <c r="A431" s="13" t="s">
        <v>151</v>
      </c>
      <c r="B431" s="9"/>
      <c r="C431" s="9"/>
      <c r="D431" s="10"/>
      <c r="E431" s="10"/>
      <c r="F431" s="10"/>
      <c r="G431" s="10"/>
      <c r="H431" s="10"/>
      <c r="I431" s="10"/>
      <c r="J431" s="10"/>
      <c r="K431" s="64"/>
      <c r="L431" s="10"/>
      <c r="M431" s="10"/>
      <c r="N431" s="10"/>
      <c r="O431" s="10"/>
      <c r="P431" s="10"/>
    </row>
    <row r="432" spans="1:16" ht="24" customHeight="1">
      <c r="A432" s="8" t="s">
        <v>150</v>
      </c>
      <c r="B432" s="11"/>
      <c r="C432" s="11"/>
      <c r="D432" s="42">
        <v>5400</v>
      </c>
      <c r="E432" s="42"/>
      <c r="F432" s="42">
        <f>D432</f>
        <v>5400</v>
      </c>
      <c r="G432" s="42">
        <v>4640</v>
      </c>
      <c r="H432" s="42"/>
      <c r="I432" s="42"/>
      <c r="J432" s="42">
        <f>G432</f>
        <v>4640</v>
      </c>
      <c r="K432" s="64"/>
      <c r="L432" s="64"/>
      <c r="M432" s="64"/>
      <c r="N432" s="42">
        <v>5600</v>
      </c>
      <c r="O432" s="42"/>
      <c r="P432" s="42">
        <f>N432</f>
        <v>5600</v>
      </c>
    </row>
    <row r="433" spans="1:16" ht="11.25">
      <c r="A433" s="13" t="s">
        <v>7</v>
      </c>
      <c r="B433" s="11"/>
      <c r="C433" s="11"/>
      <c r="D433" s="42"/>
      <c r="E433" s="42"/>
      <c r="F433" s="42"/>
      <c r="G433" s="42"/>
      <c r="H433" s="42"/>
      <c r="I433" s="42"/>
      <c r="J433" s="42"/>
      <c r="K433" s="64"/>
      <c r="L433" s="64"/>
      <c r="M433" s="64"/>
      <c r="N433" s="42"/>
      <c r="O433" s="42"/>
      <c r="P433" s="42"/>
    </row>
    <row r="434" spans="1:16" ht="18.75" customHeight="1">
      <c r="A434" s="11" t="s">
        <v>152</v>
      </c>
      <c r="B434" s="11"/>
      <c r="C434" s="11"/>
      <c r="D434" s="42">
        <v>12.037037037</v>
      </c>
      <c r="E434" s="42"/>
      <c r="F434" s="42">
        <f>D434</f>
        <v>12.037037037</v>
      </c>
      <c r="G434" s="42">
        <v>12.5</v>
      </c>
      <c r="H434" s="42"/>
      <c r="I434" s="42"/>
      <c r="J434" s="42">
        <f>G434</f>
        <v>12.5</v>
      </c>
      <c r="K434" s="64"/>
      <c r="L434" s="64"/>
      <c r="M434" s="64"/>
      <c r="N434" s="42">
        <v>13.3928571428</v>
      </c>
      <c r="O434" s="42"/>
      <c r="P434" s="42">
        <f>N434</f>
        <v>13.3928571428</v>
      </c>
    </row>
    <row r="435" spans="1:149" s="38" customFormat="1" ht="403.5" customHeight="1">
      <c r="A435" s="66" t="s">
        <v>475</v>
      </c>
      <c r="B435" s="9"/>
      <c r="C435" s="9"/>
      <c r="D435" s="144">
        <f>D437*D456+D439*D458+D438*D457+D440*D459+D443*D461+D444*D462</f>
        <v>404000</v>
      </c>
      <c r="E435" s="10"/>
      <c r="F435" s="10">
        <f>F437*F456+F439*F458+F438*F457+F440*F459+F443*F461+F444*F462</f>
        <v>404000</v>
      </c>
      <c r="G435" s="10">
        <f>G437*G456+G439*G458+G438*G457+G440*G459+G443*G461+G444*G462+G445*G464+G442*G463+G441*G460+84000+11090</f>
        <v>887790</v>
      </c>
      <c r="H435" s="10"/>
      <c r="I435" s="10"/>
      <c r="J435" s="10">
        <f>G435</f>
        <v>887790</v>
      </c>
      <c r="K435" s="10"/>
      <c r="L435" s="10"/>
      <c r="M435" s="10"/>
      <c r="N435" s="10">
        <f>N439*N458+N437*N456+N444*N462+N446*N465+N447*N467+285000+60000+N448*N466+N449*N468+N450*N469+N451*N470+N452*N471+N453*N472+(N454*N473)</f>
        <v>2105650</v>
      </c>
      <c r="O435" s="10"/>
      <c r="P435" s="10">
        <f>N435</f>
        <v>2105650</v>
      </c>
      <c r="Q435" s="37"/>
      <c r="R435" s="37"/>
      <c r="S435" s="37"/>
      <c r="T435" s="37"/>
      <c r="U435" s="37"/>
      <c r="V435" s="37"/>
      <c r="W435" s="37"/>
      <c r="X435" s="37"/>
      <c r="Y435" s="37"/>
      <c r="Z435" s="37"/>
      <c r="AA435" s="37"/>
      <c r="AB435" s="37"/>
      <c r="AC435" s="37"/>
      <c r="AD435" s="37"/>
      <c r="AE435" s="37"/>
      <c r="AF435" s="37"/>
      <c r="AG435" s="37"/>
      <c r="AH435" s="37"/>
      <c r="AI435" s="37"/>
      <c r="AJ435" s="37"/>
      <c r="AK435" s="37"/>
      <c r="AL435" s="37"/>
      <c r="AM435" s="37"/>
      <c r="AN435" s="37"/>
      <c r="AO435" s="37"/>
      <c r="AP435" s="37"/>
      <c r="AQ435" s="37"/>
      <c r="AR435" s="37"/>
      <c r="AS435" s="37"/>
      <c r="AT435" s="37"/>
      <c r="AU435" s="37"/>
      <c r="AV435" s="37"/>
      <c r="AW435" s="37"/>
      <c r="AX435" s="37"/>
      <c r="AY435" s="37"/>
      <c r="AZ435" s="37"/>
      <c r="BA435" s="37"/>
      <c r="BB435" s="37"/>
      <c r="BC435" s="37"/>
      <c r="BD435" s="37"/>
      <c r="BE435" s="37"/>
      <c r="BF435" s="37"/>
      <c r="BG435" s="37"/>
      <c r="BH435" s="37"/>
      <c r="BI435" s="37"/>
      <c r="BJ435" s="37"/>
      <c r="BK435" s="37"/>
      <c r="BL435" s="37"/>
      <c r="BM435" s="37"/>
      <c r="BN435" s="37"/>
      <c r="BO435" s="37"/>
      <c r="BP435" s="37"/>
      <c r="BQ435" s="37"/>
      <c r="BR435" s="37"/>
      <c r="BS435" s="37"/>
      <c r="BT435" s="37"/>
      <c r="BU435" s="37"/>
      <c r="BV435" s="37"/>
      <c r="BW435" s="37"/>
      <c r="BX435" s="37"/>
      <c r="BY435" s="37"/>
      <c r="BZ435" s="37"/>
      <c r="CA435" s="37"/>
      <c r="CB435" s="37"/>
      <c r="CC435" s="37"/>
      <c r="CD435" s="37"/>
      <c r="CE435" s="37"/>
      <c r="CF435" s="37"/>
      <c r="CG435" s="37"/>
      <c r="CH435" s="37"/>
      <c r="CI435" s="37"/>
      <c r="CJ435" s="37"/>
      <c r="CK435" s="37"/>
      <c r="CL435" s="37"/>
      <c r="CM435" s="37"/>
      <c r="CN435" s="37"/>
      <c r="CO435" s="37"/>
      <c r="CP435" s="37"/>
      <c r="CQ435" s="37"/>
      <c r="CR435" s="37"/>
      <c r="CS435" s="37"/>
      <c r="CT435" s="37"/>
      <c r="CU435" s="37"/>
      <c r="CV435" s="37"/>
      <c r="CW435" s="37"/>
      <c r="CX435" s="37"/>
      <c r="CY435" s="37"/>
      <c r="CZ435" s="37"/>
      <c r="DA435" s="37"/>
      <c r="DB435" s="37"/>
      <c r="DC435" s="37"/>
      <c r="DD435" s="37"/>
      <c r="DE435" s="37"/>
      <c r="DF435" s="37"/>
      <c r="DG435" s="37"/>
      <c r="DH435" s="37"/>
      <c r="DI435" s="37"/>
      <c r="DJ435" s="37"/>
      <c r="DK435" s="37"/>
      <c r="DL435" s="37"/>
      <c r="DM435" s="37"/>
      <c r="DN435" s="37"/>
      <c r="DO435" s="37"/>
      <c r="DP435" s="37"/>
      <c r="DQ435" s="37"/>
      <c r="DR435" s="37"/>
      <c r="DS435" s="37"/>
      <c r="DT435" s="37"/>
      <c r="DU435" s="37"/>
      <c r="DV435" s="37"/>
      <c r="DW435" s="37"/>
      <c r="DX435" s="37"/>
      <c r="DY435" s="37"/>
      <c r="DZ435" s="37"/>
      <c r="EA435" s="37"/>
      <c r="EB435" s="37"/>
      <c r="EC435" s="37"/>
      <c r="ED435" s="37"/>
      <c r="EE435" s="37"/>
      <c r="EF435" s="37"/>
      <c r="EG435" s="37"/>
      <c r="EH435" s="37"/>
      <c r="EI435" s="37"/>
      <c r="EJ435" s="37"/>
      <c r="EK435" s="37"/>
      <c r="EL435" s="37"/>
      <c r="EM435" s="37"/>
      <c r="EN435" s="37"/>
      <c r="EO435" s="37"/>
      <c r="EP435" s="37"/>
      <c r="EQ435" s="37"/>
      <c r="ER435" s="37"/>
      <c r="ES435" s="37"/>
    </row>
    <row r="436" spans="1:16" ht="11.25">
      <c r="A436" s="13" t="s">
        <v>151</v>
      </c>
      <c r="B436" s="9"/>
      <c r="C436" s="9"/>
      <c r="D436" s="10"/>
      <c r="E436" s="10"/>
      <c r="F436" s="10"/>
      <c r="G436" s="10"/>
      <c r="H436" s="10"/>
      <c r="I436" s="10"/>
      <c r="J436" s="10"/>
      <c r="K436" s="64"/>
      <c r="L436" s="64"/>
      <c r="M436" s="64"/>
      <c r="N436" s="42"/>
      <c r="O436" s="42"/>
      <c r="P436" s="42"/>
    </row>
    <row r="437" spans="1:16" ht="23.25" customHeight="1">
      <c r="A437" s="8" t="s">
        <v>265</v>
      </c>
      <c r="B437" s="9"/>
      <c r="C437" s="9"/>
      <c r="D437" s="42">
        <v>5</v>
      </c>
      <c r="E437" s="10"/>
      <c r="F437" s="42">
        <f>D437+E437</f>
        <v>5</v>
      </c>
      <c r="G437" s="42">
        <v>5</v>
      </c>
      <c r="H437" s="10"/>
      <c r="I437" s="42"/>
      <c r="J437" s="42">
        <f aca="true" t="shared" si="55" ref="J437:J445">G437+H437</f>
        <v>5</v>
      </c>
      <c r="K437" s="64"/>
      <c r="L437" s="64"/>
      <c r="M437" s="64"/>
      <c r="N437" s="42">
        <v>5</v>
      </c>
      <c r="O437" s="42"/>
      <c r="P437" s="42">
        <f>N437</f>
        <v>5</v>
      </c>
    </row>
    <row r="438" spans="1:16" ht="21" customHeight="1">
      <c r="A438" s="8" t="s">
        <v>270</v>
      </c>
      <c r="B438" s="9"/>
      <c r="C438" s="9"/>
      <c r="D438" s="42">
        <v>1</v>
      </c>
      <c r="E438" s="10"/>
      <c r="F438" s="42">
        <v>1</v>
      </c>
      <c r="G438" s="42">
        <v>1</v>
      </c>
      <c r="H438" s="10"/>
      <c r="I438" s="42"/>
      <c r="J438" s="42">
        <f t="shared" si="55"/>
        <v>1</v>
      </c>
      <c r="K438" s="64"/>
      <c r="L438" s="64"/>
      <c r="M438" s="64"/>
      <c r="N438" s="42"/>
      <c r="O438" s="42"/>
      <c r="P438" s="42"/>
    </row>
    <row r="439" spans="1:16" ht="43.5" customHeight="1">
      <c r="A439" s="8" t="s">
        <v>223</v>
      </c>
      <c r="B439" s="11"/>
      <c r="C439" s="11"/>
      <c r="D439" s="42">
        <v>12</v>
      </c>
      <c r="E439" s="42"/>
      <c r="F439" s="42">
        <f>D439+E439</f>
        <v>12</v>
      </c>
      <c r="G439" s="42">
        <v>12</v>
      </c>
      <c r="H439" s="42"/>
      <c r="I439" s="42"/>
      <c r="J439" s="42">
        <f t="shared" si="55"/>
        <v>12</v>
      </c>
      <c r="K439" s="64"/>
      <c r="L439" s="64"/>
      <c r="M439" s="64"/>
      <c r="N439" s="42">
        <v>12</v>
      </c>
      <c r="O439" s="42"/>
      <c r="P439" s="42">
        <f>N439</f>
        <v>12</v>
      </c>
    </row>
    <row r="440" spans="1:16" ht="21.75" customHeight="1">
      <c r="A440" s="70" t="s">
        <v>321</v>
      </c>
      <c r="B440" s="11"/>
      <c r="C440" s="11"/>
      <c r="D440" s="42">
        <v>1</v>
      </c>
      <c r="E440" s="42"/>
      <c r="F440" s="42">
        <f>D440+E440</f>
        <v>1</v>
      </c>
      <c r="G440" s="42">
        <v>1</v>
      </c>
      <c r="H440" s="42"/>
      <c r="I440" s="42"/>
      <c r="J440" s="42">
        <f t="shared" si="55"/>
        <v>1</v>
      </c>
      <c r="K440" s="64"/>
      <c r="L440" s="64"/>
      <c r="M440" s="64"/>
      <c r="N440" s="42"/>
      <c r="O440" s="42"/>
      <c r="P440" s="42"/>
    </row>
    <row r="441" spans="1:16" ht="23.25" customHeight="1">
      <c r="A441" s="70" t="s">
        <v>434</v>
      </c>
      <c r="B441" s="11"/>
      <c r="C441" s="11"/>
      <c r="D441" s="42"/>
      <c r="E441" s="42"/>
      <c r="F441" s="42"/>
      <c r="G441" s="42">
        <v>1</v>
      </c>
      <c r="H441" s="42"/>
      <c r="I441" s="42"/>
      <c r="J441" s="42">
        <f t="shared" si="55"/>
        <v>1</v>
      </c>
      <c r="K441" s="64"/>
      <c r="L441" s="64"/>
      <c r="M441" s="64"/>
      <c r="N441" s="42"/>
      <c r="O441" s="42"/>
      <c r="P441" s="42"/>
    </row>
    <row r="442" spans="1:16" ht="29.25" customHeight="1">
      <c r="A442" s="70" t="s">
        <v>432</v>
      </c>
      <c r="B442" s="11"/>
      <c r="C442" s="11"/>
      <c r="D442" s="42"/>
      <c r="E442" s="42"/>
      <c r="F442" s="42"/>
      <c r="G442" s="42">
        <v>1</v>
      </c>
      <c r="H442" s="42"/>
      <c r="I442" s="42"/>
      <c r="J442" s="42">
        <f t="shared" si="55"/>
        <v>1</v>
      </c>
      <c r="K442" s="64"/>
      <c r="L442" s="64"/>
      <c r="M442" s="64"/>
      <c r="N442" s="42"/>
      <c r="O442" s="42"/>
      <c r="P442" s="42"/>
    </row>
    <row r="443" spans="1:16" ht="12.75" customHeight="1">
      <c r="A443" s="70" t="s">
        <v>323</v>
      </c>
      <c r="B443" s="11"/>
      <c r="C443" s="11"/>
      <c r="D443" s="42">
        <v>1</v>
      </c>
      <c r="E443" s="42"/>
      <c r="F443" s="42">
        <f>D443+E443</f>
        <v>1</v>
      </c>
      <c r="G443" s="42"/>
      <c r="H443" s="42"/>
      <c r="I443" s="42"/>
      <c r="J443" s="42">
        <f t="shared" si="55"/>
        <v>0</v>
      </c>
      <c r="K443" s="64"/>
      <c r="L443" s="64"/>
      <c r="M443" s="64"/>
      <c r="N443" s="42"/>
      <c r="O443" s="42"/>
      <c r="P443" s="42"/>
    </row>
    <row r="444" spans="1:16" ht="21.75" customHeight="1">
      <c r="A444" s="8" t="s">
        <v>353</v>
      </c>
      <c r="B444" s="67"/>
      <c r="C444" s="11"/>
      <c r="D444" s="42">
        <v>4</v>
      </c>
      <c r="E444" s="42"/>
      <c r="F444" s="42">
        <f>D444+E444</f>
        <v>4</v>
      </c>
      <c r="G444" s="42">
        <v>4</v>
      </c>
      <c r="H444" s="42"/>
      <c r="I444" s="42"/>
      <c r="J444" s="42">
        <f t="shared" si="55"/>
        <v>4</v>
      </c>
      <c r="K444" s="64"/>
      <c r="L444" s="64"/>
      <c r="M444" s="64"/>
      <c r="N444" s="42">
        <v>5</v>
      </c>
      <c r="O444" s="42"/>
      <c r="P444" s="42">
        <v>5</v>
      </c>
    </row>
    <row r="445" spans="1:16" ht="46.5" customHeight="1">
      <c r="A445" s="8" t="s">
        <v>419</v>
      </c>
      <c r="B445" s="67"/>
      <c r="C445" s="11"/>
      <c r="D445" s="42">
        <v>0</v>
      </c>
      <c r="E445" s="42"/>
      <c r="F445" s="42">
        <f>D445+E445</f>
        <v>0</v>
      </c>
      <c r="G445" s="42">
        <v>1</v>
      </c>
      <c r="H445" s="42"/>
      <c r="I445" s="42"/>
      <c r="J445" s="42">
        <f t="shared" si="55"/>
        <v>1</v>
      </c>
      <c r="K445" s="64"/>
      <c r="L445" s="64"/>
      <c r="M445" s="64"/>
      <c r="N445" s="42"/>
      <c r="O445" s="42"/>
      <c r="P445" s="42"/>
    </row>
    <row r="446" spans="1:16" ht="21" customHeight="1">
      <c r="A446" s="96" t="s">
        <v>436</v>
      </c>
      <c r="B446" s="67"/>
      <c r="C446" s="11"/>
      <c r="D446" s="42"/>
      <c r="E446" s="42"/>
      <c r="F446" s="42"/>
      <c r="G446" s="42"/>
      <c r="H446" s="42"/>
      <c r="I446" s="42"/>
      <c r="J446" s="42"/>
      <c r="K446" s="64"/>
      <c r="L446" s="64"/>
      <c r="M446" s="64"/>
      <c r="N446" s="42">
        <v>1</v>
      </c>
      <c r="O446" s="42"/>
      <c r="P446" s="42">
        <v>1</v>
      </c>
    </row>
    <row r="447" spans="1:16" ht="21" customHeight="1">
      <c r="A447" s="96" t="s">
        <v>438</v>
      </c>
      <c r="B447" s="67"/>
      <c r="C447" s="11"/>
      <c r="D447" s="42"/>
      <c r="E447" s="42"/>
      <c r="F447" s="42"/>
      <c r="G447" s="42"/>
      <c r="H447" s="42"/>
      <c r="I447" s="42"/>
      <c r="J447" s="42"/>
      <c r="K447" s="64"/>
      <c r="L447" s="64"/>
      <c r="M447" s="64"/>
      <c r="N447" s="42">
        <f>8+8</f>
        <v>16</v>
      </c>
      <c r="O447" s="42"/>
      <c r="P447" s="42">
        <v>8</v>
      </c>
    </row>
    <row r="448" spans="1:16" ht="21" customHeight="1">
      <c r="A448" s="96" t="s">
        <v>444</v>
      </c>
      <c r="B448" s="67"/>
      <c r="C448" s="11"/>
      <c r="D448" s="42"/>
      <c r="E448" s="42"/>
      <c r="F448" s="42"/>
      <c r="G448" s="42"/>
      <c r="H448" s="42"/>
      <c r="I448" s="42"/>
      <c r="J448" s="42"/>
      <c r="K448" s="64"/>
      <c r="L448" s="64"/>
      <c r="M448" s="64"/>
      <c r="N448" s="42">
        <v>1</v>
      </c>
      <c r="O448" s="42"/>
      <c r="P448" s="42">
        <v>1</v>
      </c>
    </row>
    <row r="449" spans="1:16" ht="21" customHeight="1">
      <c r="A449" s="96" t="s">
        <v>450</v>
      </c>
      <c r="B449" s="67"/>
      <c r="C449" s="11"/>
      <c r="D449" s="42"/>
      <c r="E449" s="42"/>
      <c r="F449" s="42"/>
      <c r="G449" s="42"/>
      <c r="H449" s="42"/>
      <c r="I449" s="42"/>
      <c r="J449" s="42"/>
      <c r="K449" s="64"/>
      <c r="L449" s="64"/>
      <c r="M449" s="64"/>
      <c r="N449" s="42">
        <v>1</v>
      </c>
      <c r="O449" s="42"/>
      <c r="P449" s="42">
        <v>1</v>
      </c>
    </row>
    <row r="450" spans="1:16" ht="21" customHeight="1">
      <c r="A450" s="96" t="s">
        <v>451</v>
      </c>
      <c r="B450" s="67"/>
      <c r="C450" s="11"/>
      <c r="D450" s="42"/>
      <c r="E450" s="42"/>
      <c r="F450" s="42"/>
      <c r="G450" s="42"/>
      <c r="H450" s="42"/>
      <c r="I450" s="42"/>
      <c r="J450" s="42"/>
      <c r="K450" s="64"/>
      <c r="L450" s="64"/>
      <c r="M450" s="64"/>
      <c r="N450" s="42">
        <v>1</v>
      </c>
      <c r="O450" s="42"/>
      <c r="P450" s="42">
        <v>1</v>
      </c>
    </row>
    <row r="451" spans="1:16" ht="56.25" customHeight="1">
      <c r="A451" s="96" t="s">
        <v>452</v>
      </c>
      <c r="B451" s="67"/>
      <c r="C451" s="11"/>
      <c r="D451" s="42"/>
      <c r="E451" s="42"/>
      <c r="F451" s="42"/>
      <c r="G451" s="42"/>
      <c r="H451" s="42"/>
      <c r="I451" s="42"/>
      <c r="J451" s="42"/>
      <c r="K451" s="64"/>
      <c r="L451" s="64"/>
      <c r="M451" s="64"/>
      <c r="N451" s="42">
        <v>1</v>
      </c>
      <c r="O451" s="42"/>
      <c r="P451" s="42">
        <v>1</v>
      </c>
    </row>
    <row r="452" spans="1:16" ht="21" customHeight="1">
      <c r="A452" s="96" t="s">
        <v>456</v>
      </c>
      <c r="B452" s="67"/>
      <c r="C452" s="11"/>
      <c r="D452" s="42"/>
      <c r="E452" s="42"/>
      <c r="F452" s="42"/>
      <c r="G452" s="42"/>
      <c r="H452" s="42"/>
      <c r="I452" s="42"/>
      <c r="J452" s="42"/>
      <c r="K452" s="64"/>
      <c r="L452" s="64"/>
      <c r="M452" s="64"/>
      <c r="N452" s="42">
        <v>1</v>
      </c>
      <c r="O452" s="42"/>
      <c r="P452" s="42">
        <v>1</v>
      </c>
    </row>
    <row r="453" spans="1:16" ht="33" customHeight="1">
      <c r="A453" s="96" t="s">
        <v>457</v>
      </c>
      <c r="B453" s="67"/>
      <c r="C453" s="11"/>
      <c r="D453" s="42"/>
      <c r="E453" s="42"/>
      <c r="F453" s="42"/>
      <c r="G453" s="42"/>
      <c r="H453" s="42"/>
      <c r="I453" s="42"/>
      <c r="J453" s="42"/>
      <c r="K453" s="64"/>
      <c r="L453" s="64"/>
      <c r="M453" s="64"/>
      <c r="N453" s="42">
        <v>20000</v>
      </c>
      <c r="O453" s="42"/>
      <c r="P453" s="42">
        <v>20000</v>
      </c>
    </row>
    <row r="454" spans="1:16" ht="27.75" customHeight="1">
      <c r="A454" s="96" t="s">
        <v>476</v>
      </c>
      <c r="B454" s="67"/>
      <c r="C454" s="11"/>
      <c r="D454" s="42"/>
      <c r="E454" s="42"/>
      <c r="F454" s="42"/>
      <c r="G454" s="42"/>
      <c r="H454" s="42"/>
      <c r="I454" s="42"/>
      <c r="J454" s="42"/>
      <c r="K454" s="64"/>
      <c r="L454" s="64"/>
      <c r="M454" s="64"/>
      <c r="N454" s="42">
        <v>1</v>
      </c>
      <c r="O454" s="42"/>
      <c r="P454" s="42">
        <v>1</v>
      </c>
    </row>
    <row r="455" spans="1:16" ht="11.25">
      <c r="A455" s="60" t="s">
        <v>7</v>
      </c>
      <c r="B455" s="11"/>
      <c r="C455" s="11"/>
      <c r="D455" s="42"/>
      <c r="E455" s="42"/>
      <c r="F455" s="42"/>
      <c r="G455" s="42"/>
      <c r="H455" s="42"/>
      <c r="I455" s="42"/>
      <c r="J455" s="42"/>
      <c r="K455" s="64"/>
      <c r="L455" s="64"/>
      <c r="M455" s="64"/>
      <c r="N455" s="42"/>
      <c r="O455" s="42"/>
      <c r="P455" s="42"/>
    </row>
    <row r="456" spans="1:16" ht="22.5">
      <c r="A456" s="11" t="s">
        <v>264</v>
      </c>
      <c r="B456" s="11"/>
      <c r="C456" s="11"/>
      <c r="D456" s="42">
        <v>8400</v>
      </c>
      <c r="E456" s="42"/>
      <c r="F456" s="42">
        <f>D456+E456</f>
        <v>8400</v>
      </c>
      <c r="G456" s="42">
        <v>13000</v>
      </c>
      <c r="H456" s="42"/>
      <c r="I456" s="42"/>
      <c r="J456" s="42">
        <f aca="true" t="shared" si="56" ref="J456:J464">G456+H456</f>
        <v>13000</v>
      </c>
      <c r="K456" s="64"/>
      <c r="L456" s="64"/>
      <c r="M456" s="64"/>
      <c r="N456" s="42">
        <v>15000</v>
      </c>
      <c r="O456" s="42"/>
      <c r="P456" s="42">
        <f>N456</f>
        <v>15000</v>
      </c>
    </row>
    <row r="457" spans="1:16" ht="22.5">
      <c r="A457" s="11" t="s">
        <v>269</v>
      </c>
      <c r="B457" s="11"/>
      <c r="C457" s="11"/>
      <c r="D457" s="42">
        <v>167000</v>
      </c>
      <c r="E457" s="42"/>
      <c r="F457" s="42">
        <f>D457+E457</f>
        <v>167000</v>
      </c>
      <c r="G457" s="42">
        <v>200000</v>
      </c>
      <c r="H457" s="42"/>
      <c r="I457" s="42"/>
      <c r="J457" s="42">
        <f t="shared" si="56"/>
        <v>200000</v>
      </c>
      <c r="K457" s="64"/>
      <c r="L457" s="64"/>
      <c r="M457" s="64"/>
      <c r="N457" s="42"/>
      <c r="O457" s="42"/>
      <c r="P457" s="42"/>
    </row>
    <row r="458" spans="1:16" ht="33.75" customHeight="1">
      <c r="A458" s="11" t="s">
        <v>174</v>
      </c>
      <c r="B458" s="11"/>
      <c r="C458" s="11"/>
      <c r="D458" s="42">
        <f>10000/12</f>
        <v>833.3333333333334</v>
      </c>
      <c r="E458" s="42"/>
      <c r="F458" s="42">
        <f>D458+E458</f>
        <v>833.3333333333334</v>
      </c>
      <c r="G458" s="42">
        <v>500</v>
      </c>
      <c r="H458" s="42"/>
      <c r="I458" s="42"/>
      <c r="J458" s="42">
        <f t="shared" si="56"/>
        <v>500</v>
      </c>
      <c r="K458" s="64"/>
      <c r="L458" s="64"/>
      <c r="M458" s="64"/>
      <c r="N458" s="42">
        <f>15000/12</f>
        <v>1250</v>
      </c>
      <c r="O458" s="42"/>
      <c r="P458" s="42">
        <f>N458</f>
        <v>1250</v>
      </c>
    </row>
    <row r="459" spans="1:16" ht="19.5" customHeight="1">
      <c r="A459" s="11" t="s">
        <v>322</v>
      </c>
      <c r="B459" s="20"/>
      <c r="C459" s="20"/>
      <c r="D459" s="42">
        <v>150000</v>
      </c>
      <c r="E459" s="43"/>
      <c r="F459" s="43">
        <v>150000</v>
      </c>
      <c r="G459" s="43">
        <v>96000</v>
      </c>
      <c r="H459" s="43"/>
      <c r="I459" s="43"/>
      <c r="J459" s="64">
        <f t="shared" si="56"/>
        <v>96000</v>
      </c>
      <c r="K459" s="43"/>
      <c r="L459" s="43"/>
      <c r="M459" s="43"/>
      <c r="N459" s="43"/>
      <c r="O459" s="43"/>
      <c r="P459" s="43"/>
    </row>
    <row r="460" spans="1:16" ht="19.5" customHeight="1">
      <c r="A460" s="16" t="s">
        <v>435</v>
      </c>
      <c r="B460" s="20"/>
      <c r="C460" s="20"/>
      <c r="D460" s="158"/>
      <c r="E460" s="43"/>
      <c r="F460" s="43"/>
      <c r="G460" s="43">
        <v>200000</v>
      </c>
      <c r="H460" s="43"/>
      <c r="I460" s="43"/>
      <c r="J460" s="64">
        <f t="shared" si="56"/>
        <v>200000</v>
      </c>
      <c r="K460" s="43"/>
      <c r="L460" s="43"/>
      <c r="M460" s="43"/>
      <c r="N460" s="43"/>
      <c r="O460" s="43"/>
      <c r="P460" s="43"/>
    </row>
    <row r="461" spans="1:16" ht="19.5" customHeight="1">
      <c r="A461" s="16" t="s">
        <v>324</v>
      </c>
      <c r="B461" s="20"/>
      <c r="C461" s="20"/>
      <c r="D461" s="43">
        <v>1000</v>
      </c>
      <c r="E461" s="43"/>
      <c r="F461" s="43">
        <v>1000</v>
      </c>
      <c r="G461" s="43"/>
      <c r="H461" s="43"/>
      <c r="I461" s="43"/>
      <c r="J461" s="64">
        <f t="shared" si="56"/>
        <v>0</v>
      </c>
      <c r="K461" s="43"/>
      <c r="L461" s="43"/>
      <c r="M461" s="43"/>
      <c r="N461" s="43"/>
      <c r="O461" s="43"/>
      <c r="P461" s="43"/>
    </row>
    <row r="462" spans="1:16" ht="21.75" customHeight="1">
      <c r="A462" s="20" t="s">
        <v>354</v>
      </c>
      <c r="B462" s="20"/>
      <c r="C462" s="20"/>
      <c r="D462" s="43">
        <v>8500</v>
      </c>
      <c r="E462" s="43"/>
      <c r="F462" s="43">
        <v>8500</v>
      </c>
      <c r="G462" s="43">
        <v>12750</v>
      </c>
      <c r="H462" s="43"/>
      <c r="I462" s="43"/>
      <c r="J462" s="64">
        <f t="shared" si="56"/>
        <v>12750</v>
      </c>
      <c r="K462" s="43"/>
      <c r="L462" s="43"/>
      <c r="M462" s="43"/>
      <c r="N462" s="43">
        <v>9670</v>
      </c>
      <c r="O462" s="43"/>
      <c r="P462" s="43">
        <v>9670</v>
      </c>
    </row>
    <row r="463" spans="1:16" ht="21.75" customHeight="1">
      <c r="A463" s="20" t="s">
        <v>433</v>
      </c>
      <c r="B463" s="20"/>
      <c r="C463" s="20"/>
      <c r="D463" s="43"/>
      <c r="E463" s="43"/>
      <c r="F463" s="43"/>
      <c r="G463" s="43">
        <v>80000</v>
      </c>
      <c r="H463" s="43"/>
      <c r="I463" s="43"/>
      <c r="J463" s="64">
        <f t="shared" si="56"/>
        <v>80000</v>
      </c>
      <c r="K463" s="43"/>
      <c r="L463" s="43"/>
      <c r="M463" s="43"/>
      <c r="N463" s="43"/>
      <c r="O463" s="43"/>
      <c r="P463" s="43"/>
    </row>
    <row r="464" spans="1:16" ht="21.75" customHeight="1">
      <c r="A464" s="20" t="s">
        <v>420</v>
      </c>
      <c r="B464" s="20"/>
      <c r="C464" s="20"/>
      <c r="D464" s="43"/>
      <c r="E464" s="43"/>
      <c r="F464" s="43"/>
      <c r="G464" s="43">
        <f>20000+30000+16200+13500+12000+3000</f>
        <v>94700</v>
      </c>
      <c r="H464" s="43"/>
      <c r="I464" s="43"/>
      <c r="J464" s="64">
        <f t="shared" si="56"/>
        <v>94700</v>
      </c>
      <c r="K464" s="43"/>
      <c r="L464" s="43"/>
      <c r="M464" s="43"/>
      <c r="N464" s="43"/>
      <c r="O464" s="43"/>
      <c r="P464" s="43"/>
    </row>
    <row r="465" spans="1:16" ht="21.75" customHeight="1">
      <c r="A465" s="20" t="s">
        <v>437</v>
      </c>
      <c r="B465" s="20"/>
      <c r="C465" s="20"/>
      <c r="D465" s="43"/>
      <c r="E465" s="43"/>
      <c r="F465" s="43"/>
      <c r="G465" s="43"/>
      <c r="H465" s="43"/>
      <c r="I465" s="43"/>
      <c r="J465" s="161"/>
      <c r="K465" s="43"/>
      <c r="L465" s="43"/>
      <c r="M465" s="43"/>
      <c r="N465" s="43">
        <v>30000</v>
      </c>
      <c r="O465" s="43"/>
      <c r="P465" s="43">
        <v>30000</v>
      </c>
    </row>
    <row r="466" spans="1:16" ht="21.75" customHeight="1">
      <c r="A466" s="20" t="s">
        <v>445</v>
      </c>
      <c r="B466" s="20"/>
      <c r="C466" s="20"/>
      <c r="D466" s="43"/>
      <c r="E466" s="43"/>
      <c r="F466" s="43"/>
      <c r="G466" s="43"/>
      <c r="H466" s="43"/>
      <c r="I466" s="43"/>
      <c r="J466" s="161"/>
      <c r="K466" s="43"/>
      <c r="L466" s="43"/>
      <c r="M466" s="43"/>
      <c r="N466" s="43">
        <v>190000</v>
      </c>
      <c r="O466" s="43"/>
      <c r="P466" s="43">
        <v>190000</v>
      </c>
    </row>
    <row r="467" spans="1:16" ht="21.75" customHeight="1">
      <c r="A467" s="20" t="s">
        <v>439</v>
      </c>
      <c r="B467" s="20"/>
      <c r="C467" s="20"/>
      <c r="D467" s="43"/>
      <c r="E467" s="43"/>
      <c r="F467" s="43"/>
      <c r="G467" s="43"/>
      <c r="H467" s="43"/>
      <c r="I467" s="43"/>
      <c r="J467" s="161"/>
      <c r="K467" s="43"/>
      <c r="L467" s="43"/>
      <c r="M467" s="43"/>
      <c r="N467" s="43">
        <f>37500</f>
        <v>37500</v>
      </c>
      <c r="O467" s="43"/>
      <c r="P467" s="43">
        <v>37500</v>
      </c>
    </row>
    <row r="468" spans="1:16" ht="21.75" customHeight="1">
      <c r="A468" s="20" t="s">
        <v>453</v>
      </c>
      <c r="B468" s="20"/>
      <c r="C468" s="20"/>
      <c r="D468" s="43"/>
      <c r="E468" s="43"/>
      <c r="F468" s="43"/>
      <c r="G468" s="43"/>
      <c r="H468" s="43"/>
      <c r="I468" s="43"/>
      <c r="J468" s="161"/>
      <c r="K468" s="43"/>
      <c r="L468" s="43"/>
      <c r="M468" s="43"/>
      <c r="N468" s="43">
        <v>4300</v>
      </c>
      <c r="O468" s="43"/>
      <c r="P468" s="43">
        <v>4300</v>
      </c>
    </row>
    <row r="469" spans="1:16" ht="21.75" customHeight="1">
      <c r="A469" s="20" t="s">
        <v>454</v>
      </c>
      <c r="B469" s="20"/>
      <c r="C469" s="20"/>
      <c r="D469" s="43"/>
      <c r="E469" s="43"/>
      <c r="F469" s="43"/>
      <c r="G469" s="43"/>
      <c r="H469" s="43"/>
      <c r="I469" s="43"/>
      <c r="J469" s="161"/>
      <c r="K469" s="43"/>
      <c r="L469" s="43"/>
      <c r="M469" s="43"/>
      <c r="N469" s="43">
        <v>79000</v>
      </c>
      <c r="O469" s="43"/>
      <c r="P469" s="43">
        <v>79000</v>
      </c>
    </row>
    <row r="470" spans="1:16" ht="55.5" customHeight="1">
      <c r="A470" s="20" t="s">
        <v>455</v>
      </c>
      <c r="B470" s="20"/>
      <c r="C470" s="20"/>
      <c r="D470" s="43"/>
      <c r="E470" s="43"/>
      <c r="F470" s="43"/>
      <c r="G470" s="43"/>
      <c r="H470" s="43"/>
      <c r="I470" s="43"/>
      <c r="J470" s="161"/>
      <c r="K470" s="43"/>
      <c r="L470" s="43"/>
      <c r="M470" s="43"/>
      <c r="N470" s="43">
        <v>190000</v>
      </c>
      <c r="O470" s="43"/>
      <c r="P470" s="43">
        <v>190000</v>
      </c>
    </row>
    <row r="471" spans="1:16" ht="21.75" customHeight="1">
      <c r="A471" s="20" t="s">
        <v>458</v>
      </c>
      <c r="B471" s="20"/>
      <c r="C471" s="20"/>
      <c r="D471" s="43"/>
      <c r="E471" s="43"/>
      <c r="F471" s="43"/>
      <c r="G471" s="43"/>
      <c r="H471" s="43"/>
      <c r="I471" s="43"/>
      <c r="J471" s="161"/>
      <c r="K471" s="43"/>
      <c r="L471" s="43"/>
      <c r="M471" s="43"/>
      <c r="N471" s="43">
        <v>40000</v>
      </c>
      <c r="O471" s="43"/>
      <c r="P471" s="43">
        <v>40000</v>
      </c>
    </row>
    <row r="472" spans="1:16" ht="34.5" customHeight="1">
      <c r="A472" s="20" t="s">
        <v>459</v>
      </c>
      <c r="B472" s="20"/>
      <c r="C472" s="20"/>
      <c r="D472" s="43"/>
      <c r="E472" s="43"/>
      <c r="F472" s="43"/>
      <c r="G472" s="43"/>
      <c r="H472" s="43"/>
      <c r="I472" s="43"/>
      <c r="J472" s="161"/>
      <c r="K472" s="43"/>
      <c r="L472" s="43"/>
      <c r="M472" s="43"/>
      <c r="N472" s="43">
        <v>1.95</v>
      </c>
      <c r="O472" s="43"/>
      <c r="P472" s="43">
        <v>1.95</v>
      </c>
    </row>
    <row r="473" spans="1:16" ht="34.5" customHeight="1">
      <c r="A473" s="20" t="s">
        <v>477</v>
      </c>
      <c r="B473" s="20"/>
      <c r="C473" s="20"/>
      <c r="D473" s="43"/>
      <c r="E473" s="43"/>
      <c r="F473" s="43"/>
      <c r="G473" s="43"/>
      <c r="H473" s="43"/>
      <c r="I473" s="43"/>
      <c r="J473" s="161"/>
      <c r="K473" s="43"/>
      <c r="L473" s="43"/>
      <c r="M473" s="43"/>
      <c r="N473" s="43">
        <v>450000</v>
      </c>
      <c r="O473" s="43"/>
      <c r="P473" s="43">
        <v>450000</v>
      </c>
    </row>
    <row r="474" spans="1:16" ht="21.75" customHeight="1">
      <c r="A474" s="149" t="s">
        <v>362</v>
      </c>
      <c r="B474" s="20"/>
      <c r="C474" s="20"/>
      <c r="D474" s="56">
        <f>D476</f>
        <v>150000</v>
      </c>
      <c r="E474" s="56"/>
      <c r="F474" s="56">
        <f>F476</f>
        <v>150000</v>
      </c>
      <c r="G474" s="56">
        <f>G476</f>
        <v>100000</v>
      </c>
      <c r="H474" s="56"/>
      <c r="I474" s="56">
        <f>I476</f>
        <v>0</v>
      </c>
      <c r="J474" s="56">
        <f>J476</f>
        <v>100000</v>
      </c>
      <c r="K474" s="43"/>
      <c r="L474" s="43"/>
      <c r="M474" s="43"/>
      <c r="N474" s="43"/>
      <c r="O474" s="43"/>
      <c r="P474" s="43"/>
    </row>
    <row r="475" spans="1:16" ht="21.75" customHeight="1">
      <c r="A475" s="145" t="s">
        <v>358</v>
      </c>
      <c r="B475" s="20"/>
      <c r="C475" s="20"/>
      <c r="D475" s="56"/>
      <c r="E475" s="56"/>
      <c r="F475" s="56"/>
      <c r="G475" s="56"/>
      <c r="H475" s="56"/>
      <c r="I475" s="56"/>
      <c r="J475" s="56"/>
      <c r="K475" s="43"/>
      <c r="L475" s="43"/>
      <c r="M475" s="43"/>
      <c r="N475" s="43"/>
      <c r="O475" s="43"/>
      <c r="P475" s="43"/>
    </row>
    <row r="476" spans="1:16" ht="46.5" customHeight="1">
      <c r="A476" s="146" t="s">
        <v>406</v>
      </c>
      <c r="B476" s="20"/>
      <c r="C476" s="20"/>
      <c r="D476" s="56">
        <f>D478</f>
        <v>150000</v>
      </c>
      <c r="E476" s="56"/>
      <c r="F476" s="56">
        <f>F478</f>
        <v>150000</v>
      </c>
      <c r="G476" s="56">
        <f>G478</f>
        <v>100000</v>
      </c>
      <c r="H476" s="56"/>
      <c r="I476" s="56">
        <f>I478</f>
        <v>0</v>
      </c>
      <c r="J476" s="56">
        <f>J478</f>
        <v>100000</v>
      </c>
      <c r="K476" s="43"/>
      <c r="L476" s="43"/>
      <c r="M476" s="43"/>
      <c r="N476" s="43"/>
      <c r="O476" s="43"/>
      <c r="P476" s="43"/>
    </row>
    <row r="477" spans="1:16" ht="21.75" customHeight="1">
      <c r="A477" s="147" t="s">
        <v>4</v>
      </c>
      <c r="B477" s="20"/>
      <c r="C477" s="20"/>
      <c r="D477" s="43"/>
      <c r="E477" s="43"/>
      <c r="F477" s="43"/>
      <c r="G477" s="43"/>
      <c r="H477" s="43"/>
      <c r="I477" s="43"/>
      <c r="J477" s="43"/>
      <c r="K477" s="43"/>
      <c r="L477" s="43"/>
      <c r="M477" s="43"/>
      <c r="N477" s="43"/>
      <c r="O477" s="43"/>
      <c r="P477" s="43"/>
    </row>
    <row r="478" spans="1:16" ht="21.75" customHeight="1">
      <c r="A478" s="145" t="s">
        <v>359</v>
      </c>
      <c r="B478" s="20"/>
      <c r="C478" s="20"/>
      <c r="D478" s="43">
        <f>D480*D482</f>
        <v>150000</v>
      </c>
      <c r="E478" s="43"/>
      <c r="F478" s="43">
        <f>F480*F482</f>
        <v>150000</v>
      </c>
      <c r="G478" s="43">
        <f>G480*G482</f>
        <v>100000</v>
      </c>
      <c r="H478" s="43"/>
      <c r="I478" s="43">
        <f>I480*I482</f>
        <v>0</v>
      </c>
      <c r="J478" s="43">
        <f>J480*J482</f>
        <v>100000</v>
      </c>
      <c r="K478" s="43"/>
      <c r="L478" s="43"/>
      <c r="M478" s="43"/>
      <c r="N478" s="43"/>
      <c r="O478" s="43"/>
      <c r="P478" s="43"/>
    </row>
    <row r="479" spans="1:16" ht="21.75" customHeight="1">
      <c r="A479" s="147" t="s">
        <v>5</v>
      </c>
      <c r="B479" s="20"/>
      <c r="C479" s="20"/>
      <c r="D479" s="43"/>
      <c r="E479" s="43"/>
      <c r="F479" s="43"/>
      <c r="G479" s="43"/>
      <c r="H479" s="43"/>
      <c r="I479" s="43"/>
      <c r="J479" s="43"/>
      <c r="K479" s="43"/>
      <c r="L479" s="43"/>
      <c r="M479" s="43"/>
      <c r="N479" s="43"/>
      <c r="O479" s="43"/>
      <c r="P479" s="43"/>
    </row>
    <row r="480" spans="1:16" ht="21.75" customHeight="1">
      <c r="A480" s="145" t="s">
        <v>360</v>
      </c>
      <c r="B480" s="20"/>
      <c r="C480" s="20"/>
      <c r="D480" s="43">
        <v>1</v>
      </c>
      <c r="E480" s="43"/>
      <c r="F480" s="43">
        <v>1</v>
      </c>
      <c r="G480" s="43">
        <v>2</v>
      </c>
      <c r="H480" s="43"/>
      <c r="I480" s="43"/>
      <c r="J480" s="43">
        <v>2</v>
      </c>
      <c r="K480" s="43"/>
      <c r="L480" s="43"/>
      <c r="M480" s="43"/>
      <c r="N480" s="43"/>
      <c r="O480" s="43"/>
      <c r="P480" s="43"/>
    </row>
    <row r="481" spans="1:16" ht="21.75" customHeight="1">
      <c r="A481" s="147" t="s">
        <v>7</v>
      </c>
      <c r="B481" s="20"/>
      <c r="C481" s="20"/>
      <c r="D481" s="43"/>
      <c r="E481" s="43"/>
      <c r="F481" s="43"/>
      <c r="G481" s="43"/>
      <c r="H481" s="43"/>
      <c r="I481" s="43"/>
      <c r="J481" s="43"/>
      <c r="K481" s="43"/>
      <c r="L481" s="43"/>
      <c r="M481" s="43"/>
      <c r="N481" s="43"/>
      <c r="O481" s="43"/>
      <c r="P481" s="43"/>
    </row>
    <row r="482" spans="1:16" ht="21.75" customHeight="1">
      <c r="A482" s="148" t="s">
        <v>361</v>
      </c>
      <c r="B482" s="20"/>
      <c r="C482" s="20"/>
      <c r="D482" s="43">
        <v>150000</v>
      </c>
      <c r="E482" s="43"/>
      <c r="F482" s="43">
        <v>150000</v>
      </c>
      <c r="G482" s="43">
        <v>50000</v>
      </c>
      <c r="H482" s="43"/>
      <c r="I482" s="43"/>
      <c r="J482" s="43">
        <v>50000</v>
      </c>
      <c r="K482" s="43"/>
      <c r="L482" s="43"/>
      <c r="M482" s="43"/>
      <c r="N482" s="43"/>
      <c r="O482" s="43"/>
      <c r="P482" s="43"/>
    </row>
    <row r="483" spans="1:16" ht="16.5" customHeight="1">
      <c r="A483" s="36" t="s">
        <v>247</v>
      </c>
      <c r="B483" s="36"/>
      <c r="C483" s="36"/>
      <c r="D483" s="29">
        <f>D484</f>
        <v>8624700</v>
      </c>
      <c r="E483" s="29">
        <f>E484</f>
        <v>13705000</v>
      </c>
      <c r="F483" s="29">
        <f>F484</f>
        <v>22329700</v>
      </c>
      <c r="G483" s="29">
        <f>G484</f>
        <v>5983100</v>
      </c>
      <c r="H483" s="29"/>
      <c r="I483" s="29">
        <f>I484</f>
        <v>0</v>
      </c>
      <c r="J483" s="29">
        <f>G483</f>
        <v>5983100</v>
      </c>
      <c r="K483" s="29" t="e">
        <f>#REF!+K484</f>
        <v>#REF!</v>
      </c>
      <c r="L483" s="29" t="e">
        <f>#REF!+L484</f>
        <v>#REF!</v>
      </c>
      <c r="M483" s="29" t="e">
        <f>#REF!+M484</f>
        <v>#REF!</v>
      </c>
      <c r="N483" s="29">
        <f>N484</f>
        <v>5945229.9999</v>
      </c>
      <c r="O483" s="29">
        <f>O484</f>
        <v>2000000</v>
      </c>
      <c r="P483" s="29">
        <f>N483+O483</f>
        <v>7945229.9999</v>
      </c>
    </row>
    <row r="484" spans="1:149" s="38" customFormat="1" ht="26.25" customHeight="1">
      <c r="A484" s="33" t="s">
        <v>407</v>
      </c>
      <c r="B484" s="34"/>
      <c r="C484" s="34"/>
      <c r="D484" s="35">
        <f>D486</f>
        <v>8624700</v>
      </c>
      <c r="E484" s="35">
        <f>SUM(E487)</f>
        <v>13705000</v>
      </c>
      <c r="F484" s="35">
        <f>D484+E484</f>
        <v>22329700</v>
      </c>
      <c r="G484" s="35">
        <f>G486</f>
        <v>5983100</v>
      </c>
      <c r="H484" s="35"/>
      <c r="I484" s="35">
        <f>I486</f>
        <v>0</v>
      </c>
      <c r="J484" s="35">
        <f>G484</f>
        <v>5983100</v>
      </c>
      <c r="K484" s="35"/>
      <c r="L484" s="35"/>
      <c r="M484" s="35"/>
      <c r="N484" s="35">
        <f>N486</f>
        <v>5945229.9999</v>
      </c>
      <c r="O484" s="35">
        <f>O486</f>
        <v>2000000</v>
      </c>
      <c r="P484" s="35">
        <f>N484+O484</f>
        <v>7945229.9999</v>
      </c>
      <c r="Q484" s="37"/>
      <c r="R484" s="37"/>
      <c r="S484" s="37"/>
      <c r="T484" s="37"/>
      <c r="U484" s="37"/>
      <c r="V484" s="37"/>
      <c r="W484" s="37"/>
      <c r="X484" s="37"/>
      <c r="Y484" s="37"/>
      <c r="Z484" s="37"/>
      <c r="AA484" s="37"/>
      <c r="AB484" s="37"/>
      <c r="AC484" s="37"/>
      <c r="AD484" s="37"/>
      <c r="AE484" s="37"/>
      <c r="AF484" s="37"/>
      <c r="AG484" s="37"/>
      <c r="AH484" s="37"/>
      <c r="AI484" s="37"/>
      <c r="AJ484" s="37"/>
      <c r="AK484" s="37"/>
      <c r="AL484" s="37"/>
      <c r="AM484" s="37"/>
      <c r="AN484" s="37"/>
      <c r="AO484" s="37"/>
      <c r="AP484" s="37"/>
      <c r="AQ484" s="37"/>
      <c r="AR484" s="37"/>
      <c r="AS484" s="37"/>
      <c r="AT484" s="37"/>
      <c r="AU484" s="37"/>
      <c r="AV484" s="37"/>
      <c r="AW484" s="37"/>
      <c r="AX484" s="37"/>
      <c r="AY484" s="37"/>
      <c r="AZ484" s="37"/>
      <c r="BA484" s="37"/>
      <c r="BB484" s="37"/>
      <c r="BC484" s="37"/>
      <c r="BD484" s="37"/>
      <c r="BE484" s="37"/>
      <c r="BF484" s="37"/>
      <c r="BG484" s="37"/>
      <c r="BH484" s="37"/>
      <c r="BI484" s="37"/>
      <c r="BJ484" s="37"/>
      <c r="BK484" s="37"/>
      <c r="BL484" s="37"/>
      <c r="BM484" s="37"/>
      <c r="BN484" s="37"/>
      <c r="BO484" s="37"/>
      <c r="BP484" s="37"/>
      <c r="BQ484" s="37"/>
      <c r="BR484" s="37"/>
      <c r="BS484" s="37"/>
      <c r="BT484" s="37"/>
      <c r="BU484" s="37"/>
      <c r="BV484" s="37"/>
      <c r="BW484" s="37"/>
      <c r="BX484" s="37"/>
      <c r="BY484" s="37"/>
      <c r="BZ484" s="37"/>
      <c r="CA484" s="37"/>
      <c r="CB484" s="37"/>
      <c r="CC484" s="37"/>
      <c r="CD484" s="37"/>
      <c r="CE484" s="37"/>
      <c r="CF484" s="37"/>
      <c r="CG484" s="37"/>
      <c r="CH484" s="37"/>
      <c r="CI484" s="37"/>
      <c r="CJ484" s="37"/>
      <c r="CK484" s="37"/>
      <c r="CL484" s="37"/>
      <c r="CM484" s="37"/>
      <c r="CN484" s="37"/>
      <c r="CO484" s="37"/>
      <c r="CP484" s="37"/>
      <c r="CQ484" s="37"/>
      <c r="CR484" s="37"/>
      <c r="CS484" s="37"/>
      <c r="CT484" s="37"/>
      <c r="CU484" s="37"/>
      <c r="CV484" s="37"/>
      <c r="CW484" s="37"/>
      <c r="CX484" s="37"/>
      <c r="CY484" s="37"/>
      <c r="CZ484" s="37"/>
      <c r="DA484" s="37"/>
      <c r="DB484" s="37"/>
      <c r="DC484" s="37"/>
      <c r="DD484" s="37"/>
      <c r="DE484" s="37"/>
      <c r="DF484" s="37"/>
      <c r="DG484" s="37"/>
      <c r="DH484" s="37"/>
      <c r="DI484" s="37"/>
      <c r="DJ484" s="37"/>
      <c r="DK484" s="37"/>
      <c r="DL484" s="37"/>
      <c r="DM484" s="37"/>
      <c r="DN484" s="37"/>
      <c r="DO484" s="37"/>
      <c r="DP484" s="37"/>
      <c r="DQ484" s="37"/>
      <c r="DR484" s="37"/>
      <c r="DS484" s="37"/>
      <c r="DT484" s="37"/>
      <c r="DU484" s="37"/>
      <c r="DV484" s="37"/>
      <c r="DW484" s="37"/>
      <c r="DX484" s="37"/>
      <c r="DY484" s="37"/>
      <c r="DZ484" s="37"/>
      <c r="EA484" s="37"/>
      <c r="EB484" s="37"/>
      <c r="EC484" s="37"/>
      <c r="ED484" s="37"/>
      <c r="EE484" s="37"/>
      <c r="EF484" s="37"/>
      <c r="EG484" s="37"/>
      <c r="EH484" s="37"/>
      <c r="EI484" s="37"/>
      <c r="EJ484" s="37"/>
      <c r="EK484" s="37"/>
      <c r="EL484" s="37"/>
      <c r="EM484" s="37"/>
      <c r="EN484" s="37"/>
      <c r="EO484" s="37"/>
      <c r="EP484" s="37"/>
      <c r="EQ484" s="37"/>
      <c r="ER484" s="37"/>
      <c r="ES484" s="37"/>
    </row>
    <row r="485" spans="1:16" ht="11.25">
      <c r="A485" s="5" t="s">
        <v>4</v>
      </c>
      <c r="B485" s="6"/>
      <c r="C485" s="6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</row>
    <row r="486" spans="1:16" ht="35.25" customHeight="1">
      <c r="A486" s="8" t="s">
        <v>248</v>
      </c>
      <c r="B486" s="6"/>
      <c r="C486" s="6"/>
      <c r="D486" s="7">
        <f>8124700+500000</f>
        <v>8624700</v>
      </c>
      <c r="E486" s="7"/>
      <c r="F486" s="7">
        <f>D486</f>
        <v>8624700</v>
      </c>
      <c r="G486" s="7">
        <f>G489*G491</f>
        <v>5983100</v>
      </c>
      <c r="H486" s="7"/>
      <c r="I486" s="7"/>
      <c r="J486" s="7">
        <f>G486+H486</f>
        <v>5983100</v>
      </c>
      <c r="K486" s="7"/>
      <c r="L486" s="7"/>
      <c r="M486" s="7"/>
      <c r="N486" s="7">
        <f>N489*N491</f>
        <v>5945229.9999</v>
      </c>
      <c r="O486" s="7">
        <f>O489*O491</f>
        <v>2000000</v>
      </c>
      <c r="P486" s="7">
        <f>N486+O486</f>
        <v>7945229.9999</v>
      </c>
    </row>
    <row r="487" spans="1:16" ht="164.25" customHeight="1">
      <c r="A487" s="8" t="s">
        <v>325</v>
      </c>
      <c r="B487" s="6"/>
      <c r="C487" s="6"/>
      <c r="D487" s="7"/>
      <c r="E487" s="7">
        <v>13705000</v>
      </c>
      <c r="F487" s="7">
        <f>D487+E487</f>
        <v>13705000</v>
      </c>
      <c r="G487" s="7"/>
      <c r="H487" s="7"/>
      <c r="I487" s="7"/>
      <c r="J487" s="7"/>
      <c r="K487" s="7"/>
      <c r="L487" s="7"/>
      <c r="M487" s="7"/>
      <c r="N487" s="7"/>
      <c r="O487" s="7"/>
      <c r="P487" s="7"/>
    </row>
    <row r="488" spans="1:16" ht="11.25">
      <c r="A488" s="5" t="s">
        <v>5</v>
      </c>
      <c r="B488" s="6"/>
      <c r="C488" s="6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</row>
    <row r="489" spans="1:16" ht="39.75" customHeight="1">
      <c r="A489" s="8" t="s">
        <v>249</v>
      </c>
      <c r="B489" s="6"/>
      <c r="C489" s="6"/>
      <c r="D489" s="7">
        <v>2</v>
      </c>
      <c r="E489" s="7"/>
      <c r="F489" s="7">
        <f>D489</f>
        <v>2</v>
      </c>
      <c r="G489" s="7">
        <v>2</v>
      </c>
      <c r="H489" s="7"/>
      <c r="I489" s="7"/>
      <c r="J489" s="7">
        <f>G489+H489</f>
        <v>2</v>
      </c>
      <c r="K489" s="7"/>
      <c r="L489" s="7"/>
      <c r="M489" s="7"/>
      <c r="N489" s="7">
        <v>3</v>
      </c>
      <c r="O489" s="7">
        <v>1</v>
      </c>
      <c r="P489" s="7">
        <f>N489+O489</f>
        <v>4</v>
      </c>
    </row>
    <row r="490" spans="1:16" ht="11.25">
      <c r="A490" s="5" t="s">
        <v>7</v>
      </c>
      <c r="B490" s="6"/>
      <c r="C490" s="6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</row>
    <row r="491" spans="1:16" ht="40.5" customHeight="1">
      <c r="A491" s="8" t="s">
        <v>250</v>
      </c>
      <c r="B491" s="6"/>
      <c r="C491" s="6"/>
      <c r="D491" s="7">
        <v>3812350</v>
      </c>
      <c r="E491" s="7"/>
      <c r="F491" s="7">
        <f>F486/F489</f>
        <v>4312350</v>
      </c>
      <c r="G491" s="7">
        <v>2991550</v>
      </c>
      <c r="H491" s="7"/>
      <c r="I491" s="7"/>
      <c r="J491" s="7">
        <f>G491+H491</f>
        <v>2991550</v>
      </c>
      <c r="K491" s="7"/>
      <c r="L491" s="7"/>
      <c r="M491" s="7"/>
      <c r="N491" s="7">
        <v>1981743.3333</v>
      </c>
      <c r="O491" s="7">
        <v>2000000</v>
      </c>
      <c r="P491" s="7">
        <f>P486/P489</f>
        <v>1986307.499975</v>
      </c>
    </row>
    <row r="492" spans="1:17" ht="15" customHeight="1">
      <c r="A492" s="36" t="s">
        <v>481</v>
      </c>
      <c r="B492" s="6"/>
      <c r="C492" s="6"/>
      <c r="D492" s="35">
        <f>D494+D511+D518+D527+D534+D545+D552+D559+D566</f>
        <v>22123399.999999568</v>
      </c>
      <c r="E492" s="35">
        <f>E494+E511+E518+E527+E534+E545+E552+E559+E566</f>
        <v>1370000</v>
      </c>
      <c r="F492" s="35">
        <f>F494+F511+F518+F527+F534+F545+F552+F559+F566</f>
        <v>23493399.999999568</v>
      </c>
      <c r="G492" s="35">
        <f>G494+G511+G518+G527+G534+G545+G573+G580+G594</f>
        <v>61665000.4</v>
      </c>
      <c r="H492" s="35">
        <f>H494+H511+H518+H527+H534+H545+H587</f>
        <v>2350000</v>
      </c>
      <c r="I492" s="35">
        <f>I494+I511+I518+I527+I534+I545</f>
        <v>0</v>
      </c>
      <c r="J492" s="35">
        <f>J494+J511+J518+J527+J534+J545+J573+J580+J587+J594</f>
        <v>64015000.4</v>
      </c>
      <c r="K492" s="35">
        <f aca="true" t="shared" si="57" ref="K492:Q492">K494+K511+K518+K527+K534+K545</f>
        <v>0</v>
      </c>
      <c r="L492" s="35">
        <f t="shared" si="57"/>
        <v>0</v>
      </c>
      <c r="M492" s="35">
        <f t="shared" si="57"/>
        <v>0</v>
      </c>
      <c r="N492" s="35">
        <f>N494+N511+N518+N527+N534+N545+N601</f>
        <v>48549857.38205</v>
      </c>
      <c r="O492" s="35">
        <f>O494+O511+O518+O527+O534+O545+O566</f>
        <v>4598293</v>
      </c>
      <c r="P492" s="35">
        <f>P494+P511+P518+P527+P534+P545+P566+P601</f>
        <v>53148150.38205</v>
      </c>
      <c r="Q492" s="35">
        <f t="shared" si="57"/>
        <v>0</v>
      </c>
    </row>
    <row r="493" spans="1:16" ht="23.25" customHeight="1">
      <c r="A493" s="8" t="s">
        <v>132</v>
      </c>
      <c r="B493" s="6"/>
      <c r="C493" s="6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</row>
    <row r="494" spans="1:149" s="38" customFormat="1" ht="99" customHeight="1">
      <c r="A494" s="33" t="s">
        <v>480</v>
      </c>
      <c r="B494" s="34"/>
      <c r="C494" s="34"/>
      <c r="D494" s="35">
        <f>SUM(D495)+D502</f>
        <v>19868000</v>
      </c>
      <c r="E494" s="35"/>
      <c r="F494" s="35">
        <f>SUM(F495)+F502</f>
        <v>19868000</v>
      </c>
      <c r="G494" s="35">
        <f>SUM(G495)+G502+G508</f>
        <v>57733000</v>
      </c>
      <c r="H494" s="35"/>
      <c r="I494" s="35">
        <f>SUM(I495)+I502</f>
        <v>0</v>
      </c>
      <c r="J494" s="35">
        <f>SUM(J495)+J502+J508</f>
        <v>57733000</v>
      </c>
      <c r="K494" s="35">
        <f>SUM(K495)+K502</f>
        <v>0</v>
      </c>
      <c r="L494" s="35">
        <f>SUM(L495)+L502</f>
        <v>0</v>
      </c>
      <c r="M494" s="35">
        <f>SUM(M495)+M502</f>
        <v>0</v>
      </c>
      <c r="N494" s="35">
        <f>SUM(N495)+N502+N508+N505</f>
        <v>47210000</v>
      </c>
      <c r="O494" s="35"/>
      <c r="P494" s="35">
        <f>SUM(P495)+P502+P508+P505</f>
        <v>47210000</v>
      </c>
      <c r="Q494" s="37"/>
      <c r="R494" s="37"/>
      <c r="S494" s="37"/>
      <c r="T494" s="37"/>
      <c r="U494" s="37"/>
      <c r="V494" s="37"/>
      <c r="W494" s="37"/>
      <c r="X494" s="37"/>
      <c r="Y494" s="37"/>
      <c r="Z494" s="37"/>
      <c r="AA494" s="37"/>
      <c r="AB494" s="37"/>
      <c r="AC494" s="37"/>
      <c r="AD494" s="37"/>
      <c r="AE494" s="37"/>
      <c r="AF494" s="37"/>
      <c r="AG494" s="37"/>
      <c r="AH494" s="37"/>
      <c r="AI494" s="37"/>
      <c r="AJ494" s="37"/>
      <c r="AK494" s="37"/>
      <c r="AL494" s="37"/>
      <c r="AM494" s="37"/>
      <c r="AN494" s="37"/>
      <c r="AO494" s="37"/>
      <c r="AP494" s="37"/>
      <c r="AQ494" s="37"/>
      <c r="AR494" s="37"/>
      <c r="AS494" s="37"/>
      <c r="AT494" s="37"/>
      <c r="AU494" s="37"/>
      <c r="AV494" s="37"/>
      <c r="AW494" s="37"/>
      <c r="AX494" s="37"/>
      <c r="AY494" s="37"/>
      <c r="AZ494" s="37"/>
      <c r="BA494" s="37"/>
      <c r="BB494" s="37"/>
      <c r="BC494" s="37"/>
      <c r="BD494" s="37"/>
      <c r="BE494" s="37"/>
      <c r="BF494" s="37"/>
      <c r="BG494" s="37"/>
      <c r="BH494" s="37"/>
      <c r="BI494" s="37"/>
      <c r="BJ494" s="37"/>
      <c r="BK494" s="37"/>
      <c r="BL494" s="37"/>
      <c r="BM494" s="37"/>
      <c r="BN494" s="37"/>
      <c r="BO494" s="37"/>
      <c r="BP494" s="37"/>
      <c r="BQ494" s="37"/>
      <c r="BR494" s="37"/>
      <c r="BS494" s="37"/>
      <c r="BT494" s="37"/>
      <c r="BU494" s="37"/>
      <c r="BV494" s="37"/>
      <c r="BW494" s="37"/>
      <c r="BX494" s="37"/>
      <c r="BY494" s="37"/>
      <c r="BZ494" s="37"/>
      <c r="CA494" s="37"/>
      <c r="CB494" s="37"/>
      <c r="CC494" s="37"/>
      <c r="CD494" s="37"/>
      <c r="CE494" s="37"/>
      <c r="CF494" s="37"/>
      <c r="CG494" s="37"/>
      <c r="CH494" s="37"/>
      <c r="CI494" s="37"/>
      <c r="CJ494" s="37"/>
      <c r="CK494" s="37"/>
      <c r="CL494" s="37"/>
      <c r="CM494" s="37"/>
      <c r="CN494" s="37"/>
      <c r="CO494" s="37"/>
      <c r="CP494" s="37"/>
      <c r="CQ494" s="37"/>
      <c r="CR494" s="37"/>
      <c r="CS494" s="37"/>
      <c r="CT494" s="37"/>
      <c r="CU494" s="37"/>
      <c r="CV494" s="37"/>
      <c r="CW494" s="37"/>
      <c r="CX494" s="37"/>
      <c r="CY494" s="37"/>
      <c r="CZ494" s="37"/>
      <c r="DA494" s="37"/>
      <c r="DB494" s="37"/>
      <c r="DC494" s="37"/>
      <c r="DD494" s="37"/>
      <c r="DE494" s="37"/>
      <c r="DF494" s="37"/>
      <c r="DG494" s="37"/>
      <c r="DH494" s="37"/>
      <c r="DI494" s="37"/>
      <c r="DJ494" s="37"/>
      <c r="DK494" s="37"/>
      <c r="DL494" s="37"/>
      <c r="DM494" s="37"/>
      <c r="DN494" s="37"/>
      <c r="DO494" s="37"/>
      <c r="DP494" s="37"/>
      <c r="DQ494" s="37"/>
      <c r="DR494" s="37"/>
      <c r="DS494" s="37"/>
      <c r="DT494" s="37"/>
      <c r="DU494" s="37"/>
      <c r="DV494" s="37"/>
      <c r="DW494" s="37"/>
      <c r="DX494" s="37"/>
      <c r="DY494" s="37"/>
      <c r="DZ494" s="37"/>
      <c r="EA494" s="37"/>
      <c r="EB494" s="37"/>
      <c r="EC494" s="37"/>
      <c r="ED494" s="37"/>
      <c r="EE494" s="37"/>
      <c r="EF494" s="37"/>
      <c r="EG494" s="37"/>
      <c r="EH494" s="37"/>
      <c r="EI494" s="37"/>
      <c r="EJ494" s="37"/>
      <c r="EK494" s="37"/>
      <c r="EL494" s="37"/>
      <c r="EM494" s="37"/>
      <c r="EN494" s="37"/>
      <c r="EO494" s="37"/>
      <c r="EP494" s="37"/>
      <c r="EQ494" s="37"/>
      <c r="ER494" s="37"/>
      <c r="ES494" s="37"/>
    </row>
    <row r="495" spans="1:149" s="38" customFormat="1" ht="90.75" customHeight="1">
      <c r="A495" s="33" t="s">
        <v>424</v>
      </c>
      <c r="B495" s="34"/>
      <c r="C495" s="34"/>
      <c r="D495" s="35">
        <f>SUM(D497)</f>
        <v>5868000</v>
      </c>
      <c r="E495" s="35"/>
      <c r="F495" s="35">
        <f>SUM(D495)</f>
        <v>5868000</v>
      </c>
      <c r="G495" s="35">
        <f>SUM(G497)</f>
        <v>11028000</v>
      </c>
      <c r="H495" s="35"/>
      <c r="I495" s="35"/>
      <c r="J495" s="35">
        <f>SUM(J497)</f>
        <v>11028000</v>
      </c>
      <c r="K495" s="35"/>
      <c r="L495" s="35"/>
      <c r="M495" s="35"/>
      <c r="N495" s="35">
        <f>SUM(N497)</f>
        <v>7410000</v>
      </c>
      <c r="O495" s="35"/>
      <c r="P495" s="35">
        <f>P497</f>
        <v>7410000</v>
      </c>
      <c r="Q495" s="37"/>
      <c r="R495" s="37"/>
      <c r="S495" s="37"/>
      <c r="T495" s="37"/>
      <c r="U495" s="37"/>
      <c r="V495" s="37"/>
      <c r="W495" s="37"/>
      <c r="X495" s="37"/>
      <c r="Y495" s="37"/>
      <c r="Z495" s="37"/>
      <c r="AA495" s="37"/>
      <c r="AB495" s="37"/>
      <c r="AC495" s="37"/>
      <c r="AD495" s="37"/>
      <c r="AE495" s="37"/>
      <c r="AF495" s="37"/>
      <c r="AG495" s="37"/>
      <c r="AH495" s="37"/>
      <c r="AI495" s="37"/>
      <c r="AJ495" s="37"/>
      <c r="AK495" s="37"/>
      <c r="AL495" s="37"/>
      <c r="AM495" s="37"/>
      <c r="AN495" s="37"/>
      <c r="AO495" s="37"/>
      <c r="AP495" s="37"/>
      <c r="AQ495" s="37"/>
      <c r="AR495" s="37"/>
      <c r="AS495" s="37"/>
      <c r="AT495" s="37"/>
      <c r="AU495" s="37"/>
      <c r="AV495" s="37"/>
      <c r="AW495" s="37"/>
      <c r="AX495" s="37"/>
      <c r="AY495" s="37"/>
      <c r="AZ495" s="37"/>
      <c r="BA495" s="37"/>
      <c r="BB495" s="37"/>
      <c r="BC495" s="37"/>
      <c r="BD495" s="37"/>
      <c r="BE495" s="37"/>
      <c r="BF495" s="37"/>
      <c r="BG495" s="37"/>
      <c r="BH495" s="37"/>
      <c r="BI495" s="37"/>
      <c r="BJ495" s="37"/>
      <c r="BK495" s="37"/>
      <c r="BL495" s="37"/>
      <c r="BM495" s="37"/>
      <c r="BN495" s="37"/>
      <c r="BO495" s="37"/>
      <c r="BP495" s="37"/>
      <c r="BQ495" s="37"/>
      <c r="BR495" s="37"/>
      <c r="BS495" s="37"/>
      <c r="BT495" s="37"/>
      <c r="BU495" s="37"/>
      <c r="BV495" s="37"/>
      <c r="BW495" s="37"/>
      <c r="BX495" s="37"/>
      <c r="BY495" s="37"/>
      <c r="BZ495" s="37"/>
      <c r="CA495" s="37"/>
      <c r="CB495" s="37"/>
      <c r="CC495" s="37"/>
      <c r="CD495" s="37"/>
      <c r="CE495" s="37"/>
      <c r="CF495" s="37"/>
      <c r="CG495" s="37"/>
      <c r="CH495" s="37"/>
      <c r="CI495" s="37"/>
      <c r="CJ495" s="37"/>
      <c r="CK495" s="37"/>
      <c r="CL495" s="37"/>
      <c r="CM495" s="37"/>
      <c r="CN495" s="37"/>
      <c r="CO495" s="37"/>
      <c r="CP495" s="37"/>
      <c r="CQ495" s="37"/>
      <c r="CR495" s="37"/>
      <c r="CS495" s="37"/>
      <c r="CT495" s="37"/>
      <c r="CU495" s="37"/>
      <c r="CV495" s="37"/>
      <c r="CW495" s="37"/>
      <c r="CX495" s="37"/>
      <c r="CY495" s="37"/>
      <c r="CZ495" s="37"/>
      <c r="DA495" s="37"/>
      <c r="DB495" s="37"/>
      <c r="DC495" s="37"/>
      <c r="DD495" s="37"/>
      <c r="DE495" s="37"/>
      <c r="DF495" s="37"/>
      <c r="DG495" s="37"/>
      <c r="DH495" s="37"/>
      <c r="DI495" s="37"/>
      <c r="DJ495" s="37"/>
      <c r="DK495" s="37"/>
      <c r="DL495" s="37"/>
      <c r="DM495" s="37"/>
      <c r="DN495" s="37"/>
      <c r="DO495" s="37"/>
      <c r="DP495" s="37"/>
      <c r="DQ495" s="37"/>
      <c r="DR495" s="37"/>
      <c r="DS495" s="37"/>
      <c r="DT495" s="37"/>
      <c r="DU495" s="37"/>
      <c r="DV495" s="37"/>
      <c r="DW495" s="37"/>
      <c r="DX495" s="37"/>
      <c r="DY495" s="37"/>
      <c r="DZ495" s="37"/>
      <c r="EA495" s="37"/>
      <c r="EB495" s="37"/>
      <c r="EC495" s="37"/>
      <c r="ED495" s="37"/>
      <c r="EE495" s="37"/>
      <c r="EF495" s="37"/>
      <c r="EG495" s="37"/>
      <c r="EH495" s="37"/>
      <c r="EI495" s="37"/>
      <c r="EJ495" s="37"/>
      <c r="EK495" s="37"/>
      <c r="EL495" s="37"/>
      <c r="EM495" s="37"/>
      <c r="EN495" s="37"/>
      <c r="EO495" s="37"/>
      <c r="EP495" s="37"/>
      <c r="EQ495" s="37"/>
      <c r="ER495" s="37"/>
      <c r="ES495" s="37"/>
    </row>
    <row r="496" spans="1:16" ht="12" customHeight="1">
      <c r="A496" s="5" t="s">
        <v>4</v>
      </c>
      <c r="B496" s="6"/>
      <c r="C496" s="6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</row>
    <row r="497" spans="1:16" ht="13.5" customHeight="1">
      <c r="A497" s="8" t="s">
        <v>43</v>
      </c>
      <c r="B497" s="6"/>
      <c r="C497" s="6"/>
      <c r="D497" s="7">
        <f>6000000-180000-320000+180000+60000+90000+38000</f>
        <v>5868000</v>
      </c>
      <c r="E497" s="7"/>
      <c r="F497" s="7">
        <f>D497</f>
        <v>5868000</v>
      </c>
      <c r="G497" s="7">
        <f>6500000+4000000+190000+78000+140000+120000</f>
        <v>11028000</v>
      </c>
      <c r="H497" s="7"/>
      <c r="I497" s="7"/>
      <c r="J497" s="7">
        <f>SUM(G497)</f>
        <v>11028000</v>
      </c>
      <c r="K497" s="7"/>
      <c r="L497" s="7"/>
      <c r="M497" s="7"/>
      <c r="N497" s="7">
        <f>7000000+225000+185000</f>
        <v>7410000</v>
      </c>
      <c r="O497" s="7"/>
      <c r="P497" s="7">
        <f>N497</f>
        <v>7410000</v>
      </c>
    </row>
    <row r="498" spans="1:16" ht="12" customHeight="1">
      <c r="A498" s="5" t="s">
        <v>5</v>
      </c>
      <c r="B498" s="6"/>
      <c r="C498" s="6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</row>
    <row r="499" spans="1:16" ht="37.5" customHeight="1">
      <c r="A499" s="8" t="s">
        <v>251</v>
      </c>
      <c r="B499" s="6"/>
      <c r="C499" s="6"/>
      <c r="D499" s="7">
        <v>12</v>
      </c>
      <c r="E499" s="7"/>
      <c r="F499" s="7">
        <v>12</v>
      </c>
      <c r="G499" s="7">
        <v>12</v>
      </c>
      <c r="H499" s="7"/>
      <c r="I499" s="7"/>
      <c r="J499" s="7">
        <v>12</v>
      </c>
      <c r="K499" s="7"/>
      <c r="L499" s="7"/>
      <c r="M499" s="7"/>
      <c r="N499" s="7">
        <v>12</v>
      </c>
      <c r="O499" s="7"/>
      <c r="P499" s="7">
        <v>12</v>
      </c>
    </row>
    <row r="500" spans="1:16" ht="11.25">
      <c r="A500" s="5" t="s">
        <v>7</v>
      </c>
      <c r="B500" s="6"/>
      <c r="C500" s="6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</row>
    <row r="501" spans="1:16" ht="36" customHeight="1">
      <c r="A501" s="8" t="s">
        <v>252</v>
      </c>
      <c r="B501" s="6"/>
      <c r="C501" s="6"/>
      <c r="D501" s="7">
        <f>SUM(D497)/D499</f>
        <v>489000</v>
      </c>
      <c r="E501" s="7"/>
      <c r="F501" s="7">
        <f>D501</f>
        <v>489000</v>
      </c>
      <c r="G501" s="7">
        <f>SUM(G497)/G499</f>
        <v>919000</v>
      </c>
      <c r="H501" s="7"/>
      <c r="I501" s="7"/>
      <c r="J501" s="7">
        <f>SUM(J497)/J499</f>
        <v>919000</v>
      </c>
      <c r="K501" s="7"/>
      <c r="L501" s="7"/>
      <c r="M501" s="7"/>
      <c r="N501" s="7">
        <f>SUM(N497)/N499</f>
        <v>617500</v>
      </c>
      <c r="O501" s="7"/>
      <c r="P501" s="7">
        <f>SUM(P497)/P499</f>
        <v>617500</v>
      </c>
    </row>
    <row r="502" spans="1:16" ht="24" customHeight="1">
      <c r="A502" s="33" t="s">
        <v>408</v>
      </c>
      <c r="B502" s="6"/>
      <c r="C502" s="6"/>
      <c r="D502" s="7">
        <f>D504</f>
        <v>14000000</v>
      </c>
      <c r="E502" s="7"/>
      <c r="F502" s="7">
        <f>F504</f>
        <v>14000000</v>
      </c>
      <c r="G502" s="7">
        <f>G504</f>
        <v>45705000</v>
      </c>
      <c r="H502" s="7"/>
      <c r="I502" s="7"/>
      <c r="J502" s="7">
        <f>G502</f>
        <v>45705000</v>
      </c>
      <c r="K502" s="7"/>
      <c r="L502" s="7"/>
      <c r="M502" s="7"/>
      <c r="N502" s="7"/>
      <c r="O502" s="7"/>
      <c r="P502" s="7"/>
    </row>
    <row r="503" spans="1:16" ht="16.5" customHeight="1">
      <c r="A503" s="5" t="s">
        <v>4</v>
      </c>
      <c r="B503" s="6"/>
      <c r="C503" s="6"/>
      <c r="D503" s="7"/>
      <c r="E503" s="7"/>
      <c r="F503" s="7"/>
      <c r="G503" s="162">
        <v>1</v>
      </c>
      <c r="H503" s="162"/>
      <c r="I503" s="162"/>
      <c r="J503" s="162"/>
      <c r="K503" s="162"/>
      <c r="L503" s="162"/>
      <c r="M503" s="162"/>
      <c r="N503" s="162"/>
      <c r="O503" s="7"/>
      <c r="P503" s="7"/>
    </row>
    <row r="504" spans="1:16" ht="12.75" customHeight="1">
      <c r="A504" s="5" t="s">
        <v>43</v>
      </c>
      <c r="B504" s="6"/>
      <c r="C504" s="6"/>
      <c r="D504" s="7">
        <f>3000000+2000000+3000000+1000000+3000000+2000000</f>
        <v>14000000</v>
      </c>
      <c r="E504" s="7"/>
      <c r="F504" s="7">
        <f>3000000+2000000+3000000+1000000+3000000+2000000</f>
        <v>14000000</v>
      </c>
      <c r="G504" s="7">
        <f>0+4000000+2725000+3000000+9000000+3000000+3000000+3000000+3200000+4000000+3500000+5000000+2280000</f>
        <v>45705000</v>
      </c>
      <c r="H504" s="7"/>
      <c r="I504" s="7"/>
      <c r="J504" s="7">
        <f>G504</f>
        <v>45705000</v>
      </c>
      <c r="K504" s="7"/>
      <c r="L504" s="7"/>
      <c r="M504" s="7"/>
      <c r="N504" s="7"/>
      <c r="O504" s="7"/>
      <c r="P504" s="7"/>
    </row>
    <row r="505" spans="1:16" ht="45" customHeight="1">
      <c r="A505" s="33" t="s">
        <v>482</v>
      </c>
      <c r="B505" s="6"/>
      <c r="C505" s="6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>
        <f>N506*N507</f>
        <v>38800000</v>
      </c>
      <c r="O505" s="7"/>
      <c r="P505" s="7">
        <f>N505</f>
        <v>38800000</v>
      </c>
    </row>
    <row r="506" spans="1:16" ht="15.75" customHeight="1">
      <c r="A506" s="5" t="s">
        <v>4</v>
      </c>
      <c r="B506" s="6"/>
      <c r="C506" s="6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>
        <v>1</v>
      </c>
      <c r="O506" s="7"/>
      <c r="P506" s="7">
        <f>N506</f>
        <v>1</v>
      </c>
    </row>
    <row r="507" spans="1:16" ht="15.75" customHeight="1">
      <c r="A507" s="5" t="s">
        <v>43</v>
      </c>
      <c r="B507" s="6"/>
      <c r="C507" s="6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>
        <f>26000000+8000000+1800000+3000000</f>
        <v>38800000</v>
      </c>
      <c r="O507" s="7"/>
      <c r="P507" s="7">
        <f>N507</f>
        <v>38800000</v>
      </c>
    </row>
    <row r="508" spans="1:16" ht="35.25" customHeight="1">
      <c r="A508" s="33" t="s">
        <v>442</v>
      </c>
      <c r="B508" s="6"/>
      <c r="C508" s="6"/>
      <c r="D508" s="7"/>
      <c r="E508" s="7"/>
      <c r="F508" s="7"/>
      <c r="G508" s="7">
        <f>G510</f>
        <v>1000000</v>
      </c>
      <c r="H508" s="7">
        <f>H510</f>
        <v>0</v>
      </c>
      <c r="I508" s="7">
        <f>I510</f>
        <v>0</v>
      </c>
      <c r="J508" s="7">
        <f>J510</f>
        <v>1000000</v>
      </c>
      <c r="K508" s="7"/>
      <c r="L508" s="7"/>
      <c r="M508" s="7"/>
      <c r="N508" s="7">
        <f>N510</f>
        <v>1000000</v>
      </c>
      <c r="O508" s="7"/>
      <c r="P508" s="7">
        <f>N508</f>
        <v>1000000</v>
      </c>
    </row>
    <row r="509" spans="1:16" ht="12.75" customHeight="1">
      <c r="A509" s="5" t="s">
        <v>4</v>
      </c>
      <c r="B509" s="6"/>
      <c r="C509" s="6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</row>
    <row r="510" spans="1:16" ht="12.75" customHeight="1">
      <c r="A510" s="5" t="s">
        <v>43</v>
      </c>
      <c r="B510" s="6"/>
      <c r="C510" s="6"/>
      <c r="D510" s="7"/>
      <c r="E510" s="7"/>
      <c r="F510" s="7"/>
      <c r="G510" s="7">
        <v>1000000</v>
      </c>
      <c r="H510" s="7"/>
      <c r="I510" s="7"/>
      <c r="J510" s="7">
        <f>G510+H510</f>
        <v>1000000</v>
      </c>
      <c r="K510" s="7"/>
      <c r="L510" s="7"/>
      <c r="M510" s="7"/>
      <c r="N510" s="7">
        <v>1000000</v>
      </c>
      <c r="O510" s="7"/>
      <c r="P510" s="7">
        <f>N510</f>
        <v>1000000</v>
      </c>
    </row>
    <row r="511" spans="1:149" s="38" customFormat="1" ht="25.5" customHeight="1">
      <c r="A511" s="33" t="s">
        <v>409</v>
      </c>
      <c r="B511" s="34"/>
      <c r="C511" s="34"/>
      <c r="D511" s="35">
        <f>D513</f>
        <v>70000</v>
      </c>
      <c r="E511" s="35"/>
      <c r="F511" s="35">
        <f>D511+E511</f>
        <v>70000</v>
      </c>
      <c r="G511" s="35">
        <f>G515*G517</f>
        <v>0</v>
      </c>
      <c r="H511" s="35"/>
      <c r="I511" s="35"/>
      <c r="J511" s="35">
        <f>G511</f>
        <v>0</v>
      </c>
      <c r="K511" s="35"/>
      <c r="L511" s="35"/>
      <c r="M511" s="35"/>
      <c r="N511" s="35">
        <f>N517*N515</f>
        <v>0</v>
      </c>
      <c r="O511" s="35"/>
      <c r="P511" s="35">
        <f>N511</f>
        <v>0</v>
      </c>
      <c r="Q511" s="37"/>
      <c r="R511" s="37"/>
      <c r="S511" s="37"/>
      <c r="T511" s="37"/>
      <c r="U511" s="37"/>
      <c r="V511" s="37"/>
      <c r="W511" s="37"/>
      <c r="X511" s="37"/>
      <c r="Y511" s="37"/>
      <c r="Z511" s="37"/>
      <c r="AA511" s="37"/>
      <c r="AB511" s="37"/>
      <c r="AC511" s="37"/>
      <c r="AD511" s="37"/>
      <c r="AE511" s="37"/>
      <c r="AF511" s="37"/>
      <c r="AG511" s="37"/>
      <c r="AH511" s="37"/>
      <c r="AI511" s="37"/>
      <c r="AJ511" s="37"/>
      <c r="AK511" s="37"/>
      <c r="AL511" s="37"/>
      <c r="AM511" s="37"/>
      <c r="AN511" s="37"/>
      <c r="AO511" s="37"/>
      <c r="AP511" s="37"/>
      <c r="AQ511" s="37"/>
      <c r="AR511" s="37"/>
      <c r="AS511" s="37"/>
      <c r="AT511" s="37"/>
      <c r="AU511" s="37"/>
      <c r="AV511" s="37"/>
      <c r="AW511" s="37"/>
      <c r="AX511" s="37"/>
      <c r="AY511" s="37"/>
      <c r="AZ511" s="37"/>
      <c r="BA511" s="37"/>
      <c r="BB511" s="37"/>
      <c r="BC511" s="37"/>
      <c r="BD511" s="37"/>
      <c r="BE511" s="37"/>
      <c r="BF511" s="37"/>
      <c r="BG511" s="37"/>
      <c r="BH511" s="37"/>
      <c r="BI511" s="37"/>
      <c r="BJ511" s="37"/>
      <c r="BK511" s="37"/>
      <c r="BL511" s="37"/>
      <c r="BM511" s="37"/>
      <c r="BN511" s="37"/>
      <c r="BO511" s="37"/>
      <c r="BP511" s="37"/>
      <c r="BQ511" s="37"/>
      <c r="BR511" s="37"/>
      <c r="BS511" s="37"/>
      <c r="BT511" s="37"/>
      <c r="BU511" s="37"/>
      <c r="BV511" s="37"/>
      <c r="BW511" s="37"/>
      <c r="BX511" s="37"/>
      <c r="BY511" s="37"/>
      <c r="BZ511" s="37"/>
      <c r="CA511" s="37"/>
      <c r="CB511" s="37"/>
      <c r="CC511" s="37"/>
      <c r="CD511" s="37"/>
      <c r="CE511" s="37"/>
      <c r="CF511" s="37"/>
      <c r="CG511" s="37"/>
      <c r="CH511" s="37"/>
      <c r="CI511" s="37"/>
      <c r="CJ511" s="37"/>
      <c r="CK511" s="37"/>
      <c r="CL511" s="37"/>
      <c r="CM511" s="37"/>
      <c r="CN511" s="37"/>
      <c r="CO511" s="37"/>
      <c r="CP511" s="37"/>
      <c r="CQ511" s="37"/>
      <c r="CR511" s="37"/>
      <c r="CS511" s="37"/>
      <c r="CT511" s="37"/>
      <c r="CU511" s="37"/>
      <c r="CV511" s="37"/>
      <c r="CW511" s="37"/>
      <c r="CX511" s="37"/>
      <c r="CY511" s="37"/>
      <c r="CZ511" s="37"/>
      <c r="DA511" s="37"/>
      <c r="DB511" s="37"/>
      <c r="DC511" s="37"/>
      <c r="DD511" s="37"/>
      <c r="DE511" s="37"/>
      <c r="DF511" s="37"/>
      <c r="DG511" s="37"/>
      <c r="DH511" s="37"/>
      <c r="DI511" s="37"/>
      <c r="DJ511" s="37"/>
      <c r="DK511" s="37"/>
      <c r="DL511" s="37"/>
      <c r="DM511" s="37"/>
      <c r="DN511" s="37"/>
      <c r="DO511" s="37"/>
      <c r="DP511" s="37"/>
      <c r="DQ511" s="37"/>
      <c r="DR511" s="37"/>
      <c r="DS511" s="37"/>
      <c r="DT511" s="37"/>
      <c r="DU511" s="37"/>
      <c r="DV511" s="37"/>
      <c r="DW511" s="37"/>
      <c r="DX511" s="37"/>
      <c r="DY511" s="37"/>
      <c r="DZ511" s="37"/>
      <c r="EA511" s="37"/>
      <c r="EB511" s="37"/>
      <c r="EC511" s="37"/>
      <c r="ED511" s="37"/>
      <c r="EE511" s="37"/>
      <c r="EF511" s="37"/>
      <c r="EG511" s="37"/>
      <c r="EH511" s="37"/>
      <c r="EI511" s="37"/>
      <c r="EJ511" s="37"/>
      <c r="EK511" s="37"/>
      <c r="EL511" s="37"/>
      <c r="EM511" s="37"/>
      <c r="EN511" s="37"/>
      <c r="EO511" s="37"/>
      <c r="EP511" s="37"/>
      <c r="EQ511" s="37"/>
      <c r="ER511" s="37"/>
      <c r="ES511" s="37"/>
    </row>
    <row r="512" spans="1:16" ht="11.25">
      <c r="A512" s="5" t="s">
        <v>4</v>
      </c>
      <c r="B512" s="6"/>
      <c r="C512" s="6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</row>
    <row r="513" spans="1:16" ht="14.25" customHeight="1">
      <c r="A513" s="8" t="s">
        <v>43</v>
      </c>
      <c r="B513" s="6"/>
      <c r="C513" s="6"/>
      <c r="D513" s="7">
        <f>D515*D517</f>
        <v>70000</v>
      </c>
      <c r="E513" s="7"/>
      <c r="F513" s="7">
        <f>D513+E513</f>
        <v>70000</v>
      </c>
      <c r="G513" s="7"/>
      <c r="H513" s="7"/>
      <c r="I513" s="7"/>
      <c r="J513" s="7">
        <f>G513</f>
        <v>0</v>
      </c>
      <c r="K513" s="7"/>
      <c r="L513" s="7"/>
      <c r="M513" s="7"/>
      <c r="N513" s="7"/>
      <c r="O513" s="7"/>
      <c r="P513" s="7">
        <f>N513</f>
        <v>0</v>
      </c>
    </row>
    <row r="514" spans="1:16" ht="11.25">
      <c r="A514" s="5" t="s">
        <v>5</v>
      </c>
      <c r="B514" s="6"/>
      <c r="C514" s="6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</row>
    <row r="515" spans="1:16" ht="23.25" customHeight="1">
      <c r="A515" s="8" t="s">
        <v>133</v>
      </c>
      <c r="B515" s="6"/>
      <c r="C515" s="6"/>
      <c r="D515" s="7">
        <v>2</v>
      </c>
      <c r="E515" s="7"/>
      <c r="F515" s="7">
        <f>D515+E515</f>
        <v>2</v>
      </c>
      <c r="G515" s="7"/>
      <c r="H515" s="7"/>
      <c r="I515" s="7"/>
      <c r="J515" s="7">
        <v>0</v>
      </c>
      <c r="K515" s="7"/>
      <c r="L515" s="7"/>
      <c r="M515" s="7"/>
      <c r="N515" s="7"/>
      <c r="O515" s="7"/>
      <c r="P515" s="7">
        <v>0</v>
      </c>
    </row>
    <row r="516" spans="1:16" ht="11.25">
      <c r="A516" s="5" t="s">
        <v>7</v>
      </c>
      <c r="B516" s="6"/>
      <c r="C516" s="6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</row>
    <row r="517" spans="1:16" ht="24.75" customHeight="1">
      <c r="A517" s="8" t="s">
        <v>134</v>
      </c>
      <c r="B517" s="6"/>
      <c r="C517" s="6"/>
      <c r="D517" s="7">
        <v>35000</v>
      </c>
      <c r="E517" s="7"/>
      <c r="F517" s="7">
        <f>D517+E517</f>
        <v>35000</v>
      </c>
      <c r="G517" s="7"/>
      <c r="H517" s="7"/>
      <c r="I517" s="7"/>
      <c r="J517" s="7">
        <f>G517</f>
        <v>0</v>
      </c>
      <c r="K517" s="7"/>
      <c r="L517" s="7"/>
      <c r="M517" s="7"/>
      <c r="N517" s="7"/>
      <c r="O517" s="7"/>
      <c r="P517" s="7">
        <v>0</v>
      </c>
    </row>
    <row r="518" spans="1:149" s="38" customFormat="1" ht="15" customHeight="1">
      <c r="A518" s="33" t="s">
        <v>410</v>
      </c>
      <c r="B518" s="34"/>
      <c r="C518" s="34"/>
      <c r="D518" s="35">
        <f>D520</f>
        <v>150399.999999935</v>
      </c>
      <c r="E518" s="35"/>
      <c r="F518" s="35">
        <f>D518</f>
        <v>150399.999999935</v>
      </c>
      <c r="G518" s="35">
        <f>G520</f>
        <v>200000.4</v>
      </c>
      <c r="H518" s="35"/>
      <c r="I518" s="35"/>
      <c r="J518" s="29">
        <f aca="true" t="shared" si="58" ref="J518:J526">G518</f>
        <v>200000.4</v>
      </c>
      <c r="K518" s="35"/>
      <c r="L518" s="35"/>
      <c r="M518" s="35"/>
      <c r="N518" s="35"/>
      <c r="O518" s="35"/>
      <c r="P518" s="35"/>
      <c r="Q518" s="37"/>
      <c r="R518" s="37"/>
      <c r="S518" s="37"/>
      <c r="T518" s="37"/>
      <c r="U518" s="37"/>
      <c r="V518" s="37"/>
      <c r="W518" s="37"/>
      <c r="X518" s="37"/>
      <c r="Y518" s="37"/>
      <c r="Z518" s="37"/>
      <c r="AA518" s="37"/>
      <c r="AB518" s="37"/>
      <c r="AC518" s="37"/>
      <c r="AD518" s="37"/>
      <c r="AE518" s="37"/>
      <c r="AF518" s="37"/>
      <c r="AG518" s="37"/>
      <c r="AH518" s="37"/>
      <c r="AI518" s="37"/>
      <c r="AJ518" s="37"/>
      <c r="AK518" s="37"/>
      <c r="AL518" s="37"/>
      <c r="AM518" s="37"/>
      <c r="AN518" s="37"/>
      <c r="AO518" s="37"/>
      <c r="AP518" s="37"/>
      <c r="AQ518" s="37"/>
      <c r="AR518" s="37"/>
      <c r="AS518" s="37"/>
      <c r="AT518" s="37"/>
      <c r="AU518" s="37"/>
      <c r="AV518" s="37"/>
      <c r="AW518" s="37"/>
      <c r="AX518" s="37"/>
      <c r="AY518" s="37"/>
      <c r="AZ518" s="37"/>
      <c r="BA518" s="37"/>
      <c r="BB518" s="37"/>
      <c r="BC518" s="37"/>
      <c r="BD518" s="37"/>
      <c r="BE518" s="37"/>
      <c r="BF518" s="37"/>
      <c r="BG518" s="37"/>
      <c r="BH518" s="37"/>
      <c r="BI518" s="37"/>
      <c r="BJ518" s="37"/>
      <c r="BK518" s="37"/>
      <c r="BL518" s="37"/>
      <c r="BM518" s="37"/>
      <c r="BN518" s="37"/>
      <c r="BO518" s="37"/>
      <c r="BP518" s="37"/>
      <c r="BQ518" s="37"/>
      <c r="BR518" s="37"/>
      <c r="BS518" s="37"/>
      <c r="BT518" s="37"/>
      <c r="BU518" s="37"/>
      <c r="BV518" s="37"/>
      <c r="BW518" s="37"/>
      <c r="BX518" s="37"/>
      <c r="BY518" s="37"/>
      <c r="BZ518" s="37"/>
      <c r="CA518" s="37"/>
      <c r="CB518" s="37"/>
      <c r="CC518" s="37"/>
      <c r="CD518" s="37"/>
      <c r="CE518" s="37"/>
      <c r="CF518" s="37"/>
      <c r="CG518" s="37"/>
      <c r="CH518" s="37"/>
      <c r="CI518" s="37"/>
      <c r="CJ518" s="37"/>
      <c r="CK518" s="37"/>
      <c r="CL518" s="37"/>
      <c r="CM518" s="37"/>
      <c r="CN518" s="37"/>
      <c r="CO518" s="37"/>
      <c r="CP518" s="37"/>
      <c r="CQ518" s="37"/>
      <c r="CR518" s="37"/>
      <c r="CS518" s="37"/>
      <c r="CT518" s="37"/>
      <c r="CU518" s="37"/>
      <c r="CV518" s="37"/>
      <c r="CW518" s="37"/>
      <c r="CX518" s="37"/>
      <c r="CY518" s="37"/>
      <c r="CZ518" s="37"/>
      <c r="DA518" s="37"/>
      <c r="DB518" s="37"/>
      <c r="DC518" s="37"/>
      <c r="DD518" s="37"/>
      <c r="DE518" s="37"/>
      <c r="DF518" s="37"/>
      <c r="DG518" s="37"/>
      <c r="DH518" s="37"/>
      <c r="DI518" s="37"/>
      <c r="DJ518" s="37"/>
      <c r="DK518" s="37"/>
      <c r="DL518" s="37"/>
      <c r="DM518" s="37"/>
      <c r="DN518" s="37"/>
      <c r="DO518" s="37"/>
      <c r="DP518" s="37"/>
      <c r="DQ518" s="37"/>
      <c r="DR518" s="37"/>
      <c r="DS518" s="37"/>
      <c r="DT518" s="37"/>
      <c r="DU518" s="37"/>
      <c r="DV518" s="37"/>
      <c r="DW518" s="37"/>
      <c r="DX518" s="37"/>
      <c r="DY518" s="37"/>
      <c r="DZ518" s="37"/>
      <c r="EA518" s="37"/>
      <c r="EB518" s="37"/>
      <c r="EC518" s="37"/>
      <c r="ED518" s="37"/>
      <c r="EE518" s="37"/>
      <c r="EF518" s="37"/>
      <c r="EG518" s="37"/>
      <c r="EH518" s="37"/>
      <c r="EI518" s="37"/>
      <c r="EJ518" s="37"/>
      <c r="EK518" s="37"/>
      <c r="EL518" s="37"/>
      <c r="EM518" s="37"/>
      <c r="EN518" s="37"/>
      <c r="EO518" s="37"/>
      <c r="EP518" s="37"/>
      <c r="EQ518" s="37"/>
      <c r="ER518" s="37"/>
      <c r="ES518" s="37"/>
    </row>
    <row r="519" spans="1:16" ht="12" customHeight="1">
      <c r="A519" s="5" t="s">
        <v>4</v>
      </c>
      <c r="B519" s="6"/>
      <c r="C519" s="6"/>
      <c r="D519" s="7"/>
      <c r="E519" s="7"/>
      <c r="F519" s="7"/>
      <c r="G519" s="7"/>
      <c r="H519" s="7"/>
      <c r="I519" s="7"/>
      <c r="J519" s="7">
        <f t="shared" si="58"/>
        <v>0</v>
      </c>
      <c r="K519" s="7"/>
      <c r="L519" s="7"/>
      <c r="M519" s="7"/>
      <c r="N519" s="7"/>
      <c r="O519" s="7"/>
      <c r="P519" s="7"/>
    </row>
    <row r="520" spans="1:16" ht="12" customHeight="1">
      <c r="A520" s="8" t="s">
        <v>43</v>
      </c>
      <c r="B520" s="6"/>
      <c r="C520" s="6"/>
      <c r="D520" s="7">
        <f>(D522*D525)+(D523*D526)</f>
        <v>150399.999999935</v>
      </c>
      <c r="E520" s="7"/>
      <c r="F520" s="7">
        <f>D520</f>
        <v>150399.999999935</v>
      </c>
      <c r="G520" s="7">
        <f>(G522*G525)+(G523*G526)</f>
        <v>200000.4</v>
      </c>
      <c r="H520" s="7"/>
      <c r="I520" s="7"/>
      <c r="J520" s="7">
        <f t="shared" si="58"/>
        <v>200000.4</v>
      </c>
      <c r="K520" s="7"/>
      <c r="L520" s="7"/>
      <c r="M520" s="7"/>
      <c r="N520" s="7"/>
      <c r="O520" s="7"/>
      <c r="P520" s="7"/>
    </row>
    <row r="521" spans="1:16" ht="12" customHeight="1">
      <c r="A521" s="5" t="s">
        <v>5</v>
      </c>
      <c r="B521" s="6"/>
      <c r="C521" s="6"/>
      <c r="D521" s="7"/>
      <c r="E521" s="7"/>
      <c r="F521" s="7"/>
      <c r="G521" s="7"/>
      <c r="H521" s="7"/>
      <c r="I521" s="7"/>
      <c r="J521" s="7">
        <f t="shared" si="58"/>
        <v>0</v>
      </c>
      <c r="K521" s="7"/>
      <c r="L521" s="7"/>
      <c r="M521" s="7"/>
      <c r="N521" s="7"/>
      <c r="O521" s="7"/>
      <c r="P521" s="7"/>
    </row>
    <row r="522" spans="1:16" ht="24.75" customHeight="1">
      <c r="A522" s="8" t="s">
        <v>155</v>
      </c>
      <c r="B522" s="6"/>
      <c r="C522" s="6"/>
      <c r="D522" s="7">
        <v>57</v>
      </c>
      <c r="E522" s="7"/>
      <c r="F522" s="7">
        <v>57</v>
      </c>
      <c r="G522" s="7">
        <v>57</v>
      </c>
      <c r="H522" s="7"/>
      <c r="I522" s="7"/>
      <c r="J522" s="7">
        <f t="shared" si="58"/>
        <v>57</v>
      </c>
      <c r="K522" s="7"/>
      <c r="L522" s="7"/>
      <c r="M522" s="7"/>
      <c r="N522" s="7"/>
      <c r="O522" s="7"/>
      <c r="P522" s="7"/>
    </row>
    <row r="523" spans="1:16" ht="15.75" customHeight="1">
      <c r="A523" s="8" t="s">
        <v>153</v>
      </c>
      <c r="B523" s="6"/>
      <c r="C523" s="6"/>
      <c r="D523" s="7">
        <v>145</v>
      </c>
      <c r="E523" s="7"/>
      <c r="F523" s="7">
        <f>D523</f>
        <v>145</v>
      </c>
      <c r="G523" s="7">
        <v>145</v>
      </c>
      <c r="H523" s="7"/>
      <c r="I523" s="7"/>
      <c r="J523" s="7">
        <f t="shared" si="58"/>
        <v>145</v>
      </c>
      <c r="K523" s="7"/>
      <c r="L523" s="7"/>
      <c r="M523" s="7"/>
      <c r="N523" s="7"/>
      <c r="O523" s="7"/>
      <c r="P523" s="7"/>
    </row>
    <row r="524" spans="1:16" ht="12.75" customHeight="1">
      <c r="A524" s="5" t="s">
        <v>7</v>
      </c>
      <c r="B524" s="6"/>
      <c r="C524" s="6"/>
      <c r="D524" s="7"/>
      <c r="E524" s="7"/>
      <c r="F524" s="7"/>
      <c r="G524" s="7"/>
      <c r="H524" s="7"/>
      <c r="I524" s="7"/>
      <c r="J524" s="7">
        <f t="shared" si="58"/>
        <v>0</v>
      </c>
      <c r="K524" s="7"/>
      <c r="L524" s="7"/>
      <c r="M524" s="7"/>
      <c r="N524" s="7"/>
      <c r="O524" s="7"/>
      <c r="P524" s="7"/>
    </row>
    <row r="525" spans="1:16" ht="24.75" customHeight="1">
      <c r="A525" s="8" t="s">
        <v>154</v>
      </c>
      <c r="B525" s="6"/>
      <c r="C525" s="6"/>
      <c r="D525" s="7">
        <v>1950.89</v>
      </c>
      <c r="E525" s="7"/>
      <c r="F525" s="7">
        <f>D525</f>
        <v>1950.89</v>
      </c>
      <c r="G525" s="7">
        <v>2596.5</v>
      </c>
      <c r="H525" s="7"/>
      <c r="I525" s="7"/>
      <c r="J525" s="7">
        <f t="shared" si="58"/>
        <v>2596.5</v>
      </c>
      <c r="K525" s="7"/>
      <c r="L525" s="7"/>
      <c r="M525" s="7"/>
      <c r="N525" s="7"/>
      <c r="O525" s="7"/>
      <c r="P525" s="7"/>
    </row>
    <row r="526" spans="1:16" ht="24.75" customHeight="1">
      <c r="A526" s="8" t="s">
        <v>156</v>
      </c>
      <c r="B526" s="6"/>
      <c r="C526" s="6"/>
      <c r="D526" s="7">
        <v>270.339793103</v>
      </c>
      <c r="E526" s="7"/>
      <c r="F526" s="7">
        <f>D526</f>
        <v>270.339793103</v>
      </c>
      <c r="G526" s="7">
        <v>358.62</v>
      </c>
      <c r="H526" s="7"/>
      <c r="I526" s="7"/>
      <c r="J526" s="7">
        <f t="shared" si="58"/>
        <v>358.62</v>
      </c>
      <c r="K526" s="7"/>
      <c r="L526" s="7"/>
      <c r="M526" s="7"/>
      <c r="N526" s="7"/>
      <c r="O526" s="7"/>
      <c r="P526" s="7"/>
    </row>
    <row r="527" spans="1:149" s="38" customFormat="1" ht="25.5" customHeight="1">
      <c r="A527" s="33" t="s">
        <v>411</v>
      </c>
      <c r="B527" s="34"/>
      <c r="C527" s="34"/>
      <c r="D527" s="35">
        <f>D529</f>
        <v>399999.99999963003</v>
      </c>
      <c r="E527" s="35"/>
      <c r="F527" s="35">
        <f>D527</f>
        <v>399999.99999963003</v>
      </c>
      <c r="G527" s="35">
        <f>G529</f>
        <v>450000</v>
      </c>
      <c r="H527" s="35"/>
      <c r="I527" s="35"/>
      <c r="J527" s="35">
        <f>G527+H527</f>
        <v>450000</v>
      </c>
      <c r="K527" s="35"/>
      <c r="L527" s="35"/>
      <c r="M527" s="35"/>
      <c r="N527" s="35">
        <f>N529</f>
        <v>500000.00204999995</v>
      </c>
      <c r="O527" s="35"/>
      <c r="P527" s="35">
        <f>N527</f>
        <v>500000.00204999995</v>
      </c>
      <c r="Q527" s="37"/>
      <c r="R527" s="37"/>
      <c r="S527" s="37"/>
      <c r="T527" s="37"/>
      <c r="U527" s="37"/>
      <c r="V527" s="37"/>
      <c r="W527" s="37"/>
      <c r="X527" s="37"/>
      <c r="Y527" s="37"/>
      <c r="Z527" s="37"/>
      <c r="AA527" s="37"/>
      <c r="AB527" s="37"/>
      <c r="AC527" s="37"/>
      <c r="AD527" s="37"/>
      <c r="AE527" s="37"/>
      <c r="AF527" s="37"/>
      <c r="AG527" s="37"/>
      <c r="AH527" s="37"/>
      <c r="AI527" s="37"/>
      <c r="AJ527" s="37"/>
      <c r="AK527" s="37"/>
      <c r="AL527" s="37"/>
      <c r="AM527" s="37"/>
      <c r="AN527" s="37"/>
      <c r="AO527" s="37"/>
      <c r="AP527" s="37"/>
      <c r="AQ527" s="37"/>
      <c r="AR527" s="37"/>
      <c r="AS527" s="37"/>
      <c r="AT527" s="37"/>
      <c r="AU527" s="37"/>
      <c r="AV527" s="37"/>
      <c r="AW527" s="37"/>
      <c r="AX527" s="37"/>
      <c r="AY527" s="37"/>
      <c r="AZ527" s="37"/>
      <c r="BA527" s="37"/>
      <c r="BB527" s="37"/>
      <c r="BC527" s="37"/>
      <c r="BD527" s="37"/>
      <c r="BE527" s="37"/>
      <c r="BF527" s="37"/>
      <c r="BG527" s="37"/>
      <c r="BH527" s="37"/>
      <c r="BI527" s="37"/>
      <c r="BJ527" s="37"/>
      <c r="BK527" s="37"/>
      <c r="BL527" s="37"/>
      <c r="BM527" s="37"/>
      <c r="BN527" s="37"/>
      <c r="BO527" s="37"/>
      <c r="BP527" s="37"/>
      <c r="BQ527" s="37"/>
      <c r="BR527" s="37"/>
      <c r="BS527" s="37"/>
      <c r="BT527" s="37"/>
      <c r="BU527" s="37"/>
      <c r="BV527" s="37"/>
      <c r="BW527" s="37"/>
      <c r="BX527" s="37"/>
      <c r="BY527" s="37"/>
      <c r="BZ527" s="37"/>
      <c r="CA527" s="37"/>
      <c r="CB527" s="37"/>
      <c r="CC527" s="37"/>
      <c r="CD527" s="37"/>
      <c r="CE527" s="37"/>
      <c r="CF527" s="37"/>
      <c r="CG527" s="37"/>
      <c r="CH527" s="37"/>
      <c r="CI527" s="37"/>
      <c r="CJ527" s="37"/>
      <c r="CK527" s="37"/>
      <c r="CL527" s="37"/>
      <c r="CM527" s="37"/>
      <c r="CN527" s="37"/>
      <c r="CO527" s="37"/>
      <c r="CP527" s="37"/>
      <c r="CQ527" s="37"/>
      <c r="CR527" s="37"/>
      <c r="CS527" s="37"/>
      <c r="CT527" s="37"/>
      <c r="CU527" s="37"/>
      <c r="CV527" s="37"/>
      <c r="CW527" s="37"/>
      <c r="CX527" s="37"/>
      <c r="CY527" s="37"/>
      <c r="CZ527" s="37"/>
      <c r="DA527" s="37"/>
      <c r="DB527" s="37"/>
      <c r="DC527" s="37"/>
      <c r="DD527" s="37"/>
      <c r="DE527" s="37"/>
      <c r="DF527" s="37"/>
      <c r="DG527" s="37"/>
      <c r="DH527" s="37"/>
      <c r="DI527" s="37"/>
      <c r="DJ527" s="37"/>
      <c r="DK527" s="37"/>
      <c r="DL527" s="37"/>
      <c r="DM527" s="37"/>
      <c r="DN527" s="37"/>
      <c r="DO527" s="37"/>
      <c r="DP527" s="37"/>
      <c r="DQ527" s="37"/>
      <c r="DR527" s="37"/>
      <c r="DS527" s="37"/>
      <c r="DT527" s="37"/>
      <c r="DU527" s="37"/>
      <c r="DV527" s="37"/>
      <c r="DW527" s="37"/>
      <c r="DX527" s="37"/>
      <c r="DY527" s="37"/>
      <c r="DZ527" s="37"/>
      <c r="EA527" s="37"/>
      <c r="EB527" s="37"/>
      <c r="EC527" s="37"/>
      <c r="ED527" s="37"/>
      <c r="EE527" s="37"/>
      <c r="EF527" s="37"/>
      <c r="EG527" s="37"/>
      <c r="EH527" s="37"/>
      <c r="EI527" s="37"/>
      <c r="EJ527" s="37"/>
      <c r="EK527" s="37"/>
      <c r="EL527" s="37"/>
      <c r="EM527" s="37"/>
      <c r="EN527" s="37"/>
      <c r="EO527" s="37"/>
      <c r="EP527" s="37"/>
      <c r="EQ527" s="37"/>
      <c r="ER527" s="37"/>
      <c r="ES527" s="37"/>
    </row>
    <row r="528" spans="1:16" ht="11.25" customHeight="1">
      <c r="A528" s="5" t="s">
        <v>4</v>
      </c>
      <c r="B528" s="6"/>
      <c r="C528" s="6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35"/>
    </row>
    <row r="529" spans="1:16" ht="14.25" customHeight="1">
      <c r="A529" s="8" t="s">
        <v>43</v>
      </c>
      <c r="B529" s="6"/>
      <c r="C529" s="6"/>
      <c r="D529" s="7">
        <f>D531*D533</f>
        <v>399999.99999963003</v>
      </c>
      <c r="E529" s="7"/>
      <c r="F529" s="7">
        <f>D529+E529</f>
        <v>399999.99999963003</v>
      </c>
      <c r="G529" s="7">
        <f>G531*G533</f>
        <v>450000</v>
      </c>
      <c r="H529" s="7"/>
      <c r="I529" s="7"/>
      <c r="J529" s="7">
        <f>G529+H529</f>
        <v>450000</v>
      </c>
      <c r="K529" s="7"/>
      <c r="L529" s="7"/>
      <c r="M529" s="7"/>
      <c r="N529" s="7">
        <f>N531*N533</f>
        <v>500000.00204999995</v>
      </c>
      <c r="O529" s="7"/>
      <c r="P529" s="35">
        <f>N529</f>
        <v>500000.00204999995</v>
      </c>
    </row>
    <row r="530" spans="1:16" ht="10.5" customHeight="1">
      <c r="A530" s="5" t="s">
        <v>5</v>
      </c>
      <c r="B530" s="6"/>
      <c r="C530" s="6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35"/>
    </row>
    <row r="531" spans="1:16" ht="24.75" customHeight="1">
      <c r="A531" s="8" t="s">
        <v>161</v>
      </c>
      <c r="B531" s="6"/>
      <c r="C531" s="6"/>
      <c r="D531" s="7">
        <v>307</v>
      </c>
      <c r="E531" s="7"/>
      <c r="F531" s="7">
        <f>D531</f>
        <v>307</v>
      </c>
      <c r="G531" s="7">
        <v>300</v>
      </c>
      <c r="H531" s="7"/>
      <c r="I531" s="7"/>
      <c r="J531" s="7">
        <f>G531+H531</f>
        <v>300</v>
      </c>
      <c r="K531" s="7"/>
      <c r="L531" s="7"/>
      <c r="M531" s="7"/>
      <c r="N531" s="7">
        <v>213</v>
      </c>
      <c r="O531" s="7"/>
      <c r="P531" s="35">
        <f>N531</f>
        <v>213</v>
      </c>
    </row>
    <row r="532" spans="1:16" ht="11.25">
      <c r="A532" s="5" t="s">
        <v>7</v>
      </c>
      <c r="B532" s="6"/>
      <c r="C532" s="6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35"/>
    </row>
    <row r="533" spans="1:16" ht="24.75" customHeight="1">
      <c r="A533" s="8" t="s">
        <v>162</v>
      </c>
      <c r="B533" s="6"/>
      <c r="C533" s="6"/>
      <c r="D533" s="7">
        <v>1302.93159609</v>
      </c>
      <c r="E533" s="7"/>
      <c r="F533" s="7">
        <f>D533</f>
        <v>1302.93159609</v>
      </c>
      <c r="G533" s="7">
        <f>450000/300</f>
        <v>1500</v>
      </c>
      <c r="H533" s="7"/>
      <c r="I533" s="7"/>
      <c r="J533" s="7">
        <f>G533+H533</f>
        <v>1500</v>
      </c>
      <c r="K533" s="7"/>
      <c r="L533" s="7"/>
      <c r="M533" s="7"/>
      <c r="N533" s="7">
        <v>2347.41785</v>
      </c>
      <c r="O533" s="7"/>
      <c r="P533" s="35">
        <f>N533</f>
        <v>2347.41785</v>
      </c>
    </row>
    <row r="534" spans="1:149" s="38" customFormat="1" ht="36.75" customHeight="1">
      <c r="A534" s="33" t="s">
        <v>412</v>
      </c>
      <c r="B534" s="34"/>
      <c r="C534" s="34"/>
      <c r="D534" s="35">
        <f>700000+35000+10000</f>
        <v>745000</v>
      </c>
      <c r="E534" s="35">
        <f>E536</f>
        <v>1000000</v>
      </c>
      <c r="F534" s="35">
        <f>D534+E534</f>
        <v>1745000</v>
      </c>
      <c r="G534" s="35">
        <v>200000</v>
      </c>
      <c r="H534" s="35">
        <f>1300000+50000</f>
        <v>1350000</v>
      </c>
      <c r="I534" s="35"/>
      <c r="J534" s="35">
        <f>G534+H534</f>
        <v>1550000</v>
      </c>
      <c r="K534" s="35"/>
      <c r="L534" s="35"/>
      <c r="M534" s="35"/>
      <c r="N534" s="35">
        <f>N539*N542</f>
        <v>400000</v>
      </c>
      <c r="O534" s="35">
        <f>O539*O542</f>
        <v>1600000</v>
      </c>
      <c r="P534" s="35">
        <f>O534+N534</f>
        <v>2000000</v>
      </c>
      <c r="Q534" s="37"/>
      <c r="R534" s="37"/>
      <c r="S534" s="37"/>
      <c r="T534" s="37"/>
      <c r="U534" s="37"/>
      <c r="V534" s="37"/>
      <c r="W534" s="37"/>
      <c r="X534" s="37"/>
      <c r="Y534" s="37"/>
      <c r="Z534" s="37"/>
      <c r="AA534" s="37"/>
      <c r="AB534" s="37"/>
      <c r="AC534" s="37"/>
      <c r="AD534" s="37"/>
      <c r="AE534" s="37"/>
      <c r="AF534" s="37"/>
      <c r="AG534" s="37"/>
      <c r="AH534" s="37"/>
      <c r="AI534" s="37"/>
      <c r="AJ534" s="37"/>
      <c r="AK534" s="37"/>
      <c r="AL534" s="37"/>
      <c r="AM534" s="37"/>
      <c r="AN534" s="37"/>
      <c r="AO534" s="37"/>
      <c r="AP534" s="37"/>
      <c r="AQ534" s="37"/>
      <c r="AR534" s="37"/>
      <c r="AS534" s="37"/>
      <c r="AT534" s="37"/>
      <c r="AU534" s="37"/>
      <c r="AV534" s="37"/>
      <c r="AW534" s="37"/>
      <c r="AX534" s="37"/>
      <c r="AY534" s="37"/>
      <c r="AZ534" s="37"/>
      <c r="BA534" s="37"/>
      <c r="BB534" s="37"/>
      <c r="BC534" s="37"/>
      <c r="BD534" s="37"/>
      <c r="BE534" s="37"/>
      <c r="BF534" s="37"/>
      <c r="BG534" s="37"/>
      <c r="BH534" s="37"/>
      <c r="BI534" s="37"/>
      <c r="BJ534" s="37"/>
      <c r="BK534" s="37"/>
      <c r="BL534" s="37"/>
      <c r="BM534" s="37"/>
      <c r="BN534" s="37"/>
      <c r="BO534" s="37"/>
      <c r="BP534" s="37"/>
      <c r="BQ534" s="37"/>
      <c r="BR534" s="37"/>
      <c r="BS534" s="37"/>
      <c r="BT534" s="37"/>
      <c r="BU534" s="37"/>
      <c r="BV534" s="37"/>
      <c r="BW534" s="37"/>
      <c r="BX534" s="37"/>
      <c r="BY534" s="37"/>
      <c r="BZ534" s="37"/>
      <c r="CA534" s="37"/>
      <c r="CB534" s="37"/>
      <c r="CC534" s="37"/>
      <c r="CD534" s="37"/>
      <c r="CE534" s="37"/>
      <c r="CF534" s="37"/>
      <c r="CG534" s="37"/>
      <c r="CH534" s="37"/>
      <c r="CI534" s="37"/>
      <c r="CJ534" s="37"/>
      <c r="CK534" s="37"/>
      <c r="CL534" s="37"/>
      <c r="CM534" s="37"/>
      <c r="CN534" s="37"/>
      <c r="CO534" s="37"/>
      <c r="CP534" s="37"/>
      <c r="CQ534" s="37"/>
      <c r="CR534" s="37"/>
      <c r="CS534" s="37"/>
      <c r="CT534" s="37"/>
      <c r="CU534" s="37"/>
      <c r="CV534" s="37"/>
      <c r="CW534" s="37"/>
      <c r="CX534" s="37"/>
      <c r="CY534" s="37"/>
      <c r="CZ534" s="37"/>
      <c r="DA534" s="37"/>
      <c r="DB534" s="37"/>
      <c r="DC534" s="37"/>
      <c r="DD534" s="37"/>
      <c r="DE534" s="37"/>
      <c r="DF534" s="37"/>
      <c r="DG534" s="37"/>
      <c r="DH534" s="37"/>
      <c r="DI534" s="37"/>
      <c r="DJ534" s="37"/>
      <c r="DK534" s="37"/>
      <c r="DL534" s="37"/>
      <c r="DM534" s="37"/>
      <c r="DN534" s="37"/>
      <c r="DO534" s="37"/>
      <c r="DP534" s="37"/>
      <c r="DQ534" s="37"/>
      <c r="DR534" s="37"/>
      <c r="DS534" s="37"/>
      <c r="DT534" s="37"/>
      <c r="DU534" s="37"/>
      <c r="DV534" s="37"/>
      <c r="DW534" s="37"/>
      <c r="DX534" s="37"/>
      <c r="DY534" s="37"/>
      <c r="DZ534" s="37"/>
      <c r="EA534" s="37"/>
      <c r="EB534" s="37"/>
      <c r="EC534" s="37"/>
      <c r="ED534" s="37"/>
      <c r="EE534" s="37"/>
      <c r="EF534" s="37"/>
      <c r="EG534" s="37"/>
      <c r="EH534" s="37"/>
      <c r="EI534" s="37"/>
      <c r="EJ534" s="37"/>
      <c r="EK534" s="37"/>
      <c r="EL534" s="37"/>
      <c r="EM534" s="37"/>
      <c r="EN534" s="37"/>
      <c r="EO534" s="37"/>
      <c r="EP534" s="37"/>
      <c r="EQ534" s="37"/>
      <c r="ER534" s="37"/>
      <c r="ES534" s="37"/>
    </row>
    <row r="535" spans="1:16" ht="11.25">
      <c r="A535" s="5" t="s">
        <v>4</v>
      </c>
      <c r="B535" s="6"/>
      <c r="C535" s="6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35"/>
    </row>
    <row r="536" spans="1:16" ht="22.5">
      <c r="A536" s="8" t="s">
        <v>347</v>
      </c>
      <c r="B536" s="6"/>
      <c r="C536" s="6"/>
      <c r="D536" s="7">
        <v>700000</v>
      </c>
      <c r="E536" s="7">
        <f>E539*E542</f>
        <v>1000000</v>
      </c>
      <c r="F536" s="7">
        <f>D536+E536</f>
        <v>1700000</v>
      </c>
      <c r="G536" s="7">
        <v>200000</v>
      </c>
      <c r="H536" s="7">
        <f>1300000+50000</f>
        <v>1350000</v>
      </c>
      <c r="I536" s="7"/>
      <c r="J536" s="7">
        <f>G536+H536</f>
        <v>1550000</v>
      </c>
      <c r="K536" s="7"/>
      <c r="L536" s="7"/>
      <c r="M536" s="7"/>
      <c r="N536" s="7">
        <f>N539*N542</f>
        <v>400000</v>
      </c>
      <c r="O536" s="7">
        <f>O539*O542</f>
        <v>1600000</v>
      </c>
      <c r="P536" s="7">
        <f>O536+N536</f>
        <v>2000000</v>
      </c>
    </row>
    <row r="537" spans="1:16" ht="22.5">
      <c r="A537" s="8" t="s">
        <v>350</v>
      </c>
      <c r="B537" s="6"/>
      <c r="C537" s="6"/>
      <c r="D537" s="7">
        <f>35000+10000</f>
        <v>45000</v>
      </c>
      <c r="E537" s="7"/>
      <c r="F537" s="7">
        <f>D537+E537</f>
        <v>45000</v>
      </c>
      <c r="G537" s="7"/>
      <c r="H537" s="7"/>
      <c r="I537" s="7"/>
      <c r="J537" s="7"/>
      <c r="K537" s="7"/>
      <c r="L537" s="7"/>
      <c r="M537" s="7"/>
      <c r="N537" s="7"/>
      <c r="O537" s="7"/>
      <c r="P537" s="7"/>
    </row>
    <row r="538" spans="1:16" ht="11.25">
      <c r="A538" s="5" t="s">
        <v>5</v>
      </c>
      <c r="B538" s="6"/>
      <c r="C538" s="6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</row>
    <row r="539" spans="1:16" ht="22.5">
      <c r="A539" s="71" t="s">
        <v>182</v>
      </c>
      <c r="B539" s="6"/>
      <c r="C539" s="6"/>
      <c r="D539" s="7">
        <v>6</v>
      </c>
      <c r="E539" s="7">
        <v>2</v>
      </c>
      <c r="F539" s="7">
        <f>D539+E539</f>
        <v>8</v>
      </c>
      <c r="G539" s="7">
        <v>1</v>
      </c>
      <c r="H539" s="7">
        <v>3</v>
      </c>
      <c r="I539" s="7"/>
      <c r="J539" s="7">
        <f>G539+H539</f>
        <v>4</v>
      </c>
      <c r="K539" s="7"/>
      <c r="L539" s="7"/>
      <c r="M539" s="7"/>
      <c r="N539" s="7">
        <v>5</v>
      </c>
      <c r="O539" s="7">
        <v>4</v>
      </c>
      <c r="P539" s="7">
        <f>O539+N539</f>
        <v>9</v>
      </c>
    </row>
    <row r="540" spans="1:16" ht="22.5">
      <c r="A540" s="71" t="s">
        <v>348</v>
      </c>
      <c r="B540" s="6"/>
      <c r="C540" s="6"/>
      <c r="D540" s="7">
        <v>1</v>
      </c>
      <c r="E540" s="7"/>
      <c r="F540" s="7">
        <f>D540+E540</f>
        <v>1</v>
      </c>
      <c r="G540" s="7"/>
      <c r="H540" s="7"/>
      <c r="I540" s="7"/>
      <c r="J540" s="7"/>
      <c r="K540" s="7"/>
      <c r="L540" s="7"/>
      <c r="M540" s="7"/>
      <c r="N540" s="7"/>
      <c r="O540" s="7"/>
      <c r="P540" s="7"/>
    </row>
    <row r="541" spans="1:16" ht="11.25">
      <c r="A541" s="5" t="s">
        <v>7</v>
      </c>
      <c r="B541" s="6"/>
      <c r="C541" s="6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</row>
    <row r="542" spans="1:16" ht="33.75">
      <c r="A542" s="8" t="s">
        <v>202</v>
      </c>
      <c r="B542" s="6"/>
      <c r="C542" s="6"/>
      <c r="D542" s="7">
        <v>116666.66</v>
      </c>
      <c r="E542" s="7">
        <v>500000</v>
      </c>
      <c r="F542" s="7">
        <f>D542+E542</f>
        <v>616666.66</v>
      </c>
      <c r="G542" s="7">
        <v>200000</v>
      </c>
      <c r="H542" s="7">
        <v>433333.33</v>
      </c>
      <c r="I542" s="7"/>
      <c r="J542" s="7">
        <f>G542+H542</f>
        <v>633333.3300000001</v>
      </c>
      <c r="K542" s="7"/>
      <c r="L542" s="7"/>
      <c r="M542" s="7"/>
      <c r="N542" s="7">
        <v>80000</v>
      </c>
      <c r="O542" s="7">
        <v>400000</v>
      </c>
      <c r="P542" s="7">
        <f>O542+N542</f>
        <v>480000</v>
      </c>
    </row>
    <row r="543" spans="1:16" ht="22.5">
      <c r="A543" s="8" t="s">
        <v>349</v>
      </c>
      <c r="B543" s="6"/>
      <c r="C543" s="6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</row>
    <row r="544" spans="1:16" ht="11.25">
      <c r="A544" s="8"/>
      <c r="B544" s="6"/>
      <c r="C544" s="6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</row>
    <row r="545" spans="1:149" s="38" customFormat="1" ht="24.75" customHeight="1">
      <c r="A545" s="33" t="s">
        <v>413</v>
      </c>
      <c r="B545" s="34"/>
      <c r="C545" s="34"/>
      <c r="D545" s="35">
        <f>D547</f>
        <v>100000</v>
      </c>
      <c r="E545" s="35"/>
      <c r="F545" s="35">
        <f>D545+E545</f>
        <v>100000</v>
      </c>
      <c r="G545" s="35">
        <f>G549*G551</f>
        <v>130000</v>
      </c>
      <c r="H545" s="35"/>
      <c r="I545" s="35"/>
      <c r="J545" s="35">
        <f>G545+H545</f>
        <v>130000</v>
      </c>
      <c r="K545" s="35"/>
      <c r="L545" s="35"/>
      <c r="M545" s="35"/>
      <c r="N545" s="35">
        <f>N551*N549</f>
        <v>350000</v>
      </c>
      <c r="O545" s="35">
        <f>O551*O549</f>
        <v>0</v>
      </c>
      <c r="P545" s="35">
        <f>P551*P549</f>
        <v>350000</v>
      </c>
      <c r="Q545" s="37"/>
      <c r="R545" s="37"/>
      <c r="S545" s="37"/>
      <c r="T545" s="37"/>
      <c r="U545" s="37"/>
      <c r="V545" s="37"/>
      <c r="W545" s="37"/>
      <c r="X545" s="37"/>
      <c r="Y545" s="37"/>
      <c r="Z545" s="37"/>
      <c r="AA545" s="37"/>
      <c r="AB545" s="37"/>
      <c r="AC545" s="37"/>
      <c r="AD545" s="37"/>
      <c r="AE545" s="37"/>
      <c r="AF545" s="37"/>
      <c r="AG545" s="37"/>
      <c r="AH545" s="37"/>
      <c r="AI545" s="37"/>
      <c r="AJ545" s="37"/>
      <c r="AK545" s="37"/>
      <c r="AL545" s="37"/>
      <c r="AM545" s="37"/>
      <c r="AN545" s="37"/>
      <c r="AO545" s="37"/>
      <c r="AP545" s="37"/>
      <c r="AQ545" s="37"/>
      <c r="AR545" s="37"/>
      <c r="AS545" s="37"/>
      <c r="AT545" s="37"/>
      <c r="AU545" s="37"/>
      <c r="AV545" s="37"/>
      <c r="AW545" s="37"/>
      <c r="AX545" s="37"/>
      <c r="AY545" s="37"/>
      <c r="AZ545" s="37"/>
      <c r="BA545" s="37"/>
      <c r="BB545" s="37"/>
      <c r="BC545" s="37"/>
      <c r="BD545" s="37"/>
      <c r="BE545" s="37"/>
      <c r="BF545" s="37"/>
      <c r="BG545" s="37"/>
      <c r="BH545" s="37"/>
      <c r="BI545" s="37"/>
      <c r="BJ545" s="37"/>
      <c r="BK545" s="37"/>
      <c r="BL545" s="37"/>
      <c r="BM545" s="37"/>
      <c r="BN545" s="37"/>
      <c r="BO545" s="37"/>
      <c r="BP545" s="37"/>
      <c r="BQ545" s="37"/>
      <c r="BR545" s="37"/>
      <c r="BS545" s="37"/>
      <c r="BT545" s="37"/>
      <c r="BU545" s="37"/>
      <c r="BV545" s="37"/>
      <c r="BW545" s="37"/>
      <c r="BX545" s="37"/>
      <c r="BY545" s="37"/>
      <c r="BZ545" s="37"/>
      <c r="CA545" s="37"/>
      <c r="CB545" s="37"/>
      <c r="CC545" s="37"/>
      <c r="CD545" s="37"/>
      <c r="CE545" s="37"/>
      <c r="CF545" s="37"/>
      <c r="CG545" s="37"/>
      <c r="CH545" s="37"/>
      <c r="CI545" s="37"/>
      <c r="CJ545" s="37"/>
      <c r="CK545" s="37"/>
      <c r="CL545" s="37"/>
      <c r="CM545" s="37"/>
      <c r="CN545" s="37"/>
      <c r="CO545" s="37"/>
      <c r="CP545" s="37"/>
      <c r="CQ545" s="37"/>
      <c r="CR545" s="37"/>
      <c r="CS545" s="37"/>
      <c r="CT545" s="37"/>
      <c r="CU545" s="37"/>
      <c r="CV545" s="37"/>
      <c r="CW545" s="37"/>
      <c r="CX545" s="37"/>
      <c r="CY545" s="37"/>
      <c r="CZ545" s="37"/>
      <c r="DA545" s="37"/>
      <c r="DB545" s="37"/>
      <c r="DC545" s="37"/>
      <c r="DD545" s="37"/>
      <c r="DE545" s="37"/>
      <c r="DF545" s="37"/>
      <c r="DG545" s="37"/>
      <c r="DH545" s="37"/>
      <c r="DI545" s="37"/>
      <c r="DJ545" s="37"/>
      <c r="DK545" s="37"/>
      <c r="DL545" s="37"/>
      <c r="DM545" s="37"/>
      <c r="DN545" s="37"/>
      <c r="DO545" s="37"/>
      <c r="DP545" s="37"/>
      <c r="DQ545" s="37"/>
      <c r="DR545" s="37"/>
      <c r="DS545" s="37"/>
      <c r="DT545" s="37"/>
      <c r="DU545" s="37"/>
      <c r="DV545" s="37"/>
      <c r="DW545" s="37"/>
      <c r="DX545" s="37"/>
      <c r="DY545" s="37"/>
      <c r="DZ545" s="37"/>
      <c r="EA545" s="37"/>
      <c r="EB545" s="37"/>
      <c r="EC545" s="37"/>
      <c r="ED545" s="37"/>
      <c r="EE545" s="37"/>
      <c r="EF545" s="37"/>
      <c r="EG545" s="37"/>
      <c r="EH545" s="37"/>
      <c r="EI545" s="37"/>
      <c r="EJ545" s="37"/>
      <c r="EK545" s="37"/>
      <c r="EL545" s="37"/>
      <c r="EM545" s="37"/>
      <c r="EN545" s="37"/>
      <c r="EO545" s="37"/>
      <c r="EP545" s="37"/>
      <c r="EQ545" s="37"/>
      <c r="ER545" s="37"/>
      <c r="ES545" s="37"/>
    </row>
    <row r="546" spans="1:16" ht="11.25">
      <c r="A546" s="5" t="s">
        <v>4</v>
      </c>
      <c r="B546" s="6"/>
      <c r="C546" s="6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</row>
    <row r="547" spans="1:16" ht="11.25">
      <c r="A547" s="8" t="s">
        <v>43</v>
      </c>
      <c r="B547" s="6"/>
      <c r="C547" s="6"/>
      <c r="D547" s="7">
        <f>D549*D551</f>
        <v>100000</v>
      </c>
      <c r="E547" s="7"/>
      <c r="F547" s="7">
        <f>D547+E547</f>
        <v>100000</v>
      </c>
      <c r="G547" s="7">
        <f>G549*G551</f>
        <v>130000</v>
      </c>
      <c r="H547" s="7"/>
      <c r="I547" s="7"/>
      <c r="J547" s="7">
        <f>G547+H547</f>
        <v>130000</v>
      </c>
      <c r="K547" s="7"/>
      <c r="L547" s="7"/>
      <c r="M547" s="7"/>
      <c r="N547" s="7">
        <f>N549*N551</f>
        <v>350000</v>
      </c>
      <c r="O547" s="7"/>
      <c r="P547" s="7">
        <f>N547+O547</f>
        <v>350000</v>
      </c>
    </row>
    <row r="548" spans="1:16" ht="11.25">
      <c r="A548" s="5" t="s">
        <v>5</v>
      </c>
      <c r="B548" s="6"/>
      <c r="C548" s="6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</row>
    <row r="549" spans="1:16" ht="14.25" customHeight="1">
      <c r="A549" s="8" t="s">
        <v>195</v>
      </c>
      <c r="B549" s="6"/>
      <c r="C549" s="6"/>
      <c r="D549" s="7">
        <v>8</v>
      </c>
      <c r="E549" s="7"/>
      <c r="F549" s="7">
        <f>D549+E549</f>
        <v>8</v>
      </c>
      <c r="G549" s="7">
        <v>2</v>
      </c>
      <c r="H549" s="7"/>
      <c r="I549" s="7"/>
      <c r="J549" s="7">
        <f>G549+H549</f>
        <v>2</v>
      </c>
      <c r="K549" s="7"/>
      <c r="L549" s="7"/>
      <c r="M549" s="7"/>
      <c r="N549" s="7">
        <v>5</v>
      </c>
      <c r="O549" s="7"/>
      <c r="P549" s="7">
        <f>N549+O549</f>
        <v>5</v>
      </c>
    </row>
    <row r="550" spans="1:16" ht="12" customHeight="1">
      <c r="A550" s="5" t="s">
        <v>7</v>
      </c>
      <c r="B550" s="6"/>
      <c r="C550" s="6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</row>
    <row r="551" spans="1:16" ht="24.75" customHeight="1">
      <c r="A551" s="8" t="s">
        <v>177</v>
      </c>
      <c r="B551" s="6"/>
      <c r="C551" s="6"/>
      <c r="D551" s="7">
        <f>100000/8</f>
        <v>12500</v>
      </c>
      <c r="E551" s="7"/>
      <c r="F551" s="7">
        <f>D551+E551</f>
        <v>12500</v>
      </c>
      <c r="G551" s="7">
        <v>65000</v>
      </c>
      <c r="H551" s="7"/>
      <c r="I551" s="7"/>
      <c r="J551" s="7">
        <f>G551+H551</f>
        <v>65000</v>
      </c>
      <c r="K551" s="7"/>
      <c r="L551" s="7"/>
      <c r="M551" s="7"/>
      <c r="N551" s="7">
        <v>70000</v>
      </c>
      <c r="O551" s="7"/>
      <c r="P551" s="7">
        <f>N551+O551</f>
        <v>70000</v>
      </c>
    </row>
    <row r="552" spans="1:17" ht="33.75">
      <c r="A552" s="33" t="s">
        <v>414</v>
      </c>
      <c r="B552" s="34"/>
      <c r="C552" s="34"/>
      <c r="D552" s="22"/>
      <c r="E552" s="35">
        <f>E554</f>
        <v>50000</v>
      </c>
      <c r="F552" s="35">
        <f>F554</f>
        <v>50000</v>
      </c>
      <c r="G552" s="35"/>
      <c r="H552" s="35"/>
      <c r="I552" s="35"/>
      <c r="J552" s="35"/>
      <c r="K552" s="35"/>
      <c r="L552" s="35"/>
      <c r="M552" s="35"/>
      <c r="N552" s="35"/>
      <c r="O552" s="35"/>
      <c r="P552" s="35"/>
      <c r="Q552" s="72"/>
    </row>
    <row r="553" spans="1:17" ht="11.25">
      <c r="A553" s="5" t="s">
        <v>4</v>
      </c>
      <c r="B553" s="6"/>
      <c r="C553" s="6"/>
      <c r="D553" s="22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2"/>
    </row>
    <row r="554" spans="1:17" ht="11.25">
      <c r="A554" s="8" t="s">
        <v>43</v>
      </c>
      <c r="B554" s="6"/>
      <c r="C554" s="6"/>
      <c r="D554" s="22"/>
      <c r="E554" s="7">
        <f>E556*E558</f>
        <v>50000</v>
      </c>
      <c r="F554" s="7">
        <f>F556*F558</f>
        <v>50000</v>
      </c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3"/>
    </row>
    <row r="555" spans="1:17" ht="11.25">
      <c r="A555" s="5" t="s">
        <v>5</v>
      </c>
      <c r="B555" s="6"/>
      <c r="C555" s="6"/>
      <c r="D555" s="22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3"/>
    </row>
    <row r="556" spans="1:17" ht="22.5">
      <c r="A556" s="8" t="s">
        <v>195</v>
      </c>
      <c r="B556" s="6"/>
      <c r="C556" s="6"/>
      <c r="D556" s="22"/>
      <c r="E556" s="7">
        <v>1</v>
      </c>
      <c r="F556" s="7">
        <v>1</v>
      </c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3">
        <v>5500</v>
      </c>
    </row>
    <row r="557" spans="1:17" ht="11.25">
      <c r="A557" s="5" t="s">
        <v>7</v>
      </c>
      <c r="B557" s="6"/>
      <c r="C557" s="6"/>
      <c r="D557" s="22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24"/>
    </row>
    <row r="558" spans="1:17" ht="22.5">
      <c r="A558" s="8" t="s">
        <v>177</v>
      </c>
      <c r="B558" s="6"/>
      <c r="C558" s="6"/>
      <c r="D558" s="22"/>
      <c r="E558" s="7">
        <v>50000</v>
      </c>
      <c r="F558" s="7">
        <v>50000</v>
      </c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24"/>
    </row>
    <row r="559" spans="1:17" ht="33.75">
      <c r="A559" s="33" t="s">
        <v>415</v>
      </c>
      <c r="B559" s="34"/>
      <c r="C559" s="34"/>
      <c r="D559" s="35">
        <f>D561</f>
        <v>790000</v>
      </c>
      <c r="E559" s="35"/>
      <c r="F559" s="35">
        <f>F561</f>
        <v>790000</v>
      </c>
      <c r="G559" s="35"/>
      <c r="H559" s="35"/>
      <c r="I559" s="35"/>
      <c r="J559" s="35"/>
      <c r="K559" s="35"/>
      <c r="L559" s="35"/>
      <c r="M559" s="35"/>
      <c r="N559" s="35"/>
      <c r="O559" s="35"/>
      <c r="P559" s="35"/>
      <c r="Q559" s="24"/>
    </row>
    <row r="560" spans="1:17" ht="11.25">
      <c r="A560" s="5" t="s">
        <v>4</v>
      </c>
      <c r="B560" s="6"/>
      <c r="C560" s="6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24"/>
    </row>
    <row r="561" spans="1:17" ht="11.25">
      <c r="A561" s="8" t="s">
        <v>43</v>
      </c>
      <c r="B561" s="6"/>
      <c r="C561" s="6"/>
      <c r="D561" s="7">
        <f>D563*D565</f>
        <v>790000</v>
      </c>
      <c r="E561" s="7"/>
      <c r="F561" s="7">
        <f>F563*F565</f>
        <v>790000</v>
      </c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24"/>
    </row>
    <row r="562" spans="1:17" ht="11.25">
      <c r="A562" s="5" t="s">
        <v>5</v>
      </c>
      <c r="B562" s="6"/>
      <c r="C562" s="6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24"/>
    </row>
    <row r="563" spans="1:17" ht="22.5">
      <c r="A563" s="8" t="s">
        <v>195</v>
      </c>
      <c r="B563" s="6"/>
      <c r="C563" s="6"/>
      <c r="D563" s="7">
        <v>1</v>
      </c>
      <c r="E563" s="7"/>
      <c r="F563" s="7">
        <v>1</v>
      </c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24"/>
    </row>
    <row r="564" spans="1:17" ht="11.25">
      <c r="A564" s="5" t="s">
        <v>7</v>
      </c>
      <c r="B564" s="6"/>
      <c r="C564" s="6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24"/>
    </row>
    <row r="565" spans="1:17" ht="22.5">
      <c r="A565" s="8" t="s">
        <v>177</v>
      </c>
      <c r="B565" s="6"/>
      <c r="C565" s="6"/>
      <c r="D565" s="7">
        <v>790000</v>
      </c>
      <c r="E565" s="7"/>
      <c r="F565" s="7">
        <v>790000</v>
      </c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24"/>
    </row>
    <row r="566" spans="1:17" ht="36" customHeight="1">
      <c r="A566" s="33" t="s">
        <v>416</v>
      </c>
      <c r="B566" s="34"/>
      <c r="C566" s="34"/>
      <c r="D566" s="35"/>
      <c r="E566" s="35">
        <f>E568</f>
        <v>320000</v>
      </c>
      <c r="F566" s="35">
        <f>F568</f>
        <v>320000</v>
      </c>
      <c r="G566" s="35"/>
      <c r="H566" s="35"/>
      <c r="I566" s="35"/>
      <c r="J566" s="35"/>
      <c r="K566" s="35"/>
      <c r="L566" s="35"/>
      <c r="M566" s="35"/>
      <c r="N566" s="35"/>
      <c r="O566" s="35">
        <f>O568</f>
        <v>2998293</v>
      </c>
      <c r="P566" s="35">
        <f>N566+O566</f>
        <v>2998293</v>
      </c>
      <c r="Q566" s="24"/>
    </row>
    <row r="567" spans="1:17" ht="11.25">
      <c r="A567" s="5" t="s">
        <v>4</v>
      </c>
      <c r="B567" s="6"/>
      <c r="C567" s="6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35"/>
      <c r="Q567" s="24"/>
    </row>
    <row r="568" spans="1:17" ht="11.25">
      <c r="A568" s="8" t="s">
        <v>43</v>
      </c>
      <c r="B568" s="6"/>
      <c r="C568" s="6"/>
      <c r="D568" s="7"/>
      <c r="E568" s="7">
        <f>E570*E572</f>
        <v>320000</v>
      </c>
      <c r="F568" s="7">
        <f>F570*F572</f>
        <v>320000</v>
      </c>
      <c r="G568" s="7"/>
      <c r="H568" s="7"/>
      <c r="I568" s="7"/>
      <c r="J568" s="7"/>
      <c r="K568" s="7"/>
      <c r="L568" s="7"/>
      <c r="M568" s="7"/>
      <c r="N568" s="7"/>
      <c r="O568" s="7">
        <f>1021000+701493+1275800</f>
        <v>2998293</v>
      </c>
      <c r="P568" s="7">
        <f>N568+O568</f>
        <v>2998293</v>
      </c>
      <c r="Q568" s="24"/>
    </row>
    <row r="569" spans="1:17" ht="11.25">
      <c r="A569" s="5" t="s">
        <v>5</v>
      </c>
      <c r="B569" s="6"/>
      <c r="C569" s="6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24"/>
    </row>
    <row r="570" spans="1:17" ht="22.5">
      <c r="A570" s="8" t="s">
        <v>195</v>
      </c>
      <c r="B570" s="6"/>
      <c r="C570" s="6"/>
      <c r="D570" s="7"/>
      <c r="E570" s="7">
        <v>1</v>
      </c>
      <c r="F570" s="7">
        <v>1</v>
      </c>
      <c r="G570" s="7"/>
      <c r="H570" s="7"/>
      <c r="I570" s="7"/>
      <c r="J570" s="7"/>
      <c r="K570" s="7"/>
      <c r="L570" s="7"/>
      <c r="M570" s="7"/>
      <c r="N570" s="7"/>
      <c r="O570" s="7">
        <v>1</v>
      </c>
      <c r="P570" s="7">
        <f>N570+O570</f>
        <v>1</v>
      </c>
      <c r="Q570" s="24"/>
    </row>
    <row r="571" spans="1:17" ht="11.25">
      <c r="A571" s="5" t="s">
        <v>7</v>
      </c>
      <c r="B571" s="6"/>
      <c r="C571" s="6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24"/>
    </row>
    <row r="572" spans="1:149" ht="11.25">
      <c r="A572" s="8" t="s">
        <v>326</v>
      </c>
      <c r="B572" s="6"/>
      <c r="C572" s="6"/>
      <c r="D572" s="7"/>
      <c r="E572" s="7">
        <v>320000</v>
      </c>
      <c r="F572" s="7">
        <v>320000</v>
      </c>
      <c r="G572" s="7"/>
      <c r="H572" s="7"/>
      <c r="I572" s="7"/>
      <c r="J572" s="7"/>
      <c r="K572" s="7"/>
      <c r="L572" s="7"/>
      <c r="M572" s="7"/>
      <c r="N572" s="7"/>
      <c r="O572" s="7">
        <f>1021000+701493+1275800</f>
        <v>2998293</v>
      </c>
      <c r="P572" s="7">
        <f>N572+O572</f>
        <v>2998293</v>
      </c>
      <c r="Q572" s="24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  <c r="AC572" s="52"/>
      <c r="AD572" s="52"/>
      <c r="AE572" s="52"/>
      <c r="AF572" s="52"/>
      <c r="AG572" s="52"/>
      <c r="AH572" s="52"/>
      <c r="AI572" s="52"/>
      <c r="AJ572" s="52"/>
      <c r="AK572" s="52"/>
      <c r="AL572" s="52"/>
      <c r="AM572" s="52"/>
      <c r="AN572" s="52"/>
      <c r="AO572" s="52"/>
      <c r="AP572" s="52"/>
      <c r="AQ572" s="52"/>
      <c r="AR572" s="52"/>
      <c r="AS572" s="52"/>
      <c r="AT572" s="52"/>
      <c r="AU572" s="52"/>
      <c r="AV572" s="52"/>
      <c r="AW572" s="52"/>
      <c r="AX572" s="52"/>
      <c r="AY572" s="52"/>
      <c r="AZ572" s="52"/>
      <c r="BA572" s="52"/>
      <c r="BB572" s="52"/>
      <c r="BC572" s="52"/>
      <c r="BD572" s="52"/>
      <c r="BE572" s="52"/>
      <c r="BF572" s="52"/>
      <c r="BG572" s="52"/>
      <c r="BH572" s="52"/>
      <c r="BI572" s="52"/>
      <c r="BJ572" s="52"/>
      <c r="BK572" s="52"/>
      <c r="BL572" s="52"/>
      <c r="BM572" s="52"/>
      <c r="BN572" s="52"/>
      <c r="BO572" s="52"/>
      <c r="BP572" s="52"/>
      <c r="BQ572" s="52"/>
      <c r="BR572" s="52"/>
      <c r="BS572" s="52"/>
      <c r="BT572" s="52"/>
      <c r="BU572" s="52"/>
      <c r="BV572" s="52"/>
      <c r="BW572" s="52"/>
      <c r="BX572" s="52"/>
      <c r="BY572" s="52"/>
      <c r="BZ572" s="52"/>
      <c r="CA572" s="52"/>
      <c r="CB572" s="52"/>
      <c r="CC572" s="52"/>
      <c r="CD572" s="52"/>
      <c r="CE572" s="52"/>
      <c r="CF572" s="52"/>
      <c r="CG572" s="52"/>
      <c r="CH572" s="52"/>
      <c r="CI572" s="52"/>
      <c r="CJ572" s="52"/>
      <c r="CK572" s="52"/>
      <c r="CL572" s="52"/>
      <c r="CM572" s="52"/>
      <c r="CN572" s="52"/>
      <c r="CO572" s="52"/>
      <c r="CP572" s="52"/>
      <c r="CQ572" s="52"/>
      <c r="CR572" s="52"/>
      <c r="CS572" s="52"/>
      <c r="CT572" s="52"/>
      <c r="CU572" s="52"/>
      <c r="CV572" s="52"/>
      <c r="CW572" s="52"/>
      <c r="CX572" s="52"/>
      <c r="CY572" s="52"/>
      <c r="CZ572" s="52"/>
      <c r="DA572" s="52"/>
      <c r="DB572" s="52"/>
      <c r="DC572" s="52"/>
      <c r="DD572" s="52"/>
      <c r="DE572" s="52"/>
      <c r="DF572" s="52"/>
      <c r="DG572" s="52"/>
      <c r="DH572" s="52"/>
      <c r="DI572" s="52"/>
      <c r="DJ572" s="52"/>
      <c r="DK572" s="52"/>
      <c r="DL572" s="52"/>
      <c r="DM572" s="52"/>
      <c r="DN572" s="52"/>
      <c r="DO572" s="52"/>
      <c r="DP572" s="52"/>
      <c r="DQ572" s="52"/>
      <c r="DR572" s="52"/>
      <c r="DS572" s="52"/>
      <c r="DT572" s="52"/>
      <c r="DU572" s="52"/>
      <c r="DV572" s="52"/>
      <c r="DW572" s="52"/>
      <c r="DX572" s="52"/>
      <c r="DY572" s="52"/>
      <c r="DZ572" s="52"/>
      <c r="EA572" s="52"/>
      <c r="EB572" s="52"/>
      <c r="EC572" s="52"/>
      <c r="ED572" s="52"/>
      <c r="EE572" s="52"/>
      <c r="EF572" s="52"/>
      <c r="EG572" s="52"/>
      <c r="EH572" s="52"/>
      <c r="EI572" s="52"/>
      <c r="EJ572" s="52"/>
      <c r="EK572" s="52"/>
      <c r="EL572" s="52"/>
      <c r="EM572" s="52"/>
      <c r="EN572" s="52"/>
      <c r="EO572" s="52"/>
      <c r="EP572" s="52"/>
      <c r="EQ572" s="52"/>
      <c r="ER572" s="52"/>
      <c r="ES572" s="52"/>
    </row>
    <row r="573" spans="1:17" ht="24" customHeight="1">
      <c r="A573" s="33" t="s">
        <v>417</v>
      </c>
      <c r="B573" s="34"/>
      <c r="C573" s="34"/>
      <c r="D573" s="35"/>
      <c r="E573" s="35">
        <f>E575</f>
        <v>0</v>
      </c>
      <c r="F573" s="35">
        <f>F575</f>
        <v>0</v>
      </c>
      <c r="G573" s="35">
        <f>G575</f>
        <v>1952000</v>
      </c>
      <c r="H573" s="35"/>
      <c r="I573" s="35"/>
      <c r="J573" s="35">
        <f>J575</f>
        <v>1952000</v>
      </c>
      <c r="K573" s="35"/>
      <c r="L573" s="35"/>
      <c r="M573" s="35"/>
      <c r="N573" s="35"/>
      <c r="O573" s="35"/>
      <c r="P573" s="35"/>
      <c r="Q573" s="24"/>
    </row>
    <row r="574" spans="1:17" ht="11.25">
      <c r="A574" s="5" t="s">
        <v>4</v>
      </c>
      <c r="B574" s="6"/>
      <c r="C574" s="6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24"/>
    </row>
    <row r="575" spans="1:17" ht="11.25">
      <c r="A575" s="8" t="s">
        <v>43</v>
      </c>
      <c r="B575" s="6"/>
      <c r="C575" s="6"/>
      <c r="D575" s="7"/>
      <c r="E575" s="7">
        <f>E577*E579</f>
        <v>0</v>
      </c>
      <c r="F575" s="7">
        <f>F577*F579</f>
        <v>0</v>
      </c>
      <c r="G575" s="7">
        <f>G577*G579</f>
        <v>1952000</v>
      </c>
      <c r="H575" s="7"/>
      <c r="I575" s="7"/>
      <c r="J575" s="7">
        <f>G575</f>
        <v>1952000</v>
      </c>
      <c r="K575" s="7"/>
      <c r="L575" s="7"/>
      <c r="M575" s="7"/>
      <c r="N575" s="7"/>
      <c r="O575" s="7"/>
      <c r="P575" s="7"/>
      <c r="Q575" s="24"/>
    </row>
    <row r="576" spans="1:17" ht="11.25">
      <c r="A576" s="5" t="s">
        <v>5</v>
      </c>
      <c r="B576" s="6"/>
      <c r="C576" s="6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24"/>
    </row>
    <row r="577" spans="1:17" ht="22.5">
      <c r="A577" s="8" t="s">
        <v>195</v>
      </c>
      <c r="B577" s="6"/>
      <c r="C577" s="6"/>
      <c r="D577" s="7"/>
      <c r="E577" s="7">
        <v>0</v>
      </c>
      <c r="F577" s="7">
        <v>0</v>
      </c>
      <c r="G577" s="7">
        <v>1</v>
      </c>
      <c r="H577" s="7"/>
      <c r="I577" s="7"/>
      <c r="J577" s="7">
        <f>G577</f>
        <v>1</v>
      </c>
      <c r="K577" s="7"/>
      <c r="L577" s="7"/>
      <c r="M577" s="7"/>
      <c r="N577" s="7"/>
      <c r="O577" s="7"/>
      <c r="P577" s="7"/>
      <c r="Q577" s="24"/>
    </row>
    <row r="578" spans="1:17" ht="11.25">
      <c r="A578" s="5" t="s">
        <v>7</v>
      </c>
      <c r="B578" s="6"/>
      <c r="C578" s="6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24"/>
    </row>
    <row r="579" spans="1:149" ht="11.25">
      <c r="A579" s="8" t="s">
        <v>326</v>
      </c>
      <c r="B579" s="6"/>
      <c r="C579" s="6"/>
      <c r="D579" s="7"/>
      <c r="E579" s="7"/>
      <c r="F579" s="7">
        <v>0</v>
      </c>
      <c r="G579" s="7">
        <f>2300000-348000</f>
        <v>1952000</v>
      </c>
      <c r="H579" s="7"/>
      <c r="I579" s="7"/>
      <c r="J579" s="7">
        <f>G579</f>
        <v>1952000</v>
      </c>
      <c r="K579" s="7"/>
      <c r="L579" s="7"/>
      <c r="M579" s="7"/>
      <c r="N579" s="7"/>
      <c r="O579" s="7"/>
      <c r="P579" s="7"/>
      <c r="Q579" s="24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  <c r="AC579" s="52"/>
      <c r="AD579" s="52"/>
      <c r="AE579" s="52"/>
      <c r="AF579" s="52"/>
      <c r="AG579" s="52"/>
      <c r="AH579" s="52"/>
      <c r="AI579" s="52"/>
      <c r="AJ579" s="52"/>
      <c r="AK579" s="52"/>
      <c r="AL579" s="52"/>
      <c r="AM579" s="52"/>
      <c r="AN579" s="52"/>
      <c r="AO579" s="52"/>
      <c r="AP579" s="52"/>
      <c r="AQ579" s="52"/>
      <c r="AR579" s="52"/>
      <c r="AS579" s="52"/>
      <c r="AT579" s="52"/>
      <c r="AU579" s="52"/>
      <c r="AV579" s="52"/>
      <c r="AW579" s="52"/>
      <c r="AX579" s="52"/>
      <c r="AY579" s="52"/>
      <c r="AZ579" s="52"/>
      <c r="BA579" s="52"/>
      <c r="BB579" s="52"/>
      <c r="BC579" s="52"/>
      <c r="BD579" s="52"/>
      <c r="BE579" s="52"/>
      <c r="BF579" s="52"/>
      <c r="BG579" s="52"/>
      <c r="BH579" s="52"/>
      <c r="BI579" s="52"/>
      <c r="BJ579" s="52"/>
      <c r="BK579" s="52"/>
      <c r="BL579" s="52"/>
      <c r="BM579" s="52"/>
      <c r="BN579" s="52"/>
      <c r="BO579" s="52"/>
      <c r="BP579" s="52"/>
      <c r="BQ579" s="52"/>
      <c r="BR579" s="52"/>
      <c r="BS579" s="52"/>
      <c r="BT579" s="52"/>
      <c r="BU579" s="52"/>
      <c r="BV579" s="52"/>
      <c r="BW579" s="52"/>
      <c r="BX579" s="52"/>
      <c r="BY579" s="52"/>
      <c r="BZ579" s="52"/>
      <c r="CA579" s="52"/>
      <c r="CB579" s="52"/>
      <c r="CC579" s="52"/>
      <c r="CD579" s="52"/>
      <c r="CE579" s="52"/>
      <c r="CF579" s="52"/>
      <c r="CG579" s="52"/>
      <c r="CH579" s="52"/>
      <c r="CI579" s="52"/>
      <c r="CJ579" s="52"/>
      <c r="CK579" s="52"/>
      <c r="CL579" s="52"/>
      <c r="CM579" s="52"/>
      <c r="CN579" s="52"/>
      <c r="CO579" s="52"/>
      <c r="CP579" s="52"/>
      <c r="CQ579" s="52"/>
      <c r="CR579" s="52"/>
      <c r="CS579" s="52"/>
      <c r="CT579" s="52"/>
      <c r="CU579" s="52"/>
      <c r="CV579" s="52"/>
      <c r="CW579" s="52"/>
      <c r="CX579" s="52"/>
      <c r="CY579" s="52"/>
      <c r="CZ579" s="52"/>
      <c r="DA579" s="52"/>
      <c r="DB579" s="52"/>
      <c r="DC579" s="52"/>
      <c r="DD579" s="52"/>
      <c r="DE579" s="52"/>
      <c r="DF579" s="52"/>
      <c r="DG579" s="52"/>
      <c r="DH579" s="52"/>
      <c r="DI579" s="52"/>
      <c r="DJ579" s="52"/>
      <c r="DK579" s="52"/>
      <c r="DL579" s="52"/>
      <c r="DM579" s="52"/>
      <c r="DN579" s="52"/>
      <c r="DO579" s="52"/>
      <c r="DP579" s="52"/>
      <c r="DQ579" s="52"/>
      <c r="DR579" s="52"/>
      <c r="DS579" s="52"/>
      <c r="DT579" s="52"/>
      <c r="DU579" s="52"/>
      <c r="DV579" s="52"/>
      <c r="DW579" s="52"/>
      <c r="DX579" s="52"/>
      <c r="DY579" s="52"/>
      <c r="DZ579" s="52"/>
      <c r="EA579" s="52"/>
      <c r="EB579" s="52"/>
      <c r="EC579" s="52"/>
      <c r="ED579" s="52"/>
      <c r="EE579" s="52"/>
      <c r="EF579" s="52"/>
      <c r="EG579" s="52"/>
      <c r="EH579" s="52"/>
      <c r="EI579" s="52"/>
      <c r="EJ579" s="52"/>
      <c r="EK579" s="52"/>
      <c r="EL579" s="52"/>
      <c r="EM579" s="52"/>
      <c r="EN579" s="52"/>
      <c r="EO579" s="52"/>
      <c r="EP579" s="52"/>
      <c r="EQ579" s="52"/>
      <c r="ER579" s="52"/>
      <c r="ES579" s="52"/>
    </row>
    <row r="580" spans="1:149" ht="33.75">
      <c r="A580" s="33" t="s">
        <v>418</v>
      </c>
      <c r="B580" s="6"/>
      <c r="C580" s="6"/>
      <c r="D580" s="7"/>
      <c r="E580" s="7"/>
      <c r="F580" s="7"/>
      <c r="G580" s="35">
        <f>G582</f>
        <v>920000</v>
      </c>
      <c r="H580" s="7"/>
      <c r="I580" s="7"/>
      <c r="J580" s="35">
        <f>G580</f>
        <v>920000</v>
      </c>
      <c r="K580" s="7"/>
      <c r="L580" s="7"/>
      <c r="M580" s="7"/>
      <c r="N580" s="7"/>
      <c r="O580" s="7"/>
      <c r="P580" s="7"/>
      <c r="Q580" s="24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  <c r="AC580" s="52"/>
      <c r="AD580" s="52"/>
      <c r="AE580" s="52"/>
      <c r="AF580" s="52"/>
      <c r="AG580" s="52"/>
      <c r="AH580" s="52"/>
      <c r="AI580" s="52"/>
      <c r="AJ580" s="52"/>
      <c r="AK580" s="52"/>
      <c r="AL580" s="52"/>
      <c r="AM580" s="52"/>
      <c r="AN580" s="52"/>
      <c r="AO580" s="52"/>
      <c r="AP580" s="52"/>
      <c r="AQ580" s="52"/>
      <c r="AR580" s="52"/>
      <c r="AS580" s="52"/>
      <c r="AT580" s="52"/>
      <c r="AU580" s="52"/>
      <c r="AV580" s="52"/>
      <c r="AW580" s="52"/>
      <c r="AX580" s="52"/>
      <c r="AY580" s="52"/>
      <c r="AZ580" s="52"/>
      <c r="BA580" s="52"/>
      <c r="BB580" s="52"/>
      <c r="BC580" s="52"/>
      <c r="BD580" s="52"/>
      <c r="BE580" s="52"/>
      <c r="BF580" s="52"/>
      <c r="BG580" s="52"/>
      <c r="BH580" s="52"/>
      <c r="BI580" s="52"/>
      <c r="BJ580" s="52"/>
      <c r="BK580" s="52"/>
      <c r="BL580" s="52"/>
      <c r="BM580" s="52"/>
      <c r="BN580" s="52"/>
      <c r="BO580" s="52"/>
      <c r="BP580" s="52"/>
      <c r="BQ580" s="52"/>
      <c r="BR580" s="52"/>
      <c r="BS580" s="52"/>
      <c r="BT580" s="52"/>
      <c r="BU580" s="52"/>
      <c r="BV580" s="52"/>
      <c r="BW580" s="52"/>
      <c r="BX580" s="52"/>
      <c r="BY580" s="52"/>
      <c r="BZ580" s="52"/>
      <c r="CA580" s="52"/>
      <c r="CB580" s="52"/>
      <c r="CC580" s="52"/>
      <c r="CD580" s="52"/>
      <c r="CE580" s="52"/>
      <c r="CF580" s="52"/>
      <c r="CG580" s="52"/>
      <c r="CH580" s="52"/>
      <c r="CI580" s="52"/>
      <c r="CJ580" s="52"/>
      <c r="CK580" s="52"/>
      <c r="CL580" s="52"/>
      <c r="CM580" s="52"/>
      <c r="CN580" s="52"/>
      <c r="CO580" s="52"/>
      <c r="CP580" s="52"/>
      <c r="CQ580" s="52"/>
      <c r="CR580" s="52"/>
      <c r="CS580" s="52"/>
      <c r="CT580" s="52"/>
      <c r="CU580" s="52"/>
      <c r="CV580" s="52"/>
      <c r="CW580" s="52"/>
      <c r="CX580" s="52"/>
      <c r="CY580" s="52"/>
      <c r="CZ580" s="52"/>
      <c r="DA580" s="52"/>
      <c r="DB580" s="52"/>
      <c r="DC580" s="52"/>
      <c r="DD580" s="52"/>
      <c r="DE580" s="52"/>
      <c r="DF580" s="52"/>
      <c r="DG580" s="52"/>
      <c r="DH580" s="52"/>
      <c r="DI580" s="52"/>
      <c r="DJ580" s="52"/>
      <c r="DK580" s="52"/>
      <c r="DL580" s="52"/>
      <c r="DM580" s="52"/>
      <c r="DN580" s="52"/>
      <c r="DO580" s="52"/>
      <c r="DP580" s="52"/>
      <c r="DQ580" s="52"/>
      <c r="DR580" s="52"/>
      <c r="DS580" s="52"/>
      <c r="DT580" s="52"/>
      <c r="DU580" s="52"/>
      <c r="DV580" s="52"/>
      <c r="DW580" s="52"/>
      <c r="DX580" s="52"/>
      <c r="DY580" s="52"/>
      <c r="DZ580" s="52"/>
      <c r="EA580" s="52"/>
      <c r="EB580" s="52"/>
      <c r="EC580" s="52"/>
      <c r="ED580" s="52"/>
      <c r="EE580" s="52"/>
      <c r="EF580" s="52"/>
      <c r="EG580" s="52"/>
      <c r="EH580" s="52"/>
      <c r="EI580" s="52"/>
      <c r="EJ580" s="52"/>
      <c r="EK580" s="52"/>
      <c r="EL580" s="52"/>
      <c r="EM580" s="52"/>
      <c r="EN580" s="52"/>
      <c r="EO580" s="52"/>
      <c r="EP580" s="52"/>
      <c r="EQ580" s="52"/>
      <c r="ER580" s="52"/>
      <c r="ES580" s="52"/>
    </row>
    <row r="581" spans="1:149" ht="11.25">
      <c r="A581" s="5" t="s">
        <v>4</v>
      </c>
      <c r="B581" s="6"/>
      <c r="C581" s="6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24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  <c r="AC581" s="52"/>
      <c r="AD581" s="52"/>
      <c r="AE581" s="52"/>
      <c r="AF581" s="52"/>
      <c r="AG581" s="52"/>
      <c r="AH581" s="52"/>
      <c r="AI581" s="52"/>
      <c r="AJ581" s="52"/>
      <c r="AK581" s="52"/>
      <c r="AL581" s="52"/>
      <c r="AM581" s="52"/>
      <c r="AN581" s="52"/>
      <c r="AO581" s="52"/>
      <c r="AP581" s="52"/>
      <c r="AQ581" s="52"/>
      <c r="AR581" s="52"/>
      <c r="AS581" s="52"/>
      <c r="AT581" s="52"/>
      <c r="AU581" s="52"/>
      <c r="AV581" s="52"/>
      <c r="AW581" s="52"/>
      <c r="AX581" s="52"/>
      <c r="AY581" s="52"/>
      <c r="AZ581" s="52"/>
      <c r="BA581" s="52"/>
      <c r="BB581" s="52"/>
      <c r="BC581" s="52"/>
      <c r="BD581" s="52"/>
      <c r="BE581" s="52"/>
      <c r="BF581" s="52"/>
      <c r="BG581" s="52"/>
      <c r="BH581" s="52"/>
      <c r="BI581" s="52"/>
      <c r="BJ581" s="52"/>
      <c r="BK581" s="52"/>
      <c r="BL581" s="52"/>
      <c r="BM581" s="52"/>
      <c r="BN581" s="52"/>
      <c r="BO581" s="52"/>
      <c r="BP581" s="52"/>
      <c r="BQ581" s="52"/>
      <c r="BR581" s="52"/>
      <c r="BS581" s="52"/>
      <c r="BT581" s="52"/>
      <c r="BU581" s="52"/>
      <c r="BV581" s="52"/>
      <c r="BW581" s="52"/>
      <c r="BX581" s="52"/>
      <c r="BY581" s="52"/>
      <c r="BZ581" s="52"/>
      <c r="CA581" s="52"/>
      <c r="CB581" s="52"/>
      <c r="CC581" s="52"/>
      <c r="CD581" s="52"/>
      <c r="CE581" s="52"/>
      <c r="CF581" s="52"/>
      <c r="CG581" s="52"/>
      <c r="CH581" s="52"/>
      <c r="CI581" s="52"/>
      <c r="CJ581" s="52"/>
      <c r="CK581" s="52"/>
      <c r="CL581" s="52"/>
      <c r="CM581" s="52"/>
      <c r="CN581" s="52"/>
      <c r="CO581" s="52"/>
      <c r="CP581" s="52"/>
      <c r="CQ581" s="52"/>
      <c r="CR581" s="52"/>
      <c r="CS581" s="52"/>
      <c r="CT581" s="52"/>
      <c r="CU581" s="52"/>
      <c r="CV581" s="52"/>
      <c r="CW581" s="52"/>
      <c r="CX581" s="52"/>
      <c r="CY581" s="52"/>
      <c r="CZ581" s="52"/>
      <c r="DA581" s="52"/>
      <c r="DB581" s="52"/>
      <c r="DC581" s="52"/>
      <c r="DD581" s="52"/>
      <c r="DE581" s="52"/>
      <c r="DF581" s="52"/>
      <c r="DG581" s="52"/>
      <c r="DH581" s="52"/>
      <c r="DI581" s="52"/>
      <c r="DJ581" s="52"/>
      <c r="DK581" s="52"/>
      <c r="DL581" s="52"/>
      <c r="DM581" s="52"/>
      <c r="DN581" s="52"/>
      <c r="DO581" s="52"/>
      <c r="DP581" s="52"/>
      <c r="DQ581" s="52"/>
      <c r="DR581" s="52"/>
      <c r="DS581" s="52"/>
      <c r="DT581" s="52"/>
      <c r="DU581" s="52"/>
      <c r="DV581" s="52"/>
      <c r="DW581" s="52"/>
      <c r="DX581" s="52"/>
      <c r="DY581" s="52"/>
      <c r="DZ581" s="52"/>
      <c r="EA581" s="52"/>
      <c r="EB581" s="52"/>
      <c r="EC581" s="52"/>
      <c r="ED581" s="52"/>
      <c r="EE581" s="52"/>
      <c r="EF581" s="52"/>
      <c r="EG581" s="52"/>
      <c r="EH581" s="52"/>
      <c r="EI581" s="52"/>
      <c r="EJ581" s="52"/>
      <c r="EK581" s="52"/>
      <c r="EL581" s="52"/>
      <c r="EM581" s="52"/>
      <c r="EN581" s="52"/>
      <c r="EO581" s="52"/>
      <c r="EP581" s="52"/>
      <c r="EQ581" s="52"/>
      <c r="ER581" s="52"/>
      <c r="ES581" s="52"/>
    </row>
    <row r="582" spans="1:149" ht="11.25">
      <c r="A582" s="8" t="s">
        <v>43</v>
      </c>
      <c r="B582" s="6"/>
      <c r="C582" s="6"/>
      <c r="D582" s="7"/>
      <c r="E582" s="7"/>
      <c r="F582" s="7"/>
      <c r="G582" s="7">
        <f>3200000-2280000</f>
        <v>920000</v>
      </c>
      <c r="H582" s="7"/>
      <c r="I582" s="7"/>
      <c r="J582" s="7">
        <f>G582</f>
        <v>920000</v>
      </c>
      <c r="K582" s="7"/>
      <c r="L582" s="7"/>
      <c r="M582" s="7"/>
      <c r="N582" s="7"/>
      <c r="O582" s="7"/>
      <c r="P582" s="7"/>
      <c r="Q582" s="24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  <c r="AC582" s="52"/>
      <c r="AD582" s="52"/>
      <c r="AE582" s="52"/>
      <c r="AF582" s="52"/>
      <c r="AG582" s="52"/>
      <c r="AH582" s="52"/>
      <c r="AI582" s="52"/>
      <c r="AJ582" s="52"/>
      <c r="AK582" s="52"/>
      <c r="AL582" s="52"/>
      <c r="AM582" s="52"/>
      <c r="AN582" s="52"/>
      <c r="AO582" s="52"/>
      <c r="AP582" s="52"/>
      <c r="AQ582" s="52"/>
      <c r="AR582" s="52"/>
      <c r="AS582" s="52"/>
      <c r="AT582" s="52"/>
      <c r="AU582" s="52"/>
      <c r="AV582" s="52"/>
      <c r="AW582" s="52"/>
      <c r="AX582" s="52"/>
      <c r="AY582" s="52"/>
      <c r="AZ582" s="52"/>
      <c r="BA582" s="52"/>
      <c r="BB582" s="52"/>
      <c r="BC582" s="52"/>
      <c r="BD582" s="52"/>
      <c r="BE582" s="52"/>
      <c r="BF582" s="52"/>
      <c r="BG582" s="52"/>
      <c r="BH582" s="52"/>
      <c r="BI582" s="52"/>
      <c r="BJ582" s="52"/>
      <c r="BK582" s="52"/>
      <c r="BL582" s="52"/>
      <c r="BM582" s="52"/>
      <c r="BN582" s="52"/>
      <c r="BO582" s="52"/>
      <c r="BP582" s="52"/>
      <c r="BQ582" s="52"/>
      <c r="BR582" s="52"/>
      <c r="BS582" s="52"/>
      <c r="BT582" s="52"/>
      <c r="BU582" s="52"/>
      <c r="BV582" s="52"/>
      <c r="BW582" s="52"/>
      <c r="BX582" s="52"/>
      <c r="BY582" s="52"/>
      <c r="BZ582" s="52"/>
      <c r="CA582" s="52"/>
      <c r="CB582" s="52"/>
      <c r="CC582" s="52"/>
      <c r="CD582" s="52"/>
      <c r="CE582" s="52"/>
      <c r="CF582" s="52"/>
      <c r="CG582" s="52"/>
      <c r="CH582" s="52"/>
      <c r="CI582" s="52"/>
      <c r="CJ582" s="52"/>
      <c r="CK582" s="52"/>
      <c r="CL582" s="52"/>
      <c r="CM582" s="52"/>
      <c r="CN582" s="52"/>
      <c r="CO582" s="52"/>
      <c r="CP582" s="52"/>
      <c r="CQ582" s="52"/>
      <c r="CR582" s="52"/>
      <c r="CS582" s="52"/>
      <c r="CT582" s="52"/>
      <c r="CU582" s="52"/>
      <c r="CV582" s="52"/>
      <c r="CW582" s="52"/>
      <c r="CX582" s="52"/>
      <c r="CY582" s="52"/>
      <c r="CZ582" s="52"/>
      <c r="DA582" s="52"/>
      <c r="DB582" s="52"/>
      <c r="DC582" s="52"/>
      <c r="DD582" s="52"/>
      <c r="DE582" s="52"/>
      <c r="DF582" s="52"/>
      <c r="DG582" s="52"/>
      <c r="DH582" s="52"/>
      <c r="DI582" s="52"/>
      <c r="DJ582" s="52"/>
      <c r="DK582" s="52"/>
      <c r="DL582" s="52"/>
      <c r="DM582" s="52"/>
      <c r="DN582" s="52"/>
      <c r="DO582" s="52"/>
      <c r="DP582" s="52"/>
      <c r="DQ582" s="52"/>
      <c r="DR582" s="52"/>
      <c r="DS582" s="52"/>
      <c r="DT582" s="52"/>
      <c r="DU582" s="52"/>
      <c r="DV582" s="52"/>
      <c r="DW582" s="52"/>
      <c r="DX582" s="52"/>
      <c r="DY582" s="52"/>
      <c r="DZ582" s="52"/>
      <c r="EA582" s="52"/>
      <c r="EB582" s="52"/>
      <c r="EC582" s="52"/>
      <c r="ED582" s="52"/>
      <c r="EE582" s="52"/>
      <c r="EF582" s="52"/>
      <c r="EG582" s="52"/>
      <c r="EH582" s="52"/>
      <c r="EI582" s="52"/>
      <c r="EJ582" s="52"/>
      <c r="EK582" s="52"/>
      <c r="EL582" s="52"/>
      <c r="EM582" s="52"/>
      <c r="EN582" s="52"/>
      <c r="EO582" s="52"/>
      <c r="EP582" s="52"/>
      <c r="EQ582" s="52"/>
      <c r="ER582" s="52"/>
      <c r="ES582" s="52"/>
    </row>
    <row r="583" spans="1:149" ht="11.25">
      <c r="A583" s="5" t="s">
        <v>5</v>
      </c>
      <c r="B583" s="6"/>
      <c r="C583" s="6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24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  <c r="AC583" s="52"/>
      <c r="AD583" s="52"/>
      <c r="AE583" s="52"/>
      <c r="AF583" s="52"/>
      <c r="AG583" s="52"/>
      <c r="AH583" s="52"/>
      <c r="AI583" s="52"/>
      <c r="AJ583" s="52"/>
      <c r="AK583" s="52"/>
      <c r="AL583" s="52"/>
      <c r="AM583" s="52"/>
      <c r="AN583" s="52"/>
      <c r="AO583" s="52"/>
      <c r="AP583" s="52"/>
      <c r="AQ583" s="52"/>
      <c r="AR583" s="52"/>
      <c r="AS583" s="52"/>
      <c r="AT583" s="52"/>
      <c r="AU583" s="52"/>
      <c r="AV583" s="52"/>
      <c r="AW583" s="52"/>
      <c r="AX583" s="52"/>
      <c r="AY583" s="52"/>
      <c r="AZ583" s="52"/>
      <c r="BA583" s="52"/>
      <c r="BB583" s="52"/>
      <c r="BC583" s="52"/>
      <c r="BD583" s="52"/>
      <c r="BE583" s="52"/>
      <c r="BF583" s="52"/>
      <c r="BG583" s="52"/>
      <c r="BH583" s="52"/>
      <c r="BI583" s="52"/>
      <c r="BJ583" s="52"/>
      <c r="BK583" s="52"/>
      <c r="BL583" s="52"/>
      <c r="BM583" s="52"/>
      <c r="BN583" s="52"/>
      <c r="BO583" s="52"/>
      <c r="BP583" s="52"/>
      <c r="BQ583" s="52"/>
      <c r="BR583" s="52"/>
      <c r="BS583" s="52"/>
      <c r="BT583" s="52"/>
      <c r="BU583" s="52"/>
      <c r="BV583" s="52"/>
      <c r="BW583" s="52"/>
      <c r="BX583" s="52"/>
      <c r="BY583" s="52"/>
      <c r="BZ583" s="52"/>
      <c r="CA583" s="52"/>
      <c r="CB583" s="52"/>
      <c r="CC583" s="52"/>
      <c r="CD583" s="52"/>
      <c r="CE583" s="52"/>
      <c r="CF583" s="52"/>
      <c r="CG583" s="52"/>
      <c r="CH583" s="52"/>
      <c r="CI583" s="52"/>
      <c r="CJ583" s="52"/>
      <c r="CK583" s="52"/>
      <c r="CL583" s="52"/>
      <c r="CM583" s="52"/>
      <c r="CN583" s="52"/>
      <c r="CO583" s="52"/>
      <c r="CP583" s="52"/>
      <c r="CQ583" s="52"/>
      <c r="CR583" s="52"/>
      <c r="CS583" s="52"/>
      <c r="CT583" s="52"/>
      <c r="CU583" s="52"/>
      <c r="CV583" s="52"/>
      <c r="CW583" s="52"/>
      <c r="CX583" s="52"/>
      <c r="CY583" s="52"/>
      <c r="CZ583" s="52"/>
      <c r="DA583" s="52"/>
      <c r="DB583" s="52"/>
      <c r="DC583" s="52"/>
      <c r="DD583" s="52"/>
      <c r="DE583" s="52"/>
      <c r="DF583" s="52"/>
      <c r="DG583" s="52"/>
      <c r="DH583" s="52"/>
      <c r="DI583" s="52"/>
      <c r="DJ583" s="52"/>
      <c r="DK583" s="52"/>
      <c r="DL583" s="52"/>
      <c r="DM583" s="52"/>
      <c r="DN583" s="52"/>
      <c r="DO583" s="52"/>
      <c r="DP583" s="52"/>
      <c r="DQ583" s="52"/>
      <c r="DR583" s="52"/>
      <c r="DS583" s="52"/>
      <c r="DT583" s="52"/>
      <c r="DU583" s="52"/>
      <c r="DV583" s="52"/>
      <c r="DW583" s="52"/>
      <c r="DX583" s="52"/>
      <c r="DY583" s="52"/>
      <c r="DZ583" s="52"/>
      <c r="EA583" s="52"/>
      <c r="EB583" s="52"/>
      <c r="EC583" s="52"/>
      <c r="ED583" s="52"/>
      <c r="EE583" s="52"/>
      <c r="EF583" s="52"/>
      <c r="EG583" s="52"/>
      <c r="EH583" s="52"/>
      <c r="EI583" s="52"/>
      <c r="EJ583" s="52"/>
      <c r="EK583" s="52"/>
      <c r="EL583" s="52"/>
      <c r="EM583" s="52"/>
      <c r="EN583" s="52"/>
      <c r="EO583" s="52"/>
      <c r="EP583" s="52"/>
      <c r="EQ583" s="52"/>
      <c r="ER583" s="52"/>
      <c r="ES583" s="52"/>
    </row>
    <row r="584" spans="1:149" ht="22.5">
      <c r="A584" s="8" t="s">
        <v>195</v>
      </c>
      <c r="B584" s="6"/>
      <c r="C584" s="6"/>
      <c r="D584" s="7"/>
      <c r="E584" s="7"/>
      <c r="F584" s="7"/>
      <c r="G584" s="7">
        <v>17</v>
      </c>
      <c r="H584" s="7"/>
      <c r="I584" s="7"/>
      <c r="J584" s="7">
        <f>G584</f>
        <v>17</v>
      </c>
      <c r="K584" s="7"/>
      <c r="L584" s="7"/>
      <c r="M584" s="7"/>
      <c r="N584" s="7"/>
      <c r="O584" s="7"/>
      <c r="P584" s="7"/>
      <c r="Q584" s="24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  <c r="AC584" s="52"/>
      <c r="AD584" s="52"/>
      <c r="AE584" s="52"/>
      <c r="AF584" s="52"/>
      <c r="AG584" s="52"/>
      <c r="AH584" s="52"/>
      <c r="AI584" s="52"/>
      <c r="AJ584" s="52"/>
      <c r="AK584" s="52"/>
      <c r="AL584" s="52"/>
      <c r="AM584" s="52"/>
      <c r="AN584" s="52"/>
      <c r="AO584" s="52"/>
      <c r="AP584" s="52"/>
      <c r="AQ584" s="52"/>
      <c r="AR584" s="52"/>
      <c r="AS584" s="52"/>
      <c r="AT584" s="52"/>
      <c r="AU584" s="52"/>
      <c r="AV584" s="52"/>
      <c r="AW584" s="52"/>
      <c r="AX584" s="52"/>
      <c r="AY584" s="52"/>
      <c r="AZ584" s="52"/>
      <c r="BA584" s="52"/>
      <c r="BB584" s="52"/>
      <c r="BC584" s="52"/>
      <c r="BD584" s="52"/>
      <c r="BE584" s="52"/>
      <c r="BF584" s="52"/>
      <c r="BG584" s="52"/>
      <c r="BH584" s="52"/>
      <c r="BI584" s="52"/>
      <c r="BJ584" s="52"/>
      <c r="BK584" s="52"/>
      <c r="BL584" s="52"/>
      <c r="BM584" s="52"/>
      <c r="BN584" s="52"/>
      <c r="BO584" s="52"/>
      <c r="BP584" s="52"/>
      <c r="BQ584" s="52"/>
      <c r="BR584" s="52"/>
      <c r="BS584" s="52"/>
      <c r="BT584" s="52"/>
      <c r="BU584" s="52"/>
      <c r="BV584" s="52"/>
      <c r="BW584" s="52"/>
      <c r="BX584" s="52"/>
      <c r="BY584" s="52"/>
      <c r="BZ584" s="52"/>
      <c r="CA584" s="52"/>
      <c r="CB584" s="52"/>
      <c r="CC584" s="52"/>
      <c r="CD584" s="52"/>
      <c r="CE584" s="52"/>
      <c r="CF584" s="52"/>
      <c r="CG584" s="52"/>
      <c r="CH584" s="52"/>
      <c r="CI584" s="52"/>
      <c r="CJ584" s="52"/>
      <c r="CK584" s="52"/>
      <c r="CL584" s="52"/>
      <c r="CM584" s="52"/>
      <c r="CN584" s="52"/>
      <c r="CO584" s="52"/>
      <c r="CP584" s="52"/>
      <c r="CQ584" s="52"/>
      <c r="CR584" s="52"/>
      <c r="CS584" s="52"/>
      <c r="CT584" s="52"/>
      <c r="CU584" s="52"/>
      <c r="CV584" s="52"/>
      <c r="CW584" s="52"/>
      <c r="CX584" s="52"/>
      <c r="CY584" s="52"/>
      <c r="CZ584" s="52"/>
      <c r="DA584" s="52"/>
      <c r="DB584" s="52"/>
      <c r="DC584" s="52"/>
      <c r="DD584" s="52"/>
      <c r="DE584" s="52"/>
      <c r="DF584" s="52"/>
      <c r="DG584" s="52"/>
      <c r="DH584" s="52"/>
      <c r="DI584" s="52"/>
      <c r="DJ584" s="52"/>
      <c r="DK584" s="52"/>
      <c r="DL584" s="52"/>
      <c r="DM584" s="52"/>
      <c r="DN584" s="52"/>
      <c r="DO584" s="52"/>
      <c r="DP584" s="52"/>
      <c r="DQ584" s="52"/>
      <c r="DR584" s="52"/>
      <c r="DS584" s="52"/>
      <c r="DT584" s="52"/>
      <c r="DU584" s="52"/>
      <c r="DV584" s="52"/>
      <c r="DW584" s="52"/>
      <c r="DX584" s="52"/>
      <c r="DY584" s="52"/>
      <c r="DZ584" s="52"/>
      <c r="EA584" s="52"/>
      <c r="EB584" s="52"/>
      <c r="EC584" s="52"/>
      <c r="ED584" s="52"/>
      <c r="EE584" s="52"/>
      <c r="EF584" s="52"/>
      <c r="EG584" s="52"/>
      <c r="EH584" s="52"/>
      <c r="EI584" s="52"/>
      <c r="EJ584" s="52"/>
      <c r="EK584" s="52"/>
      <c r="EL584" s="52"/>
      <c r="EM584" s="52"/>
      <c r="EN584" s="52"/>
      <c r="EO584" s="52"/>
      <c r="EP584" s="52"/>
      <c r="EQ584" s="52"/>
      <c r="ER584" s="52"/>
      <c r="ES584" s="52"/>
    </row>
    <row r="585" spans="1:149" ht="11.25">
      <c r="A585" s="5" t="s">
        <v>7</v>
      </c>
      <c r="B585" s="6"/>
      <c r="C585" s="6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24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  <c r="AC585" s="52"/>
      <c r="AD585" s="52"/>
      <c r="AE585" s="52"/>
      <c r="AF585" s="52"/>
      <c r="AG585" s="52"/>
      <c r="AH585" s="52"/>
      <c r="AI585" s="52"/>
      <c r="AJ585" s="52"/>
      <c r="AK585" s="52"/>
      <c r="AL585" s="52"/>
      <c r="AM585" s="52"/>
      <c r="AN585" s="52"/>
      <c r="AO585" s="52"/>
      <c r="AP585" s="52"/>
      <c r="AQ585" s="52"/>
      <c r="AR585" s="52"/>
      <c r="AS585" s="52"/>
      <c r="AT585" s="52"/>
      <c r="AU585" s="52"/>
      <c r="AV585" s="52"/>
      <c r="AW585" s="52"/>
      <c r="AX585" s="52"/>
      <c r="AY585" s="52"/>
      <c r="AZ585" s="52"/>
      <c r="BA585" s="52"/>
      <c r="BB585" s="52"/>
      <c r="BC585" s="52"/>
      <c r="BD585" s="52"/>
      <c r="BE585" s="52"/>
      <c r="BF585" s="52"/>
      <c r="BG585" s="52"/>
      <c r="BH585" s="52"/>
      <c r="BI585" s="52"/>
      <c r="BJ585" s="52"/>
      <c r="BK585" s="52"/>
      <c r="BL585" s="52"/>
      <c r="BM585" s="52"/>
      <c r="BN585" s="52"/>
      <c r="BO585" s="52"/>
      <c r="BP585" s="52"/>
      <c r="BQ585" s="52"/>
      <c r="BR585" s="52"/>
      <c r="BS585" s="52"/>
      <c r="BT585" s="52"/>
      <c r="BU585" s="52"/>
      <c r="BV585" s="52"/>
      <c r="BW585" s="52"/>
      <c r="BX585" s="52"/>
      <c r="BY585" s="52"/>
      <c r="BZ585" s="52"/>
      <c r="CA585" s="52"/>
      <c r="CB585" s="52"/>
      <c r="CC585" s="52"/>
      <c r="CD585" s="52"/>
      <c r="CE585" s="52"/>
      <c r="CF585" s="52"/>
      <c r="CG585" s="52"/>
      <c r="CH585" s="52"/>
      <c r="CI585" s="52"/>
      <c r="CJ585" s="52"/>
      <c r="CK585" s="52"/>
      <c r="CL585" s="52"/>
      <c r="CM585" s="52"/>
      <c r="CN585" s="52"/>
      <c r="CO585" s="52"/>
      <c r="CP585" s="52"/>
      <c r="CQ585" s="52"/>
      <c r="CR585" s="52"/>
      <c r="CS585" s="52"/>
      <c r="CT585" s="52"/>
      <c r="CU585" s="52"/>
      <c r="CV585" s="52"/>
      <c r="CW585" s="52"/>
      <c r="CX585" s="52"/>
      <c r="CY585" s="52"/>
      <c r="CZ585" s="52"/>
      <c r="DA585" s="52"/>
      <c r="DB585" s="52"/>
      <c r="DC585" s="52"/>
      <c r="DD585" s="52"/>
      <c r="DE585" s="52"/>
      <c r="DF585" s="52"/>
      <c r="DG585" s="52"/>
      <c r="DH585" s="52"/>
      <c r="DI585" s="52"/>
      <c r="DJ585" s="52"/>
      <c r="DK585" s="52"/>
      <c r="DL585" s="52"/>
      <c r="DM585" s="52"/>
      <c r="DN585" s="52"/>
      <c r="DO585" s="52"/>
      <c r="DP585" s="52"/>
      <c r="DQ585" s="52"/>
      <c r="DR585" s="52"/>
      <c r="DS585" s="52"/>
      <c r="DT585" s="52"/>
      <c r="DU585" s="52"/>
      <c r="DV585" s="52"/>
      <c r="DW585" s="52"/>
      <c r="DX585" s="52"/>
      <c r="DY585" s="52"/>
      <c r="DZ585" s="52"/>
      <c r="EA585" s="52"/>
      <c r="EB585" s="52"/>
      <c r="EC585" s="52"/>
      <c r="ED585" s="52"/>
      <c r="EE585" s="52"/>
      <c r="EF585" s="52"/>
      <c r="EG585" s="52"/>
      <c r="EH585" s="52"/>
      <c r="EI585" s="52"/>
      <c r="EJ585" s="52"/>
      <c r="EK585" s="52"/>
      <c r="EL585" s="52"/>
      <c r="EM585" s="52"/>
      <c r="EN585" s="52"/>
      <c r="EO585" s="52"/>
      <c r="EP585" s="52"/>
      <c r="EQ585" s="52"/>
      <c r="ER585" s="52"/>
      <c r="ES585" s="52"/>
    </row>
    <row r="586" spans="1:149" ht="11.25">
      <c r="A586" s="8" t="s">
        <v>326</v>
      </c>
      <c r="B586" s="6"/>
      <c r="C586" s="6"/>
      <c r="D586" s="7"/>
      <c r="E586" s="7"/>
      <c r="F586" s="7"/>
      <c r="G586" s="7">
        <v>54117.65</v>
      </c>
      <c r="H586" s="7"/>
      <c r="I586" s="7"/>
      <c r="J586" s="7">
        <f>G586</f>
        <v>54117.65</v>
      </c>
      <c r="K586" s="7"/>
      <c r="L586" s="7"/>
      <c r="M586" s="7"/>
      <c r="N586" s="7"/>
      <c r="O586" s="7"/>
      <c r="P586" s="7"/>
      <c r="Q586" s="24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  <c r="AC586" s="52"/>
      <c r="AD586" s="52"/>
      <c r="AE586" s="52"/>
      <c r="AF586" s="52"/>
      <c r="AG586" s="52"/>
      <c r="AH586" s="52"/>
      <c r="AI586" s="52"/>
      <c r="AJ586" s="52"/>
      <c r="AK586" s="52"/>
      <c r="AL586" s="52"/>
      <c r="AM586" s="52"/>
      <c r="AN586" s="52"/>
      <c r="AO586" s="52"/>
      <c r="AP586" s="52"/>
      <c r="AQ586" s="52"/>
      <c r="AR586" s="52"/>
      <c r="AS586" s="52"/>
      <c r="AT586" s="52"/>
      <c r="AU586" s="52"/>
      <c r="AV586" s="52"/>
      <c r="AW586" s="52"/>
      <c r="AX586" s="52"/>
      <c r="AY586" s="52"/>
      <c r="AZ586" s="52"/>
      <c r="BA586" s="52"/>
      <c r="BB586" s="52"/>
      <c r="BC586" s="52"/>
      <c r="BD586" s="52"/>
      <c r="BE586" s="52"/>
      <c r="BF586" s="52"/>
      <c r="BG586" s="52"/>
      <c r="BH586" s="52"/>
      <c r="BI586" s="52"/>
      <c r="BJ586" s="52"/>
      <c r="BK586" s="52"/>
      <c r="BL586" s="52"/>
      <c r="BM586" s="52"/>
      <c r="BN586" s="52"/>
      <c r="BO586" s="52"/>
      <c r="BP586" s="52"/>
      <c r="BQ586" s="52"/>
      <c r="BR586" s="52"/>
      <c r="BS586" s="52"/>
      <c r="BT586" s="52"/>
      <c r="BU586" s="52"/>
      <c r="BV586" s="52"/>
      <c r="BW586" s="52"/>
      <c r="BX586" s="52"/>
      <c r="BY586" s="52"/>
      <c r="BZ586" s="52"/>
      <c r="CA586" s="52"/>
      <c r="CB586" s="52"/>
      <c r="CC586" s="52"/>
      <c r="CD586" s="52"/>
      <c r="CE586" s="52"/>
      <c r="CF586" s="52"/>
      <c r="CG586" s="52"/>
      <c r="CH586" s="52"/>
      <c r="CI586" s="52"/>
      <c r="CJ586" s="52"/>
      <c r="CK586" s="52"/>
      <c r="CL586" s="52"/>
      <c r="CM586" s="52"/>
      <c r="CN586" s="52"/>
      <c r="CO586" s="52"/>
      <c r="CP586" s="52"/>
      <c r="CQ586" s="52"/>
      <c r="CR586" s="52"/>
      <c r="CS586" s="52"/>
      <c r="CT586" s="52"/>
      <c r="CU586" s="52"/>
      <c r="CV586" s="52"/>
      <c r="CW586" s="52"/>
      <c r="CX586" s="52"/>
      <c r="CY586" s="52"/>
      <c r="CZ586" s="52"/>
      <c r="DA586" s="52"/>
      <c r="DB586" s="52"/>
      <c r="DC586" s="52"/>
      <c r="DD586" s="52"/>
      <c r="DE586" s="52"/>
      <c r="DF586" s="52"/>
      <c r="DG586" s="52"/>
      <c r="DH586" s="52"/>
      <c r="DI586" s="52"/>
      <c r="DJ586" s="52"/>
      <c r="DK586" s="52"/>
      <c r="DL586" s="52"/>
      <c r="DM586" s="52"/>
      <c r="DN586" s="52"/>
      <c r="DO586" s="52"/>
      <c r="DP586" s="52"/>
      <c r="DQ586" s="52"/>
      <c r="DR586" s="52"/>
      <c r="DS586" s="52"/>
      <c r="DT586" s="52"/>
      <c r="DU586" s="52"/>
      <c r="DV586" s="52"/>
      <c r="DW586" s="52"/>
      <c r="DX586" s="52"/>
      <c r="DY586" s="52"/>
      <c r="DZ586" s="52"/>
      <c r="EA586" s="52"/>
      <c r="EB586" s="52"/>
      <c r="EC586" s="52"/>
      <c r="ED586" s="52"/>
      <c r="EE586" s="52"/>
      <c r="EF586" s="52"/>
      <c r="EG586" s="52"/>
      <c r="EH586" s="52"/>
      <c r="EI586" s="52"/>
      <c r="EJ586" s="52"/>
      <c r="EK586" s="52"/>
      <c r="EL586" s="52"/>
      <c r="EM586" s="52"/>
      <c r="EN586" s="52"/>
      <c r="EO586" s="52"/>
      <c r="EP586" s="52"/>
      <c r="EQ586" s="52"/>
      <c r="ER586" s="52"/>
      <c r="ES586" s="52"/>
    </row>
    <row r="587" spans="1:149" ht="33.75">
      <c r="A587" s="153" t="s">
        <v>422</v>
      </c>
      <c r="B587" s="6"/>
      <c r="C587" s="6"/>
      <c r="D587" s="7"/>
      <c r="E587" s="7"/>
      <c r="F587" s="7"/>
      <c r="G587" s="35"/>
      <c r="H587" s="35">
        <f>H589</f>
        <v>1000000</v>
      </c>
      <c r="I587" s="7"/>
      <c r="J587" s="35">
        <f>H587</f>
        <v>1000000</v>
      </c>
      <c r="K587" s="7"/>
      <c r="L587" s="7"/>
      <c r="M587" s="7"/>
      <c r="N587" s="7"/>
      <c r="O587" s="7"/>
      <c r="P587" s="7"/>
      <c r="Q587" s="24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  <c r="AC587" s="52"/>
      <c r="AD587" s="52"/>
      <c r="AE587" s="52"/>
      <c r="AF587" s="52"/>
      <c r="AG587" s="52"/>
      <c r="AH587" s="52"/>
      <c r="AI587" s="52"/>
      <c r="AJ587" s="52"/>
      <c r="AK587" s="52"/>
      <c r="AL587" s="52"/>
      <c r="AM587" s="52"/>
      <c r="AN587" s="52"/>
      <c r="AO587" s="52"/>
      <c r="AP587" s="52"/>
      <c r="AQ587" s="52"/>
      <c r="AR587" s="52"/>
      <c r="AS587" s="52"/>
      <c r="AT587" s="52"/>
      <c r="AU587" s="52"/>
      <c r="AV587" s="52"/>
      <c r="AW587" s="52"/>
      <c r="AX587" s="52"/>
      <c r="AY587" s="52"/>
      <c r="AZ587" s="52"/>
      <c r="BA587" s="52"/>
      <c r="BB587" s="52"/>
      <c r="BC587" s="52"/>
      <c r="BD587" s="52"/>
      <c r="BE587" s="52"/>
      <c r="BF587" s="52"/>
      <c r="BG587" s="52"/>
      <c r="BH587" s="52"/>
      <c r="BI587" s="52"/>
      <c r="BJ587" s="52"/>
      <c r="BK587" s="52"/>
      <c r="BL587" s="52"/>
      <c r="BM587" s="52"/>
      <c r="BN587" s="52"/>
      <c r="BO587" s="52"/>
      <c r="BP587" s="52"/>
      <c r="BQ587" s="52"/>
      <c r="BR587" s="52"/>
      <c r="BS587" s="52"/>
      <c r="BT587" s="52"/>
      <c r="BU587" s="52"/>
      <c r="BV587" s="52"/>
      <c r="BW587" s="52"/>
      <c r="BX587" s="52"/>
      <c r="BY587" s="52"/>
      <c r="BZ587" s="52"/>
      <c r="CA587" s="52"/>
      <c r="CB587" s="52"/>
      <c r="CC587" s="52"/>
      <c r="CD587" s="52"/>
      <c r="CE587" s="52"/>
      <c r="CF587" s="52"/>
      <c r="CG587" s="52"/>
      <c r="CH587" s="52"/>
      <c r="CI587" s="52"/>
      <c r="CJ587" s="52"/>
      <c r="CK587" s="52"/>
      <c r="CL587" s="52"/>
      <c r="CM587" s="52"/>
      <c r="CN587" s="52"/>
      <c r="CO587" s="52"/>
      <c r="CP587" s="52"/>
      <c r="CQ587" s="52"/>
      <c r="CR587" s="52"/>
      <c r="CS587" s="52"/>
      <c r="CT587" s="52"/>
      <c r="CU587" s="52"/>
      <c r="CV587" s="52"/>
      <c r="CW587" s="52"/>
      <c r="CX587" s="52"/>
      <c r="CY587" s="52"/>
      <c r="CZ587" s="52"/>
      <c r="DA587" s="52"/>
      <c r="DB587" s="52"/>
      <c r="DC587" s="52"/>
      <c r="DD587" s="52"/>
      <c r="DE587" s="52"/>
      <c r="DF587" s="52"/>
      <c r="DG587" s="52"/>
      <c r="DH587" s="52"/>
      <c r="DI587" s="52"/>
      <c r="DJ587" s="52"/>
      <c r="DK587" s="52"/>
      <c r="DL587" s="52"/>
      <c r="DM587" s="52"/>
      <c r="DN587" s="52"/>
      <c r="DO587" s="52"/>
      <c r="DP587" s="52"/>
      <c r="DQ587" s="52"/>
      <c r="DR587" s="52"/>
      <c r="DS587" s="52"/>
      <c r="DT587" s="52"/>
      <c r="DU587" s="52"/>
      <c r="DV587" s="52"/>
      <c r="DW587" s="52"/>
      <c r="DX587" s="52"/>
      <c r="DY587" s="52"/>
      <c r="DZ587" s="52"/>
      <c r="EA587" s="52"/>
      <c r="EB587" s="52"/>
      <c r="EC587" s="52"/>
      <c r="ED587" s="52"/>
      <c r="EE587" s="52"/>
      <c r="EF587" s="52"/>
      <c r="EG587" s="52"/>
      <c r="EH587" s="52"/>
      <c r="EI587" s="52"/>
      <c r="EJ587" s="52"/>
      <c r="EK587" s="52"/>
      <c r="EL587" s="52"/>
      <c r="EM587" s="52"/>
      <c r="EN587" s="52"/>
      <c r="EO587" s="52"/>
      <c r="EP587" s="52"/>
      <c r="EQ587" s="52"/>
      <c r="ER587" s="52"/>
      <c r="ES587" s="52"/>
    </row>
    <row r="588" spans="1:149" ht="11.25">
      <c r="A588" s="5" t="s">
        <v>4</v>
      </c>
      <c r="B588" s="6"/>
      <c r="C588" s="6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24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  <c r="AC588" s="52"/>
      <c r="AD588" s="52"/>
      <c r="AE588" s="52"/>
      <c r="AF588" s="52"/>
      <c r="AG588" s="52"/>
      <c r="AH588" s="52"/>
      <c r="AI588" s="52"/>
      <c r="AJ588" s="52"/>
      <c r="AK588" s="52"/>
      <c r="AL588" s="52"/>
      <c r="AM588" s="52"/>
      <c r="AN588" s="52"/>
      <c r="AO588" s="52"/>
      <c r="AP588" s="52"/>
      <c r="AQ588" s="52"/>
      <c r="AR588" s="52"/>
      <c r="AS588" s="52"/>
      <c r="AT588" s="52"/>
      <c r="AU588" s="52"/>
      <c r="AV588" s="52"/>
      <c r="AW588" s="52"/>
      <c r="AX588" s="52"/>
      <c r="AY588" s="52"/>
      <c r="AZ588" s="52"/>
      <c r="BA588" s="52"/>
      <c r="BB588" s="52"/>
      <c r="BC588" s="52"/>
      <c r="BD588" s="52"/>
      <c r="BE588" s="52"/>
      <c r="BF588" s="52"/>
      <c r="BG588" s="52"/>
      <c r="BH588" s="52"/>
      <c r="BI588" s="52"/>
      <c r="BJ588" s="52"/>
      <c r="BK588" s="52"/>
      <c r="BL588" s="52"/>
      <c r="BM588" s="52"/>
      <c r="BN588" s="52"/>
      <c r="BO588" s="52"/>
      <c r="BP588" s="52"/>
      <c r="BQ588" s="52"/>
      <c r="BR588" s="52"/>
      <c r="BS588" s="52"/>
      <c r="BT588" s="52"/>
      <c r="BU588" s="52"/>
      <c r="BV588" s="52"/>
      <c r="BW588" s="52"/>
      <c r="BX588" s="52"/>
      <c r="BY588" s="52"/>
      <c r="BZ588" s="52"/>
      <c r="CA588" s="52"/>
      <c r="CB588" s="52"/>
      <c r="CC588" s="52"/>
      <c r="CD588" s="52"/>
      <c r="CE588" s="52"/>
      <c r="CF588" s="52"/>
      <c r="CG588" s="52"/>
      <c r="CH588" s="52"/>
      <c r="CI588" s="52"/>
      <c r="CJ588" s="52"/>
      <c r="CK588" s="52"/>
      <c r="CL588" s="52"/>
      <c r="CM588" s="52"/>
      <c r="CN588" s="52"/>
      <c r="CO588" s="52"/>
      <c r="CP588" s="52"/>
      <c r="CQ588" s="52"/>
      <c r="CR588" s="52"/>
      <c r="CS588" s="52"/>
      <c r="CT588" s="52"/>
      <c r="CU588" s="52"/>
      <c r="CV588" s="52"/>
      <c r="CW588" s="52"/>
      <c r="CX588" s="52"/>
      <c r="CY588" s="52"/>
      <c r="CZ588" s="52"/>
      <c r="DA588" s="52"/>
      <c r="DB588" s="52"/>
      <c r="DC588" s="52"/>
      <c r="DD588" s="52"/>
      <c r="DE588" s="52"/>
      <c r="DF588" s="52"/>
      <c r="DG588" s="52"/>
      <c r="DH588" s="52"/>
      <c r="DI588" s="52"/>
      <c r="DJ588" s="52"/>
      <c r="DK588" s="52"/>
      <c r="DL588" s="52"/>
      <c r="DM588" s="52"/>
      <c r="DN588" s="52"/>
      <c r="DO588" s="52"/>
      <c r="DP588" s="52"/>
      <c r="DQ588" s="52"/>
      <c r="DR588" s="52"/>
      <c r="DS588" s="52"/>
      <c r="DT588" s="52"/>
      <c r="DU588" s="52"/>
      <c r="DV588" s="52"/>
      <c r="DW588" s="52"/>
      <c r="DX588" s="52"/>
      <c r="DY588" s="52"/>
      <c r="DZ588" s="52"/>
      <c r="EA588" s="52"/>
      <c r="EB588" s="52"/>
      <c r="EC588" s="52"/>
      <c r="ED588" s="52"/>
      <c r="EE588" s="52"/>
      <c r="EF588" s="52"/>
      <c r="EG588" s="52"/>
      <c r="EH588" s="52"/>
      <c r="EI588" s="52"/>
      <c r="EJ588" s="52"/>
      <c r="EK588" s="52"/>
      <c r="EL588" s="52"/>
      <c r="EM588" s="52"/>
      <c r="EN588" s="52"/>
      <c r="EO588" s="52"/>
      <c r="EP588" s="52"/>
      <c r="EQ588" s="52"/>
      <c r="ER588" s="52"/>
      <c r="ES588" s="52"/>
    </row>
    <row r="589" spans="1:149" ht="11.25">
      <c r="A589" s="8" t="s">
        <v>43</v>
      </c>
      <c r="B589" s="6"/>
      <c r="C589" s="6"/>
      <c r="D589" s="7"/>
      <c r="E589" s="7"/>
      <c r="F589" s="7"/>
      <c r="G589" s="7"/>
      <c r="H589" s="7">
        <v>1000000</v>
      </c>
      <c r="I589" s="7"/>
      <c r="J589" s="7">
        <f>H589</f>
        <v>1000000</v>
      </c>
      <c r="K589" s="7"/>
      <c r="L589" s="7"/>
      <c r="M589" s="7"/>
      <c r="N589" s="7"/>
      <c r="O589" s="7"/>
      <c r="P589" s="7"/>
      <c r="Q589" s="24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  <c r="AC589" s="52"/>
      <c r="AD589" s="52"/>
      <c r="AE589" s="52"/>
      <c r="AF589" s="52"/>
      <c r="AG589" s="52"/>
      <c r="AH589" s="52"/>
      <c r="AI589" s="52"/>
      <c r="AJ589" s="52"/>
      <c r="AK589" s="52"/>
      <c r="AL589" s="52"/>
      <c r="AM589" s="52"/>
      <c r="AN589" s="52"/>
      <c r="AO589" s="52"/>
      <c r="AP589" s="52"/>
      <c r="AQ589" s="52"/>
      <c r="AR589" s="52"/>
      <c r="AS589" s="52"/>
      <c r="AT589" s="52"/>
      <c r="AU589" s="52"/>
      <c r="AV589" s="52"/>
      <c r="AW589" s="52"/>
      <c r="AX589" s="52"/>
      <c r="AY589" s="52"/>
      <c r="AZ589" s="52"/>
      <c r="BA589" s="52"/>
      <c r="BB589" s="52"/>
      <c r="BC589" s="52"/>
      <c r="BD589" s="52"/>
      <c r="BE589" s="52"/>
      <c r="BF589" s="52"/>
      <c r="BG589" s="52"/>
      <c r="BH589" s="52"/>
      <c r="BI589" s="52"/>
      <c r="BJ589" s="52"/>
      <c r="BK589" s="52"/>
      <c r="BL589" s="52"/>
      <c r="BM589" s="52"/>
      <c r="BN589" s="52"/>
      <c r="BO589" s="52"/>
      <c r="BP589" s="52"/>
      <c r="BQ589" s="52"/>
      <c r="BR589" s="52"/>
      <c r="BS589" s="52"/>
      <c r="BT589" s="52"/>
      <c r="BU589" s="52"/>
      <c r="BV589" s="52"/>
      <c r="BW589" s="52"/>
      <c r="BX589" s="52"/>
      <c r="BY589" s="52"/>
      <c r="BZ589" s="52"/>
      <c r="CA589" s="52"/>
      <c r="CB589" s="52"/>
      <c r="CC589" s="52"/>
      <c r="CD589" s="52"/>
      <c r="CE589" s="52"/>
      <c r="CF589" s="52"/>
      <c r="CG589" s="52"/>
      <c r="CH589" s="52"/>
      <c r="CI589" s="52"/>
      <c r="CJ589" s="52"/>
      <c r="CK589" s="52"/>
      <c r="CL589" s="52"/>
      <c r="CM589" s="52"/>
      <c r="CN589" s="52"/>
      <c r="CO589" s="52"/>
      <c r="CP589" s="52"/>
      <c r="CQ589" s="52"/>
      <c r="CR589" s="52"/>
      <c r="CS589" s="52"/>
      <c r="CT589" s="52"/>
      <c r="CU589" s="52"/>
      <c r="CV589" s="52"/>
      <c r="CW589" s="52"/>
      <c r="CX589" s="52"/>
      <c r="CY589" s="52"/>
      <c r="CZ589" s="52"/>
      <c r="DA589" s="52"/>
      <c r="DB589" s="52"/>
      <c r="DC589" s="52"/>
      <c r="DD589" s="52"/>
      <c r="DE589" s="52"/>
      <c r="DF589" s="52"/>
      <c r="DG589" s="52"/>
      <c r="DH589" s="52"/>
      <c r="DI589" s="52"/>
      <c r="DJ589" s="52"/>
      <c r="DK589" s="52"/>
      <c r="DL589" s="52"/>
      <c r="DM589" s="52"/>
      <c r="DN589" s="52"/>
      <c r="DO589" s="52"/>
      <c r="DP589" s="52"/>
      <c r="DQ589" s="52"/>
      <c r="DR589" s="52"/>
      <c r="DS589" s="52"/>
      <c r="DT589" s="52"/>
      <c r="DU589" s="52"/>
      <c r="DV589" s="52"/>
      <c r="DW589" s="52"/>
      <c r="DX589" s="52"/>
      <c r="DY589" s="52"/>
      <c r="DZ589" s="52"/>
      <c r="EA589" s="52"/>
      <c r="EB589" s="52"/>
      <c r="EC589" s="52"/>
      <c r="ED589" s="52"/>
      <c r="EE589" s="52"/>
      <c r="EF589" s="52"/>
      <c r="EG589" s="52"/>
      <c r="EH589" s="52"/>
      <c r="EI589" s="52"/>
      <c r="EJ589" s="52"/>
      <c r="EK589" s="52"/>
      <c r="EL589" s="52"/>
      <c r="EM589" s="52"/>
      <c r="EN589" s="52"/>
      <c r="EO589" s="52"/>
      <c r="EP589" s="52"/>
      <c r="EQ589" s="52"/>
      <c r="ER589" s="52"/>
      <c r="ES589" s="52"/>
    </row>
    <row r="590" spans="1:149" ht="11.25">
      <c r="A590" s="5" t="s">
        <v>5</v>
      </c>
      <c r="B590" s="6"/>
      <c r="C590" s="6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24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  <c r="AC590" s="52"/>
      <c r="AD590" s="52"/>
      <c r="AE590" s="52"/>
      <c r="AF590" s="52"/>
      <c r="AG590" s="52"/>
      <c r="AH590" s="52"/>
      <c r="AI590" s="52"/>
      <c r="AJ590" s="52"/>
      <c r="AK590" s="52"/>
      <c r="AL590" s="52"/>
      <c r="AM590" s="52"/>
      <c r="AN590" s="52"/>
      <c r="AO590" s="52"/>
      <c r="AP590" s="52"/>
      <c r="AQ590" s="52"/>
      <c r="AR590" s="52"/>
      <c r="AS590" s="52"/>
      <c r="AT590" s="52"/>
      <c r="AU590" s="52"/>
      <c r="AV590" s="52"/>
      <c r="AW590" s="52"/>
      <c r="AX590" s="52"/>
      <c r="AY590" s="52"/>
      <c r="AZ590" s="52"/>
      <c r="BA590" s="52"/>
      <c r="BB590" s="52"/>
      <c r="BC590" s="52"/>
      <c r="BD590" s="52"/>
      <c r="BE590" s="52"/>
      <c r="BF590" s="52"/>
      <c r="BG590" s="52"/>
      <c r="BH590" s="52"/>
      <c r="BI590" s="52"/>
      <c r="BJ590" s="52"/>
      <c r="BK590" s="52"/>
      <c r="BL590" s="52"/>
      <c r="BM590" s="52"/>
      <c r="BN590" s="52"/>
      <c r="BO590" s="52"/>
      <c r="BP590" s="52"/>
      <c r="BQ590" s="52"/>
      <c r="BR590" s="52"/>
      <c r="BS590" s="52"/>
      <c r="BT590" s="52"/>
      <c r="BU590" s="52"/>
      <c r="BV590" s="52"/>
      <c r="BW590" s="52"/>
      <c r="BX590" s="52"/>
      <c r="BY590" s="52"/>
      <c r="BZ590" s="52"/>
      <c r="CA590" s="52"/>
      <c r="CB590" s="52"/>
      <c r="CC590" s="52"/>
      <c r="CD590" s="52"/>
      <c r="CE590" s="52"/>
      <c r="CF590" s="52"/>
      <c r="CG590" s="52"/>
      <c r="CH590" s="52"/>
      <c r="CI590" s="52"/>
      <c r="CJ590" s="52"/>
      <c r="CK590" s="52"/>
      <c r="CL590" s="52"/>
      <c r="CM590" s="52"/>
      <c r="CN590" s="52"/>
      <c r="CO590" s="52"/>
      <c r="CP590" s="52"/>
      <c r="CQ590" s="52"/>
      <c r="CR590" s="52"/>
      <c r="CS590" s="52"/>
      <c r="CT590" s="52"/>
      <c r="CU590" s="52"/>
      <c r="CV590" s="52"/>
      <c r="CW590" s="52"/>
      <c r="CX590" s="52"/>
      <c r="CY590" s="52"/>
      <c r="CZ590" s="52"/>
      <c r="DA590" s="52"/>
      <c r="DB590" s="52"/>
      <c r="DC590" s="52"/>
      <c r="DD590" s="52"/>
      <c r="DE590" s="52"/>
      <c r="DF590" s="52"/>
      <c r="DG590" s="52"/>
      <c r="DH590" s="52"/>
      <c r="DI590" s="52"/>
      <c r="DJ590" s="52"/>
      <c r="DK590" s="52"/>
      <c r="DL590" s="52"/>
      <c r="DM590" s="52"/>
      <c r="DN590" s="52"/>
      <c r="DO590" s="52"/>
      <c r="DP590" s="52"/>
      <c r="DQ590" s="52"/>
      <c r="DR590" s="52"/>
      <c r="DS590" s="52"/>
      <c r="DT590" s="52"/>
      <c r="DU590" s="52"/>
      <c r="DV590" s="52"/>
      <c r="DW590" s="52"/>
      <c r="DX590" s="52"/>
      <c r="DY590" s="52"/>
      <c r="DZ590" s="52"/>
      <c r="EA590" s="52"/>
      <c r="EB590" s="52"/>
      <c r="EC590" s="52"/>
      <c r="ED590" s="52"/>
      <c r="EE590" s="52"/>
      <c r="EF590" s="52"/>
      <c r="EG590" s="52"/>
      <c r="EH590" s="52"/>
      <c r="EI590" s="52"/>
      <c r="EJ590" s="52"/>
      <c r="EK590" s="52"/>
      <c r="EL590" s="52"/>
      <c r="EM590" s="52"/>
      <c r="EN590" s="52"/>
      <c r="EO590" s="52"/>
      <c r="EP590" s="52"/>
      <c r="EQ590" s="52"/>
      <c r="ER590" s="52"/>
      <c r="ES590" s="52"/>
    </row>
    <row r="591" spans="1:149" ht="11.25">
      <c r="A591" s="8" t="s">
        <v>398</v>
      </c>
      <c r="B591" s="6"/>
      <c r="C591" s="6"/>
      <c r="D591" s="7"/>
      <c r="E591" s="7"/>
      <c r="F591" s="7"/>
      <c r="G591" s="7"/>
      <c r="H591" s="7">
        <v>1</v>
      </c>
      <c r="I591" s="7"/>
      <c r="J591" s="7">
        <f>H591</f>
        <v>1</v>
      </c>
      <c r="K591" s="7"/>
      <c r="L591" s="7"/>
      <c r="M591" s="7"/>
      <c r="N591" s="7"/>
      <c r="O591" s="7"/>
      <c r="P591" s="7"/>
      <c r="Q591" s="24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  <c r="AC591" s="52"/>
      <c r="AD591" s="52"/>
      <c r="AE591" s="52"/>
      <c r="AF591" s="52"/>
      <c r="AG591" s="52"/>
      <c r="AH591" s="52"/>
      <c r="AI591" s="52"/>
      <c r="AJ591" s="52"/>
      <c r="AK591" s="52"/>
      <c r="AL591" s="52"/>
      <c r="AM591" s="52"/>
      <c r="AN591" s="52"/>
      <c r="AO591" s="52"/>
      <c r="AP591" s="52"/>
      <c r="AQ591" s="52"/>
      <c r="AR591" s="52"/>
      <c r="AS591" s="52"/>
      <c r="AT591" s="52"/>
      <c r="AU591" s="52"/>
      <c r="AV591" s="52"/>
      <c r="AW591" s="52"/>
      <c r="AX591" s="52"/>
      <c r="AY591" s="52"/>
      <c r="AZ591" s="52"/>
      <c r="BA591" s="52"/>
      <c r="BB591" s="52"/>
      <c r="BC591" s="52"/>
      <c r="BD591" s="52"/>
      <c r="BE591" s="52"/>
      <c r="BF591" s="52"/>
      <c r="BG591" s="52"/>
      <c r="BH591" s="52"/>
      <c r="BI591" s="52"/>
      <c r="BJ591" s="52"/>
      <c r="BK591" s="52"/>
      <c r="BL591" s="52"/>
      <c r="BM591" s="52"/>
      <c r="BN591" s="52"/>
      <c r="BO591" s="52"/>
      <c r="BP591" s="52"/>
      <c r="BQ591" s="52"/>
      <c r="BR591" s="52"/>
      <c r="BS591" s="52"/>
      <c r="BT591" s="52"/>
      <c r="BU591" s="52"/>
      <c r="BV591" s="52"/>
      <c r="BW591" s="52"/>
      <c r="BX591" s="52"/>
      <c r="BY591" s="52"/>
      <c r="BZ591" s="52"/>
      <c r="CA591" s="52"/>
      <c r="CB591" s="52"/>
      <c r="CC591" s="52"/>
      <c r="CD591" s="52"/>
      <c r="CE591" s="52"/>
      <c r="CF591" s="52"/>
      <c r="CG591" s="52"/>
      <c r="CH591" s="52"/>
      <c r="CI591" s="52"/>
      <c r="CJ591" s="52"/>
      <c r="CK591" s="52"/>
      <c r="CL591" s="52"/>
      <c r="CM591" s="52"/>
      <c r="CN591" s="52"/>
      <c r="CO591" s="52"/>
      <c r="CP591" s="52"/>
      <c r="CQ591" s="52"/>
      <c r="CR591" s="52"/>
      <c r="CS591" s="52"/>
      <c r="CT591" s="52"/>
      <c r="CU591" s="52"/>
      <c r="CV591" s="52"/>
      <c r="CW591" s="52"/>
      <c r="CX591" s="52"/>
      <c r="CY591" s="52"/>
      <c r="CZ591" s="52"/>
      <c r="DA591" s="52"/>
      <c r="DB591" s="52"/>
      <c r="DC591" s="52"/>
      <c r="DD591" s="52"/>
      <c r="DE591" s="52"/>
      <c r="DF591" s="52"/>
      <c r="DG591" s="52"/>
      <c r="DH591" s="52"/>
      <c r="DI591" s="52"/>
      <c r="DJ591" s="52"/>
      <c r="DK591" s="52"/>
      <c r="DL591" s="52"/>
      <c r="DM591" s="52"/>
      <c r="DN591" s="52"/>
      <c r="DO591" s="52"/>
      <c r="DP591" s="52"/>
      <c r="DQ591" s="52"/>
      <c r="DR591" s="52"/>
      <c r="DS591" s="52"/>
      <c r="DT591" s="52"/>
      <c r="DU591" s="52"/>
      <c r="DV591" s="52"/>
      <c r="DW591" s="52"/>
      <c r="DX591" s="52"/>
      <c r="DY591" s="52"/>
      <c r="DZ591" s="52"/>
      <c r="EA591" s="52"/>
      <c r="EB591" s="52"/>
      <c r="EC591" s="52"/>
      <c r="ED591" s="52"/>
      <c r="EE591" s="52"/>
      <c r="EF591" s="52"/>
      <c r="EG591" s="52"/>
      <c r="EH591" s="52"/>
      <c r="EI591" s="52"/>
      <c r="EJ591" s="52"/>
      <c r="EK591" s="52"/>
      <c r="EL591" s="52"/>
      <c r="EM591" s="52"/>
      <c r="EN591" s="52"/>
      <c r="EO591" s="52"/>
      <c r="EP591" s="52"/>
      <c r="EQ591" s="52"/>
      <c r="ER591" s="52"/>
      <c r="ES591" s="52"/>
    </row>
    <row r="592" spans="1:149" ht="11.25">
      <c r="A592" s="5" t="s">
        <v>7</v>
      </c>
      <c r="B592" s="6"/>
      <c r="C592" s="6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24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  <c r="AC592" s="52"/>
      <c r="AD592" s="52"/>
      <c r="AE592" s="52"/>
      <c r="AF592" s="52"/>
      <c r="AG592" s="52"/>
      <c r="AH592" s="52"/>
      <c r="AI592" s="52"/>
      <c r="AJ592" s="52"/>
      <c r="AK592" s="52"/>
      <c r="AL592" s="52"/>
      <c r="AM592" s="52"/>
      <c r="AN592" s="52"/>
      <c r="AO592" s="52"/>
      <c r="AP592" s="52"/>
      <c r="AQ592" s="52"/>
      <c r="AR592" s="52"/>
      <c r="AS592" s="52"/>
      <c r="AT592" s="52"/>
      <c r="AU592" s="52"/>
      <c r="AV592" s="52"/>
      <c r="AW592" s="52"/>
      <c r="AX592" s="52"/>
      <c r="AY592" s="52"/>
      <c r="AZ592" s="52"/>
      <c r="BA592" s="52"/>
      <c r="BB592" s="52"/>
      <c r="BC592" s="52"/>
      <c r="BD592" s="52"/>
      <c r="BE592" s="52"/>
      <c r="BF592" s="52"/>
      <c r="BG592" s="52"/>
      <c r="BH592" s="52"/>
      <c r="BI592" s="52"/>
      <c r="BJ592" s="52"/>
      <c r="BK592" s="52"/>
      <c r="BL592" s="52"/>
      <c r="BM592" s="52"/>
      <c r="BN592" s="52"/>
      <c r="BO592" s="52"/>
      <c r="BP592" s="52"/>
      <c r="BQ592" s="52"/>
      <c r="BR592" s="52"/>
      <c r="BS592" s="52"/>
      <c r="BT592" s="52"/>
      <c r="BU592" s="52"/>
      <c r="BV592" s="52"/>
      <c r="BW592" s="52"/>
      <c r="BX592" s="52"/>
      <c r="BY592" s="52"/>
      <c r="BZ592" s="52"/>
      <c r="CA592" s="52"/>
      <c r="CB592" s="52"/>
      <c r="CC592" s="52"/>
      <c r="CD592" s="52"/>
      <c r="CE592" s="52"/>
      <c r="CF592" s="52"/>
      <c r="CG592" s="52"/>
      <c r="CH592" s="52"/>
      <c r="CI592" s="52"/>
      <c r="CJ592" s="52"/>
      <c r="CK592" s="52"/>
      <c r="CL592" s="52"/>
      <c r="CM592" s="52"/>
      <c r="CN592" s="52"/>
      <c r="CO592" s="52"/>
      <c r="CP592" s="52"/>
      <c r="CQ592" s="52"/>
      <c r="CR592" s="52"/>
      <c r="CS592" s="52"/>
      <c r="CT592" s="52"/>
      <c r="CU592" s="52"/>
      <c r="CV592" s="52"/>
      <c r="CW592" s="52"/>
      <c r="CX592" s="52"/>
      <c r="CY592" s="52"/>
      <c r="CZ592" s="52"/>
      <c r="DA592" s="52"/>
      <c r="DB592" s="52"/>
      <c r="DC592" s="52"/>
      <c r="DD592" s="52"/>
      <c r="DE592" s="52"/>
      <c r="DF592" s="52"/>
      <c r="DG592" s="52"/>
      <c r="DH592" s="52"/>
      <c r="DI592" s="52"/>
      <c r="DJ592" s="52"/>
      <c r="DK592" s="52"/>
      <c r="DL592" s="52"/>
      <c r="DM592" s="52"/>
      <c r="DN592" s="52"/>
      <c r="DO592" s="52"/>
      <c r="DP592" s="52"/>
      <c r="DQ592" s="52"/>
      <c r="DR592" s="52"/>
      <c r="DS592" s="52"/>
      <c r="DT592" s="52"/>
      <c r="DU592" s="52"/>
      <c r="DV592" s="52"/>
      <c r="DW592" s="52"/>
      <c r="DX592" s="52"/>
      <c r="DY592" s="52"/>
      <c r="DZ592" s="52"/>
      <c r="EA592" s="52"/>
      <c r="EB592" s="52"/>
      <c r="EC592" s="52"/>
      <c r="ED592" s="52"/>
      <c r="EE592" s="52"/>
      <c r="EF592" s="52"/>
      <c r="EG592" s="52"/>
      <c r="EH592" s="52"/>
      <c r="EI592" s="52"/>
      <c r="EJ592" s="52"/>
      <c r="EK592" s="52"/>
      <c r="EL592" s="52"/>
      <c r="EM592" s="52"/>
      <c r="EN592" s="52"/>
      <c r="EO592" s="52"/>
      <c r="EP592" s="52"/>
      <c r="EQ592" s="52"/>
      <c r="ER592" s="52"/>
      <c r="ES592" s="52"/>
    </row>
    <row r="593" spans="1:149" ht="11.25">
      <c r="A593" s="8" t="s">
        <v>326</v>
      </c>
      <c r="B593" s="6"/>
      <c r="C593" s="6"/>
      <c r="D593" s="7"/>
      <c r="E593" s="7"/>
      <c r="F593" s="7"/>
      <c r="G593" s="7"/>
      <c r="H593" s="7">
        <v>1000000</v>
      </c>
      <c r="I593" s="7"/>
      <c r="J593" s="7">
        <f>H593</f>
        <v>1000000</v>
      </c>
      <c r="K593" s="7"/>
      <c r="L593" s="7"/>
      <c r="M593" s="7"/>
      <c r="N593" s="7"/>
      <c r="O593" s="7"/>
      <c r="P593" s="7"/>
      <c r="Q593" s="24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  <c r="AC593" s="52"/>
      <c r="AD593" s="52"/>
      <c r="AE593" s="52"/>
      <c r="AF593" s="52"/>
      <c r="AG593" s="52"/>
      <c r="AH593" s="52"/>
      <c r="AI593" s="52"/>
      <c r="AJ593" s="52"/>
      <c r="AK593" s="52"/>
      <c r="AL593" s="52"/>
      <c r="AM593" s="52"/>
      <c r="AN593" s="52"/>
      <c r="AO593" s="52"/>
      <c r="AP593" s="52"/>
      <c r="AQ593" s="52"/>
      <c r="AR593" s="52"/>
      <c r="AS593" s="52"/>
      <c r="AT593" s="52"/>
      <c r="AU593" s="52"/>
      <c r="AV593" s="52"/>
      <c r="AW593" s="52"/>
      <c r="AX593" s="52"/>
      <c r="AY593" s="52"/>
      <c r="AZ593" s="52"/>
      <c r="BA593" s="52"/>
      <c r="BB593" s="52"/>
      <c r="BC593" s="52"/>
      <c r="BD593" s="52"/>
      <c r="BE593" s="52"/>
      <c r="BF593" s="52"/>
      <c r="BG593" s="52"/>
      <c r="BH593" s="52"/>
      <c r="BI593" s="52"/>
      <c r="BJ593" s="52"/>
      <c r="BK593" s="52"/>
      <c r="BL593" s="52"/>
      <c r="BM593" s="52"/>
      <c r="BN593" s="52"/>
      <c r="BO593" s="52"/>
      <c r="BP593" s="52"/>
      <c r="BQ593" s="52"/>
      <c r="BR593" s="52"/>
      <c r="BS593" s="52"/>
      <c r="BT593" s="52"/>
      <c r="BU593" s="52"/>
      <c r="BV593" s="52"/>
      <c r="BW593" s="52"/>
      <c r="BX593" s="52"/>
      <c r="BY593" s="52"/>
      <c r="BZ593" s="52"/>
      <c r="CA593" s="52"/>
      <c r="CB593" s="52"/>
      <c r="CC593" s="52"/>
      <c r="CD593" s="52"/>
      <c r="CE593" s="52"/>
      <c r="CF593" s="52"/>
      <c r="CG593" s="52"/>
      <c r="CH593" s="52"/>
      <c r="CI593" s="52"/>
      <c r="CJ593" s="52"/>
      <c r="CK593" s="52"/>
      <c r="CL593" s="52"/>
      <c r="CM593" s="52"/>
      <c r="CN593" s="52"/>
      <c r="CO593" s="52"/>
      <c r="CP593" s="52"/>
      <c r="CQ593" s="52"/>
      <c r="CR593" s="52"/>
      <c r="CS593" s="52"/>
      <c r="CT593" s="52"/>
      <c r="CU593" s="52"/>
      <c r="CV593" s="52"/>
      <c r="CW593" s="52"/>
      <c r="CX593" s="52"/>
      <c r="CY593" s="52"/>
      <c r="CZ593" s="52"/>
      <c r="DA593" s="52"/>
      <c r="DB593" s="52"/>
      <c r="DC593" s="52"/>
      <c r="DD593" s="52"/>
      <c r="DE593" s="52"/>
      <c r="DF593" s="52"/>
      <c r="DG593" s="52"/>
      <c r="DH593" s="52"/>
      <c r="DI593" s="52"/>
      <c r="DJ593" s="52"/>
      <c r="DK593" s="52"/>
      <c r="DL593" s="52"/>
      <c r="DM593" s="52"/>
      <c r="DN593" s="52"/>
      <c r="DO593" s="52"/>
      <c r="DP593" s="52"/>
      <c r="DQ593" s="52"/>
      <c r="DR593" s="52"/>
      <c r="DS593" s="52"/>
      <c r="DT593" s="52"/>
      <c r="DU593" s="52"/>
      <c r="DV593" s="52"/>
      <c r="DW593" s="52"/>
      <c r="DX593" s="52"/>
      <c r="DY593" s="52"/>
      <c r="DZ593" s="52"/>
      <c r="EA593" s="52"/>
      <c r="EB593" s="52"/>
      <c r="EC593" s="52"/>
      <c r="ED593" s="52"/>
      <c r="EE593" s="52"/>
      <c r="EF593" s="52"/>
      <c r="EG593" s="52"/>
      <c r="EH593" s="52"/>
      <c r="EI593" s="52"/>
      <c r="EJ593" s="52"/>
      <c r="EK593" s="52"/>
      <c r="EL593" s="52"/>
      <c r="EM593" s="52"/>
      <c r="EN593" s="52"/>
      <c r="EO593" s="52"/>
      <c r="EP593" s="52"/>
      <c r="EQ593" s="52"/>
      <c r="ER593" s="52"/>
      <c r="ES593" s="52"/>
    </row>
    <row r="594" spans="1:149" ht="22.5">
      <c r="A594" s="153" t="s">
        <v>423</v>
      </c>
      <c r="B594" s="6"/>
      <c r="C594" s="6"/>
      <c r="D594" s="7"/>
      <c r="E594" s="7"/>
      <c r="F594" s="7"/>
      <c r="G594" s="35">
        <f>G596</f>
        <v>80000</v>
      </c>
      <c r="H594" s="35">
        <f>H596</f>
        <v>0</v>
      </c>
      <c r="I594" s="7"/>
      <c r="J594" s="35">
        <f>H594+G594</f>
        <v>80000</v>
      </c>
      <c r="K594" s="7"/>
      <c r="L594" s="7"/>
      <c r="M594" s="7"/>
      <c r="N594" s="7"/>
      <c r="O594" s="7"/>
      <c r="P594" s="7"/>
      <c r="Q594" s="24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  <c r="AC594" s="52"/>
      <c r="AD594" s="52"/>
      <c r="AE594" s="52"/>
      <c r="AF594" s="52"/>
      <c r="AG594" s="52"/>
      <c r="AH594" s="52"/>
      <c r="AI594" s="52"/>
      <c r="AJ594" s="52"/>
      <c r="AK594" s="52"/>
      <c r="AL594" s="52"/>
      <c r="AM594" s="52"/>
      <c r="AN594" s="52"/>
      <c r="AO594" s="52"/>
      <c r="AP594" s="52"/>
      <c r="AQ594" s="52"/>
      <c r="AR594" s="52"/>
      <c r="AS594" s="52"/>
      <c r="AT594" s="52"/>
      <c r="AU594" s="52"/>
      <c r="AV594" s="52"/>
      <c r="AW594" s="52"/>
      <c r="AX594" s="52"/>
      <c r="AY594" s="52"/>
      <c r="AZ594" s="52"/>
      <c r="BA594" s="52"/>
      <c r="BB594" s="52"/>
      <c r="BC594" s="52"/>
      <c r="BD594" s="52"/>
      <c r="BE594" s="52"/>
      <c r="BF594" s="52"/>
      <c r="BG594" s="52"/>
      <c r="BH594" s="52"/>
      <c r="BI594" s="52"/>
      <c r="BJ594" s="52"/>
      <c r="BK594" s="52"/>
      <c r="BL594" s="52"/>
      <c r="BM594" s="52"/>
      <c r="BN594" s="52"/>
      <c r="BO594" s="52"/>
      <c r="BP594" s="52"/>
      <c r="BQ594" s="52"/>
      <c r="BR594" s="52"/>
      <c r="BS594" s="52"/>
      <c r="BT594" s="52"/>
      <c r="BU594" s="52"/>
      <c r="BV594" s="52"/>
      <c r="BW594" s="52"/>
      <c r="BX594" s="52"/>
      <c r="BY594" s="52"/>
      <c r="BZ594" s="52"/>
      <c r="CA594" s="52"/>
      <c r="CB594" s="52"/>
      <c r="CC594" s="52"/>
      <c r="CD594" s="52"/>
      <c r="CE594" s="52"/>
      <c r="CF594" s="52"/>
      <c r="CG594" s="52"/>
      <c r="CH594" s="52"/>
      <c r="CI594" s="52"/>
      <c r="CJ594" s="52"/>
      <c r="CK594" s="52"/>
      <c r="CL594" s="52"/>
      <c r="CM594" s="52"/>
      <c r="CN594" s="52"/>
      <c r="CO594" s="52"/>
      <c r="CP594" s="52"/>
      <c r="CQ594" s="52"/>
      <c r="CR594" s="52"/>
      <c r="CS594" s="52"/>
      <c r="CT594" s="52"/>
      <c r="CU594" s="52"/>
      <c r="CV594" s="52"/>
      <c r="CW594" s="52"/>
      <c r="CX594" s="52"/>
      <c r="CY594" s="52"/>
      <c r="CZ594" s="52"/>
      <c r="DA594" s="52"/>
      <c r="DB594" s="52"/>
      <c r="DC594" s="52"/>
      <c r="DD594" s="52"/>
      <c r="DE594" s="52"/>
      <c r="DF594" s="52"/>
      <c r="DG594" s="52"/>
      <c r="DH594" s="52"/>
      <c r="DI594" s="52"/>
      <c r="DJ594" s="52"/>
      <c r="DK594" s="52"/>
      <c r="DL594" s="52"/>
      <c r="DM594" s="52"/>
      <c r="DN594" s="52"/>
      <c r="DO594" s="52"/>
      <c r="DP594" s="52"/>
      <c r="DQ594" s="52"/>
      <c r="DR594" s="52"/>
      <c r="DS594" s="52"/>
      <c r="DT594" s="52"/>
      <c r="DU594" s="52"/>
      <c r="DV594" s="52"/>
      <c r="DW594" s="52"/>
      <c r="DX594" s="52"/>
      <c r="DY594" s="52"/>
      <c r="DZ594" s="52"/>
      <c r="EA594" s="52"/>
      <c r="EB594" s="52"/>
      <c r="EC594" s="52"/>
      <c r="ED594" s="52"/>
      <c r="EE594" s="52"/>
      <c r="EF594" s="52"/>
      <c r="EG594" s="52"/>
      <c r="EH594" s="52"/>
      <c r="EI594" s="52"/>
      <c r="EJ594" s="52"/>
      <c r="EK594" s="52"/>
      <c r="EL594" s="52"/>
      <c r="EM594" s="52"/>
      <c r="EN594" s="52"/>
      <c r="EO594" s="52"/>
      <c r="EP594" s="52"/>
      <c r="EQ594" s="52"/>
      <c r="ER594" s="52"/>
      <c r="ES594" s="52"/>
    </row>
    <row r="595" spans="1:149" ht="11.25">
      <c r="A595" s="5" t="s">
        <v>4</v>
      </c>
      <c r="B595" s="6"/>
      <c r="C595" s="6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24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  <c r="AC595" s="52"/>
      <c r="AD595" s="52"/>
      <c r="AE595" s="52"/>
      <c r="AF595" s="52"/>
      <c r="AG595" s="52"/>
      <c r="AH595" s="52"/>
      <c r="AI595" s="52"/>
      <c r="AJ595" s="52"/>
      <c r="AK595" s="52"/>
      <c r="AL595" s="52"/>
      <c r="AM595" s="52"/>
      <c r="AN595" s="52"/>
      <c r="AO595" s="52"/>
      <c r="AP595" s="52"/>
      <c r="AQ595" s="52"/>
      <c r="AR595" s="52"/>
      <c r="AS595" s="52"/>
      <c r="AT595" s="52"/>
      <c r="AU595" s="52"/>
      <c r="AV595" s="52"/>
      <c r="AW595" s="52"/>
      <c r="AX595" s="52"/>
      <c r="AY595" s="52"/>
      <c r="AZ595" s="52"/>
      <c r="BA595" s="52"/>
      <c r="BB595" s="52"/>
      <c r="BC595" s="52"/>
      <c r="BD595" s="52"/>
      <c r="BE595" s="52"/>
      <c r="BF595" s="52"/>
      <c r="BG595" s="52"/>
      <c r="BH595" s="52"/>
      <c r="BI595" s="52"/>
      <c r="BJ595" s="52"/>
      <c r="BK595" s="52"/>
      <c r="BL595" s="52"/>
      <c r="BM595" s="52"/>
      <c r="BN595" s="52"/>
      <c r="BO595" s="52"/>
      <c r="BP595" s="52"/>
      <c r="BQ595" s="52"/>
      <c r="BR595" s="52"/>
      <c r="BS595" s="52"/>
      <c r="BT595" s="52"/>
      <c r="BU595" s="52"/>
      <c r="BV595" s="52"/>
      <c r="BW595" s="52"/>
      <c r="BX595" s="52"/>
      <c r="BY595" s="52"/>
      <c r="BZ595" s="52"/>
      <c r="CA595" s="52"/>
      <c r="CB595" s="52"/>
      <c r="CC595" s="52"/>
      <c r="CD595" s="52"/>
      <c r="CE595" s="52"/>
      <c r="CF595" s="52"/>
      <c r="CG595" s="52"/>
      <c r="CH595" s="52"/>
      <c r="CI595" s="52"/>
      <c r="CJ595" s="52"/>
      <c r="CK595" s="52"/>
      <c r="CL595" s="52"/>
      <c r="CM595" s="52"/>
      <c r="CN595" s="52"/>
      <c r="CO595" s="52"/>
      <c r="CP595" s="52"/>
      <c r="CQ595" s="52"/>
      <c r="CR595" s="52"/>
      <c r="CS595" s="52"/>
      <c r="CT595" s="52"/>
      <c r="CU595" s="52"/>
      <c r="CV595" s="52"/>
      <c r="CW595" s="52"/>
      <c r="CX595" s="52"/>
      <c r="CY595" s="52"/>
      <c r="CZ595" s="52"/>
      <c r="DA595" s="52"/>
      <c r="DB595" s="52"/>
      <c r="DC595" s="52"/>
      <c r="DD595" s="52"/>
      <c r="DE595" s="52"/>
      <c r="DF595" s="52"/>
      <c r="DG595" s="52"/>
      <c r="DH595" s="52"/>
      <c r="DI595" s="52"/>
      <c r="DJ595" s="52"/>
      <c r="DK595" s="52"/>
      <c r="DL595" s="52"/>
      <c r="DM595" s="52"/>
      <c r="DN595" s="52"/>
      <c r="DO595" s="52"/>
      <c r="DP595" s="52"/>
      <c r="DQ595" s="52"/>
      <c r="DR595" s="52"/>
      <c r="DS595" s="52"/>
      <c r="DT595" s="52"/>
      <c r="DU595" s="52"/>
      <c r="DV595" s="52"/>
      <c r="DW595" s="52"/>
      <c r="DX595" s="52"/>
      <c r="DY595" s="52"/>
      <c r="DZ595" s="52"/>
      <c r="EA595" s="52"/>
      <c r="EB595" s="52"/>
      <c r="EC595" s="52"/>
      <c r="ED595" s="52"/>
      <c r="EE595" s="52"/>
      <c r="EF595" s="52"/>
      <c r="EG595" s="52"/>
      <c r="EH595" s="52"/>
      <c r="EI595" s="52"/>
      <c r="EJ595" s="52"/>
      <c r="EK595" s="52"/>
      <c r="EL595" s="52"/>
      <c r="EM595" s="52"/>
      <c r="EN595" s="52"/>
      <c r="EO595" s="52"/>
      <c r="EP595" s="52"/>
      <c r="EQ595" s="52"/>
      <c r="ER595" s="52"/>
      <c r="ES595" s="52"/>
    </row>
    <row r="596" spans="1:149" ht="11.25">
      <c r="A596" s="8" t="s">
        <v>43</v>
      </c>
      <c r="B596" s="6"/>
      <c r="C596" s="6"/>
      <c r="D596" s="7"/>
      <c r="E596" s="7"/>
      <c r="F596" s="7"/>
      <c r="G596" s="7">
        <f>G598*G600</f>
        <v>80000</v>
      </c>
      <c r="H596" s="7"/>
      <c r="I596" s="7"/>
      <c r="J596" s="7">
        <f>H596+G596</f>
        <v>80000</v>
      </c>
      <c r="K596" s="7"/>
      <c r="L596" s="7"/>
      <c r="M596" s="7"/>
      <c r="N596" s="7"/>
      <c r="O596" s="7"/>
      <c r="P596" s="7"/>
      <c r="Q596" s="24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  <c r="AC596" s="52"/>
      <c r="AD596" s="52"/>
      <c r="AE596" s="52"/>
      <c r="AF596" s="52"/>
      <c r="AG596" s="52"/>
      <c r="AH596" s="52"/>
      <c r="AI596" s="52"/>
      <c r="AJ596" s="52"/>
      <c r="AK596" s="52"/>
      <c r="AL596" s="52"/>
      <c r="AM596" s="52"/>
      <c r="AN596" s="52"/>
      <c r="AO596" s="52"/>
      <c r="AP596" s="52"/>
      <c r="AQ596" s="52"/>
      <c r="AR596" s="52"/>
      <c r="AS596" s="52"/>
      <c r="AT596" s="52"/>
      <c r="AU596" s="52"/>
      <c r="AV596" s="52"/>
      <c r="AW596" s="52"/>
      <c r="AX596" s="52"/>
      <c r="AY596" s="52"/>
      <c r="AZ596" s="52"/>
      <c r="BA596" s="52"/>
      <c r="BB596" s="52"/>
      <c r="BC596" s="52"/>
      <c r="BD596" s="52"/>
      <c r="BE596" s="52"/>
      <c r="BF596" s="52"/>
      <c r="BG596" s="52"/>
      <c r="BH596" s="52"/>
      <c r="BI596" s="52"/>
      <c r="BJ596" s="52"/>
      <c r="BK596" s="52"/>
      <c r="BL596" s="52"/>
      <c r="BM596" s="52"/>
      <c r="BN596" s="52"/>
      <c r="BO596" s="52"/>
      <c r="BP596" s="52"/>
      <c r="BQ596" s="52"/>
      <c r="BR596" s="52"/>
      <c r="BS596" s="52"/>
      <c r="BT596" s="52"/>
      <c r="BU596" s="52"/>
      <c r="BV596" s="52"/>
      <c r="BW596" s="52"/>
      <c r="BX596" s="52"/>
      <c r="BY596" s="52"/>
      <c r="BZ596" s="52"/>
      <c r="CA596" s="52"/>
      <c r="CB596" s="52"/>
      <c r="CC596" s="52"/>
      <c r="CD596" s="52"/>
      <c r="CE596" s="52"/>
      <c r="CF596" s="52"/>
      <c r="CG596" s="52"/>
      <c r="CH596" s="52"/>
      <c r="CI596" s="52"/>
      <c r="CJ596" s="52"/>
      <c r="CK596" s="52"/>
      <c r="CL596" s="52"/>
      <c r="CM596" s="52"/>
      <c r="CN596" s="52"/>
      <c r="CO596" s="52"/>
      <c r="CP596" s="52"/>
      <c r="CQ596" s="52"/>
      <c r="CR596" s="52"/>
      <c r="CS596" s="52"/>
      <c r="CT596" s="52"/>
      <c r="CU596" s="52"/>
      <c r="CV596" s="52"/>
      <c r="CW596" s="52"/>
      <c r="CX596" s="52"/>
      <c r="CY596" s="52"/>
      <c r="CZ596" s="52"/>
      <c r="DA596" s="52"/>
      <c r="DB596" s="52"/>
      <c r="DC596" s="52"/>
      <c r="DD596" s="52"/>
      <c r="DE596" s="52"/>
      <c r="DF596" s="52"/>
      <c r="DG596" s="52"/>
      <c r="DH596" s="52"/>
      <c r="DI596" s="52"/>
      <c r="DJ596" s="52"/>
      <c r="DK596" s="52"/>
      <c r="DL596" s="52"/>
      <c r="DM596" s="52"/>
      <c r="DN596" s="52"/>
      <c r="DO596" s="52"/>
      <c r="DP596" s="52"/>
      <c r="DQ596" s="52"/>
      <c r="DR596" s="52"/>
      <c r="DS596" s="52"/>
      <c r="DT596" s="52"/>
      <c r="DU596" s="52"/>
      <c r="DV596" s="52"/>
      <c r="DW596" s="52"/>
      <c r="DX596" s="52"/>
      <c r="DY596" s="52"/>
      <c r="DZ596" s="52"/>
      <c r="EA596" s="52"/>
      <c r="EB596" s="52"/>
      <c r="EC596" s="52"/>
      <c r="ED596" s="52"/>
      <c r="EE596" s="52"/>
      <c r="EF596" s="52"/>
      <c r="EG596" s="52"/>
      <c r="EH596" s="52"/>
      <c r="EI596" s="52"/>
      <c r="EJ596" s="52"/>
      <c r="EK596" s="52"/>
      <c r="EL596" s="52"/>
      <c r="EM596" s="52"/>
      <c r="EN596" s="52"/>
      <c r="EO596" s="52"/>
      <c r="EP596" s="52"/>
      <c r="EQ596" s="52"/>
      <c r="ER596" s="52"/>
      <c r="ES596" s="52"/>
    </row>
    <row r="597" spans="1:149" ht="11.25">
      <c r="A597" s="5" t="s">
        <v>5</v>
      </c>
      <c r="B597" s="6"/>
      <c r="C597" s="6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24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  <c r="AC597" s="52"/>
      <c r="AD597" s="52"/>
      <c r="AE597" s="52"/>
      <c r="AF597" s="52"/>
      <c r="AG597" s="52"/>
      <c r="AH597" s="52"/>
      <c r="AI597" s="52"/>
      <c r="AJ597" s="52"/>
      <c r="AK597" s="52"/>
      <c r="AL597" s="52"/>
      <c r="AM597" s="52"/>
      <c r="AN597" s="52"/>
      <c r="AO597" s="52"/>
      <c r="AP597" s="52"/>
      <c r="AQ597" s="52"/>
      <c r="AR597" s="52"/>
      <c r="AS597" s="52"/>
      <c r="AT597" s="52"/>
      <c r="AU597" s="52"/>
      <c r="AV597" s="52"/>
      <c r="AW597" s="52"/>
      <c r="AX597" s="52"/>
      <c r="AY597" s="52"/>
      <c r="AZ597" s="52"/>
      <c r="BA597" s="52"/>
      <c r="BB597" s="52"/>
      <c r="BC597" s="52"/>
      <c r="BD597" s="52"/>
      <c r="BE597" s="52"/>
      <c r="BF597" s="52"/>
      <c r="BG597" s="52"/>
      <c r="BH597" s="52"/>
      <c r="BI597" s="52"/>
      <c r="BJ597" s="52"/>
      <c r="BK597" s="52"/>
      <c r="BL597" s="52"/>
      <c r="BM597" s="52"/>
      <c r="BN597" s="52"/>
      <c r="BO597" s="52"/>
      <c r="BP597" s="52"/>
      <c r="BQ597" s="52"/>
      <c r="BR597" s="52"/>
      <c r="BS597" s="52"/>
      <c r="BT597" s="52"/>
      <c r="BU597" s="52"/>
      <c r="BV597" s="52"/>
      <c r="BW597" s="52"/>
      <c r="BX597" s="52"/>
      <c r="BY597" s="52"/>
      <c r="BZ597" s="52"/>
      <c r="CA597" s="52"/>
      <c r="CB597" s="52"/>
      <c r="CC597" s="52"/>
      <c r="CD597" s="52"/>
      <c r="CE597" s="52"/>
      <c r="CF597" s="52"/>
      <c r="CG597" s="52"/>
      <c r="CH597" s="52"/>
      <c r="CI597" s="52"/>
      <c r="CJ597" s="52"/>
      <c r="CK597" s="52"/>
      <c r="CL597" s="52"/>
      <c r="CM597" s="52"/>
      <c r="CN597" s="52"/>
      <c r="CO597" s="52"/>
      <c r="CP597" s="52"/>
      <c r="CQ597" s="52"/>
      <c r="CR597" s="52"/>
      <c r="CS597" s="52"/>
      <c r="CT597" s="52"/>
      <c r="CU597" s="52"/>
      <c r="CV597" s="52"/>
      <c r="CW597" s="52"/>
      <c r="CX597" s="52"/>
      <c r="CY597" s="52"/>
      <c r="CZ597" s="52"/>
      <c r="DA597" s="52"/>
      <c r="DB597" s="52"/>
      <c r="DC597" s="52"/>
      <c r="DD597" s="52"/>
      <c r="DE597" s="52"/>
      <c r="DF597" s="52"/>
      <c r="DG597" s="52"/>
      <c r="DH597" s="52"/>
      <c r="DI597" s="52"/>
      <c r="DJ597" s="52"/>
      <c r="DK597" s="52"/>
      <c r="DL597" s="52"/>
      <c r="DM597" s="52"/>
      <c r="DN597" s="52"/>
      <c r="DO597" s="52"/>
      <c r="DP597" s="52"/>
      <c r="DQ597" s="52"/>
      <c r="DR597" s="52"/>
      <c r="DS597" s="52"/>
      <c r="DT597" s="52"/>
      <c r="DU597" s="52"/>
      <c r="DV597" s="52"/>
      <c r="DW597" s="52"/>
      <c r="DX597" s="52"/>
      <c r="DY597" s="52"/>
      <c r="DZ597" s="52"/>
      <c r="EA597" s="52"/>
      <c r="EB597" s="52"/>
      <c r="EC597" s="52"/>
      <c r="ED597" s="52"/>
      <c r="EE597" s="52"/>
      <c r="EF597" s="52"/>
      <c r="EG597" s="52"/>
      <c r="EH597" s="52"/>
      <c r="EI597" s="52"/>
      <c r="EJ597" s="52"/>
      <c r="EK597" s="52"/>
      <c r="EL597" s="52"/>
      <c r="EM597" s="52"/>
      <c r="EN597" s="52"/>
      <c r="EO597" s="52"/>
      <c r="EP597" s="52"/>
      <c r="EQ597" s="52"/>
      <c r="ER597" s="52"/>
      <c r="ES597" s="52"/>
    </row>
    <row r="598" spans="1:149" ht="11.25">
      <c r="A598" s="8" t="s">
        <v>398</v>
      </c>
      <c r="B598" s="6"/>
      <c r="C598" s="6"/>
      <c r="D598" s="7"/>
      <c r="E598" s="7"/>
      <c r="F598" s="7"/>
      <c r="G598" s="7">
        <v>1</v>
      </c>
      <c r="H598" s="7"/>
      <c r="I598" s="7"/>
      <c r="J598" s="7">
        <f>H598+G598</f>
        <v>1</v>
      </c>
      <c r="K598" s="7"/>
      <c r="L598" s="7"/>
      <c r="M598" s="7"/>
      <c r="N598" s="7"/>
      <c r="O598" s="7"/>
      <c r="P598" s="7"/>
      <c r="Q598" s="24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  <c r="AC598" s="52"/>
      <c r="AD598" s="52"/>
      <c r="AE598" s="52"/>
      <c r="AF598" s="52"/>
      <c r="AG598" s="52"/>
      <c r="AH598" s="52"/>
      <c r="AI598" s="52"/>
      <c r="AJ598" s="52"/>
      <c r="AK598" s="52"/>
      <c r="AL598" s="52"/>
      <c r="AM598" s="52"/>
      <c r="AN598" s="52"/>
      <c r="AO598" s="52"/>
      <c r="AP598" s="52"/>
      <c r="AQ598" s="52"/>
      <c r="AR598" s="52"/>
      <c r="AS598" s="52"/>
      <c r="AT598" s="52"/>
      <c r="AU598" s="52"/>
      <c r="AV598" s="52"/>
      <c r="AW598" s="52"/>
      <c r="AX598" s="52"/>
      <c r="AY598" s="52"/>
      <c r="AZ598" s="52"/>
      <c r="BA598" s="52"/>
      <c r="BB598" s="52"/>
      <c r="BC598" s="52"/>
      <c r="BD598" s="52"/>
      <c r="BE598" s="52"/>
      <c r="BF598" s="52"/>
      <c r="BG598" s="52"/>
      <c r="BH598" s="52"/>
      <c r="BI598" s="52"/>
      <c r="BJ598" s="52"/>
      <c r="BK598" s="52"/>
      <c r="BL598" s="52"/>
      <c r="BM598" s="52"/>
      <c r="BN598" s="52"/>
      <c r="BO598" s="52"/>
      <c r="BP598" s="52"/>
      <c r="BQ598" s="52"/>
      <c r="BR598" s="52"/>
      <c r="BS598" s="52"/>
      <c r="BT598" s="52"/>
      <c r="BU598" s="52"/>
      <c r="BV598" s="52"/>
      <c r="BW598" s="52"/>
      <c r="BX598" s="52"/>
      <c r="BY598" s="52"/>
      <c r="BZ598" s="52"/>
      <c r="CA598" s="52"/>
      <c r="CB598" s="52"/>
      <c r="CC598" s="52"/>
      <c r="CD598" s="52"/>
      <c r="CE598" s="52"/>
      <c r="CF598" s="52"/>
      <c r="CG598" s="52"/>
      <c r="CH598" s="52"/>
      <c r="CI598" s="52"/>
      <c r="CJ598" s="52"/>
      <c r="CK598" s="52"/>
      <c r="CL598" s="52"/>
      <c r="CM598" s="52"/>
      <c r="CN598" s="52"/>
      <c r="CO598" s="52"/>
      <c r="CP598" s="52"/>
      <c r="CQ598" s="52"/>
      <c r="CR598" s="52"/>
      <c r="CS598" s="52"/>
      <c r="CT598" s="52"/>
      <c r="CU598" s="52"/>
      <c r="CV598" s="52"/>
      <c r="CW598" s="52"/>
      <c r="CX598" s="52"/>
      <c r="CY598" s="52"/>
      <c r="CZ598" s="52"/>
      <c r="DA598" s="52"/>
      <c r="DB598" s="52"/>
      <c r="DC598" s="52"/>
      <c r="DD598" s="52"/>
      <c r="DE598" s="52"/>
      <c r="DF598" s="52"/>
      <c r="DG598" s="52"/>
      <c r="DH598" s="52"/>
      <c r="DI598" s="52"/>
      <c r="DJ598" s="52"/>
      <c r="DK598" s="52"/>
      <c r="DL598" s="52"/>
      <c r="DM598" s="52"/>
      <c r="DN598" s="52"/>
      <c r="DO598" s="52"/>
      <c r="DP598" s="52"/>
      <c r="DQ598" s="52"/>
      <c r="DR598" s="52"/>
      <c r="DS598" s="52"/>
      <c r="DT598" s="52"/>
      <c r="DU598" s="52"/>
      <c r="DV598" s="52"/>
      <c r="DW598" s="52"/>
      <c r="DX598" s="52"/>
      <c r="DY598" s="52"/>
      <c r="DZ598" s="52"/>
      <c r="EA598" s="52"/>
      <c r="EB598" s="52"/>
      <c r="EC598" s="52"/>
      <c r="ED598" s="52"/>
      <c r="EE598" s="52"/>
      <c r="EF598" s="52"/>
      <c r="EG598" s="52"/>
      <c r="EH598" s="52"/>
      <c r="EI598" s="52"/>
      <c r="EJ598" s="52"/>
      <c r="EK598" s="52"/>
      <c r="EL598" s="52"/>
      <c r="EM598" s="52"/>
      <c r="EN598" s="52"/>
      <c r="EO598" s="52"/>
      <c r="EP598" s="52"/>
      <c r="EQ598" s="52"/>
      <c r="ER598" s="52"/>
      <c r="ES598" s="52"/>
    </row>
    <row r="599" spans="1:149" ht="11.25">
      <c r="A599" s="5" t="s">
        <v>7</v>
      </c>
      <c r="B599" s="6"/>
      <c r="C599" s="6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24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  <c r="AC599" s="52"/>
      <c r="AD599" s="52"/>
      <c r="AE599" s="52"/>
      <c r="AF599" s="52"/>
      <c r="AG599" s="52"/>
      <c r="AH599" s="52"/>
      <c r="AI599" s="52"/>
      <c r="AJ599" s="52"/>
      <c r="AK599" s="52"/>
      <c r="AL599" s="52"/>
      <c r="AM599" s="52"/>
      <c r="AN599" s="52"/>
      <c r="AO599" s="52"/>
      <c r="AP599" s="52"/>
      <c r="AQ599" s="52"/>
      <c r="AR599" s="52"/>
      <c r="AS599" s="52"/>
      <c r="AT599" s="52"/>
      <c r="AU599" s="52"/>
      <c r="AV599" s="52"/>
      <c r="AW599" s="52"/>
      <c r="AX599" s="52"/>
      <c r="AY599" s="52"/>
      <c r="AZ599" s="52"/>
      <c r="BA599" s="52"/>
      <c r="BB599" s="52"/>
      <c r="BC599" s="52"/>
      <c r="BD599" s="52"/>
      <c r="BE599" s="52"/>
      <c r="BF599" s="52"/>
      <c r="BG599" s="52"/>
      <c r="BH599" s="52"/>
      <c r="BI599" s="52"/>
      <c r="BJ599" s="52"/>
      <c r="BK599" s="52"/>
      <c r="BL599" s="52"/>
      <c r="BM599" s="52"/>
      <c r="BN599" s="52"/>
      <c r="BO599" s="52"/>
      <c r="BP599" s="52"/>
      <c r="BQ599" s="52"/>
      <c r="BR599" s="52"/>
      <c r="BS599" s="52"/>
      <c r="BT599" s="52"/>
      <c r="BU599" s="52"/>
      <c r="BV599" s="52"/>
      <c r="BW599" s="52"/>
      <c r="BX599" s="52"/>
      <c r="BY599" s="52"/>
      <c r="BZ599" s="52"/>
      <c r="CA599" s="52"/>
      <c r="CB599" s="52"/>
      <c r="CC599" s="52"/>
      <c r="CD599" s="52"/>
      <c r="CE599" s="52"/>
      <c r="CF599" s="52"/>
      <c r="CG599" s="52"/>
      <c r="CH599" s="52"/>
      <c r="CI599" s="52"/>
      <c r="CJ599" s="52"/>
      <c r="CK599" s="52"/>
      <c r="CL599" s="52"/>
      <c r="CM599" s="52"/>
      <c r="CN599" s="52"/>
      <c r="CO599" s="52"/>
      <c r="CP599" s="52"/>
      <c r="CQ599" s="52"/>
      <c r="CR599" s="52"/>
      <c r="CS599" s="52"/>
      <c r="CT599" s="52"/>
      <c r="CU599" s="52"/>
      <c r="CV599" s="52"/>
      <c r="CW599" s="52"/>
      <c r="CX599" s="52"/>
      <c r="CY599" s="52"/>
      <c r="CZ599" s="52"/>
      <c r="DA599" s="52"/>
      <c r="DB599" s="52"/>
      <c r="DC599" s="52"/>
      <c r="DD599" s="52"/>
      <c r="DE599" s="52"/>
      <c r="DF599" s="52"/>
      <c r="DG599" s="52"/>
      <c r="DH599" s="52"/>
      <c r="DI599" s="52"/>
      <c r="DJ599" s="52"/>
      <c r="DK599" s="52"/>
      <c r="DL599" s="52"/>
      <c r="DM599" s="52"/>
      <c r="DN599" s="52"/>
      <c r="DO599" s="52"/>
      <c r="DP599" s="52"/>
      <c r="DQ599" s="52"/>
      <c r="DR599" s="52"/>
      <c r="DS599" s="52"/>
      <c r="DT599" s="52"/>
      <c r="DU599" s="52"/>
      <c r="DV599" s="52"/>
      <c r="DW599" s="52"/>
      <c r="DX599" s="52"/>
      <c r="DY599" s="52"/>
      <c r="DZ599" s="52"/>
      <c r="EA599" s="52"/>
      <c r="EB599" s="52"/>
      <c r="EC599" s="52"/>
      <c r="ED599" s="52"/>
      <c r="EE599" s="52"/>
      <c r="EF599" s="52"/>
      <c r="EG599" s="52"/>
      <c r="EH599" s="52"/>
      <c r="EI599" s="52"/>
      <c r="EJ599" s="52"/>
      <c r="EK599" s="52"/>
      <c r="EL599" s="52"/>
      <c r="EM599" s="52"/>
      <c r="EN599" s="52"/>
      <c r="EO599" s="52"/>
      <c r="EP599" s="52"/>
      <c r="EQ599" s="52"/>
      <c r="ER599" s="52"/>
      <c r="ES599" s="52"/>
    </row>
    <row r="600" spans="1:149" ht="11.25">
      <c r="A600" s="8" t="s">
        <v>326</v>
      </c>
      <c r="B600" s="6"/>
      <c r="C600" s="6"/>
      <c r="D600" s="7"/>
      <c r="E600" s="7"/>
      <c r="F600" s="7"/>
      <c r="G600" s="7">
        <v>80000</v>
      </c>
      <c r="H600" s="7"/>
      <c r="I600" s="7"/>
      <c r="J600" s="7">
        <f>H600+G600</f>
        <v>80000</v>
      </c>
      <c r="K600" s="7"/>
      <c r="L600" s="7"/>
      <c r="M600" s="7"/>
      <c r="N600" s="7"/>
      <c r="O600" s="7"/>
      <c r="P600" s="7"/>
      <c r="Q600" s="24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  <c r="AC600" s="52"/>
      <c r="AD600" s="52"/>
      <c r="AE600" s="52"/>
      <c r="AF600" s="52"/>
      <c r="AG600" s="52"/>
      <c r="AH600" s="52"/>
      <c r="AI600" s="52"/>
      <c r="AJ600" s="52"/>
      <c r="AK600" s="52"/>
      <c r="AL600" s="52"/>
      <c r="AM600" s="52"/>
      <c r="AN600" s="52"/>
      <c r="AO600" s="52"/>
      <c r="AP600" s="52"/>
      <c r="AQ600" s="52"/>
      <c r="AR600" s="52"/>
      <c r="AS600" s="52"/>
      <c r="AT600" s="52"/>
      <c r="AU600" s="52"/>
      <c r="AV600" s="52"/>
      <c r="AW600" s="52"/>
      <c r="AX600" s="52"/>
      <c r="AY600" s="52"/>
      <c r="AZ600" s="52"/>
      <c r="BA600" s="52"/>
      <c r="BB600" s="52"/>
      <c r="BC600" s="52"/>
      <c r="BD600" s="52"/>
      <c r="BE600" s="52"/>
      <c r="BF600" s="52"/>
      <c r="BG600" s="52"/>
      <c r="BH600" s="52"/>
      <c r="BI600" s="52"/>
      <c r="BJ600" s="52"/>
      <c r="BK600" s="52"/>
      <c r="BL600" s="52"/>
      <c r="BM600" s="52"/>
      <c r="BN600" s="52"/>
      <c r="BO600" s="52"/>
      <c r="BP600" s="52"/>
      <c r="BQ600" s="52"/>
      <c r="BR600" s="52"/>
      <c r="BS600" s="52"/>
      <c r="BT600" s="52"/>
      <c r="BU600" s="52"/>
      <c r="BV600" s="52"/>
      <c r="BW600" s="52"/>
      <c r="BX600" s="52"/>
      <c r="BY600" s="52"/>
      <c r="BZ600" s="52"/>
      <c r="CA600" s="52"/>
      <c r="CB600" s="52"/>
      <c r="CC600" s="52"/>
      <c r="CD600" s="52"/>
      <c r="CE600" s="52"/>
      <c r="CF600" s="52"/>
      <c r="CG600" s="52"/>
      <c r="CH600" s="52"/>
      <c r="CI600" s="52"/>
      <c r="CJ600" s="52"/>
      <c r="CK600" s="52"/>
      <c r="CL600" s="52"/>
      <c r="CM600" s="52"/>
      <c r="CN600" s="52"/>
      <c r="CO600" s="52"/>
      <c r="CP600" s="52"/>
      <c r="CQ600" s="52"/>
      <c r="CR600" s="52"/>
      <c r="CS600" s="52"/>
      <c r="CT600" s="52"/>
      <c r="CU600" s="52"/>
      <c r="CV600" s="52"/>
      <c r="CW600" s="52"/>
      <c r="CX600" s="52"/>
      <c r="CY600" s="52"/>
      <c r="CZ600" s="52"/>
      <c r="DA600" s="52"/>
      <c r="DB600" s="52"/>
      <c r="DC600" s="52"/>
      <c r="DD600" s="52"/>
      <c r="DE600" s="52"/>
      <c r="DF600" s="52"/>
      <c r="DG600" s="52"/>
      <c r="DH600" s="52"/>
      <c r="DI600" s="52"/>
      <c r="DJ600" s="52"/>
      <c r="DK600" s="52"/>
      <c r="DL600" s="52"/>
      <c r="DM600" s="52"/>
      <c r="DN600" s="52"/>
      <c r="DO600" s="52"/>
      <c r="DP600" s="52"/>
      <c r="DQ600" s="52"/>
      <c r="DR600" s="52"/>
      <c r="DS600" s="52"/>
      <c r="DT600" s="52"/>
      <c r="DU600" s="52"/>
      <c r="DV600" s="52"/>
      <c r="DW600" s="52"/>
      <c r="DX600" s="52"/>
      <c r="DY600" s="52"/>
      <c r="DZ600" s="52"/>
      <c r="EA600" s="52"/>
      <c r="EB600" s="52"/>
      <c r="EC600" s="52"/>
      <c r="ED600" s="52"/>
      <c r="EE600" s="52"/>
      <c r="EF600" s="52"/>
      <c r="EG600" s="52"/>
      <c r="EH600" s="52"/>
      <c r="EI600" s="52"/>
      <c r="EJ600" s="52"/>
      <c r="EK600" s="52"/>
      <c r="EL600" s="52"/>
      <c r="EM600" s="52"/>
      <c r="EN600" s="52"/>
      <c r="EO600" s="52"/>
      <c r="EP600" s="52"/>
      <c r="EQ600" s="52"/>
      <c r="ER600" s="52"/>
      <c r="ES600" s="52"/>
    </row>
    <row r="601" spans="1:17" s="137" customFormat="1" ht="22.5">
      <c r="A601" s="153" t="s">
        <v>460</v>
      </c>
      <c r="B601" s="134"/>
      <c r="C601" s="134"/>
      <c r="D601" s="135"/>
      <c r="E601" s="135"/>
      <c r="F601" s="135"/>
      <c r="G601" s="135"/>
      <c r="H601" s="135"/>
      <c r="I601" s="135"/>
      <c r="J601" s="135"/>
      <c r="K601" s="135"/>
      <c r="L601" s="135"/>
      <c r="M601" s="135"/>
      <c r="N601" s="143">
        <f>80000+9857.38</f>
        <v>89857.38</v>
      </c>
      <c r="O601" s="143"/>
      <c r="P601" s="143">
        <f>N601+O601</f>
        <v>89857.38</v>
      </c>
      <c r="Q601" s="152"/>
    </row>
    <row r="602" spans="1:149" ht="11.25">
      <c r="A602" s="8" t="s">
        <v>4</v>
      </c>
      <c r="B602" s="6"/>
      <c r="C602" s="6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24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  <c r="AC602" s="52"/>
      <c r="AD602" s="52"/>
      <c r="AE602" s="52"/>
      <c r="AF602" s="52"/>
      <c r="AG602" s="52"/>
      <c r="AH602" s="52"/>
      <c r="AI602" s="52"/>
      <c r="AJ602" s="52"/>
      <c r="AK602" s="52"/>
      <c r="AL602" s="52"/>
      <c r="AM602" s="52"/>
      <c r="AN602" s="52"/>
      <c r="AO602" s="52"/>
      <c r="AP602" s="52"/>
      <c r="AQ602" s="52"/>
      <c r="AR602" s="52"/>
      <c r="AS602" s="52"/>
      <c r="AT602" s="52"/>
      <c r="AU602" s="52"/>
      <c r="AV602" s="52"/>
      <c r="AW602" s="52"/>
      <c r="AX602" s="52"/>
      <c r="AY602" s="52"/>
      <c r="AZ602" s="52"/>
      <c r="BA602" s="52"/>
      <c r="BB602" s="52"/>
      <c r="BC602" s="52"/>
      <c r="BD602" s="52"/>
      <c r="BE602" s="52"/>
      <c r="BF602" s="52"/>
      <c r="BG602" s="52"/>
      <c r="BH602" s="52"/>
      <c r="BI602" s="52"/>
      <c r="BJ602" s="52"/>
      <c r="BK602" s="52"/>
      <c r="BL602" s="52"/>
      <c r="BM602" s="52"/>
      <c r="BN602" s="52"/>
      <c r="BO602" s="52"/>
      <c r="BP602" s="52"/>
      <c r="BQ602" s="52"/>
      <c r="BR602" s="52"/>
      <c r="BS602" s="52"/>
      <c r="BT602" s="52"/>
      <c r="BU602" s="52"/>
      <c r="BV602" s="52"/>
      <c r="BW602" s="52"/>
      <c r="BX602" s="52"/>
      <c r="BY602" s="52"/>
      <c r="BZ602" s="52"/>
      <c r="CA602" s="52"/>
      <c r="CB602" s="52"/>
      <c r="CC602" s="52"/>
      <c r="CD602" s="52"/>
      <c r="CE602" s="52"/>
      <c r="CF602" s="52"/>
      <c r="CG602" s="52"/>
      <c r="CH602" s="52"/>
      <c r="CI602" s="52"/>
      <c r="CJ602" s="52"/>
      <c r="CK602" s="52"/>
      <c r="CL602" s="52"/>
      <c r="CM602" s="52"/>
      <c r="CN602" s="52"/>
      <c r="CO602" s="52"/>
      <c r="CP602" s="52"/>
      <c r="CQ602" s="52"/>
      <c r="CR602" s="52"/>
      <c r="CS602" s="52"/>
      <c r="CT602" s="52"/>
      <c r="CU602" s="52"/>
      <c r="CV602" s="52"/>
      <c r="CW602" s="52"/>
      <c r="CX602" s="52"/>
      <c r="CY602" s="52"/>
      <c r="CZ602" s="52"/>
      <c r="DA602" s="52"/>
      <c r="DB602" s="52"/>
      <c r="DC602" s="52"/>
      <c r="DD602" s="52"/>
      <c r="DE602" s="52"/>
      <c r="DF602" s="52"/>
      <c r="DG602" s="52"/>
      <c r="DH602" s="52"/>
      <c r="DI602" s="52"/>
      <c r="DJ602" s="52"/>
      <c r="DK602" s="52"/>
      <c r="DL602" s="52"/>
      <c r="DM602" s="52"/>
      <c r="DN602" s="52"/>
      <c r="DO602" s="52"/>
      <c r="DP602" s="52"/>
      <c r="DQ602" s="52"/>
      <c r="DR602" s="52"/>
      <c r="DS602" s="52"/>
      <c r="DT602" s="52"/>
      <c r="DU602" s="52"/>
      <c r="DV602" s="52"/>
      <c r="DW602" s="52"/>
      <c r="DX602" s="52"/>
      <c r="DY602" s="52"/>
      <c r="DZ602" s="52"/>
      <c r="EA602" s="52"/>
      <c r="EB602" s="52"/>
      <c r="EC602" s="52"/>
      <c r="ED602" s="52"/>
      <c r="EE602" s="52"/>
      <c r="EF602" s="52"/>
      <c r="EG602" s="52"/>
      <c r="EH602" s="52"/>
      <c r="EI602" s="52"/>
      <c r="EJ602" s="52"/>
      <c r="EK602" s="52"/>
      <c r="EL602" s="52"/>
      <c r="EM602" s="52"/>
      <c r="EN602" s="52"/>
      <c r="EO602" s="52"/>
      <c r="EP602" s="52"/>
      <c r="EQ602" s="52"/>
      <c r="ER602" s="52"/>
      <c r="ES602" s="52"/>
    </row>
    <row r="603" spans="1:149" ht="11.25">
      <c r="A603" s="8" t="s">
        <v>43</v>
      </c>
      <c r="B603" s="6"/>
      <c r="C603" s="6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>
        <v>89857.38</v>
      </c>
      <c r="O603" s="7"/>
      <c r="P603" s="7">
        <f>N603</f>
        <v>89857.38</v>
      </c>
      <c r="Q603" s="24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  <c r="AC603" s="52"/>
      <c r="AD603" s="52"/>
      <c r="AE603" s="52"/>
      <c r="AF603" s="52"/>
      <c r="AG603" s="52"/>
      <c r="AH603" s="52"/>
      <c r="AI603" s="52"/>
      <c r="AJ603" s="52"/>
      <c r="AK603" s="52"/>
      <c r="AL603" s="52"/>
      <c r="AM603" s="52"/>
      <c r="AN603" s="52"/>
      <c r="AO603" s="52"/>
      <c r="AP603" s="52"/>
      <c r="AQ603" s="52"/>
      <c r="AR603" s="52"/>
      <c r="AS603" s="52"/>
      <c r="AT603" s="52"/>
      <c r="AU603" s="52"/>
      <c r="AV603" s="52"/>
      <c r="AW603" s="52"/>
      <c r="AX603" s="52"/>
      <c r="AY603" s="52"/>
      <c r="AZ603" s="52"/>
      <c r="BA603" s="52"/>
      <c r="BB603" s="52"/>
      <c r="BC603" s="52"/>
      <c r="BD603" s="52"/>
      <c r="BE603" s="52"/>
      <c r="BF603" s="52"/>
      <c r="BG603" s="52"/>
      <c r="BH603" s="52"/>
      <c r="BI603" s="52"/>
      <c r="BJ603" s="52"/>
      <c r="BK603" s="52"/>
      <c r="BL603" s="52"/>
      <c r="BM603" s="52"/>
      <c r="BN603" s="52"/>
      <c r="BO603" s="52"/>
      <c r="BP603" s="52"/>
      <c r="BQ603" s="52"/>
      <c r="BR603" s="52"/>
      <c r="BS603" s="52"/>
      <c r="BT603" s="52"/>
      <c r="BU603" s="52"/>
      <c r="BV603" s="52"/>
      <c r="BW603" s="52"/>
      <c r="BX603" s="52"/>
      <c r="BY603" s="52"/>
      <c r="BZ603" s="52"/>
      <c r="CA603" s="52"/>
      <c r="CB603" s="52"/>
      <c r="CC603" s="52"/>
      <c r="CD603" s="52"/>
      <c r="CE603" s="52"/>
      <c r="CF603" s="52"/>
      <c r="CG603" s="52"/>
      <c r="CH603" s="52"/>
      <c r="CI603" s="52"/>
      <c r="CJ603" s="52"/>
      <c r="CK603" s="52"/>
      <c r="CL603" s="52"/>
      <c r="CM603" s="52"/>
      <c r="CN603" s="52"/>
      <c r="CO603" s="52"/>
      <c r="CP603" s="52"/>
      <c r="CQ603" s="52"/>
      <c r="CR603" s="52"/>
      <c r="CS603" s="52"/>
      <c r="CT603" s="52"/>
      <c r="CU603" s="52"/>
      <c r="CV603" s="52"/>
      <c r="CW603" s="52"/>
      <c r="CX603" s="52"/>
      <c r="CY603" s="52"/>
      <c r="CZ603" s="52"/>
      <c r="DA603" s="52"/>
      <c r="DB603" s="52"/>
      <c r="DC603" s="52"/>
      <c r="DD603" s="52"/>
      <c r="DE603" s="52"/>
      <c r="DF603" s="52"/>
      <c r="DG603" s="52"/>
      <c r="DH603" s="52"/>
      <c r="DI603" s="52"/>
      <c r="DJ603" s="52"/>
      <c r="DK603" s="52"/>
      <c r="DL603" s="52"/>
      <c r="DM603" s="52"/>
      <c r="DN603" s="52"/>
      <c r="DO603" s="52"/>
      <c r="DP603" s="52"/>
      <c r="DQ603" s="52"/>
      <c r="DR603" s="52"/>
      <c r="DS603" s="52"/>
      <c r="DT603" s="52"/>
      <c r="DU603" s="52"/>
      <c r="DV603" s="52"/>
      <c r="DW603" s="52"/>
      <c r="DX603" s="52"/>
      <c r="DY603" s="52"/>
      <c r="DZ603" s="52"/>
      <c r="EA603" s="52"/>
      <c r="EB603" s="52"/>
      <c r="EC603" s="52"/>
      <c r="ED603" s="52"/>
      <c r="EE603" s="52"/>
      <c r="EF603" s="52"/>
      <c r="EG603" s="52"/>
      <c r="EH603" s="52"/>
      <c r="EI603" s="52"/>
      <c r="EJ603" s="52"/>
      <c r="EK603" s="52"/>
      <c r="EL603" s="52"/>
      <c r="EM603" s="52"/>
      <c r="EN603" s="52"/>
      <c r="EO603" s="52"/>
      <c r="EP603" s="52"/>
      <c r="EQ603" s="52"/>
      <c r="ER603" s="52"/>
      <c r="ES603" s="52"/>
    </row>
    <row r="604" spans="1:149" ht="11.25">
      <c r="A604" s="8" t="s">
        <v>461</v>
      </c>
      <c r="B604" s="6"/>
      <c r="C604" s="6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24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  <c r="AC604" s="52"/>
      <c r="AD604" s="52"/>
      <c r="AE604" s="52"/>
      <c r="AF604" s="52"/>
      <c r="AG604" s="52"/>
      <c r="AH604" s="52"/>
      <c r="AI604" s="52"/>
      <c r="AJ604" s="52"/>
      <c r="AK604" s="52"/>
      <c r="AL604" s="52"/>
      <c r="AM604" s="52"/>
      <c r="AN604" s="52"/>
      <c r="AO604" s="52"/>
      <c r="AP604" s="52"/>
      <c r="AQ604" s="52"/>
      <c r="AR604" s="52"/>
      <c r="AS604" s="52"/>
      <c r="AT604" s="52"/>
      <c r="AU604" s="52"/>
      <c r="AV604" s="52"/>
      <c r="AW604" s="52"/>
      <c r="AX604" s="52"/>
      <c r="AY604" s="52"/>
      <c r="AZ604" s="52"/>
      <c r="BA604" s="52"/>
      <c r="BB604" s="52"/>
      <c r="BC604" s="52"/>
      <c r="BD604" s="52"/>
      <c r="BE604" s="52"/>
      <c r="BF604" s="52"/>
      <c r="BG604" s="52"/>
      <c r="BH604" s="52"/>
      <c r="BI604" s="52"/>
      <c r="BJ604" s="52"/>
      <c r="BK604" s="52"/>
      <c r="BL604" s="52"/>
      <c r="BM604" s="52"/>
      <c r="BN604" s="52"/>
      <c r="BO604" s="52"/>
      <c r="BP604" s="52"/>
      <c r="BQ604" s="52"/>
      <c r="BR604" s="52"/>
      <c r="BS604" s="52"/>
      <c r="BT604" s="52"/>
      <c r="BU604" s="52"/>
      <c r="BV604" s="52"/>
      <c r="BW604" s="52"/>
      <c r="BX604" s="52"/>
      <c r="BY604" s="52"/>
      <c r="BZ604" s="52"/>
      <c r="CA604" s="52"/>
      <c r="CB604" s="52"/>
      <c r="CC604" s="52"/>
      <c r="CD604" s="52"/>
      <c r="CE604" s="52"/>
      <c r="CF604" s="52"/>
      <c r="CG604" s="52"/>
      <c r="CH604" s="52"/>
      <c r="CI604" s="52"/>
      <c r="CJ604" s="52"/>
      <c r="CK604" s="52"/>
      <c r="CL604" s="52"/>
      <c r="CM604" s="52"/>
      <c r="CN604" s="52"/>
      <c r="CO604" s="52"/>
      <c r="CP604" s="52"/>
      <c r="CQ604" s="52"/>
      <c r="CR604" s="52"/>
      <c r="CS604" s="52"/>
      <c r="CT604" s="52"/>
      <c r="CU604" s="52"/>
      <c r="CV604" s="52"/>
      <c r="CW604" s="52"/>
      <c r="CX604" s="52"/>
      <c r="CY604" s="52"/>
      <c r="CZ604" s="52"/>
      <c r="DA604" s="52"/>
      <c r="DB604" s="52"/>
      <c r="DC604" s="52"/>
      <c r="DD604" s="52"/>
      <c r="DE604" s="52"/>
      <c r="DF604" s="52"/>
      <c r="DG604" s="52"/>
      <c r="DH604" s="52"/>
      <c r="DI604" s="52"/>
      <c r="DJ604" s="52"/>
      <c r="DK604" s="52"/>
      <c r="DL604" s="52"/>
      <c r="DM604" s="52"/>
      <c r="DN604" s="52"/>
      <c r="DO604" s="52"/>
      <c r="DP604" s="52"/>
      <c r="DQ604" s="52"/>
      <c r="DR604" s="52"/>
      <c r="DS604" s="52"/>
      <c r="DT604" s="52"/>
      <c r="DU604" s="52"/>
      <c r="DV604" s="52"/>
      <c r="DW604" s="52"/>
      <c r="DX604" s="52"/>
      <c r="DY604" s="52"/>
      <c r="DZ604" s="52"/>
      <c r="EA604" s="52"/>
      <c r="EB604" s="52"/>
      <c r="EC604" s="52"/>
      <c r="ED604" s="52"/>
      <c r="EE604" s="52"/>
      <c r="EF604" s="52"/>
      <c r="EG604" s="52"/>
      <c r="EH604" s="52"/>
      <c r="EI604" s="52"/>
      <c r="EJ604" s="52"/>
      <c r="EK604" s="52"/>
      <c r="EL604" s="52"/>
      <c r="EM604" s="52"/>
      <c r="EN604" s="52"/>
      <c r="EO604" s="52"/>
      <c r="EP604" s="52"/>
      <c r="EQ604" s="52"/>
      <c r="ER604" s="52"/>
      <c r="ES604" s="52"/>
    </row>
    <row r="605" spans="1:149" ht="11.25">
      <c r="A605" s="8" t="s">
        <v>398</v>
      </c>
      <c r="B605" s="6"/>
      <c r="C605" s="6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>
        <v>2</v>
      </c>
      <c r="O605" s="7"/>
      <c r="P605" s="7">
        <f>N605</f>
        <v>2</v>
      </c>
      <c r="Q605" s="24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  <c r="AC605" s="52"/>
      <c r="AD605" s="52"/>
      <c r="AE605" s="52"/>
      <c r="AF605" s="52"/>
      <c r="AG605" s="52"/>
      <c r="AH605" s="52"/>
      <c r="AI605" s="52"/>
      <c r="AJ605" s="52"/>
      <c r="AK605" s="52"/>
      <c r="AL605" s="52"/>
      <c r="AM605" s="52"/>
      <c r="AN605" s="52"/>
      <c r="AO605" s="52"/>
      <c r="AP605" s="52"/>
      <c r="AQ605" s="52"/>
      <c r="AR605" s="52"/>
      <c r="AS605" s="52"/>
      <c r="AT605" s="52"/>
      <c r="AU605" s="52"/>
      <c r="AV605" s="52"/>
      <c r="AW605" s="52"/>
      <c r="AX605" s="52"/>
      <c r="AY605" s="52"/>
      <c r="AZ605" s="52"/>
      <c r="BA605" s="52"/>
      <c r="BB605" s="52"/>
      <c r="BC605" s="52"/>
      <c r="BD605" s="52"/>
      <c r="BE605" s="52"/>
      <c r="BF605" s="52"/>
      <c r="BG605" s="52"/>
      <c r="BH605" s="52"/>
      <c r="BI605" s="52"/>
      <c r="BJ605" s="52"/>
      <c r="BK605" s="52"/>
      <c r="BL605" s="52"/>
      <c r="BM605" s="52"/>
      <c r="BN605" s="52"/>
      <c r="BO605" s="52"/>
      <c r="BP605" s="52"/>
      <c r="BQ605" s="52"/>
      <c r="BR605" s="52"/>
      <c r="BS605" s="52"/>
      <c r="BT605" s="52"/>
      <c r="BU605" s="52"/>
      <c r="BV605" s="52"/>
      <c r="BW605" s="52"/>
      <c r="BX605" s="52"/>
      <c r="BY605" s="52"/>
      <c r="BZ605" s="52"/>
      <c r="CA605" s="52"/>
      <c r="CB605" s="52"/>
      <c r="CC605" s="52"/>
      <c r="CD605" s="52"/>
      <c r="CE605" s="52"/>
      <c r="CF605" s="52"/>
      <c r="CG605" s="52"/>
      <c r="CH605" s="52"/>
      <c r="CI605" s="52"/>
      <c r="CJ605" s="52"/>
      <c r="CK605" s="52"/>
      <c r="CL605" s="52"/>
      <c r="CM605" s="52"/>
      <c r="CN605" s="52"/>
      <c r="CO605" s="52"/>
      <c r="CP605" s="52"/>
      <c r="CQ605" s="52"/>
      <c r="CR605" s="52"/>
      <c r="CS605" s="52"/>
      <c r="CT605" s="52"/>
      <c r="CU605" s="52"/>
      <c r="CV605" s="52"/>
      <c r="CW605" s="52"/>
      <c r="CX605" s="52"/>
      <c r="CY605" s="52"/>
      <c r="CZ605" s="52"/>
      <c r="DA605" s="52"/>
      <c r="DB605" s="52"/>
      <c r="DC605" s="52"/>
      <c r="DD605" s="52"/>
      <c r="DE605" s="52"/>
      <c r="DF605" s="52"/>
      <c r="DG605" s="52"/>
      <c r="DH605" s="52"/>
      <c r="DI605" s="52"/>
      <c r="DJ605" s="52"/>
      <c r="DK605" s="52"/>
      <c r="DL605" s="52"/>
      <c r="DM605" s="52"/>
      <c r="DN605" s="52"/>
      <c r="DO605" s="52"/>
      <c r="DP605" s="52"/>
      <c r="DQ605" s="52"/>
      <c r="DR605" s="52"/>
      <c r="DS605" s="52"/>
      <c r="DT605" s="52"/>
      <c r="DU605" s="52"/>
      <c r="DV605" s="52"/>
      <c r="DW605" s="52"/>
      <c r="DX605" s="52"/>
      <c r="DY605" s="52"/>
      <c r="DZ605" s="52"/>
      <c r="EA605" s="52"/>
      <c r="EB605" s="52"/>
      <c r="EC605" s="52"/>
      <c r="ED605" s="52"/>
      <c r="EE605" s="52"/>
      <c r="EF605" s="52"/>
      <c r="EG605" s="52"/>
      <c r="EH605" s="52"/>
      <c r="EI605" s="52"/>
      <c r="EJ605" s="52"/>
      <c r="EK605" s="52"/>
      <c r="EL605" s="52"/>
      <c r="EM605" s="52"/>
      <c r="EN605" s="52"/>
      <c r="EO605" s="52"/>
      <c r="EP605" s="52"/>
      <c r="EQ605" s="52"/>
      <c r="ER605" s="52"/>
      <c r="ES605" s="52"/>
    </row>
    <row r="606" spans="1:149" ht="11.25">
      <c r="A606" s="8" t="s">
        <v>462</v>
      </c>
      <c r="B606" s="6"/>
      <c r="C606" s="6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24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  <c r="AC606" s="52"/>
      <c r="AD606" s="52"/>
      <c r="AE606" s="52"/>
      <c r="AF606" s="52"/>
      <c r="AG606" s="52"/>
      <c r="AH606" s="52"/>
      <c r="AI606" s="52"/>
      <c r="AJ606" s="52"/>
      <c r="AK606" s="52"/>
      <c r="AL606" s="52"/>
      <c r="AM606" s="52"/>
      <c r="AN606" s="52"/>
      <c r="AO606" s="52"/>
      <c r="AP606" s="52"/>
      <c r="AQ606" s="52"/>
      <c r="AR606" s="52"/>
      <c r="AS606" s="52"/>
      <c r="AT606" s="52"/>
      <c r="AU606" s="52"/>
      <c r="AV606" s="52"/>
      <c r="AW606" s="52"/>
      <c r="AX606" s="52"/>
      <c r="AY606" s="52"/>
      <c r="AZ606" s="52"/>
      <c r="BA606" s="52"/>
      <c r="BB606" s="52"/>
      <c r="BC606" s="52"/>
      <c r="BD606" s="52"/>
      <c r="BE606" s="52"/>
      <c r="BF606" s="52"/>
      <c r="BG606" s="52"/>
      <c r="BH606" s="52"/>
      <c r="BI606" s="52"/>
      <c r="BJ606" s="52"/>
      <c r="BK606" s="52"/>
      <c r="BL606" s="52"/>
      <c r="BM606" s="52"/>
      <c r="BN606" s="52"/>
      <c r="BO606" s="52"/>
      <c r="BP606" s="52"/>
      <c r="BQ606" s="52"/>
      <c r="BR606" s="52"/>
      <c r="BS606" s="52"/>
      <c r="BT606" s="52"/>
      <c r="BU606" s="52"/>
      <c r="BV606" s="52"/>
      <c r="BW606" s="52"/>
      <c r="BX606" s="52"/>
      <c r="BY606" s="52"/>
      <c r="BZ606" s="52"/>
      <c r="CA606" s="52"/>
      <c r="CB606" s="52"/>
      <c r="CC606" s="52"/>
      <c r="CD606" s="52"/>
      <c r="CE606" s="52"/>
      <c r="CF606" s="52"/>
      <c r="CG606" s="52"/>
      <c r="CH606" s="52"/>
      <c r="CI606" s="52"/>
      <c r="CJ606" s="52"/>
      <c r="CK606" s="52"/>
      <c r="CL606" s="52"/>
      <c r="CM606" s="52"/>
      <c r="CN606" s="52"/>
      <c r="CO606" s="52"/>
      <c r="CP606" s="52"/>
      <c r="CQ606" s="52"/>
      <c r="CR606" s="52"/>
      <c r="CS606" s="52"/>
      <c r="CT606" s="52"/>
      <c r="CU606" s="52"/>
      <c r="CV606" s="52"/>
      <c r="CW606" s="52"/>
      <c r="CX606" s="52"/>
      <c r="CY606" s="52"/>
      <c r="CZ606" s="52"/>
      <c r="DA606" s="52"/>
      <c r="DB606" s="52"/>
      <c r="DC606" s="52"/>
      <c r="DD606" s="52"/>
      <c r="DE606" s="52"/>
      <c r="DF606" s="52"/>
      <c r="DG606" s="52"/>
      <c r="DH606" s="52"/>
      <c r="DI606" s="52"/>
      <c r="DJ606" s="52"/>
      <c r="DK606" s="52"/>
      <c r="DL606" s="52"/>
      <c r="DM606" s="52"/>
      <c r="DN606" s="52"/>
      <c r="DO606" s="52"/>
      <c r="DP606" s="52"/>
      <c r="DQ606" s="52"/>
      <c r="DR606" s="52"/>
      <c r="DS606" s="52"/>
      <c r="DT606" s="52"/>
      <c r="DU606" s="52"/>
      <c r="DV606" s="52"/>
      <c r="DW606" s="52"/>
      <c r="DX606" s="52"/>
      <c r="DY606" s="52"/>
      <c r="DZ606" s="52"/>
      <c r="EA606" s="52"/>
      <c r="EB606" s="52"/>
      <c r="EC606" s="52"/>
      <c r="ED606" s="52"/>
      <c r="EE606" s="52"/>
      <c r="EF606" s="52"/>
      <c r="EG606" s="52"/>
      <c r="EH606" s="52"/>
      <c r="EI606" s="52"/>
      <c r="EJ606" s="52"/>
      <c r="EK606" s="52"/>
      <c r="EL606" s="52"/>
      <c r="EM606" s="52"/>
      <c r="EN606" s="52"/>
      <c r="EO606" s="52"/>
      <c r="EP606" s="52"/>
      <c r="EQ606" s="52"/>
      <c r="ER606" s="52"/>
      <c r="ES606" s="52"/>
    </row>
    <row r="607" spans="1:149" ht="11.25">
      <c r="A607" s="8" t="s">
        <v>326</v>
      </c>
      <c r="B607" s="6"/>
      <c r="C607" s="6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>
        <v>44928.69</v>
      </c>
      <c r="O607" s="7"/>
      <c r="P607" s="7">
        <f>N607</f>
        <v>44928.69</v>
      </c>
      <c r="Q607" s="24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  <c r="AC607" s="52"/>
      <c r="AD607" s="52"/>
      <c r="AE607" s="52"/>
      <c r="AF607" s="52"/>
      <c r="AG607" s="52"/>
      <c r="AH607" s="52"/>
      <c r="AI607" s="52"/>
      <c r="AJ607" s="52"/>
      <c r="AK607" s="52"/>
      <c r="AL607" s="52"/>
      <c r="AM607" s="52"/>
      <c r="AN607" s="52"/>
      <c r="AO607" s="52"/>
      <c r="AP607" s="52"/>
      <c r="AQ607" s="52"/>
      <c r="AR607" s="52"/>
      <c r="AS607" s="52"/>
      <c r="AT607" s="52"/>
      <c r="AU607" s="52"/>
      <c r="AV607" s="52"/>
      <c r="AW607" s="52"/>
      <c r="AX607" s="52"/>
      <c r="AY607" s="52"/>
      <c r="AZ607" s="52"/>
      <c r="BA607" s="52"/>
      <c r="BB607" s="52"/>
      <c r="BC607" s="52"/>
      <c r="BD607" s="52"/>
      <c r="BE607" s="52"/>
      <c r="BF607" s="52"/>
      <c r="BG607" s="52"/>
      <c r="BH607" s="52"/>
      <c r="BI607" s="52"/>
      <c r="BJ607" s="52"/>
      <c r="BK607" s="52"/>
      <c r="BL607" s="52"/>
      <c r="BM607" s="52"/>
      <c r="BN607" s="52"/>
      <c r="BO607" s="52"/>
      <c r="BP607" s="52"/>
      <c r="BQ607" s="52"/>
      <c r="BR607" s="52"/>
      <c r="BS607" s="52"/>
      <c r="BT607" s="52"/>
      <c r="BU607" s="52"/>
      <c r="BV607" s="52"/>
      <c r="BW607" s="52"/>
      <c r="BX607" s="52"/>
      <c r="BY607" s="52"/>
      <c r="BZ607" s="52"/>
      <c r="CA607" s="52"/>
      <c r="CB607" s="52"/>
      <c r="CC607" s="52"/>
      <c r="CD607" s="52"/>
      <c r="CE607" s="52"/>
      <c r="CF607" s="52"/>
      <c r="CG607" s="52"/>
      <c r="CH607" s="52"/>
      <c r="CI607" s="52"/>
      <c r="CJ607" s="52"/>
      <c r="CK607" s="52"/>
      <c r="CL607" s="52"/>
      <c r="CM607" s="52"/>
      <c r="CN607" s="52"/>
      <c r="CO607" s="52"/>
      <c r="CP607" s="52"/>
      <c r="CQ607" s="52"/>
      <c r="CR607" s="52"/>
      <c r="CS607" s="52"/>
      <c r="CT607" s="52"/>
      <c r="CU607" s="52"/>
      <c r="CV607" s="52"/>
      <c r="CW607" s="52"/>
      <c r="CX607" s="52"/>
      <c r="CY607" s="52"/>
      <c r="CZ607" s="52"/>
      <c r="DA607" s="52"/>
      <c r="DB607" s="52"/>
      <c r="DC607" s="52"/>
      <c r="DD607" s="52"/>
      <c r="DE607" s="52"/>
      <c r="DF607" s="52"/>
      <c r="DG607" s="52"/>
      <c r="DH607" s="52"/>
      <c r="DI607" s="52"/>
      <c r="DJ607" s="52"/>
      <c r="DK607" s="52"/>
      <c r="DL607" s="52"/>
      <c r="DM607" s="52"/>
      <c r="DN607" s="52"/>
      <c r="DO607" s="52"/>
      <c r="DP607" s="52"/>
      <c r="DQ607" s="52"/>
      <c r="DR607" s="52"/>
      <c r="DS607" s="52"/>
      <c r="DT607" s="52"/>
      <c r="DU607" s="52"/>
      <c r="DV607" s="52"/>
      <c r="DW607" s="52"/>
      <c r="DX607" s="52"/>
      <c r="DY607" s="52"/>
      <c r="DZ607" s="52"/>
      <c r="EA607" s="52"/>
      <c r="EB607" s="52"/>
      <c r="EC607" s="52"/>
      <c r="ED607" s="52"/>
      <c r="EE607" s="52"/>
      <c r="EF607" s="52"/>
      <c r="EG607" s="52"/>
      <c r="EH607" s="52"/>
      <c r="EI607" s="52"/>
      <c r="EJ607" s="52"/>
      <c r="EK607" s="52"/>
      <c r="EL607" s="52"/>
      <c r="EM607" s="52"/>
      <c r="EN607" s="52"/>
      <c r="EO607" s="52"/>
      <c r="EP607" s="52"/>
      <c r="EQ607" s="52"/>
      <c r="ER607" s="52"/>
      <c r="ES607" s="52"/>
    </row>
    <row r="608" spans="1:149" ht="11.25">
      <c r="A608" s="8"/>
      <c r="B608" s="6"/>
      <c r="C608" s="6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24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  <c r="AC608" s="52"/>
      <c r="AD608" s="52"/>
      <c r="AE608" s="52"/>
      <c r="AF608" s="52"/>
      <c r="AG608" s="52"/>
      <c r="AH608" s="52"/>
      <c r="AI608" s="52"/>
      <c r="AJ608" s="52"/>
      <c r="AK608" s="52"/>
      <c r="AL608" s="52"/>
      <c r="AM608" s="52"/>
      <c r="AN608" s="52"/>
      <c r="AO608" s="52"/>
      <c r="AP608" s="52"/>
      <c r="AQ608" s="52"/>
      <c r="AR608" s="52"/>
      <c r="AS608" s="52"/>
      <c r="AT608" s="52"/>
      <c r="AU608" s="52"/>
      <c r="AV608" s="52"/>
      <c r="AW608" s="52"/>
      <c r="AX608" s="52"/>
      <c r="AY608" s="52"/>
      <c r="AZ608" s="52"/>
      <c r="BA608" s="52"/>
      <c r="BB608" s="52"/>
      <c r="BC608" s="52"/>
      <c r="BD608" s="52"/>
      <c r="BE608" s="52"/>
      <c r="BF608" s="52"/>
      <c r="BG608" s="52"/>
      <c r="BH608" s="52"/>
      <c r="BI608" s="52"/>
      <c r="BJ608" s="52"/>
      <c r="BK608" s="52"/>
      <c r="BL608" s="52"/>
      <c r="BM608" s="52"/>
      <c r="BN608" s="52"/>
      <c r="BO608" s="52"/>
      <c r="BP608" s="52"/>
      <c r="BQ608" s="52"/>
      <c r="BR608" s="52"/>
      <c r="BS608" s="52"/>
      <c r="BT608" s="52"/>
      <c r="BU608" s="52"/>
      <c r="BV608" s="52"/>
      <c r="BW608" s="52"/>
      <c r="BX608" s="52"/>
      <c r="BY608" s="52"/>
      <c r="BZ608" s="52"/>
      <c r="CA608" s="52"/>
      <c r="CB608" s="52"/>
      <c r="CC608" s="52"/>
      <c r="CD608" s="52"/>
      <c r="CE608" s="52"/>
      <c r="CF608" s="52"/>
      <c r="CG608" s="52"/>
      <c r="CH608" s="52"/>
      <c r="CI608" s="52"/>
      <c r="CJ608" s="52"/>
      <c r="CK608" s="52"/>
      <c r="CL608" s="52"/>
      <c r="CM608" s="52"/>
      <c r="CN608" s="52"/>
      <c r="CO608" s="52"/>
      <c r="CP608" s="52"/>
      <c r="CQ608" s="52"/>
      <c r="CR608" s="52"/>
      <c r="CS608" s="52"/>
      <c r="CT608" s="52"/>
      <c r="CU608" s="52"/>
      <c r="CV608" s="52"/>
      <c r="CW608" s="52"/>
      <c r="CX608" s="52"/>
      <c r="CY608" s="52"/>
      <c r="CZ608" s="52"/>
      <c r="DA608" s="52"/>
      <c r="DB608" s="52"/>
      <c r="DC608" s="52"/>
      <c r="DD608" s="52"/>
      <c r="DE608" s="52"/>
      <c r="DF608" s="52"/>
      <c r="DG608" s="52"/>
      <c r="DH608" s="52"/>
      <c r="DI608" s="52"/>
      <c r="DJ608" s="52"/>
      <c r="DK608" s="52"/>
      <c r="DL608" s="52"/>
      <c r="DM608" s="52"/>
      <c r="DN608" s="52"/>
      <c r="DO608" s="52"/>
      <c r="DP608" s="52"/>
      <c r="DQ608" s="52"/>
      <c r="DR608" s="52"/>
      <c r="DS608" s="52"/>
      <c r="DT608" s="52"/>
      <c r="DU608" s="52"/>
      <c r="DV608" s="52"/>
      <c r="DW608" s="52"/>
      <c r="DX608" s="52"/>
      <c r="DY608" s="52"/>
      <c r="DZ608" s="52"/>
      <c r="EA608" s="52"/>
      <c r="EB608" s="52"/>
      <c r="EC608" s="52"/>
      <c r="ED608" s="52"/>
      <c r="EE608" s="52"/>
      <c r="EF608" s="52"/>
      <c r="EG608" s="52"/>
      <c r="EH608" s="52"/>
      <c r="EI608" s="52"/>
      <c r="EJ608" s="52"/>
      <c r="EK608" s="52"/>
      <c r="EL608" s="52"/>
      <c r="EM608" s="52"/>
      <c r="EN608" s="52"/>
      <c r="EO608" s="52"/>
      <c r="EP608" s="52"/>
      <c r="EQ608" s="52"/>
      <c r="ER608" s="52"/>
      <c r="ES608" s="52"/>
    </row>
    <row r="609" spans="1:149" ht="11.25">
      <c r="A609" s="8"/>
      <c r="B609" s="6"/>
      <c r="C609" s="6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24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  <c r="AC609" s="52"/>
      <c r="AD609" s="52"/>
      <c r="AE609" s="52"/>
      <c r="AF609" s="52"/>
      <c r="AG609" s="52"/>
      <c r="AH609" s="52"/>
      <c r="AI609" s="52"/>
      <c r="AJ609" s="52"/>
      <c r="AK609" s="52"/>
      <c r="AL609" s="52"/>
      <c r="AM609" s="52"/>
      <c r="AN609" s="52"/>
      <c r="AO609" s="52"/>
      <c r="AP609" s="52"/>
      <c r="AQ609" s="52"/>
      <c r="AR609" s="52"/>
      <c r="AS609" s="52"/>
      <c r="AT609" s="52"/>
      <c r="AU609" s="52"/>
      <c r="AV609" s="52"/>
      <c r="AW609" s="52"/>
      <c r="AX609" s="52"/>
      <c r="AY609" s="52"/>
      <c r="AZ609" s="52"/>
      <c r="BA609" s="52"/>
      <c r="BB609" s="52"/>
      <c r="BC609" s="52"/>
      <c r="BD609" s="52"/>
      <c r="BE609" s="52"/>
      <c r="BF609" s="52"/>
      <c r="BG609" s="52"/>
      <c r="BH609" s="52"/>
      <c r="BI609" s="52"/>
      <c r="BJ609" s="52"/>
      <c r="BK609" s="52"/>
      <c r="BL609" s="52"/>
      <c r="BM609" s="52"/>
      <c r="BN609" s="52"/>
      <c r="BO609" s="52"/>
      <c r="BP609" s="52"/>
      <c r="BQ609" s="52"/>
      <c r="BR609" s="52"/>
      <c r="BS609" s="52"/>
      <c r="BT609" s="52"/>
      <c r="BU609" s="52"/>
      <c r="BV609" s="52"/>
      <c r="BW609" s="52"/>
      <c r="BX609" s="52"/>
      <c r="BY609" s="52"/>
      <c r="BZ609" s="52"/>
      <c r="CA609" s="52"/>
      <c r="CB609" s="52"/>
      <c r="CC609" s="52"/>
      <c r="CD609" s="52"/>
      <c r="CE609" s="52"/>
      <c r="CF609" s="52"/>
      <c r="CG609" s="52"/>
      <c r="CH609" s="52"/>
      <c r="CI609" s="52"/>
      <c r="CJ609" s="52"/>
      <c r="CK609" s="52"/>
      <c r="CL609" s="52"/>
      <c r="CM609" s="52"/>
      <c r="CN609" s="52"/>
      <c r="CO609" s="52"/>
      <c r="CP609" s="52"/>
      <c r="CQ609" s="52"/>
      <c r="CR609" s="52"/>
      <c r="CS609" s="52"/>
      <c r="CT609" s="52"/>
      <c r="CU609" s="52"/>
      <c r="CV609" s="52"/>
      <c r="CW609" s="52"/>
      <c r="CX609" s="52"/>
      <c r="CY609" s="52"/>
      <c r="CZ609" s="52"/>
      <c r="DA609" s="52"/>
      <c r="DB609" s="52"/>
      <c r="DC609" s="52"/>
      <c r="DD609" s="52"/>
      <c r="DE609" s="52"/>
      <c r="DF609" s="52"/>
      <c r="DG609" s="52"/>
      <c r="DH609" s="52"/>
      <c r="DI609" s="52"/>
      <c r="DJ609" s="52"/>
      <c r="DK609" s="52"/>
      <c r="DL609" s="52"/>
      <c r="DM609" s="52"/>
      <c r="DN609" s="52"/>
      <c r="DO609" s="52"/>
      <c r="DP609" s="52"/>
      <c r="DQ609" s="52"/>
      <c r="DR609" s="52"/>
      <c r="DS609" s="52"/>
      <c r="DT609" s="52"/>
      <c r="DU609" s="52"/>
      <c r="DV609" s="52"/>
      <c r="DW609" s="52"/>
      <c r="DX609" s="52"/>
      <c r="DY609" s="52"/>
      <c r="DZ609" s="52"/>
      <c r="EA609" s="52"/>
      <c r="EB609" s="52"/>
      <c r="EC609" s="52"/>
      <c r="ED609" s="52"/>
      <c r="EE609" s="52"/>
      <c r="EF609" s="52"/>
      <c r="EG609" s="52"/>
      <c r="EH609" s="52"/>
      <c r="EI609" s="52"/>
      <c r="EJ609" s="52"/>
      <c r="EK609" s="52"/>
      <c r="EL609" s="52"/>
      <c r="EM609" s="52"/>
      <c r="EN609" s="52"/>
      <c r="EO609" s="52"/>
      <c r="EP609" s="52"/>
      <c r="EQ609" s="52"/>
      <c r="ER609" s="52"/>
      <c r="ES609" s="52"/>
    </row>
    <row r="610" spans="1:17" s="137" customFormat="1" ht="11.25">
      <c r="A610" s="150" t="s">
        <v>253</v>
      </c>
      <c r="B610" s="134"/>
      <c r="C610" s="134"/>
      <c r="D610" s="143">
        <f>D612</f>
        <v>1690000</v>
      </c>
      <c r="E610" s="143">
        <v>0</v>
      </c>
      <c r="F610" s="143">
        <f>D610</f>
        <v>1690000</v>
      </c>
      <c r="G610" s="143">
        <f>G612</f>
        <v>2330000.0025</v>
      </c>
      <c r="H610" s="143"/>
      <c r="I610" s="143">
        <f>I612</f>
        <v>0</v>
      </c>
      <c r="J610" s="143">
        <f>J612</f>
        <v>2330000.0025</v>
      </c>
      <c r="K610" s="143"/>
      <c r="L610" s="143"/>
      <c r="M610" s="143"/>
      <c r="N610" s="143">
        <f>N612</f>
        <v>2800000</v>
      </c>
      <c r="O610" s="143"/>
      <c r="P610" s="143">
        <f>P612</f>
        <v>2800000</v>
      </c>
      <c r="Q610" s="152"/>
    </row>
    <row r="611" spans="1:149" ht="65.25" customHeight="1">
      <c r="A611" s="8" t="s">
        <v>164</v>
      </c>
      <c r="B611" s="6"/>
      <c r="C611" s="6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24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  <c r="AC611" s="52"/>
      <c r="AD611" s="52"/>
      <c r="AE611" s="52"/>
      <c r="AF611" s="52"/>
      <c r="AG611" s="52"/>
      <c r="AH611" s="52"/>
      <c r="AI611" s="52"/>
      <c r="AJ611" s="52"/>
      <c r="AK611" s="52"/>
      <c r="AL611" s="52"/>
      <c r="AM611" s="52"/>
      <c r="AN611" s="52"/>
      <c r="AO611" s="52"/>
      <c r="AP611" s="52"/>
      <c r="AQ611" s="52"/>
      <c r="AR611" s="52"/>
      <c r="AS611" s="52"/>
      <c r="AT611" s="52"/>
      <c r="AU611" s="52"/>
      <c r="AV611" s="52"/>
      <c r="AW611" s="52"/>
      <c r="AX611" s="52"/>
      <c r="AY611" s="52"/>
      <c r="AZ611" s="52"/>
      <c r="BA611" s="52"/>
      <c r="BB611" s="52"/>
      <c r="BC611" s="52"/>
      <c r="BD611" s="52"/>
      <c r="BE611" s="52"/>
      <c r="BF611" s="52"/>
      <c r="BG611" s="52"/>
      <c r="BH611" s="52"/>
      <c r="BI611" s="52"/>
      <c r="BJ611" s="52"/>
      <c r="BK611" s="52"/>
      <c r="BL611" s="52"/>
      <c r="BM611" s="52"/>
      <c r="BN611" s="52"/>
      <c r="BO611" s="52"/>
      <c r="BP611" s="52"/>
      <c r="BQ611" s="52"/>
      <c r="BR611" s="52"/>
      <c r="BS611" s="52"/>
      <c r="BT611" s="52"/>
      <c r="BU611" s="52"/>
      <c r="BV611" s="52"/>
      <c r="BW611" s="52"/>
      <c r="BX611" s="52"/>
      <c r="BY611" s="52"/>
      <c r="BZ611" s="52"/>
      <c r="CA611" s="52"/>
      <c r="CB611" s="52"/>
      <c r="CC611" s="52"/>
      <c r="CD611" s="52"/>
      <c r="CE611" s="52"/>
      <c r="CF611" s="52"/>
      <c r="CG611" s="52"/>
      <c r="CH611" s="52"/>
      <c r="CI611" s="52"/>
      <c r="CJ611" s="52"/>
      <c r="CK611" s="52"/>
      <c r="CL611" s="52"/>
      <c r="CM611" s="52"/>
      <c r="CN611" s="52"/>
      <c r="CO611" s="52"/>
      <c r="CP611" s="52"/>
      <c r="CQ611" s="52"/>
      <c r="CR611" s="52"/>
      <c r="CS611" s="52"/>
      <c r="CT611" s="52"/>
      <c r="CU611" s="52"/>
      <c r="CV611" s="52"/>
      <c r="CW611" s="52"/>
      <c r="CX611" s="52"/>
      <c r="CY611" s="52"/>
      <c r="CZ611" s="52"/>
      <c r="DA611" s="52"/>
      <c r="DB611" s="52"/>
      <c r="DC611" s="52"/>
      <c r="DD611" s="52"/>
      <c r="DE611" s="52"/>
      <c r="DF611" s="52"/>
      <c r="DG611" s="52"/>
      <c r="DH611" s="52"/>
      <c r="DI611" s="52"/>
      <c r="DJ611" s="52"/>
      <c r="DK611" s="52"/>
      <c r="DL611" s="52"/>
      <c r="DM611" s="52"/>
      <c r="DN611" s="52"/>
      <c r="DO611" s="52"/>
      <c r="DP611" s="52"/>
      <c r="DQ611" s="52"/>
      <c r="DR611" s="52"/>
      <c r="DS611" s="52"/>
      <c r="DT611" s="52"/>
      <c r="DU611" s="52"/>
      <c r="DV611" s="52"/>
      <c r="DW611" s="52"/>
      <c r="DX611" s="52"/>
      <c r="DY611" s="52"/>
      <c r="DZ611" s="52"/>
      <c r="EA611" s="52"/>
      <c r="EB611" s="52"/>
      <c r="EC611" s="52"/>
      <c r="ED611" s="52"/>
      <c r="EE611" s="52"/>
      <c r="EF611" s="52"/>
      <c r="EG611" s="52"/>
      <c r="EH611" s="52"/>
      <c r="EI611" s="52"/>
      <c r="EJ611" s="52"/>
      <c r="EK611" s="52"/>
      <c r="EL611" s="52"/>
      <c r="EM611" s="52"/>
      <c r="EN611" s="52"/>
      <c r="EO611" s="52"/>
      <c r="EP611" s="52"/>
      <c r="EQ611" s="52"/>
      <c r="ER611" s="52"/>
      <c r="ES611" s="52"/>
    </row>
    <row r="612" spans="1:17" s="75" customFormat="1" ht="22.5">
      <c r="A612" s="33" t="s">
        <v>463</v>
      </c>
      <c r="B612" s="36"/>
      <c r="C612" s="36"/>
      <c r="D612" s="56">
        <f>D613+D620</f>
        <v>1690000</v>
      </c>
      <c r="E612" s="56"/>
      <c r="F612" s="56">
        <f>D612</f>
        <v>1690000</v>
      </c>
      <c r="G612" s="29">
        <f>G613+G620</f>
        <v>2330000.0025</v>
      </c>
      <c r="H612" s="29"/>
      <c r="I612" s="29"/>
      <c r="J612" s="29">
        <f>G612</f>
        <v>2330000.0025</v>
      </c>
      <c r="K612" s="29"/>
      <c r="L612" s="29"/>
      <c r="M612" s="29"/>
      <c r="N612" s="29">
        <f>N613+N620</f>
        <v>2800000</v>
      </c>
      <c r="O612" s="29"/>
      <c r="P612" s="29">
        <f>N612</f>
        <v>2800000</v>
      </c>
      <c r="Q612" s="74"/>
    </row>
    <row r="613" spans="1:17" s="78" customFormat="1" ht="45">
      <c r="A613" s="76" t="s">
        <v>464</v>
      </c>
      <c r="B613" s="34"/>
      <c r="C613" s="34"/>
      <c r="D613" s="44">
        <f>D617*D619+100000</f>
        <v>1400000</v>
      </c>
      <c r="E613" s="44"/>
      <c r="F613" s="44">
        <f>D613+E613</f>
        <v>1400000</v>
      </c>
      <c r="G613" s="35">
        <f>G617*G619</f>
        <v>1500000</v>
      </c>
      <c r="H613" s="35">
        <f aca="true" t="shared" si="59" ref="H613:O613">H617*H619</f>
        <v>0</v>
      </c>
      <c r="I613" s="35">
        <f t="shared" si="59"/>
        <v>0</v>
      </c>
      <c r="J613" s="35">
        <f>G613</f>
        <v>1500000</v>
      </c>
      <c r="K613" s="35">
        <f t="shared" si="59"/>
        <v>0</v>
      </c>
      <c r="L613" s="35">
        <f t="shared" si="59"/>
        <v>0</v>
      </c>
      <c r="M613" s="35">
        <f t="shared" si="59"/>
        <v>0</v>
      </c>
      <c r="N613" s="35">
        <f>N617*N619</f>
        <v>1300000</v>
      </c>
      <c r="O613" s="35">
        <f t="shared" si="59"/>
        <v>0</v>
      </c>
      <c r="P613" s="35">
        <f>N613</f>
        <v>1300000</v>
      </c>
      <c r="Q613" s="77"/>
    </row>
    <row r="614" spans="1:17" s="51" customFormat="1" ht="11.25">
      <c r="A614" s="5" t="s">
        <v>4</v>
      </c>
      <c r="B614" s="36"/>
      <c r="C614" s="36"/>
      <c r="D614" s="79"/>
      <c r="E614" s="79"/>
      <c r="F614" s="80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74"/>
    </row>
    <row r="615" spans="1:17" s="51" customFormat="1" ht="27.75" customHeight="1">
      <c r="A615" s="8" t="s">
        <v>165</v>
      </c>
      <c r="B615" s="36"/>
      <c r="C615" s="36"/>
      <c r="D615" s="48">
        <v>520</v>
      </c>
      <c r="E615" s="79"/>
      <c r="F615" s="80"/>
      <c r="G615" s="7">
        <v>500</v>
      </c>
      <c r="H615" s="29"/>
      <c r="I615" s="29"/>
      <c r="J615" s="7">
        <f>G615+H615</f>
        <v>500</v>
      </c>
      <c r="K615" s="29"/>
      <c r="L615" s="29"/>
      <c r="M615" s="29"/>
      <c r="N615" s="7">
        <v>520</v>
      </c>
      <c r="O615" s="7"/>
      <c r="P615" s="7">
        <f>N615+O615</f>
        <v>520</v>
      </c>
      <c r="Q615" s="74"/>
    </row>
    <row r="616" spans="1:17" s="51" customFormat="1" ht="11.25">
      <c r="A616" s="5" t="s">
        <v>5</v>
      </c>
      <c r="B616" s="36"/>
      <c r="C616" s="36"/>
      <c r="D616" s="79"/>
      <c r="E616" s="79"/>
      <c r="F616" s="80"/>
      <c r="G616" s="29"/>
      <c r="H616" s="29"/>
      <c r="I616" s="29"/>
      <c r="J616" s="7"/>
      <c r="K616" s="29"/>
      <c r="L616" s="29"/>
      <c r="M616" s="29"/>
      <c r="N616" s="29"/>
      <c r="O616" s="29"/>
      <c r="P616" s="7"/>
      <c r="Q616" s="74"/>
    </row>
    <row r="617" spans="1:17" s="51" customFormat="1" ht="22.5">
      <c r="A617" s="8" t="s">
        <v>166</v>
      </c>
      <c r="B617" s="36"/>
      <c r="C617" s="36"/>
      <c r="D617" s="48">
        <v>520</v>
      </c>
      <c r="E617" s="79"/>
      <c r="F617" s="80"/>
      <c r="G617" s="7">
        <f>G615</f>
        <v>500</v>
      </c>
      <c r="H617" s="7"/>
      <c r="I617" s="7"/>
      <c r="J617" s="7">
        <f>G617+H617</f>
        <v>500</v>
      </c>
      <c r="K617" s="7">
        <f>K615</f>
        <v>0</v>
      </c>
      <c r="L617" s="7">
        <f>L615</f>
        <v>0</v>
      </c>
      <c r="M617" s="7">
        <f>M615</f>
        <v>0</v>
      </c>
      <c r="N617" s="7">
        <v>520</v>
      </c>
      <c r="O617" s="7"/>
      <c r="P617" s="7">
        <f>N617+O617</f>
        <v>520</v>
      </c>
      <c r="Q617" s="74"/>
    </row>
    <row r="618" spans="1:17" s="51" customFormat="1" ht="11.25">
      <c r="A618" s="5" t="s">
        <v>7</v>
      </c>
      <c r="B618" s="36"/>
      <c r="C618" s="36"/>
      <c r="D618" s="79"/>
      <c r="E618" s="79"/>
      <c r="F618" s="80"/>
      <c r="G618" s="29"/>
      <c r="H618" s="29"/>
      <c r="I618" s="29"/>
      <c r="J618" s="7"/>
      <c r="K618" s="29"/>
      <c r="L618" s="29"/>
      <c r="M618" s="29"/>
      <c r="N618" s="29"/>
      <c r="O618" s="29"/>
      <c r="P618" s="7"/>
      <c r="Q618" s="74"/>
    </row>
    <row r="619" spans="1:17" s="51" customFormat="1" ht="17.25" customHeight="1">
      <c r="A619" s="8" t="s">
        <v>167</v>
      </c>
      <c r="B619" s="36"/>
      <c r="C619" s="36"/>
      <c r="D619" s="79">
        <v>2500</v>
      </c>
      <c r="E619" s="79"/>
      <c r="F619" s="80"/>
      <c r="G619" s="7">
        <v>3000</v>
      </c>
      <c r="H619" s="29"/>
      <c r="I619" s="29"/>
      <c r="J619" s="7">
        <f>G619+H619</f>
        <v>3000</v>
      </c>
      <c r="K619" s="29"/>
      <c r="L619" s="29"/>
      <c r="M619" s="29"/>
      <c r="N619" s="7">
        <v>2500</v>
      </c>
      <c r="O619" s="7"/>
      <c r="P619" s="7">
        <f>N619+O619</f>
        <v>2500</v>
      </c>
      <c r="Q619" s="74"/>
    </row>
    <row r="620" spans="1:17" s="82" customFormat="1" ht="65.25" customHeight="1">
      <c r="A620" s="76" t="s">
        <v>465</v>
      </c>
      <c r="B620" s="33"/>
      <c r="C620" s="33"/>
      <c r="D620" s="44">
        <f>D624*D627+90000</f>
        <v>290000</v>
      </c>
      <c r="E620" s="44"/>
      <c r="F620" s="44">
        <f>D620+E620</f>
        <v>290000</v>
      </c>
      <c r="G620" s="35">
        <f>G624*G627</f>
        <v>830000.0025000001</v>
      </c>
      <c r="H620" s="35">
        <f aca="true" t="shared" si="60" ref="H620:P620">H624*H627</f>
        <v>0</v>
      </c>
      <c r="I620" s="35">
        <f t="shared" si="60"/>
        <v>0</v>
      </c>
      <c r="J620" s="35">
        <f t="shared" si="60"/>
        <v>830000.0025000001</v>
      </c>
      <c r="K620" s="35">
        <f t="shared" si="60"/>
        <v>0</v>
      </c>
      <c r="L620" s="35">
        <f t="shared" si="60"/>
        <v>0</v>
      </c>
      <c r="M620" s="35">
        <f t="shared" si="60"/>
        <v>0</v>
      </c>
      <c r="N620" s="35">
        <f>N624*N627</f>
        <v>1500000</v>
      </c>
      <c r="O620" s="35">
        <f t="shared" si="60"/>
        <v>0</v>
      </c>
      <c r="P620" s="35">
        <f t="shared" si="60"/>
        <v>1500000</v>
      </c>
      <c r="Q620" s="81"/>
    </row>
    <row r="621" spans="1:149" ht="11.25">
      <c r="A621" s="5" t="s">
        <v>4</v>
      </c>
      <c r="B621" s="6"/>
      <c r="C621" s="6"/>
      <c r="D621" s="83"/>
      <c r="E621" s="83"/>
      <c r="F621" s="83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24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  <c r="AC621" s="52"/>
      <c r="AD621" s="52"/>
      <c r="AE621" s="52"/>
      <c r="AF621" s="52"/>
      <c r="AG621" s="52"/>
      <c r="AH621" s="52"/>
      <c r="AI621" s="52"/>
      <c r="AJ621" s="52"/>
      <c r="AK621" s="52"/>
      <c r="AL621" s="52"/>
      <c r="AM621" s="52"/>
      <c r="AN621" s="52"/>
      <c r="AO621" s="52"/>
      <c r="AP621" s="52"/>
      <c r="AQ621" s="52"/>
      <c r="AR621" s="52"/>
      <c r="AS621" s="52"/>
      <c r="AT621" s="52"/>
      <c r="AU621" s="52"/>
      <c r="AV621" s="52"/>
      <c r="AW621" s="52"/>
      <c r="AX621" s="52"/>
      <c r="AY621" s="52"/>
      <c r="AZ621" s="52"/>
      <c r="BA621" s="52"/>
      <c r="BB621" s="52"/>
      <c r="BC621" s="52"/>
      <c r="BD621" s="52"/>
      <c r="BE621" s="52"/>
      <c r="BF621" s="52"/>
      <c r="BG621" s="52"/>
      <c r="BH621" s="52"/>
      <c r="BI621" s="52"/>
      <c r="BJ621" s="52"/>
      <c r="BK621" s="52"/>
      <c r="BL621" s="52"/>
      <c r="BM621" s="52"/>
      <c r="BN621" s="52"/>
      <c r="BO621" s="52"/>
      <c r="BP621" s="52"/>
      <c r="BQ621" s="52"/>
      <c r="BR621" s="52"/>
      <c r="BS621" s="52"/>
      <c r="BT621" s="52"/>
      <c r="BU621" s="52"/>
      <c r="BV621" s="52"/>
      <c r="BW621" s="52"/>
      <c r="BX621" s="52"/>
      <c r="BY621" s="52"/>
      <c r="BZ621" s="52"/>
      <c r="CA621" s="52"/>
      <c r="CB621" s="52"/>
      <c r="CC621" s="52"/>
      <c r="CD621" s="52"/>
      <c r="CE621" s="52"/>
      <c r="CF621" s="52"/>
      <c r="CG621" s="52"/>
      <c r="CH621" s="52"/>
      <c r="CI621" s="52"/>
      <c r="CJ621" s="52"/>
      <c r="CK621" s="52"/>
      <c r="CL621" s="52"/>
      <c r="CM621" s="52"/>
      <c r="CN621" s="52"/>
      <c r="CO621" s="52"/>
      <c r="CP621" s="52"/>
      <c r="CQ621" s="52"/>
      <c r="CR621" s="52"/>
      <c r="CS621" s="52"/>
      <c r="CT621" s="52"/>
      <c r="CU621" s="52"/>
      <c r="CV621" s="52"/>
      <c r="CW621" s="52"/>
      <c r="CX621" s="52"/>
      <c r="CY621" s="52"/>
      <c r="CZ621" s="52"/>
      <c r="DA621" s="52"/>
      <c r="DB621" s="52"/>
      <c r="DC621" s="52"/>
      <c r="DD621" s="52"/>
      <c r="DE621" s="52"/>
      <c r="DF621" s="52"/>
      <c r="DG621" s="52"/>
      <c r="DH621" s="52"/>
      <c r="DI621" s="52"/>
      <c r="DJ621" s="52"/>
      <c r="DK621" s="52"/>
      <c r="DL621" s="52"/>
      <c r="DM621" s="52"/>
      <c r="DN621" s="52"/>
      <c r="DO621" s="52"/>
      <c r="DP621" s="52"/>
      <c r="DQ621" s="52"/>
      <c r="DR621" s="52"/>
      <c r="DS621" s="52"/>
      <c r="DT621" s="52"/>
      <c r="DU621" s="52"/>
      <c r="DV621" s="52"/>
      <c r="DW621" s="52"/>
      <c r="DX621" s="52"/>
      <c r="DY621" s="52"/>
      <c r="DZ621" s="52"/>
      <c r="EA621" s="52"/>
      <c r="EB621" s="52"/>
      <c r="EC621" s="52"/>
      <c r="ED621" s="52"/>
      <c r="EE621" s="52"/>
      <c r="EF621" s="52"/>
      <c r="EG621" s="52"/>
      <c r="EH621" s="52"/>
      <c r="EI621" s="52"/>
      <c r="EJ621" s="52"/>
      <c r="EK621" s="52"/>
      <c r="EL621" s="52"/>
      <c r="EM621" s="52"/>
      <c r="EN621" s="52"/>
      <c r="EO621" s="52"/>
      <c r="EP621" s="52"/>
      <c r="EQ621" s="52"/>
      <c r="ER621" s="52"/>
      <c r="ES621" s="52"/>
    </row>
    <row r="622" spans="1:149" ht="33.75">
      <c r="A622" s="8" t="s">
        <v>165</v>
      </c>
      <c r="B622" s="6"/>
      <c r="C622" s="6"/>
      <c r="D622" s="43">
        <v>6</v>
      </c>
      <c r="E622" s="43"/>
      <c r="F622" s="43">
        <f>D622</f>
        <v>6</v>
      </c>
      <c r="G622" s="43">
        <v>9</v>
      </c>
      <c r="H622" s="43"/>
      <c r="I622" s="43"/>
      <c r="J622" s="7">
        <f>G622+H622</f>
        <v>9</v>
      </c>
      <c r="K622" s="43">
        <f>H622</f>
        <v>0</v>
      </c>
      <c r="L622" s="43">
        <f>J622</f>
        <v>9</v>
      </c>
      <c r="M622" s="43">
        <f>K622</f>
        <v>0</v>
      </c>
      <c r="N622" s="43">
        <v>16</v>
      </c>
      <c r="O622" s="43"/>
      <c r="P622" s="43">
        <f>N622</f>
        <v>16</v>
      </c>
      <c r="Q622" s="24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  <c r="AC622" s="52"/>
      <c r="AD622" s="52"/>
      <c r="AE622" s="52"/>
      <c r="AF622" s="52"/>
      <c r="AG622" s="52"/>
      <c r="AH622" s="52"/>
      <c r="AI622" s="52"/>
      <c r="AJ622" s="52"/>
      <c r="AK622" s="52"/>
      <c r="AL622" s="52"/>
      <c r="AM622" s="52"/>
      <c r="AN622" s="52"/>
      <c r="AO622" s="52"/>
      <c r="AP622" s="52"/>
      <c r="AQ622" s="52"/>
      <c r="AR622" s="52"/>
      <c r="AS622" s="52"/>
      <c r="AT622" s="52"/>
      <c r="AU622" s="52"/>
      <c r="AV622" s="52"/>
      <c r="AW622" s="52"/>
      <c r="AX622" s="52"/>
      <c r="AY622" s="52"/>
      <c r="AZ622" s="52"/>
      <c r="BA622" s="52"/>
      <c r="BB622" s="52"/>
      <c r="BC622" s="52"/>
      <c r="BD622" s="52"/>
      <c r="BE622" s="52"/>
      <c r="BF622" s="52"/>
      <c r="BG622" s="52"/>
      <c r="BH622" s="52"/>
      <c r="BI622" s="52"/>
      <c r="BJ622" s="52"/>
      <c r="BK622" s="52"/>
      <c r="BL622" s="52"/>
      <c r="BM622" s="52"/>
      <c r="BN622" s="52"/>
      <c r="BO622" s="52"/>
      <c r="BP622" s="52"/>
      <c r="BQ622" s="52"/>
      <c r="BR622" s="52"/>
      <c r="BS622" s="52"/>
      <c r="BT622" s="52"/>
      <c r="BU622" s="52"/>
      <c r="BV622" s="52"/>
      <c r="BW622" s="52"/>
      <c r="BX622" s="52"/>
      <c r="BY622" s="52"/>
      <c r="BZ622" s="52"/>
      <c r="CA622" s="52"/>
      <c r="CB622" s="52"/>
      <c r="CC622" s="52"/>
      <c r="CD622" s="52"/>
      <c r="CE622" s="52"/>
      <c r="CF622" s="52"/>
      <c r="CG622" s="52"/>
      <c r="CH622" s="52"/>
      <c r="CI622" s="52"/>
      <c r="CJ622" s="52"/>
      <c r="CK622" s="52"/>
      <c r="CL622" s="52"/>
      <c r="CM622" s="52"/>
      <c r="CN622" s="52"/>
      <c r="CO622" s="52"/>
      <c r="CP622" s="52"/>
      <c r="CQ622" s="52"/>
      <c r="CR622" s="52"/>
      <c r="CS622" s="52"/>
      <c r="CT622" s="52"/>
      <c r="CU622" s="52"/>
      <c r="CV622" s="52"/>
      <c r="CW622" s="52"/>
      <c r="CX622" s="52"/>
      <c r="CY622" s="52"/>
      <c r="CZ622" s="52"/>
      <c r="DA622" s="52"/>
      <c r="DB622" s="52"/>
      <c r="DC622" s="52"/>
      <c r="DD622" s="52"/>
      <c r="DE622" s="52"/>
      <c r="DF622" s="52"/>
      <c r="DG622" s="52"/>
      <c r="DH622" s="52"/>
      <c r="DI622" s="52"/>
      <c r="DJ622" s="52"/>
      <c r="DK622" s="52"/>
      <c r="DL622" s="52"/>
      <c r="DM622" s="52"/>
      <c r="DN622" s="52"/>
      <c r="DO622" s="52"/>
      <c r="DP622" s="52"/>
      <c r="DQ622" s="52"/>
      <c r="DR622" s="52"/>
      <c r="DS622" s="52"/>
      <c r="DT622" s="52"/>
      <c r="DU622" s="52"/>
      <c r="DV622" s="52"/>
      <c r="DW622" s="52"/>
      <c r="DX622" s="52"/>
      <c r="DY622" s="52"/>
      <c r="DZ622" s="52"/>
      <c r="EA622" s="52"/>
      <c r="EB622" s="52"/>
      <c r="EC622" s="52"/>
      <c r="ED622" s="52"/>
      <c r="EE622" s="52"/>
      <c r="EF622" s="52"/>
      <c r="EG622" s="52"/>
      <c r="EH622" s="52"/>
      <c r="EI622" s="52"/>
      <c r="EJ622" s="52"/>
      <c r="EK622" s="52"/>
      <c r="EL622" s="52"/>
      <c r="EM622" s="52"/>
      <c r="EN622" s="52"/>
      <c r="EO622" s="52"/>
      <c r="EP622" s="52"/>
      <c r="EQ622" s="52"/>
      <c r="ER622" s="52"/>
      <c r="ES622" s="52"/>
    </row>
    <row r="623" spans="1:149" ht="11.25">
      <c r="A623" s="5" t="s">
        <v>5</v>
      </c>
      <c r="B623" s="6"/>
      <c r="C623" s="6"/>
      <c r="D623" s="43"/>
      <c r="E623" s="43"/>
      <c r="F623" s="43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24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  <c r="AC623" s="52"/>
      <c r="AD623" s="52"/>
      <c r="AE623" s="52"/>
      <c r="AF623" s="52"/>
      <c r="AG623" s="52"/>
      <c r="AH623" s="52"/>
      <c r="AI623" s="52"/>
      <c r="AJ623" s="52"/>
      <c r="AK623" s="52"/>
      <c r="AL623" s="52"/>
      <c r="AM623" s="52"/>
      <c r="AN623" s="52"/>
      <c r="AO623" s="52"/>
      <c r="AP623" s="52"/>
      <c r="AQ623" s="52"/>
      <c r="AR623" s="52"/>
      <c r="AS623" s="52"/>
      <c r="AT623" s="52"/>
      <c r="AU623" s="52"/>
      <c r="AV623" s="52"/>
      <c r="AW623" s="52"/>
      <c r="AX623" s="52"/>
      <c r="AY623" s="52"/>
      <c r="AZ623" s="52"/>
      <c r="BA623" s="52"/>
      <c r="BB623" s="52"/>
      <c r="BC623" s="52"/>
      <c r="BD623" s="52"/>
      <c r="BE623" s="52"/>
      <c r="BF623" s="52"/>
      <c r="BG623" s="52"/>
      <c r="BH623" s="52"/>
      <c r="BI623" s="52"/>
      <c r="BJ623" s="52"/>
      <c r="BK623" s="52"/>
      <c r="BL623" s="52"/>
      <c r="BM623" s="52"/>
      <c r="BN623" s="52"/>
      <c r="BO623" s="52"/>
      <c r="BP623" s="52"/>
      <c r="BQ623" s="52"/>
      <c r="BR623" s="52"/>
      <c r="BS623" s="52"/>
      <c r="BT623" s="52"/>
      <c r="BU623" s="52"/>
      <c r="BV623" s="52"/>
      <c r="BW623" s="52"/>
      <c r="BX623" s="52"/>
      <c r="BY623" s="52"/>
      <c r="BZ623" s="52"/>
      <c r="CA623" s="52"/>
      <c r="CB623" s="52"/>
      <c r="CC623" s="52"/>
      <c r="CD623" s="52"/>
      <c r="CE623" s="52"/>
      <c r="CF623" s="52"/>
      <c r="CG623" s="52"/>
      <c r="CH623" s="52"/>
      <c r="CI623" s="52"/>
      <c r="CJ623" s="52"/>
      <c r="CK623" s="52"/>
      <c r="CL623" s="52"/>
      <c r="CM623" s="52"/>
      <c r="CN623" s="52"/>
      <c r="CO623" s="52"/>
      <c r="CP623" s="52"/>
      <c r="CQ623" s="52"/>
      <c r="CR623" s="52"/>
      <c r="CS623" s="52"/>
      <c r="CT623" s="52"/>
      <c r="CU623" s="52"/>
      <c r="CV623" s="52"/>
      <c r="CW623" s="52"/>
      <c r="CX623" s="52"/>
      <c r="CY623" s="52"/>
      <c r="CZ623" s="52"/>
      <c r="DA623" s="52"/>
      <c r="DB623" s="52"/>
      <c r="DC623" s="52"/>
      <c r="DD623" s="52"/>
      <c r="DE623" s="52"/>
      <c r="DF623" s="52"/>
      <c r="DG623" s="52"/>
      <c r="DH623" s="52"/>
      <c r="DI623" s="52"/>
      <c r="DJ623" s="52"/>
      <c r="DK623" s="52"/>
      <c r="DL623" s="52"/>
      <c r="DM623" s="52"/>
      <c r="DN623" s="52"/>
      <c r="DO623" s="52"/>
      <c r="DP623" s="52"/>
      <c r="DQ623" s="52"/>
      <c r="DR623" s="52"/>
      <c r="DS623" s="52"/>
      <c r="DT623" s="52"/>
      <c r="DU623" s="52"/>
      <c r="DV623" s="52"/>
      <c r="DW623" s="52"/>
      <c r="DX623" s="52"/>
      <c r="DY623" s="52"/>
      <c r="DZ623" s="52"/>
      <c r="EA623" s="52"/>
      <c r="EB623" s="52"/>
      <c r="EC623" s="52"/>
      <c r="ED623" s="52"/>
      <c r="EE623" s="52"/>
      <c r="EF623" s="52"/>
      <c r="EG623" s="52"/>
      <c r="EH623" s="52"/>
      <c r="EI623" s="52"/>
      <c r="EJ623" s="52"/>
      <c r="EK623" s="52"/>
      <c r="EL623" s="52"/>
      <c r="EM623" s="52"/>
      <c r="EN623" s="52"/>
      <c r="EO623" s="52"/>
      <c r="EP623" s="52"/>
      <c r="EQ623" s="52"/>
      <c r="ER623" s="52"/>
      <c r="ES623" s="52"/>
    </row>
    <row r="624" spans="1:149" ht="32.25" customHeight="1">
      <c r="A624" s="8" t="s">
        <v>166</v>
      </c>
      <c r="B624" s="6"/>
      <c r="C624" s="6"/>
      <c r="D624" s="43">
        <v>6</v>
      </c>
      <c r="E624" s="43"/>
      <c r="F624" s="43">
        <f>D624</f>
        <v>6</v>
      </c>
      <c r="G624" s="7">
        <v>9</v>
      </c>
      <c r="H624" s="7"/>
      <c r="I624" s="7"/>
      <c r="J624" s="7">
        <f>G624+H624</f>
        <v>9</v>
      </c>
      <c r="K624" s="7"/>
      <c r="L624" s="7"/>
      <c r="M624" s="7"/>
      <c r="N624" s="7">
        <v>16</v>
      </c>
      <c r="O624" s="7"/>
      <c r="P624" s="7">
        <f>N624</f>
        <v>16</v>
      </c>
      <c r="Q624" s="24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  <c r="AC624" s="52"/>
      <c r="AD624" s="52"/>
      <c r="AE624" s="52"/>
      <c r="AF624" s="52"/>
      <c r="AG624" s="52"/>
      <c r="AH624" s="52"/>
      <c r="AI624" s="52"/>
      <c r="AJ624" s="52"/>
      <c r="AK624" s="52"/>
      <c r="AL624" s="52"/>
      <c r="AM624" s="52"/>
      <c r="AN624" s="52"/>
      <c r="AO624" s="52"/>
      <c r="AP624" s="52"/>
      <c r="AQ624" s="52"/>
      <c r="AR624" s="52"/>
      <c r="AS624" s="52"/>
      <c r="AT624" s="52"/>
      <c r="AU624" s="52"/>
      <c r="AV624" s="52"/>
      <c r="AW624" s="52"/>
      <c r="AX624" s="52"/>
      <c r="AY624" s="52"/>
      <c r="AZ624" s="52"/>
      <c r="BA624" s="52"/>
      <c r="BB624" s="52"/>
      <c r="BC624" s="52"/>
      <c r="BD624" s="52"/>
      <c r="BE624" s="52"/>
      <c r="BF624" s="52"/>
      <c r="BG624" s="52"/>
      <c r="BH624" s="52"/>
      <c r="BI624" s="52"/>
      <c r="BJ624" s="52"/>
      <c r="BK624" s="52"/>
      <c r="BL624" s="52"/>
      <c r="BM624" s="52"/>
      <c r="BN624" s="52"/>
      <c r="BO624" s="52"/>
      <c r="BP624" s="52"/>
      <c r="BQ624" s="52"/>
      <c r="BR624" s="52"/>
      <c r="BS624" s="52"/>
      <c r="BT624" s="52"/>
      <c r="BU624" s="52"/>
      <c r="BV624" s="52"/>
      <c r="BW624" s="52"/>
      <c r="BX624" s="52"/>
      <c r="BY624" s="52"/>
      <c r="BZ624" s="52"/>
      <c r="CA624" s="52"/>
      <c r="CB624" s="52"/>
      <c r="CC624" s="52"/>
      <c r="CD624" s="52"/>
      <c r="CE624" s="52"/>
      <c r="CF624" s="52"/>
      <c r="CG624" s="52"/>
      <c r="CH624" s="52"/>
      <c r="CI624" s="52"/>
      <c r="CJ624" s="52"/>
      <c r="CK624" s="52"/>
      <c r="CL624" s="52"/>
      <c r="CM624" s="52"/>
      <c r="CN624" s="52"/>
      <c r="CO624" s="52"/>
      <c r="CP624" s="52"/>
      <c r="CQ624" s="52"/>
      <c r="CR624" s="52"/>
      <c r="CS624" s="52"/>
      <c r="CT624" s="52"/>
      <c r="CU624" s="52"/>
      <c r="CV624" s="52"/>
      <c r="CW624" s="52"/>
      <c r="CX624" s="52"/>
      <c r="CY624" s="52"/>
      <c r="CZ624" s="52"/>
      <c r="DA624" s="52"/>
      <c r="DB624" s="52"/>
      <c r="DC624" s="52"/>
      <c r="DD624" s="52"/>
      <c r="DE624" s="52"/>
      <c r="DF624" s="52"/>
      <c r="DG624" s="52"/>
      <c r="DH624" s="52"/>
      <c r="DI624" s="52"/>
      <c r="DJ624" s="52"/>
      <c r="DK624" s="52"/>
      <c r="DL624" s="52"/>
      <c r="DM624" s="52"/>
      <c r="DN624" s="52"/>
      <c r="DO624" s="52"/>
      <c r="DP624" s="52"/>
      <c r="DQ624" s="52"/>
      <c r="DR624" s="52"/>
      <c r="DS624" s="52"/>
      <c r="DT624" s="52"/>
      <c r="DU624" s="52"/>
      <c r="DV624" s="52"/>
      <c r="DW624" s="52"/>
      <c r="DX624" s="52"/>
      <c r="DY624" s="52"/>
      <c r="DZ624" s="52"/>
      <c r="EA624" s="52"/>
      <c r="EB624" s="52"/>
      <c r="EC624" s="52"/>
      <c r="ED624" s="52"/>
      <c r="EE624" s="52"/>
      <c r="EF624" s="52"/>
      <c r="EG624" s="52"/>
      <c r="EH624" s="52"/>
      <c r="EI624" s="52"/>
      <c r="EJ624" s="52"/>
      <c r="EK624" s="52"/>
      <c r="EL624" s="52"/>
      <c r="EM624" s="52"/>
      <c r="EN624" s="52"/>
      <c r="EO624" s="52"/>
      <c r="EP624" s="52"/>
      <c r="EQ624" s="52"/>
      <c r="ER624" s="52"/>
      <c r="ES624" s="52"/>
    </row>
    <row r="625" spans="1:149" ht="22.5">
      <c r="A625" s="8" t="s">
        <v>163</v>
      </c>
      <c r="B625" s="6"/>
      <c r="C625" s="6"/>
      <c r="D625" s="43"/>
      <c r="E625" s="43"/>
      <c r="F625" s="43">
        <f>D625</f>
        <v>0</v>
      </c>
      <c r="G625" s="7"/>
      <c r="H625" s="7"/>
      <c r="I625" s="7"/>
      <c r="J625" s="7">
        <f>G625+H625</f>
        <v>0</v>
      </c>
      <c r="K625" s="7"/>
      <c r="L625" s="7"/>
      <c r="M625" s="7"/>
      <c r="N625" s="7"/>
      <c r="O625" s="7"/>
      <c r="P625" s="7"/>
      <c r="Q625" s="24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  <c r="AC625" s="52"/>
      <c r="AD625" s="52"/>
      <c r="AE625" s="52"/>
      <c r="AF625" s="52"/>
      <c r="AG625" s="52"/>
      <c r="AH625" s="52"/>
      <c r="AI625" s="52"/>
      <c r="AJ625" s="52"/>
      <c r="AK625" s="52"/>
      <c r="AL625" s="52"/>
      <c r="AM625" s="52"/>
      <c r="AN625" s="52"/>
      <c r="AO625" s="52"/>
      <c r="AP625" s="52"/>
      <c r="AQ625" s="52"/>
      <c r="AR625" s="52"/>
      <c r="AS625" s="52"/>
      <c r="AT625" s="52"/>
      <c r="AU625" s="52"/>
      <c r="AV625" s="52"/>
      <c r="AW625" s="52"/>
      <c r="AX625" s="52"/>
      <c r="AY625" s="52"/>
      <c r="AZ625" s="52"/>
      <c r="BA625" s="52"/>
      <c r="BB625" s="52"/>
      <c r="BC625" s="52"/>
      <c r="BD625" s="52"/>
      <c r="BE625" s="52"/>
      <c r="BF625" s="52"/>
      <c r="BG625" s="52"/>
      <c r="BH625" s="52"/>
      <c r="BI625" s="52"/>
      <c r="BJ625" s="52"/>
      <c r="BK625" s="52"/>
      <c r="BL625" s="52"/>
      <c r="BM625" s="52"/>
      <c r="BN625" s="52"/>
      <c r="BO625" s="52"/>
      <c r="BP625" s="52"/>
      <c r="BQ625" s="52"/>
      <c r="BR625" s="52"/>
      <c r="BS625" s="52"/>
      <c r="BT625" s="52"/>
      <c r="BU625" s="52"/>
      <c r="BV625" s="52"/>
      <c r="BW625" s="52"/>
      <c r="BX625" s="52"/>
      <c r="BY625" s="52"/>
      <c r="BZ625" s="52"/>
      <c r="CA625" s="52"/>
      <c r="CB625" s="52"/>
      <c r="CC625" s="52"/>
      <c r="CD625" s="52"/>
      <c r="CE625" s="52"/>
      <c r="CF625" s="52"/>
      <c r="CG625" s="52"/>
      <c r="CH625" s="52"/>
      <c r="CI625" s="52"/>
      <c r="CJ625" s="52"/>
      <c r="CK625" s="52"/>
      <c r="CL625" s="52"/>
      <c r="CM625" s="52"/>
      <c r="CN625" s="52"/>
      <c r="CO625" s="52"/>
      <c r="CP625" s="52"/>
      <c r="CQ625" s="52"/>
      <c r="CR625" s="52"/>
      <c r="CS625" s="52"/>
      <c r="CT625" s="52"/>
      <c r="CU625" s="52"/>
      <c r="CV625" s="52"/>
      <c r="CW625" s="52"/>
      <c r="CX625" s="52"/>
      <c r="CY625" s="52"/>
      <c r="CZ625" s="52"/>
      <c r="DA625" s="52"/>
      <c r="DB625" s="52"/>
      <c r="DC625" s="52"/>
      <c r="DD625" s="52"/>
      <c r="DE625" s="52"/>
      <c r="DF625" s="52"/>
      <c r="DG625" s="52"/>
      <c r="DH625" s="52"/>
      <c r="DI625" s="52"/>
      <c r="DJ625" s="52"/>
      <c r="DK625" s="52"/>
      <c r="DL625" s="52"/>
      <c r="DM625" s="52"/>
      <c r="DN625" s="52"/>
      <c r="DO625" s="52"/>
      <c r="DP625" s="52"/>
      <c r="DQ625" s="52"/>
      <c r="DR625" s="52"/>
      <c r="DS625" s="52"/>
      <c r="DT625" s="52"/>
      <c r="DU625" s="52"/>
      <c r="DV625" s="52"/>
      <c r="DW625" s="52"/>
      <c r="DX625" s="52"/>
      <c r="DY625" s="52"/>
      <c r="DZ625" s="52"/>
      <c r="EA625" s="52"/>
      <c r="EB625" s="52"/>
      <c r="EC625" s="52"/>
      <c r="ED625" s="52"/>
      <c r="EE625" s="52"/>
      <c r="EF625" s="52"/>
      <c r="EG625" s="52"/>
      <c r="EH625" s="52"/>
      <c r="EI625" s="52"/>
      <c r="EJ625" s="52"/>
      <c r="EK625" s="52"/>
      <c r="EL625" s="52"/>
      <c r="EM625" s="52"/>
      <c r="EN625" s="52"/>
      <c r="EO625" s="52"/>
      <c r="EP625" s="52"/>
      <c r="EQ625" s="52"/>
      <c r="ER625" s="52"/>
      <c r="ES625" s="52"/>
    </row>
    <row r="626" spans="1:149" ht="11.25">
      <c r="A626" s="5" t="s">
        <v>7</v>
      </c>
      <c r="B626" s="6"/>
      <c r="C626" s="6"/>
      <c r="D626" s="43"/>
      <c r="E626" s="43"/>
      <c r="F626" s="43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24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  <c r="AC626" s="52"/>
      <c r="AD626" s="52"/>
      <c r="AE626" s="52"/>
      <c r="AF626" s="52"/>
      <c r="AG626" s="52"/>
      <c r="AH626" s="52"/>
      <c r="AI626" s="52"/>
      <c r="AJ626" s="52"/>
      <c r="AK626" s="52"/>
      <c r="AL626" s="52"/>
      <c r="AM626" s="52"/>
      <c r="AN626" s="52"/>
      <c r="AO626" s="52"/>
      <c r="AP626" s="52"/>
      <c r="AQ626" s="52"/>
      <c r="AR626" s="52"/>
      <c r="AS626" s="52"/>
      <c r="AT626" s="52"/>
      <c r="AU626" s="52"/>
      <c r="AV626" s="52"/>
      <c r="AW626" s="52"/>
      <c r="AX626" s="52"/>
      <c r="AY626" s="52"/>
      <c r="AZ626" s="52"/>
      <c r="BA626" s="52"/>
      <c r="BB626" s="52"/>
      <c r="BC626" s="52"/>
      <c r="BD626" s="52"/>
      <c r="BE626" s="52"/>
      <c r="BF626" s="52"/>
      <c r="BG626" s="52"/>
      <c r="BH626" s="52"/>
      <c r="BI626" s="52"/>
      <c r="BJ626" s="52"/>
      <c r="BK626" s="52"/>
      <c r="BL626" s="52"/>
      <c r="BM626" s="52"/>
      <c r="BN626" s="52"/>
      <c r="BO626" s="52"/>
      <c r="BP626" s="52"/>
      <c r="BQ626" s="52"/>
      <c r="BR626" s="52"/>
      <c r="BS626" s="52"/>
      <c r="BT626" s="52"/>
      <c r="BU626" s="52"/>
      <c r="BV626" s="52"/>
      <c r="BW626" s="52"/>
      <c r="BX626" s="52"/>
      <c r="BY626" s="52"/>
      <c r="BZ626" s="52"/>
      <c r="CA626" s="52"/>
      <c r="CB626" s="52"/>
      <c r="CC626" s="52"/>
      <c r="CD626" s="52"/>
      <c r="CE626" s="52"/>
      <c r="CF626" s="52"/>
      <c r="CG626" s="52"/>
      <c r="CH626" s="52"/>
      <c r="CI626" s="52"/>
      <c r="CJ626" s="52"/>
      <c r="CK626" s="52"/>
      <c r="CL626" s="52"/>
      <c r="CM626" s="52"/>
      <c r="CN626" s="52"/>
      <c r="CO626" s="52"/>
      <c r="CP626" s="52"/>
      <c r="CQ626" s="52"/>
      <c r="CR626" s="52"/>
      <c r="CS626" s="52"/>
      <c r="CT626" s="52"/>
      <c r="CU626" s="52"/>
      <c r="CV626" s="52"/>
      <c r="CW626" s="52"/>
      <c r="CX626" s="52"/>
      <c r="CY626" s="52"/>
      <c r="CZ626" s="52"/>
      <c r="DA626" s="52"/>
      <c r="DB626" s="52"/>
      <c r="DC626" s="52"/>
      <c r="DD626" s="52"/>
      <c r="DE626" s="52"/>
      <c r="DF626" s="52"/>
      <c r="DG626" s="52"/>
      <c r="DH626" s="52"/>
      <c r="DI626" s="52"/>
      <c r="DJ626" s="52"/>
      <c r="DK626" s="52"/>
      <c r="DL626" s="52"/>
      <c r="DM626" s="52"/>
      <c r="DN626" s="52"/>
      <c r="DO626" s="52"/>
      <c r="DP626" s="52"/>
      <c r="DQ626" s="52"/>
      <c r="DR626" s="52"/>
      <c r="DS626" s="52"/>
      <c r="DT626" s="52"/>
      <c r="DU626" s="52"/>
      <c r="DV626" s="52"/>
      <c r="DW626" s="52"/>
      <c r="DX626" s="52"/>
      <c r="DY626" s="52"/>
      <c r="DZ626" s="52"/>
      <c r="EA626" s="52"/>
      <c r="EB626" s="52"/>
      <c r="EC626" s="52"/>
      <c r="ED626" s="52"/>
      <c r="EE626" s="52"/>
      <c r="EF626" s="52"/>
      <c r="EG626" s="52"/>
      <c r="EH626" s="52"/>
      <c r="EI626" s="52"/>
      <c r="EJ626" s="52"/>
      <c r="EK626" s="52"/>
      <c r="EL626" s="52"/>
      <c r="EM626" s="52"/>
      <c r="EN626" s="52"/>
      <c r="EO626" s="52"/>
      <c r="EP626" s="52"/>
      <c r="EQ626" s="52"/>
      <c r="ER626" s="52"/>
      <c r="ES626" s="52"/>
    </row>
    <row r="627" spans="1:149" ht="22.5">
      <c r="A627" s="8" t="s">
        <v>167</v>
      </c>
      <c r="B627" s="6"/>
      <c r="C627" s="6"/>
      <c r="D627" s="43">
        <f>200000/6</f>
        <v>33333.333333333336</v>
      </c>
      <c r="E627" s="43"/>
      <c r="F627" s="43">
        <f>D627</f>
        <v>33333.333333333336</v>
      </c>
      <c r="G627" s="7">
        <v>92222.2225</v>
      </c>
      <c r="H627" s="7"/>
      <c r="I627" s="7"/>
      <c r="J627" s="7">
        <f>G627+H627</f>
        <v>92222.2225</v>
      </c>
      <c r="K627" s="7"/>
      <c r="L627" s="7"/>
      <c r="M627" s="7"/>
      <c r="N627" s="7">
        <v>93750</v>
      </c>
      <c r="O627" s="7"/>
      <c r="P627" s="7">
        <f>N627</f>
        <v>93750</v>
      </c>
      <c r="Q627" s="24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  <c r="AC627" s="52"/>
      <c r="AD627" s="52"/>
      <c r="AE627" s="52"/>
      <c r="AF627" s="52"/>
      <c r="AG627" s="52"/>
      <c r="AH627" s="52"/>
      <c r="AI627" s="52"/>
      <c r="AJ627" s="52"/>
      <c r="AK627" s="52"/>
      <c r="AL627" s="52"/>
      <c r="AM627" s="52"/>
      <c r="AN627" s="52"/>
      <c r="AO627" s="52"/>
      <c r="AP627" s="52"/>
      <c r="AQ627" s="52"/>
      <c r="AR627" s="52"/>
      <c r="AS627" s="52"/>
      <c r="AT627" s="52"/>
      <c r="AU627" s="52"/>
      <c r="AV627" s="52"/>
      <c r="AW627" s="52"/>
      <c r="AX627" s="52"/>
      <c r="AY627" s="52"/>
      <c r="AZ627" s="52"/>
      <c r="BA627" s="52"/>
      <c r="BB627" s="52"/>
      <c r="BC627" s="52"/>
      <c r="BD627" s="52"/>
      <c r="BE627" s="52"/>
      <c r="BF627" s="52"/>
      <c r="BG627" s="52"/>
      <c r="BH627" s="52"/>
      <c r="BI627" s="52"/>
      <c r="BJ627" s="52"/>
      <c r="BK627" s="52"/>
      <c r="BL627" s="52"/>
      <c r="BM627" s="52"/>
      <c r="BN627" s="52"/>
      <c r="BO627" s="52"/>
      <c r="BP627" s="52"/>
      <c r="BQ627" s="52"/>
      <c r="BR627" s="52"/>
      <c r="BS627" s="52"/>
      <c r="BT627" s="52"/>
      <c r="BU627" s="52"/>
      <c r="BV627" s="52"/>
      <c r="BW627" s="52"/>
      <c r="BX627" s="52"/>
      <c r="BY627" s="52"/>
      <c r="BZ627" s="52"/>
      <c r="CA627" s="52"/>
      <c r="CB627" s="52"/>
      <c r="CC627" s="52"/>
      <c r="CD627" s="52"/>
      <c r="CE627" s="52"/>
      <c r="CF627" s="52"/>
      <c r="CG627" s="52"/>
      <c r="CH627" s="52"/>
      <c r="CI627" s="52"/>
      <c r="CJ627" s="52"/>
      <c r="CK627" s="52"/>
      <c r="CL627" s="52"/>
      <c r="CM627" s="52"/>
      <c r="CN627" s="52"/>
      <c r="CO627" s="52"/>
      <c r="CP627" s="52"/>
      <c r="CQ627" s="52"/>
      <c r="CR627" s="52"/>
      <c r="CS627" s="52"/>
      <c r="CT627" s="52"/>
      <c r="CU627" s="52"/>
      <c r="CV627" s="52"/>
      <c r="CW627" s="52"/>
      <c r="CX627" s="52"/>
      <c r="CY627" s="52"/>
      <c r="CZ627" s="52"/>
      <c r="DA627" s="52"/>
      <c r="DB627" s="52"/>
      <c r="DC627" s="52"/>
      <c r="DD627" s="52"/>
      <c r="DE627" s="52"/>
      <c r="DF627" s="52"/>
      <c r="DG627" s="52"/>
      <c r="DH627" s="52"/>
      <c r="DI627" s="52"/>
      <c r="DJ627" s="52"/>
      <c r="DK627" s="52"/>
      <c r="DL627" s="52"/>
      <c r="DM627" s="52"/>
      <c r="DN627" s="52"/>
      <c r="DO627" s="52"/>
      <c r="DP627" s="52"/>
      <c r="DQ627" s="52"/>
      <c r="DR627" s="52"/>
      <c r="DS627" s="52"/>
      <c r="DT627" s="52"/>
      <c r="DU627" s="52"/>
      <c r="DV627" s="52"/>
      <c r="DW627" s="52"/>
      <c r="DX627" s="52"/>
      <c r="DY627" s="52"/>
      <c r="DZ627" s="52"/>
      <c r="EA627" s="52"/>
      <c r="EB627" s="52"/>
      <c r="EC627" s="52"/>
      <c r="ED627" s="52"/>
      <c r="EE627" s="52"/>
      <c r="EF627" s="52"/>
      <c r="EG627" s="52"/>
      <c r="EH627" s="52"/>
      <c r="EI627" s="52"/>
      <c r="EJ627" s="52"/>
      <c r="EK627" s="52"/>
      <c r="EL627" s="52"/>
      <c r="EM627" s="52"/>
      <c r="EN627" s="52"/>
      <c r="EO627" s="52"/>
      <c r="EP627" s="52"/>
      <c r="EQ627" s="52"/>
      <c r="ER627" s="52"/>
      <c r="ES627" s="52"/>
    </row>
    <row r="628" spans="1:149" ht="11.25">
      <c r="A628" s="36" t="s">
        <v>254</v>
      </c>
      <c r="B628" s="6"/>
      <c r="C628" s="6"/>
      <c r="D628" s="35">
        <f>D630</f>
        <v>0</v>
      </c>
      <c r="E628" s="35">
        <f>E630</f>
        <v>127913400</v>
      </c>
      <c r="F628" s="35">
        <f aca="true" t="shared" si="61" ref="F628:P628">F630</f>
        <v>127913400</v>
      </c>
      <c r="G628" s="35">
        <f t="shared" si="61"/>
        <v>0</v>
      </c>
      <c r="H628" s="35">
        <f t="shared" si="61"/>
        <v>88123272</v>
      </c>
      <c r="I628" s="35">
        <f t="shared" si="61"/>
        <v>0</v>
      </c>
      <c r="J628" s="35">
        <f t="shared" si="61"/>
        <v>88123272</v>
      </c>
      <c r="K628" s="35">
        <f t="shared" si="61"/>
        <v>0</v>
      </c>
      <c r="L628" s="35">
        <f t="shared" si="61"/>
        <v>0</v>
      </c>
      <c r="M628" s="35">
        <f t="shared" si="61"/>
        <v>0</v>
      </c>
      <c r="N628" s="35">
        <f t="shared" si="61"/>
        <v>0</v>
      </c>
      <c r="O628" s="35">
        <f t="shared" si="61"/>
        <v>7297400</v>
      </c>
      <c r="P628" s="35">
        <f t="shared" si="61"/>
        <v>7297400</v>
      </c>
      <c r="Q628" s="24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  <c r="AC628" s="52"/>
      <c r="AD628" s="52"/>
      <c r="AE628" s="52"/>
      <c r="AF628" s="52"/>
      <c r="AG628" s="52"/>
      <c r="AH628" s="52"/>
      <c r="AI628" s="52"/>
      <c r="AJ628" s="52"/>
      <c r="AK628" s="52"/>
      <c r="AL628" s="52"/>
      <c r="AM628" s="52"/>
      <c r="AN628" s="52"/>
      <c r="AO628" s="52"/>
      <c r="AP628" s="52"/>
      <c r="AQ628" s="52"/>
      <c r="AR628" s="52"/>
      <c r="AS628" s="52"/>
      <c r="AT628" s="52"/>
      <c r="AU628" s="52"/>
      <c r="AV628" s="52"/>
      <c r="AW628" s="52"/>
      <c r="AX628" s="52"/>
      <c r="AY628" s="52"/>
      <c r="AZ628" s="52"/>
      <c r="BA628" s="52"/>
      <c r="BB628" s="52"/>
      <c r="BC628" s="52"/>
      <c r="BD628" s="52"/>
      <c r="BE628" s="52"/>
      <c r="BF628" s="52"/>
      <c r="BG628" s="52"/>
      <c r="BH628" s="52"/>
      <c r="BI628" s="52"/>
      <c r="BJ628" s="52"/>
      <c r="BK628" s="52"/>
      <c r="BL628" s="52"/>
      <c r="BM628" s="52"/>
      <c r="BN628" s="52"/>
      <c r="BO628" s="52"/>
      <c r="BP628" s="52"/>
      <c r="BQ628" s="52"/>
      <c r="BR628" s="52"/>
      <c r="BS628" s="52"/>
      <c r="BT628" s="52"/>
      <c r="BU628" s="52"/>
      <c r="BV628" s="52"/>
      <c r="BW628" s="52"/>
      <c r="BX628" s="52"/>
      <c r="BY628" s="52"/>
      <c r="BZ628" s="52"/>
      <c r="CA628" s="52"/>
      <c r="CB628" s="52"/>
      <c r="CC628" s="52"/>
      <c r="CD628" s="52"/>
      <c r="CE628" s="52"/>
      <c r="CF628" s="52"/>
      <c r="CG628" s="52"/>
      <c r="CH628" s="52"/>
      <c r="CI628" s="52"/>
      <c r="CJ628" s="52"/>
      <c r="CK628" s="52"/>
      <c r="CL628" s="52"/>
      <c r="CM628" s="52"/>
      <c r="CN628" s="52"/>
      <c r="CO628" s="52"/>
      <c r="CP628" s="52"/>
      <c r="CQ628" s="52"/>
      <c r="CR628" s="52"/>
      <c r="CS628" s="52"/>
      <c r="CT628" s="52"/>
      <c r="CU628" s="52"/>
      <c r="CV628" s="52"/>
      <c r="CW628" s="52"/>
      <c r="CX628" s="52"/>
      <c r="CY628" s="52"/>
      <c r="CZ628" s="52"/>
      <c r="DA628" s="52"/>
      <c r="DB628" s="52"/>
      <c r="DC628" s="52"/>
      <c r="DD628" s="52"/>
      <c r="DE628" s="52"/>
      <c r="DF628" s="52"/>
      <c r="DG628" s="52"/>
      <c r="DH628" s="52"/>
      <c r="DI628" s="52"/>
      <c r="DJ628" s="52"/>
      <c r="DK628" s="52"/>
      <c r="DL628" s="52"/>
      <c r="DM628" s="52"/>
      <c r="DN628" s="52"/>
      <c r="DO628" s="52"/>
      <c r="DP628" s="52"/>
      <c r="DQ628" s="52"/>
      <c r="DR628" s="52"/>
      <c r="DS628" s="52"/>
      <c r="DT628" s="52"/>
      <c r="DU628" s="52"/>
      <c r="DV628" s="52"/>
      <c r="DW628" s="52"/>
      <c r="DX628" s="52"/>
      <c r="DY628" s="52"/>
      <c r="DZ628" s="52"/>
      <c r="EA628" s="52"/>
      <c r="EB628" s="52"/>
      <c r="EC628" s="52"/>
      <c r="ED628" s="52"/>
      <c r="EE628" s="52"/>
      <c r="EF628" s="52"/>
      <c r="EG628" s="52"/>
      <c r="EH628" s="52"/>
      <c r="EI628" s="52"/>
      <c r="EJ628" s="52"/>
      <c r="EK628" s="52"/>
      <c r="EL628" s="52"/>
      <c r="EM628" s="52"/>
      <c r="EN628" s="52"/>
      <c r="EO628" s="52"/>
      <c r="EP628" s="52"/>
      <c r="EQ628" s="52"/>
      <c r="ER628" s="52"/>
      <c r="ES628" s="52"/>
    </row>
    <row r="629" spans="1:149" ht="22.5">
      <c r="A629" s="8" t="s">
        <v>169</v>
      </c>
      <c r="B629" s="6"/>
      <c r="C629" s="6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24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  <c r="AC629" s="52"/>
      <c r="AD629" s="52"/>
      <c r="AE629" s="52"/>
      <c r="AF629" s="52"/>
      <c r="AG629" s="52"/>
      <c r="AH629" s="52"/>
      <c r="AI629" s="52"/>
      <c r="AJ629" s="52"/>
      <c r="AK629" s="52"/>
      <c r="AL629" s="52"/>
      <c r="AM629" s="52"/>
      <c r="AN629" s="52"/>
      <c r="AO629" s="52"/>
      <c r="AP629" s="52"/>
      <c r="AQ629" s="52"/>
      <c r="AR629" s="52"/>
      <c r="AS629" s="52"/>
      <c r="AT629" s="52"/>
      <c r="AU629" s="52"/>
      <c r="AV629" s="52"/>
      <c r="AW629" s="52"/>
      <c r="AX629" s="52"/>
      <c r="AY629" s="52"/>
      <c r="AZ629" s="52"/>
      <c r="BA629" s="52"/>
      <c r="BB629" s="52"/>
      <c r="BC629" s="52"/>
      <c r="BD629" s="52"/>
      <c r="BE629" s="52"/>
      <c r="BF629" s="52"/>
      <c r="BG629" s="52"/>
      <c r="BH629" s="52"/>
      <c r="BI629" s="52"/>
      <c r="BJ629" s="52"/>
      <c r="BK629" s="52"/>
      <c r="BL629" s="52"/>
      <c r="BM629" s="52"/>
      <c r="BN629" s="52"/>
      <c r="BO629" s="52"/>
      <c r="BP629" s="52"/>
      <c r="BQ629" s="52"/>
      <c r="BR629" s="52"/>
      <c r="BS629" s="52"/>
      <c r="BT629" s="52"/>
      <c r="BU629" s="52"/>
      <c r="BV629" s="52"/>
      <c r="BW629" s="52"/>
      <c r="BX629" s="52"/>
      <c r="BY629" s="52"/>
      <c r="BZ629" s="52"/>
      <c r="CA629" s="52"/>
      <c r="CB629" s="52"/>
      <c r="CC629" s="52"/>
      <c r="CD629" s="52"/>
      <c r="CE629" s="52"/>
      <c r="CF629" s="52"/>
      <c r="CG629" s="52"/>
      <c r="CH629" s="52"/>
      <c r="CI629" s="52"/>
      <c r="CJ629" s="52"/>
      <c r="CK629" s="52"/>
      <c r="CL629" s="52"/>
      <c r="CM629" s="52"/>
      <c r="CN629" s="52"/>
      <c r="CO629" s="52"/>
      <c r="CP629" s="52"/>
      <c r="CQ629" s="52"/>
      <c r="CR629" s="52"/>
      <c r="CS629" s="52"/>
      <c r="CT629" s="52"/>
      <c r="CU629" s="52"/>
      <c r="CV629" s="52"/>
      <c r="CW629" s="52"/>
      <c r="CX629" s="52"/>
      <c r="CY629" s="52"/>
      <c r="CZ629" s="52"/>
      <c r="DA629" s="52"/>
      <c r="DB629" s="52"/>
      <c r="DC629" s="52"/>
      <c r="DD629" s="52"/>
      <c r="DE629" s="52"/>
      <c r="DF629" s="52"/>
      <c r="DG629" s="52"/>
      <c r="DH629" s="52"/>
      <c r="DI629" s="52"/>
      <c r="DJ629" s="52"/>
      <c r="DK629" s="52"/>
      <c r="DL629" s="52"/>
      <c r="DM629" s="52"/>
      <c r="DN629" s="52"/>
      <c r="DO629" s="52"/>
      <c r="DP629" s="52"/>
      <c r="DQ629" s="52"/>
      <c r="DR629" s="52"/>
      <c r="DS629" s="52"/>
      <c r="DT629" s="52"/>
      <c r="DU629" s="52"/>
      <c r="DV629" s="52"/>
      <c r="DW629" s="52"/>
      <c r="DX629" s="52"/>
      <c r="DY629" s="52"/>
      <c r="DZ629" s="52"/>
      <c r="EA629" s="52"/>
      <c r="EB629" s="52"/>
      <c r="EC629" s="52"/>
      <c r="ED629" s="52"/>
      <c r="EE629" s="52"/>
      <c r="EF629" s="52"/>
      <c r="EG629" s="52"/>
      <c r="EH629" s="52"/>
      <c r="EI629" s="52"/>
      <c r="EJ629" s="52"/>
      <c r="EK629" s="52"/>
      <c r="EL629" s="52"/>
      <c r="EM629" s="52"/>
      <c r="EN629" s="52"/>
      <c r="EO629" s="52"/>
      <c r="EP629" s="52"/>
      <c r="EQ629" s="52"/>
      <c r="ER629" s="52"/>
      <c r="ES629" s="52"/>
    </row>
    <row r="630" spans="1:17" s="155" customFormat="1" ht="33.75">
      <c r="A630" s="153" t="s">
        <v>466</v>
      </c>
      <c r="B630" s="139"/>
      <c r="C630" s="139"/>
      <c r="D630" s="143"/>
      <c r="E630" s="143">
        <f>E632</f>
        <v>127913400</v>
      </c>
      <c r="F630" s="143">
        <f>D630+E630</f>
        <v>127913400</v>
      </c>
      <c r="G630" s="143"/>
      <c r="H630" s="143">
        <f>H634*H636</f>
        <v>88123272</v>
      </c>
      <c r="I630" s="143">
        <f>I632</f>
        <v>0</v>
      </c>
      <c r="J630" s="143">
        <f>H630+I630</f>
        <v>88123272</v>
      </c>
      <c r="K630" s="143"/>
      <c r="L630" s="143"/>
      <c r="M630" s="143"/>
      <c r="N630" s="143"/>
      <c r="O630" s="143">
        <f>O634*O636</f>
        <v>7297400</v>
      </c>
      <c r="P630" s="143">
        <f>O630</f>
        <v>7297400</v>
      </c>
      <c r="Q630" s="154"/>
    </row>
    <row r="631" spans="1:149" ht="11.25">
      <c r="A631" s="5" t="s">
        <v>4</v>
      </c>
      <c r="B631" s="6"/>
      <c r="C631" s="6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24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  <c r="AC631" s="52"/>
      <c r="AD631" s="52"/>
      <c r="AE631" s="52"/>
      <c r="AF631" s="52"/>
      <c r="AG631" s="52"/>
      <c r="AH631" s="52"/>
      <c r="AI631" s="52"/>
      <c r="AJ631" s="52"/>
      <c r="AK631" s="52"/>
      <c r="AL631" s="52"/>
      <c r="AM631" s="52"/>
      <c r="AN631" s="52"/>
      <c r="AO631" s="52"/>
      <c r="AP631" s="52"/>
      <c r="AQ631" s="52"/>
      <c r="AR631" s="52"/>
      <c r="AS631" s="52"/>
      <c r="AT631" s="52"/>
      <c r="AU631" s="52"/>
      <c r="AV631" s="52"/>
      <c r="AW631" s="52"/>
      <c r="AX631" s="52"/>
      <c r="AY631" s="52"/>
      <c r="AZ631" s="52"/>
      <c r="BA631" s="52"/>
      <c r="BB631" s="52"/>
      <c r="BC631" s="52"/>
      <c r="BD631" s="52"/>
      <c r="BE631" s="52"/>
      <c r="BF631" s="52"/>
      <c r="BG631" s="52"/>
      <c r="BH631" s="52"/>
      <c r="BI631" s="52"/>
      <c r="BJ631" s="52"/>
      <c r="BK631" s="52"/>
      <c r="BL631" s="52"/>
      <c r="BM631" s="52"/>
      <c r="BN631" s="52"/>
      <c r="BO631" s="52"/>
      <c r="BP631" s="52"/>
      <c r="BQ631" s="52"/>
      <c r="BR631" s="52"/>
      <c r="BS631" s="52"/>
      <c r="BT631" s="52"/>
      <c r="BU631" s="52"/>
      <c r="BV631" s="52"/>
      <c r="BW631" s="52"/>
      <c r="BX631" s="52"/>
      <c r="BY631" s="52"/>
      <c r="BZ631" s="52"/>
      <c r="CA631" s="52"/>
      <c r="CB631" s="52"/>
      <c r="CC631" s="52"/>
      <c r="CD631" s="52"/>
      <c r="CE631" s="52"/>
      <c r="CF631" s="52"/>
      <c r="CG631" s="52"/>
      <c r="CH631" s="52"/>
      <c r="CI631" s="52"/>
      <c r="CJ631" s="52"/>
      <c r="CK631" s="52"/>
      <c r="CL631" s="52"/>
      <c r="CM631" s="52"/>
      <c r="CN631" s="52"/>
      <c r="CO631" s="52"/>
      <c r="CP631" s="52"/>
      <c r="CQ631" s="52"/>
      <c r="CR631" s="52"/>
      <c r="CS631" s="52"/>
      <c r="CT631" s="52"/>
      <c r="CU631" s="52"/>
      <c r="CV631" s="52"/>
      <c r="CW631" s="52"/>
      <c r="CX631" s="52"/>
      <c r="CY631" s="52"/>
      <c r="CZ631" s="52"/>
      <c r="DA631" s="52"/>
      <c r="DB631" s="52"/>
      <c r="DC631" s="52"/>
      <c r="DD631" s="52"/>
      <c r="DE631" s="52"/>
      <c r="DF631" s="52"/>
      <c r="DG631" s="52"/>
      <c r="DH631" s="52"/>
      <c r="DI631" s="52"/>
      <c r="DJ631" s="52"/>
      <c r="DK631" s="52"/>
      <c r="DL631" s="52"/>
      <c r="DM631" s="52"/>
      <c r="DN631" s="52"/>
      <c r="DO631" s="52"/>
      <c r="DP631" s="52"/>
      <c r="DQ631" s="52"/>
      <c r="DR631" s="52"/>
      <c r="DS631" s="52"/>
      <c r="DT631" s="52"/>
      <c r="DU631" s="52"/>
      <c r="DV631" s="52"/>
      <c r="DW631" s="52"/>
      <c r="DX631" s="52"/>
      <c r="DY631" s="52"/>
      <c r="DZ631" s="52"/>
      <c r="EA631" s="52"/>
      <c r="EB631" s="52"/>
      <c r="EC631" s="52"/>
      <c r="ED631" s="52"/>
      <c r="EE631" s="52"/>
      <c r="EF631" s="52"/>
      <c r="EG631" s="52"/>
      <c r="EH631" s="52"/>
      <c r="EI631" s="52"/>
      <c r="EJ631" s="52"/>
      <c r="EK631" s="52"/>
      <c r="EL631" s="52"/>
      <c r="EM631" s="52"/>
      <c r="EN631" s="52"/>
      <c r="EO631" s="52"/>
      <c r="EP631" s="52"/>
      <c r="EQ631" s="52"/>
      <c r="ER631" s="52"/>
      <c r="ES631" s="52"/>
    </row>
    <row r="632" spans="1:149" ht="11.25">
      <c r="A632" s="8" t="s">
        <v>43</v>
      </c>
      <c r="B632" s="6"/>
      <c r="C632" s="6"/>
      <c r="D632" s="7"/>
      <c r="E632" s="7">
        <f>127784300+129100</f>
        <v>127913400</v>
      </c>
      <c r="F632" s="7">
        <f>D632+E632</f>
        <v>127913400</v>
      </c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24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  <c r="AC632" s="52"/>
      <c r="AD632" s="52"/>
      <c r="AE632" s="52"/>
      <c r="AF632" s="52"/>
      <c r="AG632" s="52"/>
      <c r="AH632" s="52"/>
      <c r="AI632" s="52"/>
      <c r="AJ632" s="52"/>
      <c r="AK632" s="52"/>
      <c r="AL632" s="52"/>
      <c r="AM632" s="52"/>
      <c r="AN632" s="52"/>
      <c r="AO632" s="52"/>
      <c r="AP632" s="52"/>
      <c r="AQ632" s="52"/>
      <c r="AR632" s="52"/>
      <c r="AS632" s="52"/>
      <c r="AT632" s="52"/>
      <c r="AU632" s="52"/>
      <c r="AV632" s="52"/>
      <c r="AW632" s="52"/>
      <c r="AX632" s="52"/>
      <c r="AY632" s="52"/>
      <c r="AZ632" s="52"/>
      <c r="BA632" s="52"/>
      <c r="BB632" s="52"/>
      <c r="BC632" s="52"/>
      <c r="BD632" s="52"/>
      <c r="BE632" s="52"/>
      <c r="BF632" s="52"/>
      <c r="BG632" s="52"/>
      <c r="BH632" s="52"/>
      <c r="BI632" s="52"/>
      <c r="BJ632" s="52"/>
      <c r="BK632" s="52"/>
      <c r="BL632" s="52"/>
      <c r="BM632" s="52"/>
      <c r="BN632" s="52"/>
      <c r="BO632" s="52"/>
      <c r="BP632" s="52"/>
      <c r="BQ632" s="52"/>
      <c r="BR632" s="52"/>
      <c r="BS632" s="52"/>
      <c r="BT632" s="52"/>
      <c r="BU632" s="52"/>
      <c r="BV632" s="52"/>
      <c r="BW632" s="52"/>
      <c r="BX632" s="52"/>
      <c r="BY632" s="52"/>
      <c r="BZ632" s="52"/>
      <c r="CA632" s="52"/>
      <c r="CB632" s="52"/>
      <c r="CC632" s="52"/>
      <c r="CD632" s="52"/>
      <c r="CE632" s="52"/>
      <c r="CF632" s="52"/>
      <c r="CG632" s="52"/>
      <c r="CH632" s="52"/>
      <c r="CI632" s="52"/>
      <c r="CJ632" s="52"/>
      <c r="CK632" s="52"/>
      <c r="CL632" s="52"/>
      <c r="CM632" s="52"/>
      <c r="CN632" s="52"/>
      <c r="CO632" s="52"/>
      <c r="CP632" s="52"/>
      <c r="CQ632" s="52"/>
      <c r="CR632" s="52"/>
      <c r="CS632" s="52"/>
      <c r="CT632" s="52"/>
      <c r="CU632" s="52"/>
      <c r="CV632" s="52"/>
      <c r="CW632" s="52"/>
      <c r="CX632" s="52"/>
      <c r="CY632" s="52"/>
      <c r="CZ632" s="52"/>
      <c r="DA632" s="52"/>
      <c r="DB632" s="52"/>
      <c r="DC632" s="52"/>
      <c r="DD632" s="52"/>
      <c r="DE632" s="52"/>
      <c r="DF632" s="52"/>
      <c r="DG632" s="52"/>
      <c r="DH632" s="52"/>
      <c r="DI632" s="52"/>
      <c r="DJ632" s="52"/>
      <c r="DK632" s="52"/>
      <c r="DL632" s="52"/>
      <c r="DM632" s="52"/>
      <c r="DN632" s="52"/>
      <c r="DO632" s="52"/>
      <c r="DP632" s="52"/>
      <c r="DQ632" s="52"/>
      <c r="DR632" s="52"/>
      <c r="DS632" s="52"/>
      <c r="DT632" s="52"/>
      <c r="DU632" s="52"/>
      <c r="DV632" s="52"/>
      <c r="DW632" s="52"/>
      <c r="DX632" s="52"/>
      <c r="DY632" s="52"/>
      <c r="DZ632" s="52"/>
      <c r="EA632" s="52"/>
      <c r="EB632" s="52"/>
      <c r="EC632" s="52"/>
      <c r="ED632" s="52"/>
      <c r="EE632" s="52"/>
      <c r="EF632" s="52"/>
      <c r="EG632" s="52"/>
      <c r="EH632" s="52"/>
      <c r="EI632" s="52"/>
      <c r="EJ632" s="52"/>
      <c r="EK632" s="52"/>
      <c r="EL632" s="52"/>
      <c r="EM632" s="52"/>
      <c r="EN632" s="52"/>
      <c r="EO632" s="52"/>
      <c r="EP632" s="52"/>
      <c r="EQ632" s="52"/>
      <c r="ER632" s="52"/>
      <c r="ES632" s="52"/>
    </row>
    <row r="633" spans="1:149" ht="11.25">
      <c r="A633" s="5" t="s">
        <v>5</v>
      </c>
      <c r="B633" s="6"/>
      <c r="C633" s="6"/>
      <c r="D633" s="7"/>
      <c r="E633" s="7"/>
      <c r="F633" s="7">
        <f>D633+E633</f>
        <v>0</v>
      </c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24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  <c r="AC633" s="52"/>
      <c r="AD633" s="52"/>
      <c r="AE633" s="52"/>
      <c r="AF633" s="52"/>
      <c r="AG633" s="52"/>
      <c r="AH633" s="52"/>
      <c r="AI633" s="52"/>
      <c r="AJ633" s="52"/>
      <c r="AK633" s="52"/>
      <c r="AL633" s="52"/>
      <c r="AM633" s="52"/>
      <c r="AN633" s="52"/>
      <c r="AO633" s="52"/>
      <c r="AP633" s="52"/>
      <c r="AQ633" s="52"/>
      <c r="AR633" s="52"/>
      <c r="AS633" s="52"/>
      <c r="AT633" s="52"/>
      <c r="AU633" s="52"/>
      <c r="AV633" s="52"/>
      <c r="AW633" s="52"/>
      <c r="AX633" s="52"/>
      <c r="AY633" s="52"/>
      <c r="AZ633" s="52"/>
      <c r="BA633" s="52"/>
      <c r="BB633" s="52"/>
      <c r="BC633" s="52"/>
      <c r="BD633" s="52"/>
      <c r="BE633" s="52"/>
      <c r="BF633" s="52"/>
      <c r="BG633" s="52"/>
      <c r="BH633" s="52"/>
      <c r="BI633" s="52"/>
      <c r="BJ633" s="52"/>
      <c r="BK633" s="52"/>
      <c r="BL633" s="52"/>
      <c r="BM633" s="52"/>
      <c r="BN633" s="52"/>
      <c r="BO633" s="52"/>
      <c r="BP633" s="52"/>
      <c r="BQ633" s="52"/>
      <c r="BR633" s="52"/>
      <c r="BS633" s="52"/>
      <c r="BT633" s="52"/>
      <c r="BU633" s="52"/>
      <c r="BV633" s="52"/>
      <c r="BW633" s="52"/>
      <c r="BX633" s="52"/>
      <c r="BY633" s="52"/>
      <c r="BZ633" s="52"/>
      <c r="CA633" s="52"/>
      <c r="CB633" s="52"/>
      <c r="CC633" s="52"/>
      <c r="CD633" s="52"/>
      <c r="CE633" s="52"/>
      <c r="CF633" s="52"/>
      <c r="CG633" s="52"/>
      <c r="CH633" s="52"/>
      <c r="CI633" s="52"/>
      <c r="CJ633" s="52"/>
      <c r="CK633" s="52"/>
      <c r="CL633" s="52"/>
      <c r="CM633" s="52"/>
      <c r="CN633" s="52"/>
      <c r="CO633" s="52"/>
      <c r="CP633" s="52"/>
      <c r="CQ633" s="52"/>
      <c r="CR633" s="52"/>
      <c r="CS633" s="52"/>
      <c r="CT633" s="52"/>
      <c r="CU633" s="52"/>
      <c r="CV633" s="52"/>
      <c r="CW633" s="52"/>
      <c r="CX633" s="52"/>
      <c r="CY633" s="52"/>
      <c r="CZ633" s="52"/>
      <c r="DA633" s="52"/>
      <c r="DB633" s="52"/>
      <c r="DC633" s="52"/>
      <c r="DD633" s="52"/>
      <c r="DE633" s="52"/>
      <c r="DF633" s="52"/>
      <c r="DG633" s="52"/>
      <c r="DH633" s="52"/>
      <c r="DI633" s="52"/>
      <c r="DJ633" s="52"/>
      <c r="DK633" s="52"/>
      <c r="DL633" s="52"/>
      <c r="DM633" s="52"/>
      <c r="DN633" s="52"/>
      <c r="DO633" s="52"/>
      <c r="DP633" s="52"/>
      <c r="DQ633" s="52"/>
      <c r="DR633" s="52"/>
      <c r="DS633" s="52"/>
      <c r="DT633" s="52"/>
      <c r="DU633" s="52"/>
      <c r="DV633" s="52"/>
      <c r="DW633" s="52"/>
      <c r="DX633" s="52"/>
      <c r="DY633" s="52"/>
      <c r="DZ633" s="52"/>
      <c r="EA633" s="52"/>
      <c r="EB633" s="52"/>
      <c r="EC633" s="52"/>
      <c r="ED633" s="52"/>
      <c r="EE633" s="52"/>
      <c r="EF633" s="52"/>
      <c r="EG633" s="52"/>
      <c r="EH633" s="52"/>
      <c r="EI633" s="52"/>
      <c r="EJ633" s="52"/>
      <c r="EK633" s="52"/>
      <c r="EL633" s="52"/>
      <c r="EM633" s="52"/>
      <c r="EN633" s="52"/>
      <c r="EO633" s="52"/>
      <c r="EP633" s="52"/>
      <c r="EQ633" s="52"/>
      <c r="ER633" s="52"/>
      <c r="ES633" s="52"/>
    </row>
    <row r="634" spans="1:149" ht="33.75">
      <c r="A634" s="8" t="s">
        <v>170</v>
      </c>
      <c r="B634" s="6"/>
      <c r="C634" s="6"/>
      <c r="D634" s="7"/>
      <c r="E634" s="7">
        <v>10</v>
      </c>
      <c r="F634" s="7">
        <f>D634+E634</f>
        <v>10</v>
      </c>
      <c r="G634" s="7"/>
      <c r="H634" s="7">
        <v>5</v>
      </c>
      <c r="I634" s="7"/>
      <c r="J634" s="7">
        <v>5</v>
      </c>
      <c r="K634" s="7"/>
      <c r="L634" s="7"/>
      <c r="M634" s="7"/>
      <c r="N634" s="7"/>
      <c r="O634" s="7">
        <v>2</v>
      </c>
      <c r="P634" s="7"/>
      <c r="Q634" s="24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  <c r="AC634" s="52"/>
      <c r="AD634" s="52"/>
      <c r="AE634" s="52"/>
      <c r="AF634" s="52"/>
      <c r="AG634" s="52"/>
      <c r="AH634" s="52"/>
      <c r="AI634" s="52"/>
      <c r="AJ634" s="52"/>
      <c r="AK634" s="52"/>
      <c r="AL634" s="52"/>
      <c r="AM634" s="52"/>
      <c r="AN634" s="52"/>
      <c r="AO634" s="52"/>
      <c r="AP634" s="52"/>
      <c r="AQ634" s="52"/>
      <c r="AR634" s="52"/>
      <c r="AS634" s="52"/>
      <c r="AT634" s="52"/>
      <c r="AU634" s="52"/>
      <c r="AV634" s="52"/>
      <c r="AW634" s="52"/>
      <c r="AX634" s="52"/>
      <c r="AY634" s="52"/>
      <c r="AZ634" s="52"/>
      <c r="BA634" s="52"/>
      <c r="BB634" s="52"/>
      <c r="BC634" s="52"/>
      <c r="BD634" s="52"/>
      <c r="BE634" s="52"/>
      <c r="BF634" s="52"/>
      <c r="BG634" s="52"/>
      <c r="BH634" s="52"/>
      <c r="BI634" s="52"/>
      <c r="BJ634" s="52"/>
      <c r="BK634" s="52"/>
      <c r="BL634" s="52"/>
      <c r="BM634" s="52"/>
      <c r="BN634" s="52"/>
      <c r="BO634" s="52"/>
      <c r="BP634" s="52"/>
      <c r="BQ634" s="52"/>
      <c r="BR634" s="52"/>
      <c r="BS634" s="52"/>
      <c r="BT634" s="52"/>
      <c r="BU634" s="52"/>
      <c r="BV634" s="52"/>
      <c r="BW634" s="52"/>
      <c r="BX634" s="52"/>
      <c r="BY634" s="52"/>
      <c r="BZ634" s="52"/>
      <c r="CA634" s="52"/>
      <c r="CB634" s="52"/>
      <c r="CC634" s="52"/>
      <c r="CD634" s="52"/>
      <c r="CE634" s="52"/>
      <c r="CF634" s="52"/>
      <c r="CG634" s="52"/>
      <c r="CH634" s="52"/>
      <c r="CI634" s="52"/>
      <c r="CJ634" s="52"/>
      <c r="CK634" s="52"/>
      <c r="CL634" s="52"/>
      <c r="CM634" s="52"/>
      <c r="CN634" s="52"/>
      <c r="CO634" s="52"/>
      <c r="CP634" s="52"/>
      <c r="CQ634" s="52"/>
      <c r="CR634" s="52"/>
      <c r="CS634" s="52"/>
      <c r="CT634" s="52"/>
      <c r="CU634" s="52"/>
      <c r="CV634" s="52"/>
      <c r="CW634" s="52"/>
      <c r="CX634" s="52"/>
      <c r="CY634" s="52"/>
      <c r="CZ634" s="52"/>
      <c r="DA634" s="52"/>
      <c r="DB634" s="52"/>
      <c r="DC634" s="52"/>
      <c r="DD634" s="52"/>
      <c r="DE634" s="52"/>
      <c r="DF634" s="52"/>
      <c r="DG634" s="52"/>
      <c r="DH634" s="52"/>
      <c r="DI634" s="52"/>
      <c r="DJ634" s="52"/>
      <c r="DK634" s="52"/>
      <c r="DL634" s="52"/>
      <c r="DM634" s="52"/>
      <c r="DN634" s="52"/>
      <c r="DO634" s="52"/>
      <c r="DP634" s="52"/>
      <c r="DQ634" s="52"/>
      <c r="DR634" s="52"/>
      <c r="DS634" s="52"/>
      <c r="DT634" s="52"/>
      <c r="DU634" s="52"/>
      <c r="DV634" s="52"/>
      <c r="DW634" s="52"/>
      <c r="DX634" s="52"/>
      <c r="DY634" s="52"/>
      <c r="DZ634" s="52"/>
      <c r="EA634" s="52"/>
      <c r="EB634" s="52"/>
      <c r="EC634" s="52"/>
      <c r="ED634" s="52"/>
      <c r="EE634" s="52"/>
      <c r="EF634" s="52"/>
      <c r="EG634" s="52"/>
      <c r="EH634" s="52"/>
      <c r="EI634" s="52"/>
      <c r="EJ634" s="52"/>
      <c r="EK634" s="52"/>
      <c r="EL634" s="52"/>
      <c r="EM634" s="52"/>
      <c r="EN634" s="52"/>
      <c r="EO634" s="52"/>
      <c r="EP634" s="52"/>
      <c r="EQ634" s="52"/>
      <c r="ER634" s="52"/>
      <c r="ES634" s="52"/>
    </row>
    <row r="635" spans="1:149" ht="11.25">
      <c r="A635" s="5" t="s">
        <v>7</v>
      </c>
      <c r="B635" s="6"/>
      <c r="C635" s="6"/>
      <c r="D635" s="7"/>
      <c r="E635" s="7"/>
      <c r="F635" s="7">
        <f>D635+E635</f>
        <v>0</v>
      </c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24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  <c r="AC635" s="52"/>
      <c r="AD635" s="52"/>
      <c r="AE635" s="52"/>
      <c r="AF635" s="52"/>
      <c r="AG635" s="52"/>
      <c r="AH635" s="52"/>
      <c r="AI635" s="52"/>
      <c r="AJ635" s="52"/>
      <c r="AK635" s="52"/>
      <c r="AL635" s="52"/>
      <c r="AM635" s="52"/>
      <c r="AN635" s="52"/>
      <c r="AO635" s="52"/>
      <c r="AP635" s="52"/>
      <c r="AQ635" s="52"/>
      <c r="AR635" s="52"/>
      <c r="AS635" s="52"/>
      <c r="AT635" s="52"/>
      <c r="AU635" s="52"/>
      <c r="AV635" s="52"/>
      <c r="AW635" s="52"/>
      <c r="AX635" s="52"/>
      <c r="AY635" s="52"/>
      <c r="AZ635" s="52"/>
      <c r="BA635" s="52"/>
      <c r="BB635" s="52"/>
      <c r="BC635" s="52"/>
      <c r="BD635" s="52"/>
      <c r="BE635" s="52"/>
      <c r="BF635" s="52"/>
      <c r="BG635" s="52"/>
      <c r="BH635" s="52"/>
      <c r="BI635" s="52"/>
      <c r="BJ635" s="52"/>
      <c r="BK635" s="52"/>
      <c r="BL635" s="52"/>
      <c r="BM635" s="52"/>
      <c r="BN635" s="52"/>
      <c r="BO635" s="52"/>
      <c r="BP635" s="52"/>
      <c r="BQ635" s="52"/>
      <c r="BR635" s="52"/>
      <c r="BS635" s="52"/>
      <c r="BT635" s="52"/>
      <c r="BU635" s="52"/>
      <c r="BV635" s="52"/>
      <c r="BW635" s="52"/>
      <c r="BX635" s="52"/>
      <c r="BY635" s="52"/>
      <c r="BZ635" s="52"/>
      <c r="CA635" s="52"/>
      <c r="CB635" s="52"/>
      <c r="CC635" s="52"/>
      <c r="CD635" s="52"/>
      <c r="CE635" s="52"/>
      <c r="CF635" s="52"/>
      <c r="CG635" s="52"/>
      <c r="CH635" s="52"/>
      <c r="CI635" s="52"/>
      <c r="CJ635" s="52"/>
      <c r="CK635" s="52"/>
      <c r="CL635" s="52"/>
      <c r="CM635" s="52"/>
      <c r="CN635" s="52"/>
      <c r="CO635" s="52"/>
      <c r="CP635" s="52"/>
      <c r="CQ635" s="52"/>
      <c r="CR635" s="52"/>
      <c r="CS635" s="52"/>
      <c r="CT635" s="52"/>
      <c r="CU635" s="52"/>
      <c r="CV635" s="52"/>
      <c r="CW635" s="52"/>
      <c r="CX635" s="52"/>
      <c r="CY635" s="52"/>
      <c r="CZ635" s="52"/>
      <c r="DA635" s="52"/>
      <c r="DB635" s="52"/>
      <c r="DC635" s="52"/>
      <c r="DD635" s="52"/>
      <c r="DE635" s="52"/>
      <c r="DF635" s="52"/>
      <c r="DG635" s="52"/>
      <c r="DH635" s="52"/>
      <c r="DI635" s="52"/>
      <c r="DJ635" s="52"/>
      <c r="DK635" s="52"/>
      <c r="DL635" s="52"/>
      <c r="DM635" s="52"/>
      <c r="DN635" s="52"/>
      <c r="DO635" s="52"/>
      <c r="DP635" s="52"/>
      <c r="DQ635" s="52"/>
      <c r="DR635" s="52"/>
      <c r="DS635" s="52"/>
      <c r="DT635" s="52"/>
      <c r="DU635" s="52"/>
      <c r="DV635" s="52"/>
      <c r="DW635" s="52"/>
      <c r="DX635" s="52"/>
      <c r="DY635" s="52"/>
      <c r="DZ635" s="52"/>
      <c r="EA635" s="52"/>
      <c r="EB635" s="52"/>
      <c r="EC635" s="52"/>
      <c r="ED635" s="52"/>
      <c r="EE635" s="52"/>
      <c r="EF635" s="52"/>
      <c r="EG635" s="52"/>
      <c r="EH635" s="52"/>
      <c r="EI635" s="52"/>
      <c r="EJ635" s="52"/>
      <c r="EK635" s="52"/>
      <c r="EL635" s="52"/>
      <c r="EM635" s="52"/>
      <c r="EN635" s="52"/>
      <c r="EO635" s="52"/>
      <c r="EP635" s="52"/>
      <c r="EQ635" s="52"/>
      <c r="ER635" s="52"/>
      <c r="ES635" s="52"/>
    </row>
    <row r="636" spans="1:149" ht="24.75" customHeight="1">
      <c r="A636" s="8" t="s">
        <v>171</v>
      </c>
      <c r="B636" s="6"/>
      <c r="C636" s="6"/>
      <c r="D636" s="7"/>
      <c r="E636" s="7">
        <f>399355600/9</f>
        <v>44372844.44444445</v>
      </c>
      <c r="F636" s="7">
        <f>D636+E636</f>
        <v>44372844.44444445</v>
      </c>
      <c r="G636" s="7"/>
      <c r="H636" s="7">
        <v>17624654.4</v>
      </c>
      <c r="I636" s="7"/>
      <c r="J636" s="7">
        <v>17604654.4</v>
      </c>
      <c r="K636" s="7"/>
      <c r="L636" s="7"/>
      <c r="M636" s="7"/>
      <c r="N636" s="7"/>
      <c r="O636" s="7">
        <v>3648700</v>
      </c>
      <c r="P636" s="84">
        <f>O636</f>
        <v>3648700</v>
      </c>
      <c r="Q636" s="24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  <c r="AC636" s="52"/>
      <c r="AD636" s="52"/>
      <c r="AE636" s="52"/>
      <c r="AF636" s="52"/>
      <c r="AG636" s="52"/>
      <c r="AH636" s="52"/>
      <c r="AI636" s="52"/>
      <c r="AJ636" s="52"/>
      <c r="AK636" s="52"/>
      <c r="AL636" s="52"/>
      <c r="AM636" s="52"/>
      <c r="AN636" s="52"/>
      <c r="AO636" s="52"/>
      <c r="AP636" s="52"/>
      <c r="AQ636" s="52"/>
      <c r="AR636" s="52"/>
      <c r="AS636" s="52"/>
      <c r="AT636" s="52"/>
      <c r="AU636" s="52"/>
      <c r="AV636" s="52"/>
      <c r="AW636" s="52"/>
      <c r="AX636" s="52"/>
      <c r="AY636" s="52"/>
      <c r="AZ636" s="52"/>
      <c r="BA636" s="52"/>
      <c r="BB636" s="52"/>
      <c r="BC636" s="52"/>
      <c r="BD636" s="52"/>
      <c r="BE636" s="52"/>
      <c r="BF636" s="52"/>
      <c r="BG636" s="52"/>
      <c r="BH636" s="52"/>
      <c r="BI636" s="52"/>
      <c r="BJ636" s="52"/>
      <c r="BK636" s="52"/>
      <c r="BL636" s="52"/>
      <c r="BM636" s="52"/>
      <c r="BN636" s="52"/>
      <c r="BO636" s="52"/>
      <c r="BP636" s="52"/>
      <c r="BQ636" s="52"/>
      <c r="BR636" s="52"/>
      <c r="BS636" s="52"/>
      <c r="BT636" s="52"/>
      <c r="BU636" s="52"/>
      <c r="BV636" s="52"/>
      <c r="BW636" s="52"/>
      <c r="BX636" s="52"/>
      <c r="BY636" s="52"/>
      <c r="BZ636" s="52"/>
      <c r="CA636" s="52"/>
      <c r="CB636" s="52"/>
      <c r="CC636" s="52"/>
      <c r="CD636" s="52"/>
      <c r="CE636" s="52"/>
      <c r="CF636" s="52"/>
      <c r="CG636" s="52"/>
      <c r="CH636" s="52"/>
      <c r="CI636" s="52"/>
      <c r="CJ636" s="52"/>
      <c r="CK636" s="52"/>
      <c r="CL636" s="52"/>
      <c r="CM636" s="52"/>
      <c r="CN636" s="52"/>
      <c r="CO636" s="52"/>
      <c r="CP636" s="52"/>
      <c r="CQ636" s="52"/>
      <c r="CR636" s="52"/>
      <c r="CS636" s="52"/>
      <c r="CT636" s="52"/>
      <c r="CU636" s="52"/>
      <c r="CV636" s="52"/>
      <c r="CW636" s="52"/>
      <c r="CX636" s="52"/>
      <c r="CY636" s="52"/>
      <c r="CZ636" s="52"/>
      <c r="DA636" s="52"/>
      <c r="DB636" s="52"/>
      <c r="DC636" s="52"/>
      <c r="DD636" s="52"/>
      <c r="DE636" s="52"/>
      <c r="DF636" s="52"/>
      <c r="DG636" s="52"/>
      <c r="DH636" s="52"/>
      <c r="DI636" s="52"/>
      <c r="DJ636" s="52"/>
      <c r="DK636" s="52"/>
      <c r="DL636" s="52"/>
      <c r="DM636" s="52"/>
      <c r="DN636" s="52"/>
      <c r="DO636" s="52"/>
      <c r="DP636" s="52"/>
      <c r="DQ636" s="52"/>
      <c r="DR636" s="52"/>
      <c r="DS636" s="52"/>
      <c r="DT636" s="52"/>
      <c r="DU636" s="52"/>
      <c r="DV636" s="52"/>
      <c r="DW636" s="52"/>
      <c r="DX636" s="52"/>
      <c r="DY636" s="52"/>
      <c r="DZ636" s="52"/>
      <c r="EA636" s="52"/>
      <c r="EB636" s="52"/>
      <c r="EC636" s="52"/>
      <c r="ED636" s="52"/>
      <c r="EE636" s="52"/>
      <c r="EF636" s="52"/>
      <c r="EG636" s="52"/>
      <c r="EH636" s="52"/>
      <c r="EI636" s="52"/>
      <c r="EJ636" s="52"/>
      <c r="EK636" s="52"/>
      <c r="EL636" s="52"/>
      <c r="EM636" s="52"/>
      <c r="EN636" s="52"/>
      <c r="EO636" s="52"/>
      <c r="EP636" s="52"/>
      <c r="EQ636" s="52"/>
      <c r="ER636" s="52"/>
      <c r="ES636" s="52"/>
    </row>
    <row r="637" spans="1:149" ht="11.25">
      <c r="A637" s="36" t="s">
        <v>255</v>
      </c>
      <c r="B637" s="6"/>
      <c r="C637" s="6"/>
      <c r="D637" s="35">
        <f>D639</f>
        <v>760000</v>
      </c>
      <c r="E637" s="35">
        <f aca="true" t="shared" si="62" ref="E637:P637">E639</f>
        <v>1220000</v>
      </c>
      <c r="F637" s="35">
        <f t="shared" si="62"/>
        <v>1980000</v>
      </c>
      <c r="G637" s="35">
        <f t="shared" si="62"/>
        <v>1960000</v>
      </c>
      <c r="H637" s="35">
        <f t="shared" si="62"/>
        <v>6032500</v>
      </c>
      <c r="I637" s="35">
        <f t="shared" si="62"/>
        <v>7992500</v>
      </c>
      <c r="J637" s="35">
        <f t="shared" si="62"/>
        <v>7992500</v>
      </c>
      <c r="K637" s="35">
        <f t="shared" si="62"/>
        <v>0</v>
      </c>
      <c r="L637" s="35">
        <f t="shared" si="62"/>
        <v>0</v>
      </c>
      <c r="M637" s="35">
        <f t="shared" si="62"/>
        <v>0</v>
      </c>
      <c r="N637" s="35">
        <f t="shared" si="62"/>
        <v>368000</v>
      </c>
      <c r="O637" s="35">
        <f t="shared" si="62"/>
        <v>7632000</v>
      </c>
      <c r="P637" s="35">
        <f t="shared" si="62"/>
        <v>8000000</v>
      </c>
      <c r="Q637" s="24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  <c r="AC637" s="52"/>
      <c r="AD637" s="52"/>
      <c r="AE637" s="52"/>
      <c r="AF637" s="52"/>
      <c r="AG637" s="52"/>
      <c r="AH637" s="52"/>
      <c r="AI637" s="52"/>
      <c r="AJ637" s="52"/>
      <c r="AK637" s="52"/>
      <c r="AL637" s="52"/>
      <c r="AM637" s="52"/>
      <c r="AN637" s="52"/>
      <c r="AO637" s="52"/>
      <c r="AP637" s="52"/>
      <c r="AQ637" s="52"/>
      <c r="AR637" s="52"/>
      <c r="AS637" s="52"/>
      <c r="AT637" s="52"/>
      <c r="AU637" s="52"/>
      <c r="AV637" s="52"/>
      <c r="AW637" s="52"/>
      <c r="AX637" s="52"/>
      <c r="AY637" s="52"/>
      <c r="AZ637" s="52"/>
      <c r="BA637" s="52"/>
      <c r="BB637" s="52"/>
      <c r="BC637" s="52"/>
      <c r="BD637" s="52"/>
      <c r="BE637" s="52"/>
      <c r="BF637" s="52"/>
      <c r="BG637" s="52"/>
      <c r="BH637" s="52"/>
      <c r="BI637" s="52"/>
      <c r="BJ637" s="52"/>
      <c r="BK637" s="52"/>
      <c r="BL637" s="52"/>
      <c r="BM637" s="52"/>
      <c r="BN637" s="52"/>
      <c r="BO637" s="52"/>
      <c r="BP637" s="52"/>
      <c r="BQ637" s="52"/>
      <c r="BR637" s="52"/>
      <c r="BS637" s="52"/>
      <c r="BT637" s="52"/>
      <c r="BU637" s="52"/>
      <c r="BV637" s="52"/>
      <c r="BW637" s="52"/>
      <c r="BX637" s="52"/>
      <c r="BY637" s="52"/>
      <c r="BZ637" s="52"/>
      <c r="CA637" s="52"/>
      <c r="CB637" s="52"/>
      <c r="CC637" s="52"/>
      <c r="CD637" s="52"/>
      <c r="CE637" s="52"/>
      <c r="CF637" s="52"/>
      <c r="CG637" s="52"/>
      <c r="CH637" s="52"/>
      <c r="CI637" s="52"/>
      <c r="CJ637" s="52"/>
      <c r="CK637" s="52"/>
      <c r="CL637" s="52"/>
      <c r="CM637" s="52"/>
      <c r="CN637" s="52"/>
      <c r="CO637" s="52"/>
      <c r="CP637" s="52"/>
      <c r="CQ637" s="52"/>
      <c r="CR637" s="52"/>
      <c r="CS637" s="52"/>
      <c r="CT637" s="52"/>
      <c r="CU637" s="52"/>
      <c r="CV637" s="52"/>
      <c r="CW637" s="52"/>
      <c r="CX637" s="52"/>
      <c r="CY637" s="52"/>
      <c r="CZ637" s="52"/>
      <c r="DA637" s="52"/>
      <c r="DB637" s="52"/>
      <c r="DC637" s="52"/>
      <c r="DD637" s="52"/>
      <c r="DE637" s="52"/>
      <c r="DF637" s="52"/>
      <c r="DG637" s="52"/>
      <c r="DH637" s="52"/>
      <c r="DI637" s="52"/>
      <c r="DJ637" s="52"/>
      <c r="DK637" s="52"/>
      <c r="DL637" s="52"/>
      <c r="DM637" s="52"/>
      <c r="DN637" s="52"/>
      <c r="DO637" s="52"/>
      <c r="DP637" s="52"/>
      <c r="DQ637" s="52"/>
      <c r="DR637" s="52"/>
      <c r="DS637" s="52"/>
      <c r="DT637" s="52"/>
      <c r="DU637" s="52"/>
      <c r="DV637" s="52"/>
      <c r="DW637" s="52"/>
      <c r="DX637" s="52"/>
      <c r="DY637" s="52"/>
      <c r="DZ637" s="52"/>
      <c r="EA637" s="52"/>
      <c r="EB637" s="52"/>
      <c r="EC637" s="52"/>
      <c r="ED637" s="52"/>
      <c r="EE637" s="52"/>
      <c r="EF637" s="52"/>
      <c r="EG637" s="52"/>
      <c r="EH637" s="52"/>
      <c r="EI637" s="52"/>
      <c r="EJ637" s="52"/>
      <c r="EK637" s="52"/>
      <c r="EL637" s="52"/>
      <c r="EM637" s="52"/>
      <c r="EN637" s="52"/>
      <c r="EO637" s="52"/>
      <c r="EP637" s="52"/>
      <c r="EQ637" s="52"/>
      <c r="ER637" s="52"/>
      <c r="ES637" s="52"/>
    </row>
    <row r="638" spans="1:149" ht="67.5">
      <c r="A638" s="8" t="s">
        <v>391</v>
      </c>
      <c r="B638" s="6"/>
      <c r="C638" s="6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24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  <c r="AC638" s="52"/>
      <c r="AD638" s="52"/>
      <c r="AE638" s="52"/>
      <c r="AF638" s="52"/>
      <c r="AG638" s="52"/>
      <c r="AH638" s="52"/>
      <c r="AI638" s="52"/>
      <c r="AJ638" s="52"/>
      <c r="AK638" s="52"/>
      <c r="AL638" s="52"/>
      <c r="AM638" s="52"/>
      <c r="AN638" s="52"/>
      <c r="AO638" s="52"/>
      <c r="AP638" s="52"/>
      <c r="AQ638" s="52"/>
      <c r="AR638" s="52"/>
      <c r="AS638" s="52"/>
      <c r="AT638" s="52"/>
      <c r="AU638" s="52"/>
      <c r="AV638" s="52"/>
      <c r="AW638" s="52"/>
      <c r="AX638" s="52"/>
      <c r="AY638" s="52"/>
      <c r="AZ638" s="52"/>
      <c r="BA638" s="52"/>
      <c r="BB638" s="52"/>
      <c r="BC638" s="52"/>
      <c r="BD638" s="52"/>
      <c r="BE638" s="52"/>
      <c r="BF638" s="52"/>
      <c r="BG638" s="52"/>
      <c r="BH638" s="52"/>
      <c r="BI638" s="52"/>
      <c r="BJ638" s="52"/>
      <c r="BK638" s="52"/>
      <c r="BL638" s="52"/>
      <c r="BM638" s="52"/>
      <c r="BN638" s="52"/>
      <c r="BO638" s="52"/>
      <c r="BP638" s="52"/>
      <c r="BQ638" s="52"/>
      <c r="BR638" s="52"/>
      <c r="BS638" s="52"/>
      <c r="BT638" s="52"/>
      <c r="BU638" s="52"/>
      <c r="BV638" s="52"/>
      <c r="BW638" s="52"/>
      <c r="BX638" s="52"/>
      <c r="BY638" s="52"/>
      <c r="BZ638" s="52"/>
      <c r="CA638" s="52"/>
      <c r="CB638" s="52"/>
      <c r="CC638" s="52"/>
      <c r="CD638" s="52"/>
      <c r="CE638" s="52"/>
      <c r="CF638" s="52"/>
      <c r="CG638" s="52"/>
      <c r="CH638" s="52"/>
      <c r="CI638" s="52"/>
      <c r="CJ638" s="52"/>
      <c r="CK638" s="52"/>
      <c r="CL638" s="52"/>
      <c r="CM638" s="52"/>
      <c r="CN638" s="52"/>
      <c r="CO638" s="52"/>
      <c r="CP638" s="52"/>
      <c r="CQ638" s="52"/>
      <c r="CR638" s="52"/>
      <c r="CS638" s="52"/>
      <c r="CT638" s="52"/>
      <c r="CU638" s="52"/>
      <c r="CV638" s="52"/>
      <c r="CW638" s="52"/>
      <c r="CX638" s="52"/>
      <c r="CY638" s="52"/>
      <c r="CZ638" s="52"/>
      <c r="DA638" s="52"/>
      <c r="DB638" s="52"/>
      <c r="DC638" s="52"/>
      <c r="DD638" s="52"/>
      <c r="DE638" s="52"/>
      <c r="DF638" s="52"/>
      <c r="DG638" s="52"/>
      <c r="DH638" s="52"/>
      <c r="DI638" s="52"/>
      <c r="DJ638" s="52"/>
      <c r="DK638" s="52"/>
      <c r="DL638" s="52"/>
      <c r="DM638" s="52"/>
      <c r="DN638" s="52"/>
      <c r="DO638" s="52"/>
      <c r="DP638" s="52"/>
      <c r="DQ638" s="52"/>
      <c r="DR638" s="52"/>
      <c r="DS638" s="52"/>
      <c r="DT638" s="52"/>
      <c r="DU638" s="52"/>
      <c r="DV638" s="52"/>
      <c r="DW638" s="52"/>
      <c r="DX638" s="52"/>
      <c r="DY638" s="52"/>
      <c r="DZ638" s="52"/>
      <c r="EA638" s="52"/>
      <c r="EB638" s="52"/>
      <c r="EC638" s="52"/>
      <c r="ED638" s="52"/>
      <c r="EE638" s="52"/>
      <c r="EF638" s="52"/>
      <c r="EG638" s="52"/>
      <c r="EH638" s="52"/>
      <c r="EI638" s="52"/>
      <c r="EJ638" s="52"/>
      <c r="EK638" s="52"/>
      <c r="EL638" s="52"/>
      <c r="EM638" s="52"/>
      <c r="EN638" s="52"/>
      <c r="EO638" s="52"/>
      <c r="EP638" s="52"/>
      <c r="EQ638" s="52"/>
      <c r="ER638" s="52"/>
      <c r="ES638" s="52"/>
    </row>
    <row r="639" spans="1:17" s="38" customFormat="1" ht="36" customHeight="1">
      <c r="A639" s="33" t="s">
        <v>467</v>
      </c>
      <c r="B639" s="34"/>
      <c r="C639" s="34"/>
      <c r="D639" s="35">
        <f>D641</f>
        <v>760000</v>
      </c>
      <c r="E639" s="35">
        <f>E641</f>
        <v>1220000</v>
      </c>
      <c r="F639" s="35">
        <f>D639+E639</f>
        <v>1980000</v>
      </c>
      <c r="G639" s="35">
        <f>G641</f>
        <v>1960000</v>
      </c>
      <c r="H639" s="35">
        <f>H641</f>
        <v>6032500</v>
      </c>
      <c r="I639" s="35">
        <f>G639+H639</f>
        <v>7992500</v>
      </c>
      <c r="J639" s="35">
        <f>G639+H639</f>
        <v>7992500</v>
      </c>
      <c r="K639" s="35"/>
      <c r="L639" s="35"/>
      <c r="M639" s="35"/>
      <c r="N639" s="35">
        <f>N643*N645</f>
        <v>368000</v>
      </c>
      <c r="O639" s="35">
        <f>O643*O645</f>
        <v>7632000</v>
      </c>
      <c r="P639" s="35">
        <f>N639+O639</f>
        <v>8000000</v>
      </c>
      <c r="Q639" s="77"/>
    </row>
    <row r="640" spans="1:149" ht="11.25">
      <c r="A640" s="5" t="s">
        <v>4</v>
      </c>
      <c r="B640" s="6"/>
      <c r="C640" s="6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24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  <c r="AC640" s="52"/>
      <c r="AD640" s="52"/>
      <c r="AE640" s="52"/>
      <c r="AF640" s="52"/>
      <c r="AG640" s="52"/>
      <c r="AH640" s="52"/>
      <c r="AI640" s="52"/>
      <c r="AJ640" s="52"/>
      <c r="AK640" s="52"/>
      <c r="AL640" s="52"/>
      <c r="AM640" s="52"/>
      <c r="AN640" s="52"/>
      <c r="AO640" s="52"/>
      <c r="AP640" s="52"/>
      <c r="AQ640" s="52"/>
      <c r="AR640" s="52"/>
      <c r="AS640" s="52"/>
      <c r="AT640" s="52"/>
      <c r="AU640" s="52"/>
      <c r="AV640" s="52"/>
      <c r="AW640" s="52"/>
      <c r="AX640" s="52"/>
      <c r="AY640" s="52"/>
      <c r="AZ640" s="52"/>
      <c r="BA640" s="52"/>
      <c r="BB640" s="52"/>
      <c r="BC640" s="52"/>
      <c r="BD640" s="52"/>
      <c r="BE640" s="52"/>
      <c r="BF640" s="52"/>
      <c r="BG640" s="52"/>
      <c r="BH640" s="52"/>
      <c r="BI640" s="52"/>
      <c r="BJ640" s="52"/>
      <c r="BK640" s="52"/>
      <c r="BL640" s="52"/>
      <c r="BM640" s="52"/>
      <c r="BN640" s="52"/>
      <c r="BO640" s="52"/>
      <c r="BP640" s="52"/>
      <c r="BQ640" s="52"/>
      <c r="BR640" s="52"/>
      <c r="BS640" s="52"/>
      <c r="BT640" s="52"/>
      <c r="BU640" s="52"/>
      <c r="BV640" s="52"/>
      <c r="BW640" s="52"/>
      <c r="BX640" s="52"/>
      <c r="BY640" s="52"/>
      <c r="BZ640" s="52"/>
      <c r="CA640" s="52"/>
      <c r="CB640" s="52"/>
      <c r="CC640" s="52"/>
      <c r="CD640" s="52"/>
      <c r="CE640" s="52"/>
      <c r="CF640" s="52"/>
      <c r="CG640" s="52"/>
      <c r="CH640" s="52"/>
      <c r="CI640" s="52"/>
      <c r="CJ640" s="52"/>
      <c r="CK640" s="52"/>
      <c r="CL640" s="52"/>
      <c r="CM640" s="52"/>
      <c r="CN640" s="52"/>
      <c r="CO640" s="52"/>
      <c r="CP640" s="52"/>
      <c r="CQ640" s="52"/>
      <c r="CR640" s="52"/>
      <c r="CS640" s="52"/>
      <c r="CT640" s="52"/>
      <c r="CU640" s="52"/>
      <c r="CV640" s="52"/>
      <c r="CW640" s="52"/>
      <c r="CX640" s="52"/>
      <c r="CY640" s="52"/>
      <c r="CZ640" s="52"/>
      <c r="DA640" s="52"/>
      <c r="DB640" s="52"/>
      <c r="DC640" s="52"/>
      <c r="DD640" s="52"/>
      <c r="DE640" s="52"/>
      <c r="DF640" s="52"/>
      <c r="DG640" s="52"/>
      <c r="DH640" s="52"/>
      <c r="DI640" s="52"/>
      <c r="DJ640" s="52"/>
      <c r="DK640" s="52"/>
      <c r="DL640" s="52"/>
      <c r="DM640" s="52"/>
      <c r="DN640" s="52"/>
      <c r="DO640" s="52"/>
      <c r="DP640" s="52"/>
      <c r="DQ640" s="52"/>
      <c r="DR640" s="52"/>
      <c r="DS640" s="52"/>
      <c r="DT640" s="52"/>
      <c r="DU640" s="52"/>
      <c r="DV640" s="52"/>
      <c r="DW640" s="52"/>
      <c r="DX640" s="52"/>
      <c r="DY640" s="52"/>
      <c r="DZ640" s="52"/>
      <c r="EA640" s="52"/>
      <c r="EB640" s="52"/>
      <c r="EC640" s="52"/>
      <c r="ED640" s="52"/>
      <c r="EE640" s="52"/>
      <c r="EF640" s="52"/>
      <c r="EG640" s="52"/>
      <c r="EH640" s="52"/>
      <c r="EI640" s="52"/>
      <c r="EJ640" s="52"/>
      <c r="EK640" s="52"/>
      <c r="EL640" s="52"/>
      <c r="EM640" s="52"/>
      <c r="EN640" s="52"/>
      <c r="EO640" s="52"/>
      <c r="EP640" s="52"/>
      <c r="EQ640" s="52"/>
      <c r="ER640" s="52"/>
      <c r="ES640" s="52"/>
    </row>
    <row r="641" spans="1:149" ht="11.25">
      <c r="A641" s="8" t="s">
        <v>43</v>
      </c>
      <c r="B641" s="6"/>
      <c r="C641" s="6"/>
      <c r="D641" s="7">
        <f>D643*D645</f>
        <v>760000</v>
      </c>
      <c r="E641" s="7">
        <f>E643*E645</f>
        <v>1220000</v>
      </c>
      <c r="F641" s="7">
        <f>D641+E641</f>
        <v>1980000</v>
      </c>
      <c r="G641" s="7">
        <f>G643*G645</f>
        <v>1960000</v>
      </c>
      <c r="H641" s="7">
        <f>H643*H645</f>
        <v>6032500</v>
      </c>
      <c r="I641" s="7"/>
      <c r="J641" s="7">
        <f>G641+H641</f>
        <v>7992500</v>
      </c>
      <c r="K641" s="7"/>
      <c r="L641" s="7"/>
      <c r="M641" s="7"/>
      <c r="N641" s="7">
        <f>N643*N645</f>
        <v>368000</v>
      </c>
      <c r="O641" s="7">
        <f>O643*O645</f>
        <v>7632000</v>
      </c>
      <c r="P641" s="7">
        <f>N641+O641</f>
        <v>8000000</v>
      </c>
      <c r="Q641" s="24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  <c r="AC641" s="52"/>
      <c r="AD641" s="52"/>
      <c r="AE641" s="52"/>
      <c r="AF641" s="52"/>
      <c r="AG641" s="52"/>
      <c r="AH641" s="52"/>
      <c r="AI641" s="52"/>
      <c r="AJ641" s="52"/>
      <c r="AK641" s="52"/>
      <c r="AL641" s="52"/>
      <c r="AM641" s="52"/>
      <c r="AN641" s="52"/>
      <c r="AO641" s="52"/>
      <c r="AP641" s="52"/>
      <c r="AQ641" s="52"/>
      <c r="AR641" s="52"/>
      <c r="AS641" s="52"/>
      <c r="AT641" s="52"/>
      <c r="AU641" s="52"/>
      <c r="AV641" s="52"/>
      <c r="AW641" s="52"/>
      <c r="AX641" s="52"/>
      <c r="AY641" s="52"/>
      <c r="AZ641" s="52"/>
      <c r="BA641" s="52"/>
      <c r="BB641" s="52"/>
      <c r="BC641" s="52"/>
      <c r="BD641" s="52"/>
      <c r="BE641" s="52"/>
      <c r="BF641" s="52"/>
      <c r="BG641" s="52"/>
      <c r="BH641" s="52"/>
      <c r="BI641" s="52"/>
      <c r="BJ641" s="52"/>
      <c r="BK641" s="52"/>
      <c r="BL641" s="52"/>
      <c r="BM641" s="52"/>
      <c r="BN641" s="52"/>
      <c r="BO641" s="52"/>
      <c r="BP641" s="52"/>
      <c r="BQ641" s="52"/>
      <c r="BR641" s="52"/>
      <c r="BS641" s="52"/>
      <c r="BT641" s="52"/>
      <c r="BU641" s="52"/>
      <c r="BV641" s="52"/>
      <c r="BW641" s="52"/>
      <c r="BX641" s="52"/>
      <c r="BY641" s="52"/>
      <c r="BZ641" s="52"/>
      <c r="CA641" s="52"/>
      <c r="CB641" s="52"/>
      <c r="CC641" s="52"/>
      <c r="CD641" s="52"/>
      <c r="CE641" s="52"/>
      <c r="CF641" s="52"/>
      <c r="CG641" s="52"/>
      <c r="CH641" s="52"/>
      <c r="CI641" s="52"/>
      <c r="CJ641" s="52"/>
      <c r="CK641" s="52"/>
      <c r="CL641" s="52"/>
      <c r="CM641" s="52"/>
      <c r="CN641" s="52"/>
      <c r="CO641" s="52"/>
      <c r="CP641" s="52"/>
      <c r="CQ641" s="52"/>
      <c r="CR641" s="52"/>
      <c r="CS641" s="52"/>
      <c r="CT641" s="52"/>
      <c r="CU641" s="52"/>
      <c r="CV641" s="52"/>
      <c r="CW641" s="52"/>
      <c r="CX641" s="52"/>
      <c r="CY641" s="52"/>
      <c r="CZ641" s="52"/>
      <c r="DA641" s="52"/>
      <c r="DB641" s="52"/>
      <c r="DC641" s="52"/>
      <c r="DD641" s="52"/>
      <c r="DE641" s="52"/>
      <c r="DF641" s="52"/>
      <c r="DG641" s="52"/>
      <c r="DH641" s="52"/>
      <c r="DI641" s="52"/>
      <c r="DJ641" s="52"/>
      <c r="DK641" s="52"/>
      <c r="DL641" s="52"/>
      <c r="DM641" s="52"/>
      <c r="DN641" s="52"/>
      <c r="DO641" s="52"/>
      <c r="DP641" s="52"/>
      <c r="DQ641" s="52"/>
      <c r="DR641" s="52"/>
      <c r="DS641" s="52"/>
      <c r="DT641" s="52"/>
      <c r="DU641" s="52"/>
      <c r="DV641" s="52"/>
      <c r="DW641" s="52"/>
      <c r="DX641" s="52"/>
      <c r="DY641" s="52"/>
      <c r="DZ641" s="52"/>
      <c r="EA641" s="52"/>
      <c r="EB641" s="52"/>
      <c r="EC641" s="52"/>
      <c r="ED641" s="52"/>
      <c r="EE641" s="52"/>
      <c r="EF641" s="52"/>
      <c r="EG641" s="52"/>
      <c r="EH641" s="52"/>
      <c r="EI641" s="52"/>
      <c r="EJ641" s="52"/>
      <c r="EK641" s="52"/>
      <c r="EL641" s="52"/>
      <c r="EM641" s="52"/>
      <c r="EN641" s="52"/>
      <c r="EO641" s="52"/>
      <c r="EP641" s="52"/>
      <c r="EQ641" s="52"/>
      <c r="ER641" s="52"/>
      <c r="ES641" s="52"/>
    </row>
    <row r="642" spans="1:149" ht="11.25">
      <c r="A642" s="5" t="s">
        <v>5</v>
      </c>
      <c r="B642" s="6"/>
      <c r="C642" s="6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24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  <c r="AC642" s="52"/>
      <c r="AD642" s="52"/>
      <c r="AE642" s="52"/>
      <c r="AF642" s="52"/>
      <c r="AG642" s="52"/>
      <c r="AH642" s="52"/>
      <c r="AI642" s="52"/>
      <c r="AJ642" s="52"/>
      <c r="AK642" s="52"/>
      <c r="AL642" s="52"/>
      <c r="AM642" s="52"/>
      <c r="AN642" s="52"/>
      <c r="AO642" s="52"/>
      <c r="AP642" s="52"/>
      <c r="AQ642" s="52"/>
      <c r="AR642" s="52"/>
      <c r="AS642" s="52"/>
      <c r="AT642" s="52"/>
      <c r="AU642" s="52"/>
      <c r="AV642" s="52"/>
      <c r="AW642" s="52"/>
      <c r="AX642" s="52"/>
      <c r="AY642" s="52"/>
      <c r="AZ642" s="52"/>
      <c r="BA642" s="52"/>
      <c r="BB642" s="52"/>
      <c r="BC642" s="52"/>
      <c r="BD642" s="52"/>
      <c r="BE642" s="52"/>
      <c r="BF642" s="52"/>
      <c r="BG642" s="52"/>
      <c r="BH642" s="52"/>
      <c r="BI642" s="52"/>
      <c r="BJ642" s="52"/>
      <c r="BK642" s="52"/>
      <c r="BL642" s="52"/>
      <c r="BM642" s="52"/>
      <c r="BN642" s="52"/>
      <c r="BO642" s="52"/>
      <c r="BP642" s="52"/>
      <c r="BQ642" s="52"/>
      <c r="BR642" s="52"/>
      <c r="BS642" s="52"/>
      <c r="BT642" s="52"/>
      <c r="BU642" s="52"/>
      <c r="BV642" s="52"/>
      <c r="BW642" s="52"/>
      <c r="BX642" s="52"/>
      <c r="BY642" s="52"/>
      <c r="BZ642" s="52"/>
      <c r="CA642" s="52"/>
      <c r="CB642" s="52"/>
      <c r="CC642" s="52"/>
      <c r="CD642" s="52"/>
      <c r="CE642" s="52"/>
      <c r="CF642" s="52"/>
      <c r="CG642" s="52"/>
      <c r="CH642" s="52"/>
      <c r="CI642" s="52"/>
      <c r="CJ642" s="52"/>
      <c r="CK642" s="52"/>
      <c r="CL642" s="52"/>
      <c r="CM642" s="52"/>
      <c r="CN642" s="52"/>
      <c r="CO642" s="52"/>
      <c r="CP642" s="52"/>
      <c r="CQ642" s="52"/>
      <c r="CR642" s="52"/>
      <c r="CS642" s="52"/>
      <c r="CT642" s="52"/>
      <c r="CU642" s="52"/>
      <c r="CV642" s="52"/>
      <c r="CW642" s="52"/>
      <c r="CX642" s="52"/>
      <c r="CY642" s="52"/>
      <c r="CZ642" s="52"/>
      <c r="DA642" s="52"/>
      <c r="DB642" s="52"/>
      <c r="DC642" s="52"/>
      <c r="DD642" s="52"/>
      <c r="DE642" s="52"/>
      <c r="DF642" s="52"/>
      <c r="DG642" s="52"/>
      <c r="DH642" s="52"/>
      <c r="DI642" s="52"/>
      <c r="DJ642" s="52"/>
      <c r="DK642" s="52"/>
      <c r="DL642" s="52"/>
      <c r="DM642" s="52"/>
      <c r="DN642" s="52"/>
      <c r="DO642" s="52"/>
      <c r="DP642" s="52"/>
      <c r="DQ642" s="52"/>
      <c r="DR642" s="52"/>
      <c r="DS642" s="52"/>
      <c r="DT642" s="52"/>
      <c r="DU642" s="52"/>
      <c r="DV642" s="52"/>
      <c r="DW642" s="52"/>
      <c r="DX642" s="52"/>
      <c r="DY642" s="52"/>
      <c r="DZ642" s="52"/>
      <c r="EA642" s="52"/>
      <c r="EB642" s="52"/>
      <c r="EC642" s="52"/>
      <c r="ED642" s="52"/>
      <c r="EE642" s="52"/>
      <c r="EF642" s="52"/>
      <c r="EG642" s="52"/>
      <c r="EH642" s="52"/>
      <c r="EI642" s="52"/>
      <c r="EJ642" s="52"/>
      <c r="EK642" s="52"/>
      <c r="EL642" s="52"/>
      <c r="EM642" s="52"/>
      <c r="EN642" s="52"/>
      <c r="EO642" s="52"/>
      <c r="EP642" s="52"/>
      <c r="EQ642" s="52"/>
      <c r="ER642" s="52"/>
      <c r="ES642" s="52"/>
    </row>
    <row r="643" spans="1:149" ht="22.5">
      <c r="A643" s="8" t="s">
        <v>180</v>
      </c>
      <c r="B643" s="6"/>
      <c r="C643" s="6"/>
      <c r="D643" s="7">
        <v>1</v>
      </c>
      <c r="E643" s="7">
        <v>1</v>
      </c>
      <c r="F643" s="7">
        <f>D643+E643</f>
        <v>2</v>
      </c>
      <c r="G643" s="7">
        <v>1</v>
      </c>
      <c r="H643" s="7">
        <v>1</v>
      </c>
      <c r="I643" s="7"/>
      <c r="J643" s="7">
        <v>1</v>
      </c>
      <c r="K643" s="7"/>
      <c r="L643" s="7"/>
      <c r="M643" s="7"/>
      <c r="N643" s="7">
        <v>1</v>
      </c>
      <c r="O643" s="7">
        <v>1</v>
      </c>
      <c r="P643" s="7">
        <v>1</v>
      </c>
      <c r="Q643" s="24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  <c r="AC643" s="52"/>
      <c r="AD643" s="52"/>
      <c r="AE643" s="52"/>
      <c r="AF643" s="52"/>
      <c r="AG643" s="52"/>
      <c r="AH643" s="52"/>
      <c r="AI643" s="52"/>
      <c r="AJ643" s="52"/>
      <c r="AK643" s="52"/>
      <c r="AL643" s="52"/>
      <c r="AM643" s="52"/>
      <c r="AN643" s="52"/>
      <c r="AO643" s="52"/>
      <c r="AP643" s="52"/>
      <c r="AQ643" s="52"/>
      <c r="AR643" s="52"/>
      <c r="AS643" s="52"/>
      <c r="AT643" s="52"/>
      <c r="AU643" s="52"/>
      <c r="AV643" s="52"/>
      <c r="AW643" s="52"/>
      <c r="AX643" s="52"/>
      <c r="AY643" s="52"/>
      <c r="AZ643" s="52"/>
      <c r="BA643" s="52"/>
      <c r="BB643" s="52"/>
      <c r="BC643" s="52"/>
      <c r="BD643" s="52"/>
      <c r="BE643" s="52"/>
      <c r="BF643" s="52"/>
      <c r="BG643" s="52"/>
      <c r="BH643" s="52"/>
      <c r="BI643" s="52"/>
      <c r="BJ643" s="52"/>
      <c r="BK643" s="52"/>
      <c r="BL643" s="52"/>
      <c r="BM643" s="52"/>
      <c r="BN643" s="52"/>
      <c r="BO643" s="52"/>
      <c r="BP643" s="52"/>
      <c r="BQ643" s="52"/>
      <c r="BR643" s="52"/>
      <c r="BS643" s="52"/>
      <c r="BT643" s="52"/>
      <c r="BU643" s="52"/>
      <c r="BV643" s="52"/>
      <c r="BW643" s="52"/>
      <c r="BX643" s="52"/>
      <c r="BY643" s="52"/>
      <c r="BZ643" s="52"/>
      <c r="CA643" s="52"/>
      <c r="CB643" s="52"/>
      <c r="CC643" s="52"/>
      <c r="CD643" s="52"/>
      <c r="CE643" s="52"/>
      <c r="CF643" s="52"/>
      <c r="CG643" s="52"/>
      <c r="CH643" s="52"/>
      <c r="CI643" s="52"/>
      <c r="CJ643" s="52"/>
      <c r="CK643" s="52"/>
      <c r="CL643" s="52"/>
      <c r="CM643" s="52"/>
      <c r="CN643" s="52"/>
      <c r="CO643" s="52"/>
      <c r="CP643" s="52"/>
      <c r="CQ643" s="52"/>
      <c r="CR643" s="52"/>
      <c r="CS643" s="52"/>
      <c r="CT643" s="52"/>
      <c r="CU643" s="52"/>
      <c r="CV643" s="52"/>
      <c r="CW643" s="52"/>
      <c r="CX643" s="52"/>
      <c r="CY643" s="52"/>
      <c r="CZ643" s="52"/>
      <c r="DA643" s="52"/>
      <c r="DB643" s="52"/>
      <c r="DC643" s="52"/>
      <c r="DD643" s="52"/>
      <c r="DE643" s="52"/>
      <c r="DF643" s="52"/>
      <c r="DG643" s="52"/>
      <c r="DH643" s="52"/>
      <c r="DI643" s="52"/>
      <c r="DJ643" s="52"/>
      <c r="DK643" s="52"/>
      <c r="DL643" s="52"/>
      <c r="DM643" s="52"/>
      <c r="DN643" s="52"/>
      <c r="DO643" s="52"/>
      <c r="DP643" s="52"/>
      <c r="DQ643" s="52"/>
      <c r="DR643" s="52"/>
      <c r="DS643" s="52"/>
      <c r="DT643" s="52"/>
      <c r="DU643" s="52"/>
      <c r="DV643" s="52"/>
      <c r="DW643" s="52"/>
      <c r="DX643" s="52"/>
      <c r="DY643" s="52"/>
      <c r="DZ643" s="52"/>
      <c r="EA643" s="52"/>
      <c r="EB643" s="52"/>
      <c r="EC643" s="52"/>
      <c r="ED643" s="52"/>
      <c r="EE643" s="52"/>
      <c r="EF643" s="52"/>
      <c r="EG643" s="52"/>
      <c r="EH643" s="52"/>
      <c r="EI643" s="52"/>
      <c r="EJ643" s="52"/>
      <c r="EK643" s="52"/>
      <c r="EL643" s="52"/>
      <c r="EM643" s="52"/>
      <c r="EN643" s="52"/>
      <c r="EO643" s="52"/>
      <c r="EP643" s="52"/>
      <c r="EQ643" s="52"/>
      <c r="ER643" s="52"/>
      <c r="ES643" s="52"/>
    </row>
    <row r="644" spans="1:149" ht="11.25">
      <c r="A644" s="5" t="s">
        <v>7</v>
      </c>
      <c r="B644" s="6"/>
      <c r="C644" s="6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24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  <c r="AC644" s="52"/>
      <c r="AD644" s="52"/>
      <c r="AE644" s="52"/>
      <c r="AF644" s="52"/>
      <c r="AG644" s="52"/>
      <c r="AH644" s="52"/>
      <c r="AI644" s="52"/>
      <c r="AJ644" s="52"/>
      <c r="AK644" s="52"/>
      <c r="AL644" s="52"/>
      <c r="AM644" s="52"/>
      <c r="AN644" s="52"/>
      <c r="AO644" s="52"/>
      <c r="AP644" s="52"/>
      <c r="AQ644" s="52"/>
      <c r="AR644" s="52"/>
      <c r="AS644" s="52"/>
      <c r="AT644" s="52"/>
      <c r="AU644" s="52"/>
      <c r="AV644" s="52"/>
      <c r="AW644" s="52"/>
      <c r="AX644" s="52"/>
      <c r="AY644" s="52"/>
      <c r="AZ644" s="52"/>
      <c r="BA644" s="52"/>
      <c r="BB644" s="52"/>
      <c r="BC644" s="52"/>
      <c r="BD644" s="52"/>
      <c r="BE644" s="52"/>
      <c r="BF644" s="52"/>
      <c r="BG644" s="52"/>
      <c r="BH644" s="52"/>
      <c r="BI644" s="52"/>
      <c r="BJ644" s="52"/>
      <c r="BK644" s="52"/>
      <c r="BL644" s="52"/>
      <c r="BM644" s="52"/>
      <c r="BN644" s="52"/>
      <c r="BO644" s="52"/>
      <c r="BP644" s="52"/>
      <c r="BQ644" s="52"/>
      <c r="BR644" s="52"/>
      <c r="BS644" s="52"/>
      <c r="BT644" s="52"/>
      <c r="BU644" s="52"/>
      <c r="BV644" s="52"/>
      <c r="BW644" s="52"/>
      <c r="BX644" s="52"/>
      <c r="BY644" s="52"/>
      <c r="BZ644" s="52"/>
      <c r="CA644" s="52"/>
      <c r="CB644" s="52"/>
      <c r="CC644" s="52"/>
      <c r="CD644" s="52"/>
      <c r="CE644" s="52"/>
      <c r="CF644" s="52"/>
      <c r="CG644" s="52"/>
      <c r="CH644" s="52"/>
      <c r="CI644" s="52"/>
      <c r="CJ644" s="52"/>
      <c r="CK644" s="52"/>
      <c r="CL644" s="52"/>
      <c r="CM644" s="52"/>
      <c r="CN644" s="52"/>
      <c r="CO644" s="52"/>
      <c r="CP644" s="52"/>
      <c r="CQ644" s="52"/>
      <c r="CR644" s="52"/>
      <c r="CS644" s="52"/>
      <c r="CT644" s="52"/>
      <c r="CU644" s="52"/>
      <c r="CV644" s="52"/>
      <c r="CW644" s="52"/>
      <c r="CX644" s="52"/>
      <c r="CY644" s="52"/>
      <c r="CZ644" s="52"/>
      <c r="DA644" s="52"/>
      <c r="DB644" s="52"/>
      <c r="DC644" s="52"/>
      <c r="DD644" s="52"/>
      <c r="DE644" s="52"/>
      <c r="DF644" s="52"/>
      <c r="DG644" s="52"/>
      <c r="DH644" s="52"/>
      <c r="DI644" s="52"/>
      <c r="DJ644" s="52"/>
      <c r="DK644" s="52"/>
      <c r="DL644" s="52"/>
      <c r="DM644" s="52"/>
      <c r="DN644" s="52"/>
      <c r="DO644" s="52"/>
      <c r="DP644" s="52"/>
      <c r="DQ644" s="52"/>
      <c r="DR644" s="52"/>
      <c r="DS644" s="52"/>
      <c r="DT644" s="52"/>
      <c r="DU644" s="52"/>
      <c r="DV644" s="52"/>
      <c r="DW644" s="52"/>
      <c r="DX644" s="52"/>
      <c r="DY644" s="52"/>
      <c r="DZ644" s="52"/>
      <c r="EA644" s="52"/>
      <c r="EB644" s="52"/>
      <c r="EC644" s="52"/>
      <c r="ED644" s="52"/>
      <c r="EE644" s="52"/>
      <c r="EF644" s="52"/>
      <c r="EG644" s="52"/>
      <c r="EH644" s="52"/>
      <c r="EI644" s="52"/>
      <c r="EJ644" s="52"/>
      <c r="EK644" s="52"/>
      <c r="EL644" s="52"/>
      <c r="EM644" s="52"/>
      <c r="EN644" s="52"/>
      <c r="EO644" s="52"/>
      <c r="EP644" s="52"/>
      <c r="EQ644" s="52"/>
      <c r="ER644" s="52"/>
      <c r="ES644" s="52"/>
    </row>
    <row r="645" spans="1:149" ht="22.5">
      <c r="A645" s="8" t="s">
        <v>181</v>
      </c>
      <c r="B645" s="6"/>
      <c r="C645" s="6"/>
      <c r="D645" s="7">
        <v>760000</v>
      </c>
      <c r="E645" s="7">
        <v>1220000</v>
      </c>
      <c r="F645" s="7">
        <f>D645+E645</f>
        <v>1980000</v>
      </c>
      <c r="G645" s="7">
        <v>1960000</v>
      </c>
      <c r="H645" s="7">
        <v>6032500</v>
      </c>
      <c r="I645" s="7"/>
      <c r="J645" s="23">
        <f>J641/J643</f>
        <v>7992500</v>
      </c>
      <c r="K645" s="23"/>
      <c r="L645" s="23"/>
      <c r="M645" s="23"/>
      <c r="N645" s="23">
        <v>368000</v>
      </c>
      <c r="O645" s="23">
        <v>7632000</v>
      </c>
      <c r="P645" s="7">
        <f>N645+O645</f>
        <v>8000000</v>
      </c>
      <c r="Q645" s="24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  <c r="AC645" s="52"/>
      <c r="AD645" s="52"/>
      <c r="AE645" s="52"/>
      <c r="AF645" s="52"/>
      <c r="AG645" s="52"/>
      <c r="AH645" s="52"/>
      <c r="AI645" s="52"/>
      <c r="AJ645" s="52"/>
      <c r="AK645" s="52"/>
      <c r="AL645" s="52"/>
      <c r="AM645" s="52"/>
      <c r="AN645" s="52"/>
      <c r="AO645" s="52"/>
      <c r="AP645" s="52"/>
      <c r="AQ645" s="52"/>
      <c r="AR645" s="52"/>
      <c r="AS645" s="52"/>
      <c r="AT645" s="52"/>
      <c r="AU645" s="52"/>
      <c r="AV645" s="52"/>
      <c r="AW645" s="52"/>
      <c r="AX645" s="52"/>
      <c r="AY645" s="52"/>
      <c r="AZ645" s="52"/>
      <c r="BA645" s="52"/>
      <c r="BB645" s="52"/>
      <c r="BC645" s="52"/>
      <c r="BD645" s="52"/>
      <c r="BE645" s="52"/>
      <c r="BF645" s="52"/>
      <c r="BG645" s="52"/>
      <c r="BH645" s="52"/>
      <c r="BI645" s="52"/>
      <c r="BJ645" s="52"/>
      <c r="BK645" s="52"/>
      <c r="BL645" s="52"/>
      <c r="BM645" s="52"/>
      <c r="BN645" s="52"/>
      <c r="BO645" s="52"/>
      <c r="BP645" s="52"/>
      <c r="BQ645" s="52"/>
      <c r="BR645" s="52"/>
      <c r="BS645" s="52"/>
      <c r="BT645" s="52"/>
      <c r="BU645" s="52"/>
      <c r="BV645" s="52"/>
      <c r="BW645" s="52"/>
      <c r="BX645" s="52"/>
      <c r="BY645" s="52"/>
      <c r="BZ645" s="52"/>
      <c r="CA645" s="52"/>
      <c r="CB645" s="52"/>
      <c r="CC645" s="52"/>
      <c r="CD645" s="52"/>
      <c r="CE645" s="52"/>
      <c r="CF645" s="52"/>
      <c r="CG645" s="52"/>
      <c r="CH645" s="52"/>
      <c r="CI645" s="52"/>
      <c r="CJ645" s="52"/>
      <c r="CK645" s="52"/>
      <c r="CL645" s="52"/>
      <c r="CM645" s="52"/>
      <c r="CN645" s="52"/>
      <c r="CO645" s="52"/>
      <c r="CP645" s="52"/>
      <c r="CQ645" s="52"/>
      <c r="CR645" s="52"/>
      <c r="CS645" s="52"/>
      <c r="CT645" s="52"/>
      <c r="CU645" s="52"/>
      <c r="CV645" s="52"/>
      <c r="CW645" s="52"/>
      <c r="CX645" s="52"/>
      <c r="CY645" s="52"/>
      <c r="CZ645" s="52"/>
      <c r="DA645" s="52"/>
      <c r="DB645" s="52"/>
      <c r="DC645" s="52"/>
      <c r="DD645" s="52"/>
      <c r="DE645" s="52"/>
      <c r="DF645" s="52"/>
      <c r="DG645" s="52"/>
      <c r="DH645" s="52"/>
      <c r="DI645" s="52"/>
      <c r="DJ645" s="52"/>
      <c r="DK645" s="52"/>
      <c r="DL645" s="52"/>
      <c r="DM645" s="52"/>
      <c r="DN645" s="52"/>
      <c r="DO645" s="52"/>
      <c r="DP645" s="52"/>
      <c r="DQ645" s="52"/>
      <c r="DR645" s="52"/>
      <c r="DS645" s="52"/>
      <c r="DT645" s="52"/>
      <c r="DU645" s="52"/>
      <c r="DV645" s="52"/>
      <c r="DW645" s="52"/>
      <c r="DX645" s="52"/>
      <c r="DY645" s="52"/>
      <c r="DZ645" s="52"/>
      <c r="EA645" s="52"/>
      <c r="EB645" s="52"/>
      <c r="EC645" s="52"/>
      <c r="ED645" s="52"/>
      <c r="EE645" s="52"/>
      <c r="EF645" s="52"/>
      <c r="EG645" s="52"/>
      <c r="EH645" s="52"/>
      <c r="EI645" s="52"/>
      <c r="EJ645" s="52"/>
      <c r="EK645" s="52"/>
      <c r="EL645" s="52"/>
      <c r="EM645" s="52"/>
      <c r="EN645" s="52"/>
      <c r="EO645" s="52"/>
      <c r="EP645" s="52"/>
      <c r="EQ645" s="52"/>
      <c r="ER645" s="52"/>
      <c r="ES645" s="52"/>
    </row>
    <row r="646" spans="1:17" s="51" customFormat="1" ht="11.25">
      <c r="A646" s="36" t="s">
        <v>342</v>
      </c>
      <c r="B646" s="36"/>
      <c r="C646" s="36"/>
      <c r="D646" s="29">
        <f>D650</f>
        <v>0</v>
      </c>
      <c r="E646" s="29">
        <f>E650</f>
        <v>2275980</v>
      </c>
      <c r="F646" s="29">
        <f>D646+E646</f>
        <v>2275980</v>
      </c>
      <c r="G646" s="29">
        <v>0</v>
      </c>
      <c r="H646" s="29">
        <f>H648</f>
        <v>1108600</v>
      </c>
      <c r="I646" s="29" t="e">
        <f>#REF!</f>
        <v>#REF!</v>
      </c>
      <c r="J646" s="127">
        <f>J648</f>
        <v>1108600</v>
      </c>
      <c r="K646" s="127" t="e">
        <f>#REF!</f>
        <v>#REF!</v>
      </c>
      <c r="L646" s="127" t="e">
        <f>#REF!</f>
        <v>#REF!</v>
      </c>
      <c r="M646" s="127" t="e">
        <f>#REF!</f>
        <v>#REF!</v>
      </c>
      <c r="N646" s="127">
        <v>0</v>
      </c>
      <c r="O646" s="127">
        <f>O648</f>
        <v>54066467</v>
      </c>
      <c r="P646" s="29">
        <f>N646+O646</f>
        <v>54066467</v>
      </c>
      <c r="Q646" s="74" t="e">
        <f>#REF!</f>
        <v>#REF!</v>
      </c>
    </row>
    <row r="647" spans="1:149" ht="33.75">
      <c r="A647" s="8" t="s">
        <v>343</v>
      </c>
      <c r="B647" s="6"/>
      <c r="C647" s="6"/>
      <c r="D647" s="7"/>
      <c r="E647" s="7"/>
      <c r="F647" s="7"/>
      <c r="G647" s="7"/>
      <c r="H647" s="7"/>
      <c r="I647" s="7"/>
      <c r="J647" s="23"/>
      <c r="K647" s="23"/>
      <c r="L647" s="23"/>
      <c r="M647" s="23"/>
      <c r="N647" s="23"/>
      <c r="O647" s="23"/>
      <c r="P647" s="29"/>
      <c r="Q647" s="24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  <c r="AC647" s="52"/>
      <c r="AD647" s="52"/>
      <c r="AE647" s="52"/>
      <c r="AF647" s="52"/>
      <c r="AG647" s="52"/>
      <c r="AH647" s="52"/>
      <c r="AI647" s="52"/>
      <c r="AJ647" s="52"/>
      <c r="AK647" s="52"/>
      <c r="AL647" s="52"/>
      <c r="AM647" s="52"/>
      <c r="AN647" s="52"/>
      <c r="AO647" s="52"/>
      <c r="AP647" s="52"/>
      <c r="AQ647" s="52"/>
      <c r="AR647" s="52"/>
      <c r="AS647" s="52"/>
      <c r="AT647" s="52"/>
      <c r="AU647" s="52"/>
      <c r="AV647" s="52"/>
      <c r="AW647" s="52"/>
      <c r="AX647" s="52"/>
      <c r="AY647" s="52"/>
      <c r="AZ647" s="52"/>
      <c r="BA647" s="52"/>
      <c r="BB647" s="52"/>
      <c r="BC647" s="52"/>
      <c r="BD647" s="52"/>
      <c r="BE647" s="52"/>
      <c r="BF647" s="52"/>
      <c r="BG647" s="52"/>
      <c r="BH647" s="52"/>
      <c r="BI647" s="52"/>
      <c r="BJ647" s="52"/>
      <c r="BK647" s="52"/>
      <c r="BL647" s="52"/>
      <c r="BM647" s="52"/>
      <c r="BN647" s="52"/>
      <c r="BO647" s="52"/>
      <c r="BP647" s="52"/>
      <c r="BQ647" s="52"/>
      <c r="BR647" s="52"/>
      <c r="BS647" s="52"/>
      <c r="BT647" s="52"/>
      <c r="BU647" s="52"/>
      <c r="BV647" s="52"/>
      <c r="BW647" s="52"/>
      <c r="BX647" s="52"/>
      <c r="BY647" s="52"/>
      <c r="BZ647" s="52"/>
      <c r="CA647" s="52"/>
      <c r="CB647" s="52"/>
      <c r="CC647" s="52"/>
      <c r="CD647" s="52"/>
      <c r="CE647" s="52"/>
      <c r="CF647" s="52"/>
      <c r="CG647" s="52"/>
      <c r="CH647" s="52"/>
      <c r="CI647" s="52"/>
      <c r="CJ647" s="52"/>
      <c r="CK647" s="52"/>
      <c r="CL647" s="52"/>
      <c r="CM647" s="52"/>
      <c r="CN647" s="52"/>
      <c r="CO647" s="52"/>
      <c r="CP647" s="52"/>
      <c r="CQ647" s="52"/>
      <c r="CR647" s="52"/>
      <c r="CS647" s="52"/>
      <c r="CT647" s="52"/>
      <c r="CU647" s="52"/>
      <c r="CV647" s="52"/>
      <c r="CW647" s="52"/>
      <c r="CX647" s="52"/>
      <c r="CY647" s="52"/>
      <c r="CZ647" s="52"/>
      <c r="DA647" s="52"/>
      <c r="DB647" s="52"/>
      <c r="DC647" s="52"/>
      <c r="DD647" s="52"/>
      <c r="DE647" s="52"/>
      <c r="DF647" s="52"/>
      <c r="DG647" s="52"/>
      <c r="DH647" s="52"/>
      <c r="DI647" s="52"/>
      <c r="DJ647" s="52"/>
      <c r="DK647" s="52"/>
      <c r="DL647" s="52"/>
      <c r="DM647" s="52"/>
      <c r="DN647" s="52"/>
      <c r="DO647" s="52"/>
      <c r="DP647" s="52"/>
      <c r="DQ647" s="52"/>
      <c r="DR647" s="52"/>
      <c r="DS647" s="52"/>
      <c r="DT647" s="52"/>
      <c r="DU647" s="52"/>
      <c r="DV647" s="52"/>
      <c r="DW647" s="52"/>
      <c r="DX647" s="52"/>
      <c r="DY647" s="52"/>
      <c r="DZ647" s="52"/>
      <c r="EA647" s="52"/>
      <c r="EB647" s="52"/>
      <c r="EC647" s="52"/>
      <c r="ED647" s="52"/>
      <c r="EE647" s="52"/>
      <c r="EF647" s="52"/>
      <c r="EG647" s="52"/>
      <c r="EH647" s="52"/>
      <c r="EI647" s="52"/>
      <c r="EJ647" s="52"/>
      <c r="EK647" s="52"/>
      <c r="EL647" s="52"/>
      <c r="EM647" s="52"/>
      <c r="EN647" s="52"/>
      <c r="EO647" s="52"/>
      <c r="EP647" s="52"/>
      <c r="EQ647" s="52"/>
      <c r="ER647" s="52"/>
      <c r="ES647" s="52"/>
    </row>
    <row r="648" spans="1:17" s="51" customFormat="1" ht="22.5">
      <c r="A648" s="33" t="s">
        <v>468</v>
      </c>
      <c r="B648" s="36"/>
      <c r="C648" s="36"/>
      <c r="D648" s="29"/>
      <c r="E648" s="29">
        <v>2275980</v>
      </c>
      <c r="F648" s="29">
        <v>2275980</v>
      </c>
      <c r="G648" s="29"/>
      <c r="H648" s="29">
        <f>H650</f>
        <v>1108600</v>
      </c>
      <c r="I648" s="29"/>
      <c r="J648" s="127">
        <f>H648</f>
        <v>1108600</v>
      </c>
      <c r="K648" s="127"/>
      <c r="L648" s="127"/>
      <c r="M648" s="127"/>
      <c r="N648" s="127"/>
      <c r="O648" s="127">
        <f>O650</f>
        <v>54066467</v>
      </c>
      <c r="P648" s="29">
        <f aca="true" t="shared" si="63" ref="P648:P654">N648+O648</f>
        <v>54066467</v>
      </c>
      <c r="Q648" s="74"/>
    </row>
    <row r="649" spans="1:149" ht="11.25">
      <c r="A649" s="5" t="s">
        <v>4</v>
      </c>
      <c r="B649" s="6"/>
      <c r="C649" s="6"/>
      <c r="D649" s="7"/>
      <c r="E649" s="7"/>
      <c r="F649" s="7"/>
      <c r="G649" s="7"/>
      <c r="H649" s="7"/>
      <c r="I649" s="7"/>
      <c r="J649" s="23"/>
      <c r="K649" s="23"/>
      <c r="L649" s="23"/>
      <c r="M649" s="23"/>
      <c r="N649" s="23"/>
      <c r="O649" s="23"/>
      <c r="P649" s="29"/>
      <c r="Q649" s="24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  <c r="AC649" s="52"/>
      <c r="AD649" s="52"/>
      <c r="AE649" s="52"/>
      <c r="AF649" s="52"/>
      <c r="AG649" s="52"/>
      <c r="AH649" s="52"/>
      <c r="AI649" s="52"/>
      <c r="AJ649" s="52"/>
      <c r="AK649" s="52"/>
      <c r="AL649" s="52"/>
      <c r="AM649" s="52"/>
      <c r="AN649" s="52"/>
      <c r="AO649" s="52"/>
      <c r="AP649" s="52"/>
      <c r="AQ649" s="52"/>
      <c r="AR649" s="52"/>
      <c r="AS649" s="52"/>
      <c r="AT649" s="52"/>
      <c r="AU649" s="52"/>
      <c r="AV649" s="52"/>
      <c r="AW649" s="52"/>
      <c r="AX649" s="52"/>
      <c r="AY649" s="52"/>
      <c r="AZ649" s="52"/>
      <c r="BA649" s="52"/>
      <c r="BB649" s="52"/>
      <c r="BC649" s="52"/>
      <c r="BD649" s="52"/>
      <c r="BE649" s="52"/>
      <c r="BF649" s="52"/>
      <c r="BG649" s="52"/>
      <c r="BH649" s="52"/>
      <c r="BI649" s="52"/>
      <c r="BJ649" s="52"/>
      <c r="BK649" s="52"/>
      <c r="BL649" s="52"/>
      <c r="BM649" s="52"/>
      <c r="BN649" s="52"/>
      <c r="BO649" s="52"/>
      <c r="BP649" s="52"/>
      <c r="BQ649" s="52"/>
      <c r="BR649" s="52"/>
      <c r="BS649" s="52"/>
      <c r="BT649" s="52"/>
      <c r="BU649" s="52"/>
      <c r="BV649" s="52"/>
      <c r="BW649" s="52"/>
      <c r="BX649" s="52"/>
      <c r="BY649" s="52"/>
      <c r="BZ649" s="52"/>
      <c r="CA649" s="52"/>
      <c r="CB649" s="52"/>
      <c r="CC649" s="52"/>
      <c r="CD649" s="52"/>
      <c r="CE649" s="52"/>
      <c r="CF649" s="52"/>
      <c r="CG649" s="52"/>
      <c r="CH649" s="52"/>
      <c r="CI649" s="52"/>
      <c r="CJ649" s="52"/>
      <c r="CK649" s="52"/>
      <c r="CL649" s="52"/>
      <c r="CM649" s="52"/>
      <c r="CN649" s="52"/>
      <c r="CO649" s="52"/>
      <c r="CP649" s="52"/>
      <c r="CQ649" s="52"/>
      <c r="CR649" s="52"/>
      <c r="CS649" s="52"/>
      <c r="CT649" s="52"/>
      <c r="CU649" s="52"/>
      <c r="CV649" s="52"/>
      <c r="CW649" s="52"/>
      <c r="CX649" s="52"/>
      <c r="CY649" s="52"/>
      <c r="CZ649" s="52"/>
      <c r="DA649" s="52"/>
      <c r="DB649" s="52"/>
      <c r="DC649" s="52"/>
      <c r="DD649" s="52"/>
      <c r="DE649" s="52"/>
      <c r="DF649" s="52"/>
      <c r="DG649" s="52"/>
      <c r="DH649" s="52"/>
      <c r="DI649" s="52"/>
      <c r="DJ649" s="52"/>
      <c r="DK649" s="52"/>
      <c r="DL649" s="52"/>
      <c r="DM649" s="52"/>
      <c r="DN649" s="52"/>
      <c r="DO649" s="52"/>
      <c r="DP649" s="52"/>
      <c r="DQ649" s="52"/>
      <c r="DR649" s="52"/>
      <c r="DS649" s="52"/>
      <c r="DT649" s="52"/>
      <c r="DU649" s="52"/>
      <c r="DV649" s="52"/>
      <c r="DW649" s="52"/>
      <c r="DX649" s="52"/>
      <c r="DY649" s="52"/>
      <c r="DZ649" s="52"/>
      <c r="EA649" s="52"/>
      <c r="EB649" s="52"/>
      <c r="EC649" s="52"/>
      <c r="ED649" s="52"/>
      <c r="EE649" s="52"/>
      <c r="EF649" s="52"/>
      <c r="EG649" s="52"/>
      <c r="EH649" s="52"/>
      <c r="EI649" s="52"/>
      <c r="EJ649" s="52"/>
      <c r="EK649" s="52"/>
      <c r="EL649" s="52"/>
      <c r="EM649" s="52"/>
      <c r="EN649" s="52"/>
      <c r="EO649" s="52"/>
      <c r="EP649" s="52"/>
      <c r="EQ649" s="52"/>
      <c r="ER649" s="52"/>
      <c r="ES649" s="52"/>
    </row>
    <row r="650" spans="1:149" ht="11.25">
      <c r="A650" s="8" t="s">
        <v>43</v>
      </c>
      <c r="B650" s="6"/>
      <c r="C650" s="6"/>
      <c r="D650" s="7"/>
      <c r="E650" s="7">
        <f>2178000+97980</f>
        <v>2275980</v>
      </c>
      <c r="F650" s="7">
        <f>D650+E650</f>
        <v>2275980</v>
      </c>
      <c r="G650" s="7"/>
      <c r="H650" s="7">
        <v>1108600</v>
      </c>
      <c r="I650" s="7"/>
      <c r="J650" s="23">
        <f>H650</f>
        <v>1108600</v>
      </c>
      <c r="K650" s="23"/>
      <c r="L650" s="23"/>
      <c r="M650" s="23"/>
      <c r="N650" s="23"/>
      <c r="O650" s="23">
        <v>54066467</v>
      </c>
      <c r="P650" s="7">
        <f t="shared" si="63"/>
        <v>54066467</v>
      </c>
      <c r="Q650" s="24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  <c r="AC650" s="52"/>
      <c r="AD650" s="52"/>
      <c r="AE650" s="52"/>
      <c r="AF650" s="52"/>
      <c r="AG650" s="52"/>
      <c r="AH650" s="52"/>
      <c r="AI650" s="52"/>
      <c r="AJ650" s="52"/>
      <c r="AK650" s="52"/>
      <c r="AL650" s="52"/>
      <c r="AM650" s="52"/>
      <c r="AN650" s="52"/>
      <c r="AO650" s="52"/>
      <c r="AP650" s="52"/>
      <c r="AQ650" s="52"/>
      <c r="AR650" s="52"/>
      <c r="AS650" s="52"/>
      <c r="AT650" s="52"/>
      <c r="AU650" s="52"/>
      <c r="AV650" s="52"/>
      <c r="AW650" s="52"/>
      <c r="AX650" s="52"/>
      <c r="AY650" s="52"/>
      <c r="AZ650" s="52"/>
      <c r="BA650" s="52"/>
      <c r="BB650" s="52"/>
      <c r="BC650" s="52"/>
      <c r="BD650" s="52"/>
      <c r="BE650" s="52"/>
      <c r="BF650" s="52"/>
      <c r="BG650" s="52"/>
      <c r="BH650" s="52"/>
      <c r="BI650" s="52"/>
      <c r="BJ650" s="52"/>
      <c r="BK650" s="52"/>
      <c r="BL650" s="52"/>
      <c r="BM650" s="52"/>
      <c r="BN650" s="52"/>
      <c r="BO650" s="52"/>
      <c r="BP650" s="52"/>
      <c r="BQ650" s="52"/>
      <c r="BR650" s="52"/>
      <c r="BS650" s="52"/>
      <c r="BT650" s="52"/>
      <c r="BU650" s="52"/>
      <c r="BV650" s="52"/>
      <c r="BW650" s="52"/>
      <c r="BX650" s="52"/>
      <c r="BY650" s="52"/>
      <c r="BZ650" s="52"/>
      <c r="CA650" s="52"/>
      <c r="CB650" s="52"/>
      <c r="CC650" s="52"/>
      <c r="CD650" s="52"/>
      <c r="CE650" s="52"/>
      <c r="CF650" s="52"/>
      <c r="CG650" s="52"/>
      <c r="CH650" s="52"/>
      <c r="CI650" s="52"/>
      <c r="CJ650" s="52"/>
      <c r="CK650" s="52"/>
      <c r="CL650" s="52"/>
      <c r="CM650" s="52"/>
      <c r="CN650" s="52"/>
      <c r="CO650" s="52"/>
      <c r="CP650" s="52"/>
      <c r="CQ650" s="52"/>
      <c r="CR650" s="52"/>
      <c r="CS650" s="52"/>
      <c r="CT650" s="52"/>
      <c r="CU650" s="52"/>
      <c r="CV650" s="52"/>
      <c r="CW650" s="52"/>
      <c r="CX650" s="52"/>
      <c r="CY650" s="52"/>
      <c r="CZ650" s="52"/>
      <c r="DA650" s="52"/>
      <c r="DB650" s="52"/>
      <c r="DC650" s="52"/>
      <c r="DD650" s="52"/>
      <c r="DE650" s="52"/>
      <c r="DF650" s="52"/>
      <c r="DG650" s="52"/>
      <c r="DH650" s="52"/>
      <c r="DI650" s="52"/>
      <c r="DJ650" s="52"/>
      <c r="DK650" s="52"/>
      <c r="DL650" s="52"/>
      <c r="DM650" s="52"/>
      <c r="DN650" s="52"/>
      <c r="DO650" s="52"/>
      <c r="DP650" s="52"/>
      <c r="DQ650" s="52"/>
      <c r="DR650" s="52"/>
      <c r="DS650" s="52"/>
      <c r="DT650" s="52"/>
      <c r="DU650" s="52"/>
      <c r="DV650" s="52"/>
      <c r="DW650" s="52"/>
      <c r="DX650" s="52"/>
      <c r="DY650" s="52"/>
      <c r="DZ650" s="52"/>
      <c r="EA650" s="52"/>
      <c r="EB650" s="52"/>
      <c r="EC650" s="52"/>
      <c r="ED650" s="52"/>
      <c r="EE650" s="52"/>
      <c r="EF650" s="52"/>
      <c r="EG650" s="52"/>
      <c r="EH650" s="52"/>
      <c r="EI650" s="52"/>
      <c r="EJ650" s="52"/>
      <c r="EK650" s="52"/>
      <c r="EL650" s="52"/>
      <c r="EM650" s="52"/>
      <c r="EN650" s="52"/>
      <c r="EO650" s="52"/>
      <c r="EP650" s="52"/>
      <c r="EQ650" s="52"/>
      <c r="ER650" s="52"/>
      <c r="ES650" s="52"/>
    </row>
    <row r="651" spans="1:149" ht="11.25">
      <c r="A651" s="5" t="s">
        <v>5</v>
      </c>
      <c r="B651" s="6"/>
      <c r="C651" s="6"/>
      <c r="D651" s="7"/>
      <c r="E651" s="7"/>
      <c r="F651" s="7"/>
      <c r="G651" s="7"/>
      <c r="H651" s="7"/>
      <c r="I651" s="7"/>
      <c r="J651" s="23"/>
      <c r="K651" s="23"/>
      <c r="L651" s="23"/>
      <c r="M651" s="23"/>
      <c r="N651" s="23"/>
      <c r="O651" s="23"/>
      <c r="P651" s="7"/>
      <c r="Q651" s="24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  <c r="AC651" s="52"/>
      <c r="AD651" s="52"/>
      <c r="AE651" s="52"/>
      <c r="AF651" s="52"/>
      <c r="AG651" s="52"/>
      <c r="AH651" s="52"/>
      <c r="AI651" s="52"/>
      <c r="AJ651" s="52"/>
      <c r="AK651" s="52"/>
      <c r="AL651" s="52"/>
      <c r="AM651" s="52"/>
      <c r="AN651" s="52"/>
      <c r="AO651" s="52"/>
      <c r="AP651" s="52"/>
      <c r="AQ651" s="52"/>
      <c r="AR651" s="52"/>
      <c r="AS651" s="52"/>
      <c r="AT651" s="52"/>
      <c r="AU651" s="52"/>
      <c r="AV651" s="52"/>
      <c r="AW651" s="52"/>
      <c r="AX651" s="52"/>
      <c r="AY651" s="52"/>
      <c r="AZ651" s="52"/>
      <c r="BA651" s="52"/>
      <c r="BB651" s="52"/>
      <c r="BC651" s="52"/>
      <c r="BD651" s="52"/>
      <c r="BE651" s="52"/>
      <c r="BF651" s="52"/>
      <c r="BG651" s="52"/>
      <c r="BH651" s="52"/>
      <c r="BI651" s="52"/>
      <c r="BJ651" s="52"/>
      <c r="BK651" s="52"/>
      <c r="BL651" s="52"/>
      <c r="BM651" s="52"/>
      <c r="BN651" s="52"/>
      <c r="BO651" s="52"/>
      <c r="BP651" s="52"/>
      <c r="BQ651" s="52"/>
      <c r="BR651" s="52"/>
      <c r="BS651" s="52"/>
      <c r="BT651" s="52"/>
      <c r="BU651" s="52"/>
      <c r="BV651" s="52"/>
      <c r="BW651" s="52"/>
      <c r="BX651" s="52"/>
      <c r="BY651" s="52"/>
      <c r="BZ651" s="52"/>
      <c r="CA651" s="52"/>
      <c r="CB651" s="52"/>
      <c r="CC651" s="52"/>
      <c r="CD651" s="52"/>
      <c r="CE651" s="52"/>
      <c r="CF651" s="52"/>
      <c r="CG651" s="52"/>
      <c r="CH651" s="52"/>
      <c r="CI651" s="52"/>
      <c r="CJ651" s="52"/>
      <c r="CK651" s="52"/>
      <c r="CL651" s="52"/>
      <c r="CM651" s="52"/>
      <c r="CN651" s="52"/>
      <c r="CO651" s="52"/>
      <c r="CP651" s="52"/>
      <c r="CQ651" s="52"/>
      <c r="CR651" s="52"/>
      <c r="CS651" s="52"/>
      <c r="CT651" s="52"/>
      <c r="CU651" s="52"/>
      <c r="CV651" s="52"/>
      <c r="CW651" s="52"/>
      <c r="CX651" s="52"/>
      <c r="CY651" s="52"/>
      <c r="CZ651" s="52"/>
      <c r="DA651" s="52"/>
      <c r="DB651" s="52"/>
      <c r="DC651" s="52"/>
      <c r="DD651" s="52"/>
      <c r="DE651" s="52"/>
      <c r="DF651" s="52"/>
      <c r="DG651" s="52"/>
      <c r="DH651" s="52"/>
      <c r="DI651" s="52"/>
      <c r="DJ651" s="52"/>
      <c r="DK651" s="52"/>
      <c r="DL651" s="52"/>
      <c r="DM651" s="52"/>
      <c r="DN651" s="52"/>
      <c r="DO651" s="52"/>
      <c r="DP651" s="52"/>
      <c r="DQ651" s="52"/>
      <c r="DR651" s="52"/>
      <c r="DS651" s="52"/>
      <c r="DT651" s="52"/>
      <c r="DU651" s="52"/>
      <c r="DV651" s="52"/>
      <c r="DW651" s="52"/>
      <c r="DX651" s="52"/>
      <c r="DY651" s="52"/>
      <c r="DZ651" s="52"/>
      <c r="EA651" s="52"/>
      <c r="EB651" s="52"/>
      <c r="EC651" s="52"/>
      <c r="ED651" s="52"/>
      <c r="EE651" s="52"/>
      <c r="EF651" s="52"/>
      <c r="EG651" s="52"/>
      <c r="EH651" s="52"/>
      <c r="EI651" s="52"/>
      <c r="EJ651" s="52"/>
      <c r="EK651" s="52"/>
      <c r="EL651" s="52"/>
      <c r="EM651" s="52"/>
      <c r="EN651" s="52"/>
      <c r="EO651" s="52"/>
      <c r="EP651" s="52"/>
      <c r="EQ651" s="52"/>
      <c r="ER651" s="52"/>
      <c r="ES651" s="52"/>
    </row>
    <row r="652" spans="1:149" ht="22.5">
      <c r="A652" s="8" t="s">
        <v>344</v>
      </c>
      <c r="B652" s="6"/>
      <c r="C652" s="6"/>
      <c r="D652" s="7"/>
      <c r="E652" s="7">
        <v>63</v>
      </c>
      <c r="F652" s="7">
        <v>63</v>
      </c>
      <c r="G652" s="7"/>
      <c r="H652" s="7">
        <v>22</v>
      </c>
      <c r="I652" s="7"/>
      <c r="J652" s="23">
        <f>H652</f>
        <v>22</v>
      </c>
      <c r="K652" s="23"/>
      <c r="L652" s="23"/>
      <c r="M652" s="23"/>
      <c r="N652" s="23"/>
      <c r="O652" s="23">
        <v>1339</v>
      </c>
      <c r="P652" s="7">
        <f t="shared" si="63"/>
        <v>1339</v>
      </c>
      <c r="Q652" s="24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  <c r="AC652" s="52"/>
      <c r="AD652" s="52"/>
      <c r="AE652" s="52"/>
      <c r="AF652" s="52"/>
      <c r="AG652" s="52"/>
      <c r="AH652" s="52"/>
      <c r="AI652" s="52"/>
      <c r="AJ652" s="52"/>
      <c r="AK652" s="52"/>
      <c r="AL652" s="52"/>
      <c r="AM652" s="52"/>
      <c r="AN652" s="52"/>
      <c r="AO652" s="52"/>
      <c r="AP652" s="52"/>
      <c r="AQ652" s="52"/>
      <c r="AR652" s="52"/>
      <c r="AS652" s="52"/>
      <c r="AT652" s="52"/>
      <c r="AU652" s="52"/>
      <c r="AV652" s="52"/>
      <c r="AW652" s="52"/>
      <c r="AX652" s="52"/>
      <c r="AY652" s="52"/>
      <c r="AZ652" s="52"/>
      <c r="BA652" s="52"/>
      <c r="BB652" s="52"/>
      <c r="BC652" s="52"/>
      <c r="BD652" s="52"/>
      <c r="BE652" s="52"/>
      <c r="BF652" s="52"/>
      <c r="BG652" s="52"/>
      <c r="BH652" s="52"/>
      <c r="BI652" s="52"/>
      <c r="BJ652" s="52"/>
      <c r="BK652" s="52"/>
      <c r="BL652" s="52"/>
      <c r="BM652" s="52"/>
      <c r="BN652" s="52"/>
      <c r="BO652" s="52"/>
      <c r="BP652" s="52"/>
      <c r="BQ652" s="52"/>
      <c r="BR652" s="52"/>
      <c r="BS652" s="52"/>
      <c r="BT652" s="52"/>
      <c r="BU652" s="52"/>
      <c r="BV652" s="52"/>
      <c r="BW652" s="52"/>
      <c r="BX652" s="52"/>
      <c r="BY652" s="52"/>
      <c r="BZ652" s="52"/>
      <c r="CA652" s="52"/>
      <c r="CB652" s="52"/>
      <c r="CC652" s="52"/>
      <c r="CD652" s="52"/>
      <c r="CE652" s="52"/>
      <c r="CF652" s="52"/>
      <c r="CG652" s="52"/>
      <c r="CH652" s="52"/>
      <c r="CI652" s="52"/>
      <c r="CJ652" s="52"/>
      <c r="CK652" s="52"/>
      <c r="CL652" s="52"/>
      <c r="CM652" s="52"/>
      <c r="CN652" s="52"/>
      <c r="CO652" s="52"/>
      <c r="CP652" s="52"/>
      <c r="CQ652" s="52"/>
      <c r="CR652" s="52"/>
      <c r="CS652" s="52"/>
      <c r="CT652" s="52"/>
      <c r="CU652" s="52"/>
      <c r="CV652" s="52"/>
      <c r="CW652" s="52"/>
      <c r="CX652" s="52"/>
      <c r="CY652" s="52"/>
      <c r="CZ652" s="52"/>
      <c r="DA652" s="52"/>
      <c r="DB652" s="52"/>
      <c r="DC652" s="52"/>
      <c r="DD652" s="52"/>
      <c r="DE652" s="52"/>
      <c r="DF652" s="52"/>
      <c r="DG652" s="52"/>
      <c r="DH652" s="52"/>
      <c r="DI652" s="52"/>
      <c r="DJ652" s="52"/>
      <c r="DK652" s="52"/>
      <c r="DL652" s="52"/>
      <c r="DM652" s="52"/>
      <c r="DN652" s="52"/>
      <c r="DO652" s="52"/>
      <c r="DP652" s="52"/>
      <c r="DQ652" s="52"/>
      <c r="DR652" s="52"/>
      <c r="DS652" s="52"/>
      <c r="DT652" s="52"/>
      <c r="DU652" s="52"/>
      <c r="DV652" s="52"/>
      <c r="DW652" s="52"/>
      <c r="DX652" s="52"/>
      <c r="DY652" s="52"/>
      <c r="DZ652" s="52"/>
      <c r="EA652" s="52"/>
      <c r="EB652" s="52"/>
      <c r="EC652" s="52"/>
      <c r="ED652" s="52"/>
      <c r="EE652" s="52"/>
      <c r="EF652" s="52"/>
      <c r="EG652" s="52"/>
      <c r="EH652" s="52"/>
      <c r="EI652" s="52"/>
      <c r="EJ652" s="52"/>
      <c r="EK652" s="52"/>
      <c r="EL652" s="52"/>
      <c r="EM652" s="52"/>
      <c r="EN652" s="52"/>
      <c r="EO652" s="52"/>
      <c r="EP652" s="52"/>
      <c r="EQ652" s="52"/>
      <c r="ER652" s="52"/>
      <c r="ES652" s="52"/>
    </row>
    <row r="653" spans="1:149" ht="11.25">
      <c r="A653" s="5" t="s">
        <v>7</v>
      </c>
      <c r="B653" s="6"/>
      <c r="C653" s="6"/>
      <c r="D653" s="7"/>
      <c r="E653" s="7"/>
      <c r="F653" s="7"/>
      <c r="G653" s="7"/>
      <c r="H653" s="7"/>
      <c r="I653" s="7"/>
      <c r="J653" s="23"/>
      <c r="K653" s="23"/>
      <c r="L653" s="23"/>
      <c r="M653" s="23"/>
      <c r="N653" s="23"/>
      <c r="O653" s="23"/>
      <c r="P653" s="7"/>
      <c r="Q653" s="24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  <c r="AC653" s="52"/>
      <c r="AD653" s="52"/>
      <c r="AE653" s="52"/>
      <c r="AF653" s="52"/>
      <c r="AG653" s="52"/>
      <c r="AH653" s="52"/>
      <c r="AI653" s="52"/>
      <c r="AJ653" s="52"/>
      <c r="AK653" s="52"/>
      <c r="AL653" s="52"/>
      <c r="AM653" s="52"/>
      <c r="AN653" s="52"/>
      <c r="AO653" s="52"/>
      <c r="AP653" s="52"/>
      <c r="AQ653" s="52"/>
      <c r="AR653" s="52"/>
      <c r="AS653" s="52"/>
      <c r="AT653" s="52"/>
      <c r="AU653" s="52"/>
      <c r="AV653" s="52"/>
      <c r="AW653" s="52"/>
      <c r="AX653" s="52"/>
      <c r="AY653" s="52"/>
      <c r="AZ653" s="52"/>
      <c r="BA653" s="52"/>
      <c r="BB653" s="52"/>
      <c r="BC653" s="52"/>
      <c r="BD653" s="52"/>
      <c r="BE653" s="52"/>
      <c r="BF653" s="52"/>
      <c r="BG653" s="52"/>
      <c r="BH653" s="52"/>
      <c r="BI653" s="52"/>
      <c r="BJ653" s="52"/>
      <c r="BK653" s="52"/>
      <c r="BL653" s="52"/>
      <c r="BM653" s="52"/>
      <c r="BN653" s="52"/>
      <c r="BO653" s="52"/>
      <c r="BP653" s="52"/>
      <c r="BQ653" s="52"/>
      <c r="BR653" s="52"/>
      <c r="BS653" s="52"/>
      <c r="BT653" s="52"/>
      <c r="BU653" s="52"/>
      <c r="BV653" s="52"/>
      <c r="BW653" s="52"/>
      <c r="BX653" s="52"/>
      <c r="BY653" s="52"/>
      <c r="BZ653" s="52"/>
      <c r="CA653" s="52"/>
      <c r="CB653" s="52"/>
      <c r="CC653" s="52"/>
      <c r="CD653" s="52"/>
      <c r="CE653" s="52"/>
      <c r="CF653" s="52"/>
      <c r="CG653" s="52"/>
      <c r="CH653" s="52"/>
      <c r="CI653" s="52"/>
      <c r="CJ653" s="52"/>
      <c r="CK653" s="52"/>
      <c r="CL653" s="52"/>
      <c r="CM653" s="52"/>
      <c r="CN653" s="52"/>
      <c r="CO653" s="52"/>
      <c r="CP653" s="52"/>
      <c r="CQ653" s="52"/>
      <c r="CR653" s="52"/>
      <c r="CS653" s="52"/>
      <c r="CT653" s="52"/>
      <c r="CU653" s="52"/>
      <c r="CV653" s="52"/>
      <c r="CW653" s="52"/>
      <c r="CX653" s="52"/>
      <c r="CY653" s="52"/>
      <c r="CZ653" s="52"/>
      <c r="DA653" s="52"/>
      <c r="DB653" s="52"/>
      <c r="DC653" s="52"/>
      <c r="DD653" s="52"/>
      <c r="DE653" s="52"/>
      <c r="DF653" s="52"/>
      <c r="DG653" s="52"/>
      <c r="DH653" s="52"/>
      <c r="DI653" s="52"/>
      <c r="DJ653" s="52"/>
      <c r="DK653" s="52"/>
      <c r="DL653" s="52"/>
      <c r="DM653" s="52"/>
      <c r="DN653" s="52"/>
      <c r="DO653" s="52"/>
      <c r="DP653" s="52"/>
      <c r="DQ653" s="52"/>
      <c r="DR653" s="52"/>
      <c r="DS653" s="52"/>
      <c r="DT653" s="52"/>
      <c r="DU653" s="52"/>
      <c r="DV653" s="52"/>
      <c r="DW653" s="52"/>
      <c r="DX653" s="52"/>
      <c r="DY653" s="52"/>
      <c r="DZ653" s="52"/>
      <c r="EA653" s="52"/>
      <c r="EB653" s="52"/>
      <c r="EC653" s="52"/>
      <c r="ED653" s="52"/>
      <c r="EE653" s="52"/>
      <c r="EF653" s="52"/>
      <c r="EG653" s="52"/>
      <c r="EH653" s="52"/>
      <c r="EI653" s="52"/>
      <c r="EJ653" s="52"/>
      <c r="EK653" s="52"/>
      <c r="EL653" s="52"/>
      <c r="EM653" s="52"/>
      <c r="EN653" s="52"/>
      <c r="EO653" s="52"/>
      <c r="EP653" s="52"/>
      <c r="EQ653" s="52"/>
      <c r="ER653" s="52"/>
      <c r="ES653" s="52"/>
    </row>
    <row r="654" spans="1:149" ht="22.5">
      <c r="A654" s="8" t="s">
        <v>345</v>
      </c>
      <c r="B654" s="6"/>
      <c r="C654" s="6"/>
      <c r="D654" s="7"/>
      <c r="E654" s="7">
        <v>36300</v>
      </c>
      <c r="F654" s="7">
        <v>36300</v>
      </c>
      <c r="G654" s="7"/>
      <c r="H654" s="7">
        <v>50390.91</v>
      </c>
      <c r="I654" s="7"/>
      <c r="J654" s="23">
        <f>H654</f>
        <v>50390.91</v>
      </c>
      <c r="K654" s="23"/>
      <c r="L654" s="23"/>
      <c r="M654" s="23"/>
      <c r="N654" s="23"/>
      <c r="O654" s="23">
        <v>40378.24</v>
      </c>
      <c r="P654" s="7">
        <f t="shared" si="63"/>
        <v>40378.24</v>
      </c>
      <c r="Q654" s="24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  <c r="AC654" s="52"/>
      <c r="AD654" s="52"/>
      <c r="AE654" s="52"/>
      <c r="AF654" s="52"/>
      <c r="AG654" s="52"/>
      <c r="AH654" s="52"/>
      <c r="AI654" s="52"/>
      <c r="AJ654" s="52"/>
      <c r="AK654" s="52"/>
      <c r="AL654" s="52"/>
      <c r="AM654" s="52"/>
      <c r="AN654" s="52"/>
      <c r="AO654" s="52"/>
      <c r="AP654" s="52"/>
      <c r="AQ654" s="52"/>
      <c r="AR654" s="52"/>
      <c r="AS654" s="52"/>
      <c r="AT654" s="52"/>
      <c r="AU654" s="52"/>
      <c r="AV654" s="52"/>
      <c r="AW654" s="52"/>
      <c r="AX654" s="52"/>
      <c r="AY654" s="52"/>
      <c r="AZ654" s="52"/>
      <c r="BA654" s="52"/>
      <c r="BB654" s="52"/>
      <c r="BC654" s="52"/>
      <c r="BD654" s="52"/>
      <c r="BE654" s="52"/>
      <c r="BF654" s="52"/>
      <c r="BG654" s="52"/>
      <c r="BH654" s="52"/>
      <c r="BI654" s="52"/>
      <c r="BJ654" s="52"/>
      <c r="BK654" s="52"/>
      <c r="BL654" s="52"/>
      <c r="BM654" s="52"/>
      <c r="BN654" s="52"/>
      <c r="BO654" s="52"/>
      <c r="BP654" s="52"/>
      <c r="BQ654" s="52"/>
      <c r="BR654" s="52"/>
      <c r="BS654" s="52"/>
      <c r="BT654" s="52"/>
      <c r="BU654" s="52"/>
      <c r="BV654" s="52"/>
      <c r="BW654" s="52"/>
      <c r="BX654" s="52"/>
      <c r="BY654" s="52"/>
      <c r="BZ654" s="52"/>
      <c r="CA654" s="52"/>
      <c r="CB654" s="52"/>
      <c r="CC654" s="52"/>
      <c r="CD654" s="52"/>
      <c r="CE654" s="52"/>
      <c r="CF654" s="52"/>
      <c r="CG654" s="52"/>
      <c r="CH654" s="52"/>
      <c r="CI654" s="52"/>
      <c r="CJ654" s="52"/>
      <c r="CK654" s="52"/>
      <c r="CL654" s="52"/>
      <c r="CM654" s="52"/>
      <c r="CN654" s="52"/>
      <c r="CO654" s="52"/>
      <c r="CP654" s="52"/>
      <c r="CQ654" s="52"/>
      <c r="CR654" s="52"/>
      <c r="CS654" s="52"/>
      <c r="CT654" s="52"/>
      <c r="CU654" s="52"/>
      <c r="CV654" s="52"/>
      <c r="CW654" s="52"/>
      <c r="CX654" s="52"/>
      <c r="CY654" s="52"/>
      <c r="CZ654" s="52"/>
      <c r="DA654" s="52"/>
      <c r="DB654" s="52"/>
      <c r="DC654" s="52"/>
      <c r="DD654" s="52"/>
      <c r="DE654" s="52"/>
      <c r="DF654" s="52"/>
      <c r="DG654" s="52"/>
      <c r="DH654" s="52"/>
      <c r="DI654" s="52"/>
      <c r="DJ654" s="52"/>
      <c r="DK654" s="52"/>
      <c r="DL654" s="52"/>
      <c r="DM654" s="52"/>
      <c r="DN654" s="52"/>
      <c r="DO654" s="52"/>
      <c r="DP654" s="52"/>
      <c r="DQ654" s="52"/>
      <c r="DR654" s="52"/>
      <c r="DS654" s="52"/>
      <c r="DT654" s="52"/>
      <c r="DU654" s="52"/>
      <c r="DV654" s="52"/>
      <c r="DW654" s="52"/>
      <c r="DX654" s="52"/>
      <c r="DY654" s="52"/>
      <c r="DZ654" s="52"/>
      <c r="EA654" s="52"/>
      <c r="EB654" s="52"/>
      <c r="EC654" s="52"/>
      <c r="ED654" s="52"/>
      <c r="EE654" s="52"/>
      <c r="EF654" s="52"/>
      <c r="EG654" s="52"/>
      <c r="EH654" s="52"/>
      <c r="EI654" s="52"/>
      <c r="EJ654" s="52"/>
      <c r="EK654" s="52"/>
      <c r="EL654" s="52"/>
      <c r="EM654" s="52"/>
      <c r="EN654" s="52"/>
      <c r="EO654" s="52"/>
      <c r="EP654" s="52"/>
      <c r="EQ654" s="52"/>
      <c r="ER654" s="52"/>
      <c r="ES654" s="52"/>
    </row>
    <row r="655" spans="1:149" ht="11.25">
      <c r="A655" s="8"/>
      <c r="B655" s="6"/>
      <c r="C655" s="6"/>
      <c r="D655" s="7"/>
      <c r="E655" s="7"/>
      <c r="F655" s="7"/>
      <c r="G655" s="7"/>
      <c r="H655" s="7"/>
      <c r="I655" s="7"/>
      <c r="J655" s="23"/>
      <c r="K655" s="23"/>
      <c r="L655" s="23"/>
      <c r="M655" s="23"/>
      <c r="N655" s="23"/>
      <c r="O655" s="23"/>
      <c r="P655" s="7"/>
      <c r="Q655" s="24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  <c r="AC655" s="52"/>
      <c r="AD655" s="52"/>
      <c r="AE655" s="52"/>
      <c r="AF655" s="52"/>
      <c r="AG655" s="52"/>
      <c r="AH655" s="52"/>
      <c r="AI655" s="52"/>
      <c r="AJ655" s="52"/>
      <c r="AK655" s="52"/>
      <c r="AL655" s="52"/>
      <c r="AM655" s="52"/>
      <c r="AN655" s="52"/>
      <c r="AO655" s="52"/>
      <c r="AP655" s="52"/>
      <c r="AQ655" s="52"/>
      <c r="AR655" s="52"/>
      <c r="AS655" s="52"/>
      <c r="AT655" s="52"/>
      <c r="AU655" s="52"/>
      <c r="AV655" s="52"/>
      <c r="AW655" s="52"/>
      <c r="AX655" s="52"/>
      <c r="AY655" s="52"/>
      <c r="AZ655" s="52"/>
      <c r="BA655" s="52"/>
      <c r="BB655" s="52"/>
      <c r="BC655" s="52"/>
      <c r="BD655" s="52"/>
      <c r="BE655" s="52"/>
      <c r="BF655" s="52"/>
      <c r="BG655" s="52"/>
      <c r="BH655" s="52"/>
      <c r="BI655" s="52"/>
      <c r="BJ655" s="52"/>
      <c r="BK655" s="52"/>
      <c r="BL655" s="52"/>
      <c r="BM655" s="52"/>
      <c r="BN655" s="52"/>
      <c r="BO655" s="52"/>
      <c r="BP655" s="52"/>
      <c r="BQ655" s="52"/>
      <c r="BR655" s="52"/>
      <c r="BS655" s="52"/>
      <c r="BT655" s="52"/>
      <c r="BU655" s="52"/>
      <c r="BV655" s="52"/>
      <c r="BW655" s="52"/>
      <c r="BX655" s="52"/>
      <c r="BY655" s="52"/>
      <c r="BZ655" s="52"/>
      <c r="CA655" s="52"/>
      <c r="CB655" s="52"/>
      <c r="CC655" s="52"/>
      <c r="CD655" s="52"/>
      <c r="CE655" s="52"/>
      <c r="CF655" s="52"/>
      <c r="CG655" s="52"/>
      <c r="CH655" s="52"/>
      <c r="CI655" s="52"/>
      <c r="CJ655" s="52"/>
      <c r="CK655" s="52"/>
      <c r="CL655" s="52"/>
      <c r="CM655" s="52"/>
      <c r="CN655" s="52"/>
      <c r="CO655" s="52"/>
      <c r="CP655" s="52"/>
      <c r="CQ655" s="52"/>
      <c r="CR655" s="52"/>
      <c r="CS655" s="52"/>
      <c r="CT655" s="52"/>
      <c r="CU655" s="52"/>
      <c r="CV655" s="52"/>
      <c r="CW655" s="52"/>
      <c r="CX655" s="52"/>
      <c r="CY655" s="52"/>
      <c r="CZ655" s="52"/>
      <c r="DA655" s="52"/>
      <c r="DB655" s="52"/>
      <c r="DC655" s="52"/>
      <c r="DD655" s="52"/>
      <c r="DE655" s="52"/>
      <c r="DF655" s="52"/>
      <c r="DG655" s="52"/>
      <c r="DH655" s="52"/>
      <c r="DI655" s="52"/>
      <c r="DJ655" s="52"/>
      <c r="DK655" s="52"/>
      <c r="DL655" s="52"/>
      <c r="DM655" s="52"/>
      <c r="DN655" s="52"/>
      <c r="DO655" s="52"/>
      <c r="DP655" s="52"/>
      <c r="DQ655" s="52"/>
      <c r="DR655" s="52"/>
      <c r="DS655" s="52"/>
      <c r="DT655" s="52"/>
      <c r="DU655" s="52"/>
      <c r="DV655" s="52"/>
      <c r="DW655" s="52"/>
      <c r="DX655" s="52"/>
      <c r="DY655" s="52"/>
      <c r="DZ655" s="52"/>
      <c r="EA655" s="52"/>
      <c r="EB655" s="52"/>
      <c r="EC655" s="52"/>
      <c r="ED655" s="52"/>
      <c r="EE655" s="52"/>
      <c r="EF655" s="52"/>
      <c r="EG655" s="52"/>
      <c r="EH655" s="52"/>
      <c r="EI655" s="52"/>
      <c r="EJ655" s="52"/>
      <c r="EK655" s="52"/>
      <c r="EL655" s="52"/>
      <c r="EM655" s="52"/>
      <c r="EN655" s="52"/>
      <c r="EO655" s="52"/>
      <c r="EP655" s="52"/>
      <c r="EQ655" s="52"/>
      <c r="ER655" s="52"/>
      <c r="ES655" s="52"/>
    </row>
    <row r="656" spans="1:149" ht="11.25">
      <c r="A656" s="36" t="s">
        <v>327</v>
      </c>
      <c r="B656" s="6"/>
      <c r="C656" s="6"/>
      <c r="D656" s="35">
        <f>D658</f>
        <v>3000000</v>
      </c>
      <c r="E656" s="35">
        <f aca="true" t="shared" si="64" ref="E656:Q656">E658</f>
        <v>0</v>
      </c>
      <c r="F656" s="35">
        <f t="shared" si="64"/>
        <v>3000000</v>
      </c>
      <c r="G656" s="35">
        <f t="shared" si="64"/>
        <v>1714999.99773</v>
      </c>
      <c r="H656" s="35">
        <f t="shared" si="64"/>
        <v>0</v>
      </c>
      <c r="I656" s="35">
        <f t="shared" si="64"/>
        <v>0</v>
      </c>
      <c r="J656" s="35">
        <f t="shared" si="64"/>
        <v>1714999.99773</v>
      </c>
      <c r="K656" s="35">
        <f t="shared" si="64"/>
        <v>0</v>
      </c>
      <c r="L656" s="35">
        <f t="shared" si="64"/>
        <v>0</v>
      </c>
      <c r="M656" s="35">
        <f t="shared" si="64"/>
        <v>0</v>
      </c>
      <c r="N656" s="35">
        <f>N658</f>
        <v>9100000</v>
      </c>
      <c r="O656" s="35">
        <f t="shared" si="64"/>
        <v>0</v>
      </c>
      <c r="P656" s="35">
        <f t="shared" si="64"/>
        <v>9100000</v>
      </c>
      <c r="Q656" s="35">
        <f t="shared" si="64"/>
        <v>0</v>
      </c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  <c r="AC656" s="52"/>
      <c r="AD656" s="52"/>
      <c r="AE656" s="52"/>
      <c r="AF656" s="52"/>
      <c r="AG656" s="52"/>
      <c r="AH656" s="52"/>
      <c r="AI656" s="52"/>
      <c r="AJ656" s="52"/>
      <c r="AK656" s="52"/>
      <c r="AL656" s="52"/>
      <c r="AM656" s="52"/>
      <c r="AN656" s="52"/>
      <c r="AO656" s="52"/>
      <c r="AP656" s="52"/>
      <c r="AQ656" s="52"/>
      <c r="AR656" s="52"/>
      <c r="AS656" s="52"/>
      <c r="AT656" s="52"/>
      <c r="AU656" s="52"/>
      <c r="AV656" s="52"/>
      <c r="AW656" s="52"/>
      <c r="AX656" s="52"/>
      <c r="AY656" s="52"/>
      <c r="AZ656" s="52"/>
      <c r="BA656" s="52"/>
      <c r="BB656" s="52"/>
      <c r="BC656" s="52"/>
      <c r="BD656" s="52"/>
      <c r="BE656" s="52"/>
      <c r="BF656" s="52"/>
      <c r="BG656" s="52"/>
      <c r="BH656" s="52"/>
      <c r="BI656" s="52"/>
      <c r="BJ656" s="52"/>
      <c r="BK656" s="52"/>
      <c r="BL656" s="52"/>
      <c r="BM656" s="52"/>
      <c r="BN656" s="52"/>
      <c r="BO656" s="52"/>
      <c r="BP656" s="52"/>
      <c r="BQ656" s="52"/>
      <c r="BR656" s="52"/>
      <c r="BS656" s="52"/>
      <c r="BT656" s="52"/>
      <c r="BU656" s="52"/>
      <c r="BV656" s="52"/>
      <c r="BW656" s="52"/>
      <c r="BX656" s="52"/>
      <c r="BY656" s="52"/>
      <c r="BZ656" s="52"/>
      <c r="CA656" s="52"/>
      <c r="CB656" s="52"/>
      <c r="CC656" s="52"/>
      <c r="CD656" s="52"/>
      <c r="CE656" s="52"/>
      <c r="CF656" s="52"/>
      <c r="CG656" s="52"/>
      <c r="CH656" s="52"/>
      <c r="CI656" s="52"/>
      <c r="CJ656" s="52"/>
      <c r="CK656" s="52"/>
      <c r="CL656" s="52"/>
      <c r="CM656" s="52"/>
      <c r="CN656" s="52"/>
      <c r="CO656" s="52"/>
      <c r="CP656" s="52"/>
      <c r="CQ656" s="52"/>
      <c r="CR656" s="52"/>
      <c r="CS656" s="52"/>
      <c r="CT656" s="52"/>
      <c r="CU656" s="52"/>
      <c r="CV656" s="52"/>
      <c r="CW656" s="52"/>
      <c r="CX656" s="52"/>
      <c r="CY656" s="52"/>
      <c r="CZ656" s="52"/>
      <c r="DA656" s="52"/>
      <c r="DB656" s="52"/>
      <c r="DC656" s="52"/>
      <c r="DD656" s="52"/>
      <c r="DE656" s="52"/>
      <c r="DF656" s="52"/>
      <c r="DG656" s="52"/>
      <c r="DH656" s="52"/>
      <c r="DI656" s="52"/>
      <c r="DJ656" s="52"/>
      <c r="DK656" s="52"/>
      <c r="DL656" s="52"/>
      <c r="DM656" s="52"/>
      <c r="DN656" s="52"/>
      <c r="DO656" s="52"/>
      <c r="DP656" s="52"/>
      <c r="DQ656" s="52"/>
      <c r="DR656" s="52"/>
      <c r="DS656" s="52"/>
      <c r="DT656" s="52"/>
      <c r="DU656" s="52"/>
      <c r="DV656" s="52"/>
      <c r="DW656" s="52"/>
      <c r="DX656" s="52"/>
      <c r="DY656" s="52"/>
      <c r="DZ656" s="52"/>
      <c r="EA656" s="52"/>
      <c r="EB656" s="52"/>
      <c r="EC656" s="52"/>
      <c r="ED656" s="52"/>
      <c r="EE656" s="52"/>
      <c r="EF656" s="52"/>
      <c r="EG656" s="52"/>
      <c r="EH656" s="52"/>
      <c r="EI656" s="52"/>
      <c r="EJ656" s="52"/>
      <c r="EK656" s="52"/>
      <c r="EL656" s="52"/>
      <c r="EM656" s="52"/>
      <c r="EN656" s="52"/>
      <c r="EO656" s="52"/>
      <c r="EP656" s="52"/>
      <c r="EQ656" s="52"/>
      <c r="ER656" s="52"/>
      <c r="ES656" s="52"/>
    </row>
    <row r="657" spans="1:149" ht="22.5">
      <c r="A657" s="8" t="s">
        <v>258</v>
      </c>
      <c r="B657" s="6"/>
      <c r="C657" s="6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24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  <c r="AC657" s="52"/>
      <c r="AD657" s="52"/>
      <c r="AE657" s="52"/>
      <c r="AF657" s="52"/>
      <c r="AG657" s="52"/>
      <c r="AH657" s="52"/>
      <c r="AI657" s="52"/>
      <c r="AJ657" s="52"/>
      <c r="AK657" s="52"/>
      <c r="AL657" s="52"/>
      <c r="AM657" s="52"/>
      <c r="AN657" s="52"/>
      <c r="AO657" s="52"/>
      <c r="AP657" s="52"/>
      <c r="AQ657" s="52"/>
      <c r="AR657" s="52"/>
      <c r="AS657" s="52"/>
      <c r="AT657" s="52"/>
      <c r="AU657" s="52"/>
      <c r="AV657" s="52"/>
      <c r="AW657" s="52"/>
      <c r="AX657" s="52"/>
      <c r="AY657" s="52"/>
      <c r="AZ657" s="52"/>
      <c r="BA657" s="52"/>
      <c r="BB657" s="52"/>
      <c r="BC657" s="52"/>
      <c r="BD657" s="52"/>
      <c r="BE657" s="52"/>
      <c r="BF657" s="52"/>
      <c r="BG657" s="52"/>
      <c r="BH657" s="52"/>
      <c r="BI657" s="52"/>
      <c r="BJ657" s="52"/>
      <c r="BK657" s="52"/>
      <c r="BL657" s="52"/>
      <c r="BM657" s="52"/>
      <c r="BN657" s="52"/>
      <c r="BO657" s="52"/>
      <c r="BP657" s="52"/>
      <c r="BQ657" s="52"/>
      <c r="BR657" s="52"/>
      <c r="BS657" s="52"/>
      <c r="BT657" s="52"/>
      <c r="BU657" s="52"/>
      <c r="BV657" s="52"/>
      <c r="BW657" s="52"/>
      <c r="BX657" s="52"/>
      <c r="BY657" s="52"/>
      <c r="BZ657" s="52"/>
      <c r="CA657" s="52"/>
      <c r="CB657" s="52"/>
      <c r="CC657" s="52"/>
      <c r="CD657" s="52"/>
      <c r="CE657" s="52"/>
      <c r="CF657" s="52"/>
      <c r="CG657" s="52"/>
      <c r="CH657" s="52"/>
      <c r="CI657" s="52"/>
      <c r="CJ657" s="52"/>
      <c r="CK657" s="52"/>
      <c r="CL657" s="52"/>
      <c r="CM657" s="52"/>
      <c r="CN657" s="52"/>
      <c r="CO657" s="52"/>
      <c r="CP657" s="52"/>
      <c r="CQ657" s="52"/>
      <c r="CR657" s="52"/>
      <c r="CS657" s="52"/>
      <c r="CT657" s="52"/>
      <c r="CU657" s="52"/>
      <c r="CV657" s="52"/>
      <c r="CW657" s="52"/>
      <c r="CX657" s="52"/>
      <c r="CY657" s="52"/>
      <c r="CZ657" s="52"/>
      <c r="DA657" s="52"/>
      <c r="DB657" s="52"/>
      <c r="DC657" s="52"/>
      <c r="DD657" s="52"/>
      <c r="DE657" s="52"/>
      <c r="DF657" s="52"/>
      <c r="DG657" s="52"/>
      <c r="DH657" s="52"/>
      <c r="DI657" s="52"/>
      <c r="DJ657" s="52"/>
      <c r="DK657" s="52"/>
      <c r="DL657" s="52"/>
      <c r="DM657" s="52"/>
      <c r="DN657" s="52"/>
      <c r="DO657" s="52"/>
      <c r="DP657" s="52"/>
      <c r="DQ657" s="52"/>
      <c r="DR657" s="52"/>
      <c r="DS657" s="52"/>
      <c r="DT657" s="52"/>
      <c r="DU657" s="52"/>
      <c r="DV657" s="52"/>
      <c r="DW657" s="52"/>
      <c r="DX657" s="52"/>
      <c r="DY657" s="52"/>
      <c r="DZ657" s="52"/>
      <c r="EA657" s="52"/>
      <c r="EB657" s="52"/>
      <c r="EC657" s="52"/>
      <c r="ED657" s="52"/>
      <c r="EE657" s="52"/>
      <c r="EF657" s="52"/>
      <c r="EG657" s="52"/>
      <c r="EH657" s="52"/>
      <c r="EI657" s="52"/>
      <c r="EJ657" s="52"/>
      <c r="EK657" s="52"/>
      <c r="EL657" s="52"/>
      <c r="EM657" s="52"/>
      <c r="EN657" s="52"/>
      <c r="EO657" s="52"/>
      <c r="EP657" s="52"/>
      <c r="EQ657" s="52"/>
      <c r="ER657" s="52"/>
      <c r="ES657" s="52"/>
    </row>
    <row r="658" spans="1:17" s="38" customFormat="1" ht="37.5" customHeight="1">
      <c r="A658" s="33" t="s">
        <v>469</v>
      </c>
      <c r="B658" s="34"/>
      <c r="C658" s="34"/>
      <c r="D658" s="44">
        <f>D660</f>
        <v>3000000</v>
      </c>
      <c r="E658" s="44"/>
      <c r="F658" s="44">
        <f>D658+E658</f>
        <v>3000000</v>
      </c>
      <c r="G658" s="35">
        <f>G663*G665</f>
        <v>1714999.99773</v>
      </c>
      <c r="H658" s="35"/>
      <c r="I658" s="35"/>
      <c r="J658" s="35">
        <f>J660</f>
        <v>1714999.99773</v>
      </c>
      <c r="K658" s="35"/>
      <c r="L658" s="35"/>
      <c r="M658" s="35"/>
      <c r="N658" s="35">
        <f>N660</f>
        <v>9100000</v>
      </c>
      <c r="O658" s="35"/>
      <c r="P658" s="35">
        <f>N658</f>
        <v>9100000</v>
      </c>
      <c r="Q658" s="77"/>
    </row>
    <row r="659" spans="1:149" ht="11.25">
      <c r="A659" s="5" t="s">
        <v>4</v>
      </c>
      <c r="B659" s="6"/>
      <c r="C659" s="6"/>
      <c r="D659" s="83"/>
      <c r="E659" s="83"/>
      <c r="F659" s="83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24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  <c r="AC659" s="52"/>
      <c r="AD659" s="52"/>
      <c r="AE659" s="52"/>
      <c r="AF659" s="52"/>
      <c r="AG659" s="52"/>
      <c r="AH659" s="52"/>
      <c r="AI659" s="52"/>
      <c r="AJ659" s="52"/>
      <c r="AK659" s="52"/>
      <c r="AL659" s="52"/>
      <c r="AM659" s="52"/>
      <c r="AN659" s="52"/>
      <c r="AO659" s="52"/>
      <c r="AP659" s="52"/>
      <c r="AQ659" s="52"/>
      <c r="AR659" s="52"/>
      <c r="AS659" s="52"/>
      <c r="AT659" s="52"/>
      <c r="AU659" s="52"/>
      <c r="AV659" s="52"/>
      <c r="AW659" s="52"/>
      <c r="AX659" s="52"/>
      <c r="AY659" s="52"/>
      <c r="AZ659" s="52"/>
      <c r="BA659" s="52"/>
      <c r="BB659" s="52"/>
      <c r="BC659" s="52"/>
      <c r="BD659" s="52"/>
      <c r="BE659" s="52"/>
      <c r="BF659" s="52"/>
      <c r="BG659" s="52"/>
      <c r="BH659" s="52"/>
      <c r="BI659" s="52"/>
      <c r="BJ659" s="52"/>
      <c r="BK659" s="52"/>
      <c r="BL659" s="52"/>
      <c r="BM659" s="52"/>
      <c r="BN659" s="52"/>
      <c r="BO659" s="52"/>
      <c r="BP659" s="52"/>
      <c r="BQ659" s="52"/>
      <c r="BR659" s="52"/>
      <c r="BS659" s="52"/>
      <c r="BT659" s="52"/>
      <c r="BU659" s="52"/>
      <c r="BV659" s="52"/>
      <c r="BW659" s="52"/>
      <c r="BX659" s="52"/>
      <c r="BY659" s="52"/>
      <c r="BZ659" s="52"/>
      <c r="CA659" s="52"/>
      <c r="CB659" s="52"/>
      <c r="CC659" s="52"/>
      <c r="CD659" s="52"/>
      <c r="CE659" s="52"/>
      <c r="CF659" s="52"/>
      <c r="CG659" s="52"/>
      <c r="CH659" s="52"/>
      <c r="CI659" s="52"/>
      <c r="CJ659" s="52"/>
      <c r="CK659" s="52"/>
      <c r="CL659" s="52"/>
      <c r="CM659" s="52"/>
      <c r="CN659" s="52"/>
      <c r="CO659" s="52"/>
      <c r="CP659" s="52"/>
      <c r="CQ659" s="52"/>
      <c r="CR659" s="52"/>
      <c r="CS659" s="52"/>
      <c r="CT659" s="52"/>
      <c r="CU659" s="52"/>
      <c r="CV659" s="52"/>
      <c r="CW659" s="52"/>
      <c r="CX659" s="52"/>
      <c r="CY659" s="52"/>
      <c r="CZ659" s="52"/>
      <c r="DA659" s="52"/>
      <c r="DB659" s="52"/>
      <c r="DC659" s="52"/>
      <c r="DD659" s="52"/>
      <c r="DE659" s="52"/>
      <c r="DF659" s="52"/>
      <c r="DG659" s="52"/>
      <c r="DH659" s="52"/>
      <c r="DI659" s="52"/>
      <c r="DJ659" s="52"/>
      <c r="DK659" s="52"/>
      <c r="DL659" s="52"/>
      <c r="DM659" s="52"/>
      <c r="DN659" s="52"/>
      <c r="DO659" s="52"/>
      <c r="DP659" s="52"/>
      <c r="DQ659" s="52"/>
      <c r="DR659" s="52"/>
      <c r="DS659" s="52"/>
      <c r="DT659" s="52"/>
      <c r="DU659" s="52"/>
      <c r="DV659" s="52"/>
      <c r="DW659" s="52"/>
      <c r="DX659" s="52"/>
      <c r="DY659" s="52"/>
      <c r="DZ659" s="52"/>
      <c r="EA659" s="52"/>
      <c r="EB659" s="52"/>
      <c r="EC659" s="52"/>
      <c r="ED659" s="52"/>
      <c r="EE659" s="52"/>
      <c r="EF659" s="52"/>
      <c r="EG659" s="52"/>
      <c r="EH659" s="52"/>
      <c r="EI659" s="52"/>
      <c r="EJ659" s="52"/>
      <c r="EK659" s="52"/>
      <c r="EL659" s="52"/>
      <c r="EM659" s="52"/>
      <c r="EN659" s="52"/>
      <c r="EO659" s="52"/>
      <c r="EP659" s="52"/>
      <c r="EQ659" s="52"/>
      <c r="ER659" s="52"/>
      <c r="ES659" s="52"/>
    </row>
    <row r="660" spans="1:149" ht="10.5" customHeight="1">
      <c r="A660" s="8" t="s">
        <v>43</v>
      </c>
      <c r="B660" s="6"/>
      <c r="C660" s="6"/>
      <c r="D660" s="83">
        <f>D663*D665</f>
        <v>3000000</v>
      </c>
      <c r="E660" s="83"/>
      <c r="F660" s="83">
        <f>D660+E660</f>
        <v>3000000</v>
      </c>
      <c r="G660" s="7">
        <f>G663*G665</f>
        <v>1714999.99773</v>
      </c>
      <c r="H660" s="7"/>
      <c r="I660" s="7"/>
      <c r="J660" s="7">
        <f>G660+H660</f>
        <v>1714999.99773</v>
      </c>
      <c r="K660" s="7"/>
      <c r="L660" s="7"/>
      <c r="M660" s="7"/>
      <c r="N660" s="7">
        <f>100000+9000000</f>
        <v>9100000</v>
      </c>
      <c r="O660" s="7"/>
      <c r="P660" s="7">
        <f>P663*P665</f>
        <v>100003.5</v>
      </c>
      <c r="Q660" s="24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  <c r="AC660" s="52"/>
      <c r="AD660" s="52"/>
      <c r="AE660" s="52"/>
      <c r="AF660" s="52"/>
      <c r="AG660" s="52"/>
      <c r="AH660" s="52"/>
      <c r="AI660" s="52"/>
      <c r="AJ660" s="52"/>
      <c r="AK660" s="52"/>
      <c r="AL660" s="52"/>
      <c r="AM660" s="52"/>
      <c r="AN660" s="52"/>
      <c r="AO660" s="52"/>
      <c r="AP660" s="52"/>
      <c r="AQ660" s="52"/>
      <c r="AR660" s="52"/>
      <c r="AS660" s="52"/>
      <c r="AT660" s="52"/>
      <c r="AU660" s="52"/>
      <c r="AV660" s="52"/>
      <c r="AW660" s="52"/>
      <c r="AX660" s="52"/>
      <c r="AY660" s="52"/>
      <c r="AZ660" s="52"/>
      <c r="BA660" s="52"/>
      <c r="BB660" s="52"/>
      <c r="BC660" s="52"/>
      <c r="BD660" s="52"/>
      <c r="BE660" s="52"/>
      <c r="BF660" s="52"/>
      <c r="BG660" s="52"/>
      <c r="BH660" s="52"/>
      <c r="BI660" s="52"/>
      <c r="BJ660" s="52"/>
      <c r="BK660" s="52"/>
      <c r="BL660" s="52"/>
      <c r="BM660" s="52"/>
      <c r="BN660" s="52"/>
      <c r="BO660" s="52"/>
      <c r="BP660" s="52"/>
      <c r="BQ660" s="52"/>
      <c r="BR660" s="52"/>
      <c r="BS660" s="52"/>
      <c r="BT660" s="52"/>
      <c r="BU660" s="52"/>
      <c r="BV660" s="52"/>
      <c r="BW660" s="52"/>
      <c r="BX660" s="52"/>
      <c r="BY660" s="52"/>
      <c r="BZ660" s="52"/>
      <c r="CA660" s="52"/>
      <c r="CB660" s="52"/>
      <c r="CC660" s="52"/>
      <c r="CD660" s="52"/>
      <c r="CE660" s="52"/>
      <c r="CF660" s="52"/>
      <c r="CG660" s="52"/>
      <c r="CH660" s="52"/>
      <c r="CI660" s="52"/>
      <c r="CJ660" s="52"/>
      <c r="CK660" s="52"/>
      <c r="CL660" s="52"/>
      <c r="CM660" s="52"/>
      <c r="CN660" s="52"/>
      <c r="CO660" s="52"/>
      <c r="CP660" s="52"/>
      <c r="CQ660" s="52"/>
      <c r="CR660" s="52"/>
      <c r="CS660" s="52"/>
      <c r="CT660" s="52"/>
      <c r="CU660" s="52"/>
      <c r="CV660" s="52"/>
      <c r="CW660" s="52"/>
      <c r="CX660" s="52"/>
      <c r="CY660" s="52"/>
      <c r="CZ660" s="52"/>
      <c r="DA660" s="52"/>
      <c r="DB660" s="52"/>
      <c r="DC660" s="52"/>
      <c r="DD660" s="52"/>
      <c r="DE660" s="52"/>
      <c r="DF660" s="52"/>
      <c r="DG660" s="52"/>
      <c r="DH660" s="52"/>
      <c r="DI660" s="52"/>
      <c r="DJ660" s="52"/>
      <c r="DK660" s="52"/>
      <c r="DL660" s="52"/>
      <c r="DM660" s="52"/>
      <c r="DN660" s="52"/>
      <c r="DO660" s="52"/>
      <c r="DP660" s="52"/>
      <c r="DQ660" s="52"/>
      <c r="DR660" s="52"/>
      <c r="DS660" s="52"/>
      <c r="DT660" s="52"/>
      <c r="DU660" s="52"/>
      <c r="DV660" s="52"/>
      <c r="DW660" s="52"/>
      <c r="DX660" s="52"/>
      <c r="DY660" s="52"/>
      <c r="DZ660" s="52"/>
      <c r="EA660" s="52"/>
      <c r="EB660" s="52"/>
      <c r="EC660" s="52"/>
      <c r="ED660" s="52"/>
      <c r="EE660" s="52"/>
      <c r="EF660" s="52"/>
      <c r="EG660" s="52"/>
      <c r="EH660" s="52"/>
      <c r="EI660" s="52"/>
      <c r="EJ660" s="52"/>
      <c r="EK660" s="52"/>
      <c r="EL660" s="52"/>
      <c r="EM660" s="52"/>
      <c r="EN660" s="52"/>
      <c r="EO660" s="52"/>
      <c r="EP660" s="52"/>
      <c r="EQ660" s="52"/>
      <c r="ER660" s="52"/>
      <c r="ES660" s="52"/>
    </row>
    <row r="661" spans="1:149" ht="11.25">
      <c r="A661" s="5" t="s">
        <v>5</v>
      </c>
      <c r="B661" s="6"/>
      <c r="C661" s="6"/>
      <c r="D661" s="83"/>
      <c r="E661" s="83"/>
      <c r="F661" s="83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24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  <c r="AC661" s="52"/>
      <c r="AD661" s="52"/>
      <c r="AE661" s="52"/>
      <c r="AF661" s="52"/>
      <c r="AG661" s="52"/>
      <c r="AH661" s="52"/>
      <c r="AI661" s="52"/>
      <c r="AJ661" s="52"/>
      <c r="AK661" s="52"/>
      <c r="AL661" s="52"/>
      <c r="AM661" s="52"/>
      <c r="AN661" s="52"/>
      <c r="AO661" s="52"/>
      <c r="AP661" s="52"/>
      <c r="AQ661" s="52"/>
      <c r="AR661" s="52"/>
      <c r="AS661" s="52"/>
      <c r="AT661" s="52"/>
      <c r="AU661" s="52"/>
      <c r="AV661" s="52"/>
      <c r="AW661" s="52"/>
      <c r="AX661" s="52"/>
      <c r="AY661" s="52"/>
      <c r="AZ661" s="52"/>
      <c r="BA661" s="52"/>
      <c r="BB661" s="52"/>
      <c r="BC661" s="52"/>
      <c r="BD661" s="52"/>
      <c r="BE661" s="52"/>
      <c r="BF661" s="52"/>
      <c r="BG661" s="52"/>
      <c r="BH661" s="52"/>
      <c r="BI661" s="52"/>
      <c r="BJ661" s="52"/>
      <c r="BK661" s="52"/>
      <c r="BL661" s="52"/>
      <c r="BM661" s="52"/>
      <c r="BN661" s="52"/>
      <c r="BO661" s="52"/>
      <c r="BP661" s="52"/>
      <c r="BQ661" s="52"/>
      <c r="BR661" s="52"/>
      <c r="BS661" s="52"/>
      <c r="BT661" s="52"/>
      <c r="BU661" s="52"/>
      <c r="BV661" s="52"/>
      <c r="BW661" s="52"/>
      <c r="BX661" s="52"/>
      <c r="BY661" s="52"/>
      <c r="BZ661" s="52"/>
      <c r="CA661" s="52"/>
      <c r="CB661" s="52"/>
      <c r="CC661" s="52"/>
      <c r="CD661" s="52"/>
      <c r="CE661" s="52"/>
      <c r="CF661" s="52"/>
      <c r="CG661" s="52"/>
      <c r="CH661" s="52"/>
      <c r="CI661" s="52"/>
      <c r="CJ661" s="52"/>
      <c r="CK661" s="52"/>
      <c r="CL661" s="52"/>
      <c r="CM661" s="52"/>
      <c r="CN661" s="52"/>
      <c r="CO661" s="52"/>
      <c r="CP661" s="52"/>
      <c r="CQ661" s="52"/>
      <c r="CR661" s="52"/>
      <c r="CS661" s="52"/>
      <c r="CT661" s="52"/>
      <c r="CU661" s="52"/>
      <c r="CV661" s="52"/>
      <c r="CW661" s="52"/>
      <c r="CX661" s="52"/>
      <c r="CY661" s="52"/>
      <c r="CZ661" s="52"/>
      <c r="DA661" s="52"/>
      <c r="DB661" s="52"/>
      <c r="DC661" s="52"/>
      <c r="DD661" s="52"/>
      <c r="DE661" s="52"/>
      <c r="DF661" s="52"/>
      <c r="DG661" s="52"/>
      <c r="DH661" s="52"/>
      <c r="DI661" s="52"/>
      <c r="DJ661" s="52"/>
      <c r="DK661" s="52"/>
      <c r="DL661" s="52"/>
      <c r="DM661" s="52"/>
      <c r="DN661" s="52"/>
      <c r="DO661" s="52"/>
      <c r="DP661" s="52"/>
      <c r="DQ661" s="52"/>
      <c r="DR661" s="52"/>
      <c r="DS661" s="52"/>
      <c r="DT661" s="52"/>
      <c r="DU661" s="52"/>
      <c r="DV661" s="52"/>
      <c r="DW661" s="52"/>
      <c r="DX661" s="52"/>
      <c r="DY661" s="52"/>
      <c r="DZ661" s="52"/>
      <c r="EA661" s="52"/>
      <c r="EB661" s="52"/>
      <c r="EC661" s="52"/>
      <c r="ED661" s="52"/>
      <c r="EE661" s="52"/>
      <c r="EF661" s="52"/>
      <c r="EG661" s="52"/>
      <c r="EH661" s="52"/>
      <c r="EI661" s="52"/>
      <c r="EJ661" s="52"/>
      <c r="EK661" s="52"/>
      <c r="EL661" s="52"/>
      <c r="EM661" s="52"/>
      <c r="EN661" s="52"/>
      <c r="EO661" s="52"/>
      <c r="EP661" s="52"/>
      <c r="EQ661" s="52"/>
      <c r="ER661" s="52"/>
      <c r="ES661" s="52"/>
    </row>
    <row r="662" spans="1:149" ht="0.75" customHeight="1">
      <c r="A662" s="8" t="s">
        <v>168</v>
      </c>
      <c r="B662" s="6"/>
      <c r="C662" s="6"/>
      <c r="D662" s="83"/>
      <c r="E662" s="83"/>
      <c r="F662" s="83">
        <f>D662+E662</f>
        <v>0</v>
      </c>
      <c r="G662" s="83"/>
      <c r="H662" s="83"/>
      <c r="I662" s="83"/>
      <c r="J662" s="83"/>
      <c r="K662" s="7"/>
      <c r="L662" s="7"/>
      <c r="M662" s="7"/>
      <c r="N662" s="7"/>
      <c r="O662" s="7"/>
      <c r="P662" s="7"/>
      <c r="Q662" s="24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  <c r="AC662" s="52"/>
      <c r="AD662" s="52"/>
      <c r="AE662" s="52"/>
      <c r="AF662" s="52"/>
      <c r="AG662" s="52"/>
      <c r="AH662" s="52"/>
      <c r="AI662" s="52"/>
      <c r="AJ662" s="52"/>
      <c r="AK662" s="52"/>
      <c r="AL662" s="52"/>
      <c r="AM662" s="52"/>
      <c r="AN662" s="52"/>
      <c r="AO662" s="52"/>
      <c r="AP662" s="52"/>
      <c r="AQ662" s="52"/>
      <c r="AR662" s="52"/>
      <c r="AS662" s="52"/>
      <c r="AT662" s="52"/>
      <c r="AU662" s="52"/>
      <c r="AV662" s="52"/>
      <c r="AW662" s="52"/>
      <c r="AX662" s="52"/>
      <c r="AY662" s="52"/>
      <c r="AZ662" s="52"/>
      <c r="BA662" s="52"/>
      <c r="BB662" s="52"/>
      <c r="BC662" s="52"/>
      <c r="BD662" s="52"/>
      <c r="BE662" s="52"/>
      <c r="BF662" s="52"/>
      <c r="BG662" s="52"/>
      <c r="BH662" s="52"/>
      <c r="BI662" s="52"/>
      <c r="BJ662" s="52"/>
      <c r="BK662" s="52"/>
      <c r="BL662" s="52"/>
      <c r="BM662" s="52"/>
      <c r="BN662" s="52"/>
      <c r="BO662" s="52"/>
      <c r="BP662" s="52"/>
      <c r="BQ662" s="52"/>
      <c r="BR662" s="52"/>
      <c r="BS662" s="52"/>
      <c r="BT662" s="52"/>
      <c r="BU662" s="52"/>
      <c r="BV662" s="52"/>
      <c r="BW662" s="52"/>
      <c r="BX662" s="52"/>
      <c r="BY662" s="52"/>
      <c r="BZ662" s="52"/>
      <c r="CA662" s="52"/>
      <c r="CB662" s="52"/>
      <c r="CC662" s="52"/>
      <c r="CD662" s="52"/>
      <c r="CE662" s="52"/>
      <c r="CF662" s="52"/>
      <c r="CG662" s="52"/>
      <c r="CH662" s="52"/>
      <c r="CI662" s="52"/>
      <c r="CJ662" s="52"/>
      <c r="CK662" s="52"/>
      <c r="CL662" s="52"/>
      <c r="CM662" s="52"/>
      <c r="CN662" s="52"/>
      <c r="CO662" s="52"/>
      <c r="CP662" s="52"/>
      <c r="CQ662" s="52"/>
      <c r="CR662" s="52"/>
      <c r="CS662" s="52"/>
      <c r="CT662" s="52"/>
      <c r="CU662" s="52"/>
      <c r="CV662" s="52"/>
      <c r="CW662" s="52"/>
      <c r="CX662" s="52"/>
      <c r="CY662" s="52"/>
      <c r="CZ662" s="52"/>
      <c r="DA662" s="52"/>
      <c r="DB662" s="52"/>
      <c r="DC662" s="52"/>
      <c r="DD662" s="52"/>
      <c r="DE662" s="52"/>
      <c r="DF662" s="52"/>
      <c r="DG662" s="52"/>
      <c r="DH662" s="52"/>
      <c r="DI662" s="52"/>
      <c r="DJ662" s="52"/>
      <c r="DK662" s="52"/>
      <c r="DL662" s="52"/>
      <c r="DM662" s="52"/>
      <c r="DN662" s="52"/>
      <c r="DO662" s="52"/>
      <c r="DP662" s="52"/>
      <c r="DQ662" s="52"/>
      <c r="DR662" s="52"/>
      <c r="DS662" s="52"/>
      <c r="DT662" s="52"/>
      <c r="DU662" s="52"/>
      <c r="DV662" s="52"/>
      <c r="DW662" s="52"/>
      <c r="DX662" s="52"/>
      <c r="DY662" s="52"/>
      <c r="DZ662" s="52"/>
      <c r="EA662" s="52"/>
      <c r="EB662" s="52"/>
      <c r="EC662" s="52"/>
      <c r="ED662" s="52"/>
      <c r="EE662" s="52"/>
      <c r="EF662" s="52"/>
      <c r="EG662" s="52"/>
      <c r="EH662" s="52"/>
      <c r="EI662" s="52"/>
      <c r="EJ662" s="52"/>
      <c r="EK662" s="52"/>
      <c r="EL662" s="52"/>
      <c r="EM662" s="52"/>
      <c r="EN662" s="52"/>
      <c r="EO662" s="52"/>
      <c r="EP662" s="52"/>
      <c r="EQ662" s="52"/>
      <c r="ER662" s="52"/>
      <c r="ES662" s="52"/>
    </row>
    <row r="663" spans="1:149" ht="11.25">
      <c r="A663" s="8" t="s">
        <v>175</v>
      </c>
      <c r="B663" s="6"/>
      <c r="C663" s="6"/>
      <c r="D663" s="83">
        <v>667</v>
      </c>
      <c r="E663" s="83"/>
      <c r="F663" s="83">
        <f>D663+E663</f>
        <v>667</v>
      </c>
      <c r="G663" s="83">
        <v>381</v>
      </c>
      <c r="H663" s="83"/>
      <c r="I663" s="83"/>
      <c r="J663" s="83">
        <f>G663+H663</f>
        <v>381</v>
      </c>
      <c r="K663" s="7"/>
      <c r="L663" s="7"/>
      <c r="M663" s="7"/>
      <c r="N663" s="157">
        <v>14.085</v>
      </c>
      <c r="O663" s="7"/>
      <c r="P663" s="157">
        <f>N663</f>
        <v>14.085</v>
      </c>
      <c r="Q663" s="24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  <c r="AC663" s="52"/>
      <c r="AD663" s="52"/>
      <c r="AE663" s="52"/>
      <c r="AF663" s="52"/>
      <c r="AG663" s="52"/>
      <c r="AH663" s="52"/>
      <c r="AI663" s="52"/>
      <c r="AJ663" s="52"/>
      <c r="AK663" s="52"/>
      <c r="AL663" s="52"/>
      <c r="AM663" s="52"/>
      <c r="AN663" s="52"/>
      <c r="AO663" s="52"/>
      <c r="AP663" s="52"/>
      <c r="AQ663" s="52"/>
      <c r="AR663" s="52"/>
      <c r="AS663" s="52"/>
      <c r="AT663" s="52"/>
      <c r="AU663" s="52"/>
      <c r="AV663" s="52"/>
      <c r="AW663" s="52"/>
      <c r="AX663" s="52"/>
      <c r="AY663" s="52"/>
      <c r="AZ663" s="52"/>
      <c r="BA663" s="52"/>
      <c r="BB663" s="52"/>
      <c r="BC663" s="52"/>
      <c r="BD663" s="52"/>
      <c r="BE663" s="52"/>
      <c r="BF663" s="52"/>
      <c r="BG663" s="52"/>
      <c r="BH663" s="52"/>
      <c r="BI663" s="52"/>
      <c r="BJ663" s="52"/>
      <c r="BK663" s="52"/>
      <c r="BL663" s="52"/>
      <c r="BM663" s="52"/>
      <c r="BN663" s="52"/>
      <c r="BO663" s="52"/>
      <c r="BP663" s="52"/>
      <c r="BQ663" s="52"/>
      <c r="BR663" s="52"/>
      <c r="BS663" s="52"/>
      <c r="BT663" s="52"/>
      <c r="BU663" s="52"/>
      <c r="BV663" s="52"/>
      <c r="BW663" s="52"/>
      <c r="BX663" s="52"/>
      <c r="BY663" s="52"/>
      <c r="BZ663" s="52"/>
      <c r="CA663" s="52"/>
      <c r="CB663" s="52"/>
      <c r="CC663" s="52"/>
      <c r="CD663" s="52"/>
      <c r="CE663" s="52"/>
      <c r="CF663" s="52"/>
      <c r="CG663" s="52"/>
      <c r="CH663" s="52"/>
      <c r="CI663" s="52"/>
      <c r="CJ663" s="52"/>
      <c r="CK663" s="52"/>
      <c r="CL663" s="52"/>
      <c r="CM663" s="52"/>
      <c r="CN663" s="52"/>
      <c r="CO663" s="52"/>
      <c r="CP663" s="52"/>
      <c r="CQ663" s="52"/>
      <c r="CR663" s="52"/>
      <c r="CS663" s="52"/>
      <c r="CT663" s="52"/>
      <c r="CU663" s="52"/>
      <c r="CV663" s="52"/>
      <c r="CW663" s="52"/>
      <c r="CX663" s="52"/>
      <c r="CY663" s="52"/>
      <c r="CZ663" s="52"/>
      <c r="DA663" s="52"/>
      <c r="DB663" s="52"/>
      <c r="DC663" s="52"/>
      <c r="DD663" s="52"/>
      <c r="DE663" s="52"/>
      <c r="DF663" s="52"/>
      <c r="DG663" s="52"/>
      <c r="DH663" s="52"/>
      <c r="DI663" s="52"/>
      <c r="DJ663" s="52"/>
      <c r="DK663" s="52"/>
      <c r="DL663" s="52"/>
      <c r="DM663" s="52"/>
      <c r="DN663" s="52"/>
      <c r="DO663" s="52"/>
      <c r="DP663" s="52"/>
      <c r="DQ663" s="52"/>
      <c r="DR663" s="52"/>
      <c r="DS663" s="52"/>
      <c r="DT663" s="52"/>
      <c r="DU663" s="52"/>
      <c r="DV663" s="52"/>
      <c r="DW663" s="52"/>
      <c r="DX663" s="52"/>
      <c r="DY663" s="52"/>
      <c r="DZ663" s="52"/>
      <c r="EA663" s="52"/>
      <c r="EB663" s="52"/>
      <c r="EC663" s="52"/>
      <c r="ED663" s="52"/>
      <c r="EE663" s="52"/>
      <c r="EF663" s="52"/>
      <c r="EG663" s="52"/>
      <c r="EH663" s="52"/>
      <c r="EI663" s="52"/>
      <c r="EJ663" s="52"/>
      <c r="EK663" s="52"/>
      <c r="EL663" s="52"/>
      <c r="EM663" s="52"/>
      <c r="EN663" s="52"/>
      <c r="EO663" s="52"/>
      <c r="EP663" s="52"/>
      <c r="EQ663" s="52"/>
      <c r="ER663" s="52"/>
      <c r="ES663" s="52"/>
    </row>
    <row r="664" spans="1:149" ht="10.5" customHeight="1">
      <c r="A664" s="5" t="s">
        <v>7</v>
      </c>
      <c r="B664" s="6"/>
      <c r="C664" s="6"/>
      <c r="D664" s="83"/>
      <c r="E664" s="83"/>
      <c r="F664" s="83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24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  <c r="AC664" s="52"/>
      <c r="AD664" s="52"/>
      <c r="AE664" s="52"/>
      <c r="AF664" s="52"/>
      <c r="AG664" s="52"/>
      <c r="AH664" s="52"/>
      <c r="AI664" s="52"/>
      <c r="AJ664" s="52"/>
      <c r="AK664" s="52"/>
      <c r="AL664" s="52"/>
      <c r="AM664" s="52"/>
      <c r="AN664" s="52"/>
      <c r="AO664" s="52"/>
      <c r="AP664" s="52"/>
      <c r="AQ664" s="52"/>
      <c r="AR664" s="52"/>
      <c r="AS664" s="52"/>
      <c r="AT664" s="52"/>
      <c r="AU664" s="52"/>
      <c r="AV664" s="52"/>
      <c r="AW664" s="52"/>
      <c r="AX664" s="52"/>
      <c r="AY664" s="52"/>
      <c r="AZ664" s="52"/>
      <c r="BA664" s="52"/>
      <c r="BB664" s="52"/>
      <c r="BC664" s="52"/>
      <c r="BD664" s="52"/>
      <c r="BE664" s="52"/>
      <c r="BF664" s="52"/>
      <c r="BG664" s="52"/>
      <c r="BH664" s="52"/>
      <c r="BI664" s="52"/>
      <c r="BJ664" s="52"/>
      <c r="BK664" s="52"/>
      <c r="BL664" s="52"/>
      <c r="BM664" s="52"/>
      <c r="BN664" s="52"/>
      <c r="BO664" s="52"/>
      <c r="BP664" s="52"/>
      <c r="BQ664" s="52"/>
      <c r="BR664" s="52"/>
      <c r="BS664" s="52"/>
      <c r="BT664" s="52"/>
      <c r="BU664" s="52"/>
      <c r="BV664" s="52"/>
      <c r="BW664" s="52"/>
      <c r="BX664" s="52"/>
      <c r="BY664" s="52"/>
      <c r="BZ664" s="52"/>
      <c r="CA664" s="52"/>
      <c r="CB664" s="52"/>
      <c r="CC664" s="52"/>
      <c r="CD664" s="52"/>
      <c r="CE664" s="52"/>
      <c r="CF664" s="52"/>
      <c r="CG664" s="52"/>
      <c r="CH664" s="52"/>
      <c r="CI664" s="52"/>
      <c r="CJ664" s="52"/>
      <c r="CK664" s="52"/>
      <c r="CL664" s="52"/>
      <c r="CM664" s="52"/>
      <c r="CN664" s="52"/>
      <c r="CO664" s="52"/>
      <c r="CP664" s="52"/>
      <c r="CQ664" s="52"/>
      <c r="CR664" s="52"/>
      <c r="CS664" s="52"/>
      <c r="CT664" s="52"/>
      <c r="CU664" s="52"/>
      <c r="CV664" s="52"/>
      <c r="CW664" s="52"/>
      <c r="CX664" s="52"/>
      <c r="CY664" s="52"/>
      <c r="CZ664" s="52"/>
      <c r="DA664" s="52"/>
      <c r="DB664" s="52"/>
      <c r="DC664" s="52"/>
      <c r="DD664" s="52"/>
      <c r="DE664" s="52"/>
      <c r="DF664" s="52"/>
      <c r="DG664" s="52"/>
      <c r="DH664" s="52"/>
      <c r="DI664" s="52"/>
      <c r="DJ664" s="52"/>
      <c r="DK664" s="52"/>
      <c r="DL664" s="52"/>
      <c r="DM664" s="52"/>
      <c r="DN664" s="52"/>
      <c r="DO664" s="52"/>
      <c r="DP664" s="52"/>
      <c r="DQ664" s="52"/>
      <c r="DR664" s="52"/>
      <c r="DS664" s="52"/>
      <c r="DT664" s="52"/>
      <c r="DU664" s="52"/>
      <c r="DV664" s="52"/>
      <c r="DW664" s="52"/>
      <c r="DX664" s="52"/>
      <c r="DY664" s="52"/>
      <c r="DZ664" s="52"/>
      <c r="EA664" s="52"/>
      <c r="EB664" s="52"/>
      <c r="EC664" s="52"/>
      <c r="ED664" s="52"/>
      <c r="EE664" s="52"/>
      <c r="EF664" s="52"/>
      <c r="EG664" s="52"/>
      <c r="EH664" s="52"/>
      <c r="EI664" s="52"/>
      <c r="EJ664" s="52"/>
      <c r="EK664" s="52"/>
      <c r="EL664" s="52"/>
      <c r="EM664" s="52"/>
      <c r="EN664" s="52"/>
      <c r="EO664" s="52"/>
      <c r="EP664" s="52"/>
      <c r="EQ664" s="52"/>
      <c r="ER664" s="52"/>
      <c r="ES664" s="52"/>
    </row>
    <row r="665" spans="1:149" ht="22.5" customHeight="1">
      <c r="A665" s="8" t="s">
        <v>176</v>
      </c>
      <c r="B665" s="6"/>
      <c r="C665" s="6"/>
      <c r="D665" s="7">
        <f>3000000/667</f>
        <v>4497.751124437781</v>
      </c>
      <c r="E665" s="7"/>
      <c r="F665" s="83">
        <f>D665+E665</f>
        <v>4497.751124437781</v>
      </c>
      <c r="G665" s="7">
        <v>4501.31233</v>
      </c>
      <c r="H665" s="7"/>
      <c r="I665" s="7"/>
      <c r="J665" s="7">
        <f>G665+H665</f>
        <v>4501.31233</v>
      </c>
      <c r="K665" s="7"/>
      <c r="L665" s="7"/>
      <c r="M665" s="7"/>
      <c r="N665" s="7">
        <v>7100</v>
      </c>
      <c r="O665" s="7"/>
      <c r="P665" s="7">
        <f>N665</f>
        <v>7100</v>
      </c>
      <c r="Q665" s="24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  <c r="AC665" s="52"/>
      <c r="AD665" s="52"/>
      <c r="AE665" s="52"/>
      <c r="AF665" s="52"/>
      <c r="AG665" s="52"/>
      <c r="AH665" s="52"/>
      <c r="AI665" s="52"/>
      <c r="AJ665" s="52"/>
      <c r="AK665" s="52"/>
      <c r="AL665" s="52"/>
      <c r="AM665" s="52"/>
      <c r="AN665" s="52"/>
      <c r="AO665" s="52"/>
      <c r="AP665" s="52"/>
      <c r="AQ665" s="52"/>
      <c r="AR665" s="52"/>
      <c r="AS665" s="52"/>
      <c r="AT665" s="52"/>
      <c r="AU665" s="52"/>
      <c r="AV665" s="52"/>
      <c r="AW665" s="52"/>
      <c r="AX665" s="52"/>
      <c r="AY665" s="52"/>
      <c r="AZ665" s="52"/>
      <c r="BA665" s="52"/>
      <c r="BB665" s="52"/>
      <c r="BC665" s="52"/>
      <c r="BD665" s="52"/>
      <c r="BE665" s="52"/>
      <c r="BF665" s="52"/>
      <c r="BG665" s="52"/>
      <c r="BH665" s="52"/>
      <c r="BI665" s="52"/>
      <c r="BJ665" s="52"/>
      <c r="BK665" s="52"/>
      <c r="BL665" s="52"/>
      <c r="BM665" s="52"/>
      <c r="BN665" s="52"/>
      <c r="BO665" s="52"/>
      <c r="BP665" s="52"/>
      <c r="BQ665" s="52"/>
      <c r="BR665" s="52"/>
      <c r="BS665" s="52"/>
      <c r="BT665" s="52"/>
      <c r="BU665" s="52"/>
      <c r="BV665" s="52"/>
      <c r="BW665" s="52"/>
      <c r="BX665" s="52"/>
      <c r="BY665" s="52"/>
      <c r="BZ665" s="52"/>
      <c r="CA665" s="52"/>
      <c r="CB665" s="52"/>
      <c r="CC665" s="52"/>
      <c r="CD665" s="52"/>
      <c r="CE665" s="52"/>
      <c r="CF665" s="52"/>
      <c r="CG665" s="52"/>
      <c r="CH665" s="52"/>
      <c r="CI665" s="52"/>
      <c r="CJ665" s="52"/>
      <c r="CK665" s="52"/>
      <c r="CL665" s="52"/>
      <c r="CM665" s="52"/>
      <c r="CN665" s="52"/>
      <c r="CO665" s="52"/>
      <c r="CP665" s="52"/>
      <c r="CQ665" s="52"/>
      <c r="CR665" s="52"/>
      <c r="CS665" s="52"/>
      <c r="CT665" s="52"/>
      <c r="CU665" s="52"/>
      <c r="CV665" s="52"/>
      <c r="CW665" s="52"/>
      <c r="CX665" s="52"/>
      <c r="CY665" s="52"/>
      <c r="CZ665" s="52"/>
      <c r="DA665" s="52"/>
      <c r="DB665" s="52"/>
      <c r="DC665" s="52"/>
      <c r="DD665" s="52"/>
      <c r="DE665" s="52"/>
      <c r="DF665" s="52"/>
      <c r="DG665" s="52"/>
      <c r="DH665" s="52"/>
      <c r="DI665" s="52"/>
      <c r="DJ665" s="52"/>
      <c r="DK665" s="52"/>
      <c r="DL665" s="52"/>
      <c r="DM665" s="52"/>
      <c r="DN665" s="52"/>
      <c r="DO665" s="52"/>
      <c r="DP665" s="52"/>
      <c r="DQ665" s="52"/>
      <c r="DR665" s="52"/>
      <c r="DS665" s="52"/>
      <c r="DT665" s="52"/>
      <c r="DU665" s="52"/>
      <c r="DV665" s="52"/>
      <c r="DW665" s="52"/>
      <c r="DX665" s="52"/>
      <c r="DY665" s="52"/>
      <c r="DZ665" s="52"/>
      <c r="EA665" s="52"/>
      <c r="EB665" s="52"/>
      <c r="EC665" s="52"/>
      <c r="ED665" s="52"/>
      <c r="EE665" s="52"/>
      <c r="EF665" s="52"/>
      <c r="EG665" s="52"/>
      <c r="EH665" s="52"/>
      <c r="EI665" s="52"/>
      <c r="EJ665" s="52"/>
      <c r="EK665" s="52"/>
      <c r="EL665" s="52"/>
      <c r="EM665" s="52"/>
      <c r="EN665" s="52"/>
      <c r="EO665" s="52"/>
      <c r="EP665" s="52"/>
      <c r="EQ665" s="52"/>
      <c r="ER665" s="52"/>
      <c r="ES665" s="52"/>
    </row>
    <row r="666" spans="1:149" ht="11.25">
      <c r="A666" s="124" t="s">
        <v>328</v>
      </c>
      <c r="B666" s="6"/>
      <c r="C666" s="6"/>
      <c r="D666" s="29">
        <f>D667</f>
        <v>656000</v>
      </c>
      <c r="E666" s="29">
        <f>E667</f>
        <v>0</v>
      </c>
      <c r="F666" s="29">
        <f>F667</f>
        <v>656000</v>
      </c>
      <c r="G666" s="29">
        <f>G667</f>
        <v>819000</v>
      </c>
      <c r="H666" s="29"/>
      <c r="I666" s="29">
        <f>I667</f>
        <v>0</v>
      </c>
      <c r="J666" s="29">
        <f>G666</f>
        <v>819000</v>
      </c>
      <c r="K666" s="7"/>
      <c r="L666" s="7"/>
      <c r="M666" s="7"/>
      <c r="N666" s="29">
        <f>N667</f>
        <v>725000</v>
      </c>
      <c r="O666" s="29"/>
      <c r="P666" s="29">
        <f>N666</f>
        <v>725000</v>
      </c>
      <c r="Q666" s="24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  <c r="AC666" s="52"/>
      <c r="AD666" s="52"/>
      <c r="AE666" s="52"/>
      <c r="AF666" s="52"/>
      <c r="AG666" s="52"/>
      <c r="AH666" s="52"/>
      <c r="AI666" s="52"/>
      <c r="AJ666" s="52"/>
      <c r="AK666" s="52"/>
      <c r="AL666" s="52"/>
      <c r="AM666" s="52"/>
      <c r="AN666" s="52"/>
      <c r="AO666" s="52"/>
      <c r="AP666" s="52"/>
      <c r="AQ666" s="52"/>
      <c r="AR666" s="52"/>
      <c r="AS666" s="52"/>
      <c r="AT666" s="52"/>
      <c r="AU666" s="52"/>
      <c r="AV666" s="52"/>
      <c r="AW666" s="52"/>
      <c r="AX666" s="52"/>
      <c r="AY666" s="52"/>
      <c r="AZ666" s="52"/>
      <c r="BA666" s="52"/>
      <c r="BB666" s="52"/>
      <c r="BC666" s="52"/>
      <c r="BD666" s="52"/>
      <c r="BE666" s="52"/>
      <c r="BF666" s="52"/>
      <c r="BG666" s="52"/>
      <c r="BH666" s="52"/>
      <c r="BI666" s="52"/>
      <c r="BJ666" s="52"/>
      <c r="BK666" s="52"/>
      <c r="BL666" s="52"/>
      <c r="BM666" s="52"/>
      <c r="BN666" s="52"/>
      <c r="BO666" s="52"/>
      <c r="BP666" s="52"/>
      <c r="BQ666" s="52"/>
      <c r="BR666" s="52"/>
      <c r="BS666" s="52"/>
      <c r="BT666" s="52"/>
      <c r="BU666" s="52"/>
      <c r="BV666" s="52"/>
      <c r="BW666" s="52"/>
      <c r="BX666" s="52"/>
      <c r="BY666" s="52"/>
      <c r="BZ666" s="52"/>
      <c r="CA666" s="52"/>
      <c r="CB666" s="52"/>
      <c r="CC666" s="52"/>
      <c r="CD666" s="52"/>
      <c r="CE666" s="52"/>
      <c r="CF666" s="52"/>
      <c r="CG666" s="52"/>
      <c r="CH666" s="52"/>
      <c r="CI666" s="52"/>
      <c r="CJ666" s="52"/>
      <c r="CK666" s="52"/>
      <c r="CL666" s="52"/>
      <c r="CM666" s="52"/>
      <c r="CN666" s="52"/>
      <c r="CO666" s="52"/>
      <c r="CP666" s="52"/>
      <c r="CQ666" s="52"/>
      <c r="CR666" s="52"/>
      <c r="CS666" s="52"/>
      <c r="CT666" s="52"/>
      <c r="CU666" s="52"/>
      <c r="CV666" s="52"/>
      <c r="CW666" s="52"/>
      <c r="CX666" s="52"/>
      <c r="CY666" s="52"/>
      <c r="CZ666" s="52"/>
      <c r="DA666" s="52"/>
      <c r="DB666" s="52"/>
      <c r="DC666" s="52"/>
      <c r="DD666" s="52"/>
      <c r="DE666" s="52"/>
      <c r="DF666" s="52"/>
      <c r="DG666" s="52"/>
      <c r="DH666" s="52"/>
      <c r="DI666" s="52"/>
      <c r="DJ666" s="52"/>
      <c r="DK666" s="52"/>
      <c r="DL666" s="52"/>
      <c r="DM666" s="52"/>
      <c r="DN666" s="52"/>
      <c r="DO666" s="52"/>
      <c r="DP666" s="52"/>
      <c r="DQ666" s="52"/>
      <c r="DR666" s="52"/>
      <c r="DS666" s="52"/>
      <c r="DT666" s="52"/>
      <c r="DU666" s="52"/>
      <c r="DV666" s="52"/>
      <c r="DW666" s="52"/>
      <c r="DX666" s="52"/>
      <c r="DY666" s="52"/>
      <c r="DZ666" s="52"/>
      <c r="EA666" s="52"/>
      <c r="EB666" s="52"/>
      <c r="EC666" s="52"/>
      <c r="ED666" s="52"/>
      <c r="EE666" s="52"/>
      <c r="EF666" s="52"/>
      <c r="EG666" s="52"/>
      <c r="EH666" s="52"/>
      <c r="EI666" s="52"/>
      <c r="EJ666" s="52"/>
      <c r="EK666" s="52"/>
      <c r="EL666" s="52"/>
      <c r="EM666" s="52"/>
      <c r="EN666" s="52"/>
      <c r="EO666" s="52"/>
      <c r="EP666" s="52"/>
      <c r="EQ666" s="52"/>
      <c r="ER666" s="52"/>
      <c r="ES666" s="52"/>
    </row>
    <row r="667" spans="1:17" s="38" customFormat="1" ht="22.5">
      <c r="A667" s="33" t="s">
        <v>470</v>
      </c>
      <c r="B667" s="34"/>
      <c r="C667" s="34"/>
      <c r="D667" s="35">
        <f>D669</f>
        <v>656000</v>
      </c>
      <c r="E667" s="35"/>
      <c r="F667" s="7">
        <f>D667</f>
        <v>656000</v>
      </c>
      <c r="G667" s="35">
        <f>G671*G673</f>
        <v>819000</v>
      </c>
      <c r="H667" s="35"/>
      <c r="I667" s="35"/>
      <c r="J667" s="35">
        <f>G667</f>
        <v>819000</v>
      </c>
      <c r="K667" s="35"/>
      <c r="L667" s="35"/>
      <c r="M667" s="35"/>
      <c r="N667" s="35">
        <f>N671*N673</f>
        <v>725000</v>
      </c>
      <c r="O667" s="35"/>
      <c r="P667" s="29">
        <f>N667</f>
        <v>725000</v>
      </c>
      <c r="Q667" s="77"/>
    </row>
    <row r="668" spans="1:149" ht="11.25">
      <c r="A668" s="5" t="s">
        <v>4</v>
      </c>
      <c r="B668" s="6"/>
      <c r="C668" s="6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24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  <c r="AC668" s="52"/>
      <c r="AD668" s="52"/>
      <c r="AE668" s="52"/>
      <c r="AF668" s="52"/>
      <c r="AG668" s="52"/>
      <c r="AH668" s="52"/>
      <c r="AI668" s="52"/>
      <c r="AJ668" s="52"/>
      <c r="AK668" s="52"/>
      <c r="AL668" s="52"/>
      <c r="AM668" s="52"/>
      <c r="AN668" s="52"/>
      <c r="AO668" s="52"/>
      <c r="AP668" s="52"/>
      <c r="AQ668" s="52"/>
      <c r="AR668" s="52"/>
      <c r="AS668" s="52"/>
      <c r="AT668" s="52"/>
      <c r="AU668" s="52"/>
      <c r="AV668" s="52"/>
      <c r="AW668" s="52"/>
      <c r="AX668" s="52"/>
      <c r="AY668" s="52"/>
      <c r="AZ668" s="52"/>
      <c r="BA668" s="52"/>
      <c r="BB668" s="52"/>
      <c r="BC668" s="52"/>
      <c r="BD668" s="52"/>
      <c r="BE668" s="52"/>
      <c r="BF668" s="52"/>
      <c r="BG668" s="52"/>
      <c r="BH668" s="52"/>
      <c r="BI668" s="52"/>
      <c r="BJ668" s="52"/>
      <c r="BK668" s="52"/>
      <c r="BL668" s="52"/>
      <c r="BM668" s="52"/>
      <c r="BN668" s="52"/>
      <c r="BO668" s="52"/>
      <c r="BP668" s="52"/>
      <c r="BQ668" s="52"/>
      <c r="BR668" s="52"/>
      <c r="BS668" s="52"/>
      <c r="BT668" s="52"/>
      <c r="BU668" s="52"/>
      <c r="BV668" s="52"/>
      <c r="BW668" s="52"/>
      <c r="BX668" s="52"/>
      <c r="BY668" s="52"/>
      <c r="BZ668" s="52"/>
      <c r="CA668" s="52"/>
      <c r="CB668" s="52"/>
      <c r="CC668" s="52"/>
      <c r="CD668" s="52"/>
      <c r="CE668" s="52"/>
      <c r="CF668" s="52"/>
      <c r="CG668" s="52"/>
      <c r="CH668" s="52"/>
      <c r="CI668" s="52"/>
      <c r="CJ668" s="52"/>
      <c r="CK668" s="52"/>
      <c r="CL668" s="52"/>
      <c r="CM668" s="52"/>
      <c r="CN668" s="52"/>
      <c r="CO668" s="52"/>
      <c r="CP668" s="52"/>
      <c r="CQ668" s="52"/>
      <c r="CR668" s="52"/>
      <c r="CS668" s="52"/>
      <c r="CT668" s="52"/>
      <c r="CU668" s="52"/>
      <c r="CV668" s="52"/>
      <c r="CW668" s="52"/>
      <c r="CX668" s="52"/>
      <c r="CY668" s="52"/>
      <c r="CZ668" s="52"/>
      <c r="DA668" s="52"/>
      <c r="DB668" s="52"/>
      <c r="DC668" s="52"/>
      <c r="DD668" s="52"/>
      <c r="DE668" s="52"/>
      <c r="DF668" s="52"/>
      <c r="DG668" s="52"/>
      <c r="DH668" s="52"/>
      <c r="DI668" s="52"/>
      <c r="DJ668" s="52"/>
      <c r="DK668" s="52"/>
      <c r="DL668" s="52"/>
      <c r="DM668" s="52"/>
      <c r="DN668" s="52"/>
      <c r="DO668" s="52"/>
      <c r="DP668" s="52"/>
      <c r="DQ668" s="52"/>
      <c r="DR668" s="52"/>
      <c r="DS668" s="52"/>
      <c r="DT668" s="52"/>
      <c r="DU668" s="52"/>
      <c r="DV668" s="52"/>
      <c r="DW668" s="52"/>
      <c r="DX668" s="52"/>
      <c r="DY668" s="52"/>
      <c r="DZ668" s="52"/>
      <c r="EA668" s="52"/>
      <c r="EB668" s="52"/>
      <c r="EC668" s="52"/>
      <c r="ED668" s="52"/>
      <c r="EE668" s="52"/>
      <c r="EF668" s="52"/>
      <c r="EG668" s="52"/>
      <c r="EH668" s="52"/>
      <c r="EI668" s="52"/>
      <c r="EJ668" s="52"/>
      <c r="EK668" s="52"/>
      <c r="EL668" s="52"/>
      <c r="EM668" s="52"/>
      <c r="EN668" s="52"/>
      <c r="EO668" s="52"/>
      <c r="EP668" s="52"/>
      <c r="EQ668" s="52"/>
      <c r="ER668" s="52"/>
      <c r="ES668" s="52"/>
    </row>
    <row r="669" spans="1:149" ht="22.5">
      <c r="A669" s="8" t="s">
        <v>49</v>
      </c>
      <c r="B669" s="6"/>
      <c r="C669" s="6"/>
      <c r="D669" s="7">
        <f>D671*D673</f>
        <v>656000</v>
      </c>
      <c r="E669" s="7"/>
      <c r="F669" s="7">
        <f>D669</f>
        <v>656000</v>
      </c>
      <c r="G669" s="7">
        <v>819000</v>
      </c>
      <c r="H669" s="7"/>
      <c r="I669" s="7"/>
      <c r="J669" s="7">
        <f>G669</f>
        <v>819000</v>
      </c>
      <c r="K669" s="7"/>
      <c r="L669" s="7"/>
      <c r="M669" s="7"/>
      <c r="N669" s="7">
        <f>N671*N673</f>
        <v>725000</v>
      </c>
      <c r="O669" s="7"/>
      <c r="P669" s="7">
        <f>N669</f>
        <v>725000</v>
      </c>
      <c r="Q669" s="24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  <c r="AC669" s="52"/>
      <c r="AD669" s="52"/>
      <c r="AE669" s="52"/>
      <c r="AF669" s="52"/>
      <c r="AG669" s="52"/>
      <c r="AH669" s="52"/>
      <c r="AI669" s="52"/>
      <c r="AJ669" s="52"/>
      <c r="AK669" s="52"/>
      <c r="AL669" s="52"/>
      <c r="AM669" s="52"/>
      <c r="AN669" s="52"/>
      <c r="AO669" s="52"/>
      <c r="AP669" s="52"/>
      <c r="AQ669" s="52"/>
      <c r="AR669" s="52"/>
      <c r="AS669" s="52"/>
      <c r="AT669" s="52"/>
      <c r="AU669" s="52"/>
      <c r="AV669" s="52"/>
      <c r="AW669" s="52"/>
      <c r="AX669" s="52"/>
      <c r="AY669" s="52"/>
      <c r="AZ669" s="52"/>
      <c r="BA669" s="52"/>
      <c r="BB669" s="52"/>
      <c r="BC669" s="52"/>
      <c r="BD669" s="52"/>
      <c r="BE669" s="52"/>
      <c r="BF669" s="52"/>
      <c r="BG669" s="52"/>
      <c r="BH669" s="52"/>
      <c r="BI669" s="52"/>
      <c r="BJ669" s="52"/>
      <c r="BK669" s="52"/>
      <c r="BL669" s="52"/>
      <c r="BM669" s="52"/>
      <c r="BN669" s="52"/>
      <c r="BO669" s="52"/>
      <c r="BP669" s="52"/>
      <c r="BQ669" s="52"/>
      <c r="BR669" s="52"/>
      <c r="BS669" s="52"/>
      <c r="BT669" s="52"/>
      <c r="BU669" s="52"/>
      <c r="BV669" s="52"/>
      <c r="BW669" s="52"/>
      <c r="BX669" s="52"/>
      <c r="BY669" s="52"/>
      <c r="BZ669" s="52"/>
      <c r="CA669" s="52"/>
      <c r="CB669" s="52"/>
      <c r="CC669" s="52"/>
      <c r="CD669" s="52"/>
      <c r="CE669" s="52"/>
      <c r="CF669" s="52"/>
      <c r="CG669" s="52"/>
      <c r="CH669" s="52"/>
      <c r="CI669" s="52"/>
      <c r="CJ669" s="52"/>
      <c r="CK669" s="52"/>
      <c r="CL669" s="52"/>
      <c r="CM669" s="52"/>
      <c r="CN669" s="52"/>
      <c r="CO669" s="52"/>
      <c r="CP669" s="52"/>
      <c r="CQ669" s="52"/>
      <c r="CR669" s="52"/>
      <c r="CS669" s="52"/>
      <c r="CT669" s="52"/>
      <c r="CU669" s="52"/>
      <c r="CV669" s="52"/>
      <c r="CW669" s="52"/>
      <c r="CX669" s="52"/>
      <c r="CY669" s="52"/>
      <c r="CZ669" s="52"/>
      <c r="DA669" s="52"/>
      <c r="DB669" s="52"/>
      <c r="DC669" s="52"/>
      <c r="DD669" s="52"/>
      <c r="DE669" s="52"/>
      <c r="DF669" s="52"/>
      <c r="DG669" s="52"/>
      <c r="DH669" s="52"/>
      <c r="DI669" s="52"/>
      <c r="DJ669" s="52"/>
      <c r="DK669" s="52"/>
      <c r="DL669" s="52"/>
      <c r="DM669" s="52"/>
      <c r="DN669" s="52"/>
      <c r="DO669" s="52"/>
      <c r="DP669" s="52"/>
      <c r="DQ669" s="52"/>
      <c r="DR669" s="52"/>
      <c r="DS669" s="52"/>
      <c r="DT669" s="52"/>
      <c r="DU669" s="52"/>
      <c r="DV669" s="52"/>
      <c r="DW669" s="52"/>
      <c r="DX669" s="52"/>
      <c r="DY669" s="52"/>
      <c r="DZ669" s="52"/>
      <c r="EA669" s="52"/>
      <c r="EB669" s="52"/>
      <c r="EC669" s="52"/>
      <c r="ED669" s="52"/>
      <c r="EE669" s="52"/>
      <c r="EF669" s="52"/>
      <c r="EG669" s="52"/>
      <c r="EH669" s="52"/>
      <c r="EI669" s="52"/>
      <c r="EJ669" s="52"/>
      <c r="EK669" s="52"/>
      <c r="EL669" s="52"/>
      <c r="EM669" s="52"/>
      <c r="EN669" s="52"/>
      <c r="EO669" s="52"/>
      <c r="EP669" s="52"/>
      <c r="EQ669" s="52"/>
      <c r="ER669" s="52"/>
      <c r="ES669" s="52"/>
    </row>
    <row r="670" spans="1:149" ht="11.25">
      <c r="A670" s="5" t="s">
        <v>5</v>
      </c>
      <c r="B670" s="6"/>
      <c r="C670" s="6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24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  <c r="AC670" s="52"/>
      <c r="AD670" s="52"/>
      <c r="AE670" s="52"/>
      <c r="AF670" s="52"/>
      <c r="AG670" s="52"/>
      <c r="AH670" s="52"/>
      <c r="AI670" s="52"/>
      <c r="AJ670" s="52"/>
      <c r="AK670" s="52"/>
      <c r="AL670" s="52"/>
      <c r="AM670" s="52"/>
      <c r="AN670" s="52"/>
      <c r="AO670" s="52"/>
      <c r="AP670" s="52"/>
      <c r="AQ670" s="52"/>
      <c r="AR670" s="52"/>
      <c r="AS670" s="52"/>
      <c r="AT670" s="52"/>
      <c r="AU670" s="52"/>
      <c r="AV670" s="52"/>
      <c r="AW670" s="52"/>
      <c r="AX670" s="52"/>
      <c r="AY670" s="52"/>
      <c r="AZ670" s="52"/>
      <c r="BA670" s="52"/>
      <c r="BB670" s="52"/>
      <c r="BC670" s="52"/>
      <c r="BD670" s="52"/>
      <c r="BE670" s="52"/>
      <c r="BF670" s="52"/>
      <c r="BG670" s="52"/>
      <c r="BH670" s="52"/>
      <c r="BI670" s="52"/>
      <c r="BJ670" s="52"/>
      <c r="BK670" s="52"/>
      <c r="BL670" s="52"/>
      <c r="BM670" s="52"/>
      <c r="BN670" s="52"/>
      <c r="BO670" s="52"/>
      <c r="BP670" s="52"/>
      <c r="BQ670" s="52"/>
      <c r="BR670" s="52"/>
      <c r="BS670" s="52"/>
      <c r="BT670" s="52"/>
      <c r="BU670" s="52"/>
      <c r="BV670" s="52"/>
      <c r="BW670" s="52"/>
      <c r="BX670" s="52"/>
      <c r="BY670" s="52"/>
      <c r="BZ670" s="52"/>
      <c r="CA670" s="52"/>
      <c r="CB670" s="52"/>
      <c r="CC670" s="52"/>
      <c r="CD670" s="52"/>
      <c r="CE670" s="52"/>
      <c r="CF670" s="52"/>
      <c r="CG670" s="52"/>
      <c r="CH670" s="52"/>
      <c r="CI670" s="52"/>
      <c r="CJ670" s="52"/>
      <c r="CK670" s="52"/>
      <c r="CL670" s="52"/>
      <c r="CM670" s="52"/>
      <c r="CN670" s="52"/>
      <c r="CO670" s="52"/>
      <c r="CP670" s="52"/>
      <c r="CQ670" s="52"/>
      <c r="CR670" s="52"/>
      <c r="CS670" s="52"/>
      <c r="CT670" s="52"/>
      <c r="CU670" s="52"/>
      <c r="CV670" s="52"/>
      <c r="CW670" s="52"/>
      <c r="CX670" s="52"/>
      <c r="CY670" s="52"/>
      <c r="CZ670" s="52"/>
      <c r="DA670" s="52"/>
      <c r="DB670" s="52"/>
      <c r="DC670" s="52"/>
      <c r="DD670" s="52"/>
      <c r="DE670" s="52"/>
      <c r="DF670" s="52"/>
      <c r="DG670" s="52"/>
      <c r="DH670" s="52"/>
      <c r="DI670" s="52"/>
      <c r="DJ670" s="52"/>
      <c r="DK670" s="52"/>
      <c r="DL670" s="52"/>
      <c r="DM670" s="52"/>
      <c r="DN670" s="52"/>
      <c r="DO670" s="52"/>
      <c r="DP670" s="52"/>
      <c r="DQ670" s="52"/>
      <c r="DR670" s="52"/>
      <c r="DS670" s="52"/>
      <c r="DT670" s="52"/>
      <c r="DU670" s="52"/>
      <c r="DV670" s="52"/>
      <c r="DW670" s="52"/>
      <c r="DX670" s="52"/>
      <c r="DY670" s="52"/>
      <c r="DZ670" s="52"/>
      <c r="EA670" s="52"/>
      <c r="EB670" s="52"/>
      <c r="EC670" s="52"/>
      <c r="ED670" s="52"/>
      <c r="EE670" s="52"/>
      <c r="EF670" s="52"/>
      <c r="EG670" s="52"/>
      <c r="EH670" s="52"/>
      <c r="EI670" s="52"/>
      <c r="EJ670" s="52"/>
      <c r="EK670" s="52"/>
      <c r="EL670" s="52"/>
      <c r="EM670" s="52"/>
      <c r="EN670" s="52"/>
      <c r="EO670" s="52"/>
      <c r="EP670" s="52"/>
      <c r="EQ670" s="52"/>
      <c r="ER670" s="52"/>
      <c r="ES670" s="52"/>
    </row>
    <row r="671" spans="1:149" ht="27.75" customHeight="1">
      <c r="A671" s="8" t="s">
        <v>48</v>
      </c>
      <c r="B671" s="6"/>
      <c r="C671" s="6"/>
      <c r="D671" s="7">
        <v>16</v>
      </c>
      <c r="E671" s="7"/>
      <c r="F671" s="7">
        <f>D671</f>
        <v>16</v>
      </c>
      <c r="G671" s="7">
        <v>16</v>
      </c>
      <c r="H671" s="7"/>
      <c r="I671" s="7"/>
      <c r="J671" s="7">
        <f>G671</f>
        <v>16</v>
      </c>
      <c r="K671" s="7"/>
      <c r="L671" s="7"/>
      <c r="M671" s="7"/>
      <c r="N671" s="7">
        <v>16</v>
      </c>
      <c r="O671" s="7"/>
      <c r="P671" s="7">
        <f>N671</f>
        <v>16</v>
      </c>
      <c r="Q671" s="24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  <c r="AC671" s="52"/>
      <c r="AD671" s="52"/>
      <c r="AE671" s="52"/>
      <c r="AF671" s="52"/>
      <c r="AG671" s="52"/>
      <c r="AH671" s="52"/>
      <c r="AI671" s="52"/>
      <c r="AJ671" s="52"/>
      <c r="AK671" s="52"/>
      <c r="AL671" s="52"/>
      <c r="AM671" s="52"/>
      <c r="AN671" s="52"/>
      <c r="AO671" s="52"/>
      <c r="AP671" s="52"/>
      <c r="AQ671" s="52"/>
      <c r="AR671" s="52"/>
      <c r="AS671" s="52"/>
      <c r="AT671" s="52"/>
      <c r="AU671" s="52"/>
      <c r="AV671" s="52"/>
      <c r="AW671" s="52"/>
      <c r="AX671" s="52"/>
      <c r="AY671" s="52"/>
      <c r="AZ671" s="52"/>
      <c r="BA671" s="52"/>
      <c r="BB671" s="52"/>
      <c r="BC671" s="52"/>
      <c r="BD671" s="52"/>
      <c r="BE671" s="52"/>
      <c r="BF671" s="52"/>
      <c r="BG671" s="52"/>
      <c r="BH671" s="52"/>
      <c r="BI671" s="52"/>
      <c r="BJ671" s="52"/>
      <c r="BK671" s="52"/>
      <c r="BL671" s="52"/>
      <c r="BM671" s="52"/>
      <c r="BN671" s="52"/>
      <c r="BO671" s="52"/>
      <c r="BP671" s="52"/>
      <c r="BQ671" s="52"/>
      <c r="BR671" s="52"/>
      <c r="BS671" s="52"/>
      <c r="BT671" s="52"/>
      <c r="BU671" s="52"/>
      <c r="BV671" s="52"/>
      <c r="BW671" s="52"/>
      <c r="BX671" s="52"/>
      <c r="BY671" s="52"/>
      <c r="BZ671" s="52"/>
      <c r="CA671" s="52"/>
      <c r="CB671" s="52"/>
      <c r="CC671" s="52"/>
      <c r="CD671" s="52"/>
      <c r="CE671" s="52"/>
      <c r="CF671" s="52"/>
      <c r="CG671" s="52"/>
      <c r="CH671" s="52"/>
      <c r="CI671" s="52"/>
      <c r="CJ671" s="52"/>
      <c r="CK671" s="52"/>
      <c r="CL671" s="52"/>
      <c r="CM671" s="52"/>
      <c r="CN671" s="52"/>
      <c r="CO671" s="52"/>
      <c r="CP671" s="52"/>
      <c r="CQ671" s="52"/>
      <c r="CR671" s="52"/>
      <c r="CS671" s="52"/>
      <c r="CT671" s="52"/>
      <c r="CU671" s="52"/>
      <c r="CV671" s="52"/>
      <c r="CW671" s="52"/>
      <c r="CX671" s="52"/>
      <c r="CY671" s="52"/>
      <c r="CZ671" s="52"/>
      <c r="DA671" s="52"/>
      <c r="DB671" s="52"/>
      <c r="DC671" s="52"/>
      <c r="DD671" s="52"/>
      <c r="DE671" s="52"/>
      <c r="DF671" s="52"/>
      <c r="DG671" s="52"/>
      <c r="DH671" s="52"/>
      <c r="DI671" s="52"/>
      <c r="DJ671" s="52"/>
      <c r="DK671" s="52"/>
      <c r="DL671" s="52"/>
      <c r="DM671" s="52"/>
      <c r="DN671" s="52"/>
      <c r="DO671" s="52"/>
      <c r="DP671" s="52"/>
      <c r="DQ671" s="52"/>
      <c r="DR671" s="52"/>
      <c r="DS671" s="52"/>
      <c r="DT671" s="52"/>
      <c r="DU671" s="52"/>
      <c r="DV671" s="52"/>
      <c r="DW671" s="52"/>
      <c r="DX671" s="52"/>
      <c r="DY671" s="52"/>
      <c r="DZ671" s="52"/>
      <c r="EA671" s="52"/>
      <c r="EB671" s="52"/>
      <c r="EC671" s="52"/>
      <c r="ED671" s="52"/>
      <c r="EE671" s="52"/>
      <c r="EF671" s="52"/>
      <c r="EG671" s="52"/>
      <c r="EH671" s="52"/>
      <c r="EI671" s="52"/>
      <c r="EJ671" s="52"/>
      <c r="EK671" s="52"/>
      <c r="EL671" s="52"/>
      <c r="EM671" s="52"/>
      <c r="EN671" s="52"/>
      <c r="EO671" s="52"/>
      <c r="EP671" s="52"/>
      <c r="EQ671" s="52"/>
      <c r="ER671" s="52"/>
      <c r="ES671" s="52"/>
    </row>
    <row r="672" spans="1:149" ht="11.25">
      <c r="A672" s="5" t="s">
        <v>7</v>
      </c>
      <c r="B672" s="6"/>
      <c r="C672" s="6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24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  <c r="AC672" s="52"/>
      <c r="AD672" s="52"/>
      <c r="AE672" s="52"/>
      <c r="AF672" s="52"/>
      <c r="AG672" s="52"/>
      <c r="AH672" s="52"/>
      <c r="AI672" s="52"/>
      <c r="AJ672" s="52"/>
      <c r="AK672" s="52"/>
      <c r="AL672" s="52"/>
      <c r="AM672" s="52"/>
      <c r="AN672" s="52"/>
      <c r="AO672" s="52"/>
      <c r="AP672" s="52"/>
      <c r="AQ672" s="52"/>
      <c r="AR672" s="52"/>
      <c r="AS672" s="52"/>
      <c r="AT672" s="52"/>
      <c r="AU672" s="52"/>
      <c r="AV672" s="52"/>
      <c r="AW672" s="52"/>
      <c r="AX672" s="52"/>
      <c r="AY672" s="52"/>
      <c r="AZ672" s="52"/>
      <c r="BA672" s="52"/>
      <c r="BB672" s="52"/>
      <c r="BC672" s="52"/>
      <c r="BD672" s="52"/>
      <c r="BE672" s="52"/>
      <c r="BF672" s="52"/>
      <c r="BG672" s="52"/>
      <c r="BH672" s="52"/>
      <c r="BI672" s="52"/>
      <c r="BJ672" s="52"/>
      <c r="BK672" s="52"/>
      <c r="BL672" s="52"/>
      <c r="BM672" s="52"/>
      <c r="BN672" s="52"/>
      <c r="BO672" s="52"/>
      <c r="BP672" s="52"/>
      <c r="BQ672" s="52"/>
      <c r="BR672" s="52"/>
      <c r="BS672" s="52"/>
      <c r="BT672" s="52"/>
      <c r="BU672" s="52"/>
      <c r="BV672" s="52"/>
      <c r="BW672" s="52"/>
      <c r="BX672" s="52"/>
      <c r="BY672" s="52"/>
      <c r="BZ672" s="52"/>
      <c r="CA672" s="52"/>
      <c r="CB672" s="52"/>
      <c r="CC672" s="52"/>
      <c r="CD672" s="52"/>
      <c r="CE672" s="52"/>
      <c r="CF672" s="52"/>
      <c r="CG672" s="52"/>
      <c r="CH672" s="52"/>
      <c r="CI672" s="52"/>
      <c r="CJ672" s="52"/>
      <c r="CK672" s="52"/>
      <c r="CL672" s="52"/>
      <c r="CM672" s="52"/>
      <c r="CN672" s="52"/>
      <c r="CO672" s="52"/>
      <c r="CP672" s="52"/>
      <c r="CQ672" s="52"/>
      <c r="CR672" s="52"/>
      <c r="CS672" s="52"/>
      <c r="CT672" s="52"/>
      <c r="CU672" s="52"/>
      <c r="CV672" s="52"/>
      <c r="CW672" s="52"/>
      <c r="CX672" s="52"/>
      <c r="CY672" s="52"/>
      <c r="CZ672" s="52"/>
      <c r="DA672" s="52"/>
      <c r="DB672" s="52"/>
      <c r="DC672" s="52"/>
      <c r="DD672" s="52"/>
      <c r="DE672" s="52"/>
      <c r="DF672" s="52"/>
      <c r="DG672" s="52"/>
      <c r="DH672" s="52"/>
      <c r="DI672" s="52"/>
      <c r="DJ672" s="52"/>
      <c r="DK672" s="52"/>
      <c r="DL672" s="52"/>
      <c r="DM672" s="52"/>
      <c r="DN672" s="52"/>
      <c r="DO672" s="52"/>
      <c r="DP672" s="52"/>
      <c r="DQ672" s="52"/>
      <c r="DR672" s="52"/>
      <c r="DS672" s="52"/>
      <c r="DT672" s="52"/>
      <c r="DU672" s="52"/>
      <c r="DV672" s="52"/>
      <c r="DW672" s="52"/>
      <c r="DX672" s="52"/>
      <c r="DY672" s="52"/>
      <c r="DZ672" s="52"/>
      <c r="EA672" s="52"/>
      <c r="EB672" s="52"/>
      <c r="EC672" s="52"/>
      <c r="ED672" s="52"/>
      <c r="EE672" s="52"/>
      <c r="EF672" s="52"/>
      <c r="EG672" s="52"/>
      <c r="EH672" s="52"/>
      <c r="EI672" s="52"/>
      <c r="EJ672" s="52"/>
      <c r="EK672" s="52"/>
      <c r="EL672" s="52"/>
      <c r="EM672" s="52"/>
      <c r="EN672" s="52"/>
      <c r="EO672" s="52"/>
      <c r="EP672" s="52"/>
      <c r="EQ672" s="52"/>
      <c r="ER672" s="52"/>
      <c r="ES672" s="52"/>
    </row>
    <row r="673" spans="1:149" ht="33.75">
      <c r="A673" s="8" t="s">
        <v>50</v>
      </c>
      <c r="B673" s="6"/>
      <c r="C673" s="6"/>
      <c r="D673" s="7">
        <v>41000</v>
      </c>
      <c r="E673" s="7"/>
      <c r="F673" s="7">
        <v>41000</v>
      </c>
      <c r="G673" s="7">
        <v>51187.5</v>
      </c>
      <c r="H673" s="7"/>
      <c r="I673" s="7"/>
      <c r="J673" s="7">
        <f>G673</f>
        <v>51187.5</v>
      </c>
      <c r="K673" s="7"/>
      <c r="L673" s="7"/>
      <c r="M673" s="7"/>
      <c r="N673" s="7">
        <v>45312.5</v>
      </c>
      <c r="O673" s="7"/>
      <c r="P673" s="7">
        <f>N673</f>
        <v>45312.5</v>
      </c>
      <c r="Q673" s="24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  <c r="AC673" s="52"/>
      <c r="AD673" s="52"/>
      <c r="AE673" s="52"/>
      <c r="AF673" s="52"/>
      <c r="AG673" s="52"/>
      <c r="AH673" s="52"/>
      <c r="AI673" s="52"/>
      <c r="AJ673" s="52"/>
      <c r="AK673" s="52"/>
      <c r="AL673" s="52"/>
      <c r="AM673" s="52"/>
      <c r="AN673" s="52"/>
      <c r="AO673" s="52"/>
      <c r="AP673" s="52"/>
      <c r="AQ673" s="52"/>
      <c r="AR673" s="52"/>
      <c r="AS673" s="52"/>
      <c r="AT673" s="52"/>
      <c r="AU673" s="52"/>
      <c r="AV673" s="52"/>
      <c r="AW673" s="52"/>
      <c r="AX673" s="52"/>
      <c r="AY673" s="52"/>
      <c r="AZ673" s="52"/>
      <c r="BA673" s="52"/>
      <c r="BB673" s="52"/>
      <c r="BC673" s="52"/>
      <c r="BD673" s="52"/>
      <c r="BE673" s="52"/>
      <c r="BF673" s="52"/>
      <c r="BG673" s="52"/>
      <c r="BH673" s="52"/>
      <c r="BI673" s="52"/>
      <c r="BJ673" s="52"/>
      <c r="BK673" s="52"/>
      <c r="BL673" s="52"/>
      <c r="BM673" s="52"/>
      <c r="BN673" s="52"/>
      <c r="BO673" s="52"/>
      <c r="BP673" s="52"/>
      <c r="BQ673" s="52"/>
      <c r="BR673" s="52"/>
      <c r="BS673" s="52"/>
      <c r="BT673" s="52"/>
      <c r="BU673" s="52"/>
      <c r="BV673" s="52"/>
      <c r="BW673" s="52"/>
      <c r="BX673" s="52"/>
      <c r="BY673" s="52"/>
      <c r="BZ673" s="52"/>
      <c r="CA673" s="52"/>
      <c r="CB673" s="52"/>
      <c r="CC673" s="52"/>
      <c r="CD673" s="52"/>
      <c r="CE673" s="52"/>
      <c r="CF673" s="52"/>
      <c r="CG673" s="52"/>
      <c r="CH673" s="52"/>
      <c r="CI673" s="52"/>
      <c r="CJ673" s="52"/>
      <c r="CK673" s="52"/>
      <c r="CL673" s="52"/>
      <c r="CM673" s="52"/>
      <c r="CN673" s="52"/>
      <c r="CO673" s="52"/>
      <c r="CP673" s="52"/>
      <c r="CQ673" s="52"/>
      <c r="CR673" s="52"/>
      <c r="CS673" s="52"/>
      <c r="CT673" s="52"/>
      <c r="CU673" s="52"/>
      <c r="CV673" s="52"/>
      <c r="CW673" s="52"/>
      <c r="CX673" s="52"/>
      <c r="CY673" s="52"/>
      <c r="CZ673" s="52"/>
      <c r="DA673" s="52"/>
      <c r="DB673" s="52"/>
      <c r="DC673" s="52"/>
      <c r="DD673" s="52"/>
      <c r="DE673" s="52"/>
      <c r="DF673" s="52"/>
      <c r="DG673" s="52"/>
      <c r="DH673" s="52"/>
      <c r="DI673" s="52"/>
      <c r="DJ673" s="52"/>
      <c r="DK673" s="52"/>
      <c r="DL673" s="52"/>
      <c r="DM673" s="52"/>
      <c r="DN673" s="52"/>
      <c r="DO673" s="52"/>
      <c r="DP673" s="52"/>
      <c r="DQ673" s="52"/>
      <c r="DR673" s="52"/>
      <c r="DS673" s="52"/>
      <c r="DT673" s="52"/>
      <c r="DU673" s="52"/>
      <c r="DV673" s="52"/>
      <c r="DW673" s="52"/>
      <c r="DX673" s="52"/>
      <c r="DY673" s="52"/>
      <c r="DZ673" s="52"/>
      <c r="EA673" s="52"/>
      <c r="EB673" s="52"/>
      <c r="EC673" s="52"/>
      <c r="ED673" s="52"/>
      <c r="EE673" s="52"/>
      <c r="EF673" s="52"/>
      <c r="EG673" s="52"/>
      <c r="EH673" s="52"/>
      <c r="EI673" s="52"/>
      <c r="EJ673" s="52"/>
      <c r="EK673" s="52"/>
      <c r="EL673" s="52"/>
      <c r="EM673" s="52"/>
      <c r="EN673" s="52"/>
      <c r="EO673" s="52"/>
      <c r="EP673" s="52"/>
      <c r="EQ673" s="52"/>
      <c r="ER673" s="52"/>
      <c r="ES673" s="52"/>
    </row>
    <row r="674" spans="1:149" ht="11.25">
      <c r="A674" s="36" t="s">
        <v>355</v>
      </c>
      <c r="B674" s="6"/>
      <c r="C674" s="6"/>
      <c r="D674" s="35"/>
      <c r="E674" s="35">
        <f>E676+E689</f>
        <v>94580322</v>
      </c>
      <c r="F674" s="35">
        <f>D674+E674</f>
        <v>94580322</v>
      </c>
      <c r="G674" s="35">
        <f aca="true" t="shared" si="65" ref="G674:P674">G676+G689</f>
        <v>0</v>
      </c>
      <c r="H674" s="35">
        <f t="shared" si="65"/>
        <v>92000000</v>
      </c>
      <c r="I674" s="35">
        <f t="shared" si="65"/>
        <v>0</v>
      </c>
      <c r="J674" s="35">
        <f t="shared" si="65"/>
        <v>92000000</v>
      </c>
      <c r="K674" s="35">
        <f t="shared" si="65"/>
        <v>0</v>
      </c>
      <c r="L674" s="35">
        <f t="shared" si="65"/>
        <v>0</v>
      </c>
      <c r="M674" s="35">
        <f t="shared" si="65"/>
        <v>0</v>
      </c>
      <c r="N674" s="35">
        <f t="shared" si="65"/>
        <v>0</v>
      </c>
      <c r="O674" s="35">
        <f t="shared" si="65"/>
        <v>89837042.62</v>
      </c>
      <c r="P674" s="35">
        <f t="shared" si="65"/>
        <v>89837042.62</v>
      </c>
      <c r="Q674" s="24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  <c r="AC674" s="52"/>
      <c r="AD674" s="52"/>
      <c r="AE674" s="52"/>
      <c r="AF674" s="52"/>
      <c r="AG674" s="52"/>
      <c r="AH674" s="52"/>
      <c r="AI674" s="52"/>
      <c r="AJ674" s="52"/>
      <c r="AK674" s="52"/>
      <c r="AL674" s="52"/>
      <c r="AM674" s="52"/>
      <c r="AN674" s="52"/>
      <c r="AO674" s="52"/>
      <c r="AP674" s="52"/>
      <c r="AQ674" s="52"/>
      <c r="AR674" s="52"/>
      <c r="AS674" s="52"/>
      <c r="AT674" s="52"/>
      <c r="AU674" s="52"/>
      <c r="AV674" s="52"/>
      <c r="AW674" s="52"/>
      <c r="AX674" s="52"/>
      <c r="AY674" s="52"/>
      <c r="AZ674" s="52"/>
      <c r="BA674" s="52"/>
      <c r="BB674" s="52"/>
      <c r="BC674" s="52"/>
      <c r="BD674" s="52"/>
      <c r="BE674" s="52"/>
      <c r="BF674" s="52"/>
      <c r="BG674" s="52"/>
      <c r="BH674" s="52"/>
      <c r="BI674" s="52"/>
      <c r="BJ674" s="52"/>
      <c r="BK674" s="52"/>
      <c r="BL674" s="52"/>
      <c r="BM674" s="52"/>
      <c r="BN674" s="52"/>
      <c r="BO674" s="52"/>
      <c r="BP674" s="52"/>
      <c r="BQ674" s="52"/>
      <c r="BR674" s="52"/>
      <c r="BS674" s="52"/>
      <c r="BT674" s="52"/>
      <c r="BU674" s="52"/>
      <c r="BV674" s="52"/>
      <c r="BW674" s="52"/>
      <c r="BX674" s="52"/>
      <c r="BY674" s="52"/>
      <c r="BZ674" s="52"/>
      <c r="CA674" s="52"/>
      <c r="CB674" s="52"/>
      <c r="CC674" s="52"/>
      <c r="CD674" s="52"/>
      <c r="CE674" s="52"/>
      <c r="CF674" s="52"/>
      <c r="CG674" s="52"/>
      <c r="CH674" s="52"/>
      <c r="CI674" s="52"/>
      <c r="CJ674" s="52"/>
      <c r="CK674" s="52"/>
      <c r="CL674" s="52"/>
      <c r="CM674" s="52"/>
      <c r="CN674" s="52"/>
      <c r="CO674" s="52"/>
      <c r="CP674" s="52"/>
      <c r="CQ674" s="52"/>
      <c r="CR674" s="52"/>
      <c r="CS674" s="52"/>
      <c r="CT674" s="52"/>
      <c r="CU674" s="52"/>
      <c r="CV674" s="52"/>
      <c r="CW674" s="52"/>
      <c r="CX674" s="52"/>
      <c r="CY674" s="52"/>
      <c r="CZ674" s="52"/>
      <c r="DA674" s="52"/>
      <c r="DB674" s="52"/>
      <c r="DC674" s="52"/>
      <c r="DD674" s="52"/>
      <c r="DE674" s="52"/>
      <c r="DF674" s="52"/>
      <c r="DG674" s="52"/>
      <c r="DH674" s="52"/>
      <c r="DI674" s="52"/>
      <c r="DJ674" s="52"/>
      <c r="DK674" s="52"/>
      <c r="DL674" s="52"/>
      <c r="DM674" s="52"/>
      <c r="DN674" s="52"/>
      <c r="DO674" s="52"/>
      <c r="DP674" s="52"/>
      <c r="DQ674" s="52"/>
      <c r="DR674" s="52"/>
      <c r="DS674" s="52"/>
      <c r="DT674" s="52"/>
      <c r="DU674" s="52"/>
      <c r="DV674" s="52"/>
      <c r="DW674" s="52"/>
      <c r="DX674" s="52"/>
      <c r="DY674" s="52"/>
      <c r="DZ674" s="52"/>
      <c r="EA674" s="52"/>
      <c r="EB674" s="52"/>
      <c r="EC674" s="52"/>
      <c r="ED674" s="52"/>
      <c r="EE674" s="52"/>
      <c r="EF674" s="52"/>
      <c r="EG674" s="52"/>
      <c r="EH674" s="52"/>
      <c r="EI674" s="52"/>
      <c r="EJ674" s="52"/>
      <c r="EK674" s="52"/>
      <c r="EL674" s="52"/>
      <c r="EM674" s="52"/>
      <c r="EN674" s="52"/>
      <c r="EO674" s="52"/>
      <c r="EP674" s="52"/>
      <c r="EQ674" s="52"/>
      <c r="ER674" s="52"/>
      <c r="ES674" s="52"/>
    </row>
    <row r="675" spans="1:149" ht="22.5">
      <c r="A675" s="8" t="s">
        <v>200</v>
      </c>
      <c r="B675" s="6"/>
      <c r="C675" s="6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24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  <c r="AC675" s="52"/>
      <c r="AD675" s="52"/>
      <c r="AE675" s="52"/>
      <c r="AF675" s="52"/>
      <c r="AG675" s="52"/>
      <c r="AH675" s="52"/>
      <c r="AI675" s="52"/>
      <c r="AJ675" s="52"/>
      <c r="AK675" s="52"/>
      <c r="AL675" s="52"/>
      <c r="AM675" s="52"/>
      <c r="AN675" s="52"/>
      <c r="AO675" s="52"/>
      <c r="AP675" s="52"/>
      <c r="AQ675" s="52"/>
      <c r="AR675" s="52"/>
      <c r="AS675" s="52"/>
      <c r="AT675" s="52"/>
      <c r="AU675" s="52"/>
      <c r="AV675" s="52"/>
      <c r="AW675" s="52"/>
      <c r="AX675" s="52"/>
      <c r="AY675" s="52"/>
      <c r="AZ675" s="52"/>
      <c r="BA675" s="52"/>
      <c r="BB675" s="52"/>
      <c r="BC675" s="52"/>
      <c r="BD675" s="52"/>
      <c r="BE675" s="52"/>
      <c r="BF675" s="52"/>
      <c r="BG675" s="52"/>
      <c r="BH675" s="52"/>
      <c r="BI675" s="52"/>
      <c r="BJ675" s="52"/>
      <c r="BK675" s="52"/>
      <c r="BL675" s="52"/>
      <c r="BM675" s="52"/>
      <c r="BN675" s="52"/>
      <c r="BO675" s="52"/>
      <c r="BP675" s="52"/>
      <c r="BQ675" s="52"/>
      <c r="BR675" s="52"/>
      <c r="BS675" s="52"/>
      <c r="BT675" s="52"/>
      <c r="BU675" s="52"/>
      <c r="BV675" s="52"/>
      <c r="BW675" s="52"/>
      <c r="BX675" s="52"/>
      <c r="BY675" s="52"/>
      <c r="BZ675" s="52"/>
      <c r="CA675" s="52"/>
      <c r="CB675" s="52"/>
      <c r="CC675" s="52"/>
      <c r="CD675" s="52"/>
      <c r="CE675" s="52"/>
      <c r="CF675" s="52"/>
      <c r="CG675" s="52"/>
      <c r="CH675" s="52"/>
      <c r="CI675" s="52"/>
      <c r="CJ675" s="52"/>
      <c r="CK675" s="52"/>
      <c r="CL675" s="52"/>
      <c r="CM675" s="52"/>
      <c r="CN675" s="52"/>
      <c r="CO675" s="52"/>
      <c r="CP675" s="52"/>
      <c r="CQ675" s="52"/>
      <c r="CR675" s="52"/>
      <c r="CS675" s="52"/>
      <c r="CT675" s="52"/>
      <c r="CU675" s="52"/>
      <c r="CV675" s="52"/>
      <c r="CW675" s="52"/>
      <c r="CX675" s="52"/>
      <c r="CY675" s="52"/>
      <c r="CZ675" s="52"/>
      <c r="DA675" s="52"/>
      <c r="DB675" s="52"/>
      <c r="DC675" s="52"/>
      <c r="DD675" s="52"/>
      <c r="DE675" s="52"/>
      <c r="DF675" s="52"/>
      <c r="DG675" s="52"/>
      <c r="DH675" s="52"/>
      <c r="DI675" s="52"/>
      <c r="DJ675" s="52"/>
      <c r="DK675" s="52"/>
      <c r="DL675" s="52"/>
      <c r="DM675" s="52"/>
      <c r="DN675" s="52"/>
      <c r="DO675" s="52"/>
      <c r="DP675" s="52"/>
      <c r="DQ675" s="52"/>
      <c r="DR675" s="52"/>
      <c r="DS675" s="52"/>
      <c r="DT675" s="52"/>
      <c r="DU675" s="52"/>
      <c r="DV675" s="52"/>
      <c r="DW675" s="52"/>
      <c r="DX675" s="52"/>
      <c r="DY675" s="52"/>
      <c r="DZ675" s="52"/>
      <c r="EA675" s="52"/>
      <c r="EB675" s="52"/>
      <c r="EC675" s="52"/>
      <c r="ED675" s="52"/>
      <c r="EE675" s="52"/>
      <c r="EF675" s="52"/>
      <c r="EG675" s="52"/>
      <c r="EH675" s="52"/>
      <c r="EI675" s="52"/>
      <c r="EJ675" s="52"/>
      <c r="EK675" s="52"/>
      <c r="EL675" s="52"/>
      <c r="EM675" s="52"/>
      <c r="EN675" s="52"/>
      <c r="EO675" s="52"/>
      <c r="EP675" s="52"/>
      <c r="EQ675" s="52"/>
      <c r="ER675" s="52"/>
      <c r="ES675" s="52"/>
    </row>
    <row r="676" spans="1:17" s="38" customFormat="1" ht="22.5">
      <c r="A676" s="33" t="s">
        <v>471</v>
      </c>
      <c r="B676" s="34"/>
      <c r="C676" s="34"/>
      <c r="D676" s="85"/>
      <c r="E676" s="85">
        <f>E678+E684+E685+E686</f>
        <v>94580322</v>
      </c>
      <c r="F676" s="85">
        <f>D676+E676</f>
        <v>94580322</v>
      </c>
      <c r="G676" s="35">
        <f>G678</f>
        <v>0</v>
      </c>
      <c r="H676" s="35">
        <f>SUM(H678)</f>
        <v>92000000</v>
      </c>
      <c r="I676" s="35"/>
      <c r="J676" s="35">
        <f>G676+H676+I676</f>
        <v>92000000</v>
      </c>
      <c r="K676" s="35"/>
      <c r="L676" s="35"/>
      <c r="M676" s="35"/>
      <c r="N676" s="35"/>
      <c r="O676" s="35">
        <f>O678</f>
        <v>89837042.62</v>
      </c>
      <c r="P676" s="35">
        <f>N676+O676</f>
        <v>89837042.62</v>
      </c>
      <c r="Q676" s="77"/>
    </row>
    <row r="677" spans="1:17" s="38" customFormat="1" ht="11.25">
      <c r="A677" s="33" t="s">
        <v>4</v>
      </c>
      <c r="B677" s="34"/>
      <c r="C677" s="34"/>
      <c r="D677" s="85"/>
      <c r="E677" s="85"/>
      <c r="F677" s="85"/>
      <c r="G677" s="35"/>
      <c r="H677" s="35"/>
      <c r="I677" s="35"/>
      <c r="J677" s="35"/>
      <c r="K677" s="35"/>
      <c r="L677" s="35"/>
      <c r="M677" s="35"/>
      <c r="N677" s="35"/>
      <c r="O677" s="35"/>
      <c r="P677" s="35"/>
      <c r="Q677" s="77"/>
    </row>
    <row r="678" spans="1:17" s="38" customFormat="1" ht="11.25">
      <c r="A678" s="39" t="s">
        <v>43</v>
      </c>
      <c r="B678" s="40"/>
      <c r="C678" s="40"/>
      <c r="D678" s="79"/>
      <c r="E678" s="79">
        <f>E680*E682+1224322-0.03+30000+1000000+37400</f>
        <v>90291722</v>
      </c>
      <c r="F678" s="79">
        <f>F680*F682+1224322-0.03+30000+1000000</f>
        <v>90254322</v>
      </c>
      <c r="G678" s="86"/>
      <c r="H678" s="86">
        <v>92000000</v>
      </c>
      <c r="I678" s="86"/>
      <c r="J678" s="86">
        <f>H678</f>
        <v>92000000</v>
      </c>
      <c r="K678" s="86"/>
      <c r="L678" s="86"/>
      <c r="M678" s="86"/>
      <c r="N678" s="86"/>
      <c r="O678" s="86">
        <f>95000000-2153100-9857.38-3000000</f>
        <v>89837042.62</v>
      </c>
      <c r="P678" s="86">
        <f>O678</f>
        <v>89837042.62</v>
      </c>
      <c r="Q678" s="77"/>
    </row>
    <row r="679" spans="1:17" s="38" customFormat="1" ht="11.25">
      <c r="A679" s="33" t="s">
        <v>5</v>
      </c>
      <c r="B679" s="34"/>
      <c r="C679" s="34"/>
      <c r="D679" s="85"/>
      <c r="E679" s="85"/>
      <c r="F679" s="85"/>
      <c r="G679" s="35"/>
      <c r="H679" s="35"/>
      <c r="I679" s="35"/>
      <c r="J679" s="35"/>
      <c r="K679" s="35"/>
      <c r="L679" s="35"/>
      <c r="M679" s="35"/>
      <c r="N679" s="35"/>
      <c r="O679" s="35"/>
      <c r="P679" s="35"/>
      <c r="Q679" s="77"/>
    </row>
    <row r="680" spans="1:17" s="38" customFormat="1" ht="11.25">
      <c r="A680" s="39" t="s">
        <v>186</v>
      </c>
      <c r="B680" s="40"/>
      <c r="C680" s="40"/>
      <c r="D680" s="79"/>
      <c r="E680" s="79">
        <v>17</v>
      </c>
      <c r="F680" s="79">
        <v>17</v>
      </c>
      <c r="G680" s="86"/>
      <c r="H680" s="86">
        <v>11</v>
      </c>
      <c r="I680" s="86"/>
      <c r="J680" s="86">
        <f>H680</f>
        <v>11</v>
      </c>
      <c r="K680" s="86">
        <f>H680</f>
        <v>11</v>
      </c>
      <c r="L680" s="86">
        <f>J680</f>
        <v>11</v>
      </c>
      <c r="M680" s="86">
        <f>K680</f>
        <v>11</v>
      </c>
      <c r="N680" s="86"/>
      <c r="O680" s="86">
        <v>16</v>
      </c>
      <c r="P680" s="86">
        <f>O680</f>
        <v>16</v>
      </c>
      <c r="Q680" s="77"/>
    </row>
    <row r="681" spans="1:17" s="38" customFormat="1" ht="11.25">
      <c r="A681" s="39" t="s">
        <v>7</v>
      </c>
      <c r="B681" s="40"/>
      <c r="C681" s="40"/>
      <c r="D681" s="79"/>
      <c r="E681" s="79"/>
      <c r="F681" s="79"/>
      <c r="G681" s="86"/>
      <c r="H681" s="86"/>
      <c r="I681" s="86"/>
      <c r="J681" s="86"/>
      <c r="K681" s="86"/>
      <c r="L681" s="86"/>
      <c r="M681" s="86"/>
      <c r="N681" s="86"/>
      <c r="O681" s="86"/>
      <c r="P681" s="86"/>
      <c r="Q681" s="77"/>
    </row>
    <row r="682" spans="1:17" s="38" customFormat="1" ht="22.5">
      <c r="A682" s="39" t="s">
        <v>257</v>
      </c>
      <c r="B682" s="40"/>
      <c r="C682" s="40"/>
      <c r="D682" s="79"/>
      <c r="E682" s="86">
        <v>5176470.59</v>
      </c>
      <c r="F682" s="86">
        <v>5176470.59</v>
      </c>
      <c r="G682" s="86"/>
      <c r="H682" s="86">
        <f>SUM(H678)/H680</f>
        <v>8363636.363636363</v>
      </c>
      <c r="I682" s="86"/>
      <c r="J682" s="86">
        <f>SUM(J678)/J680</f>
        <v>8363636.363636363</v>
      </c>
      <c r="K682" s="86"/>
      <c r="L682" s="86"/>
      <c r="M682" s="86"/>
      <c r="N682" s="86"/>
      <c r="O682" s="86">
        <f>SUM(O678)/O680</f>
        <v>5614815.16375</v>
      </c>
      <c r="P682" s="86">
        <f>SUM(P678)/P680</f>
        <v>5614815.16375</v>
      </c>
      <c r="Q682" s="77"/>
    </row>
    <row r="683" spans="1:17" s="51" customFormat="1" ht="11.25">
      <c r="A683" s="33" t="s">
        <v>5</v>
      </c>
      <c r="B683" s="34"/>
      <c r="C683" s="34"/>
      <c r="D683" s="85"/>
      <c r="E683" s="85"/>
      <c r="F683" s="85"/>
      <c r="G683" s="35"/>
      <c r="H683" s="35"/>
      <c r="I683" s="35"/>
      <c r="J683" s="35"/>
      <c r="K683" s="35"/>
      <c r="L683" s="35"/>
      <c r="M683" s="35"/>
      <c r="N683" s="35"/>
      <c r="O683" s="35"/>
      <c r="P683" s="35"/>
      <c r="Q683" s="74"/>
    </row>
    <row r="684" spans="1:149" ht="33.75">
      <c r="A684" s="87" t="s">
        <v>276</v>
      </c>
      <c r="B684" s="28"/>
      <c r="C684" s="28"/>
      <c r="D684" s="88"/>
      <c r="E684" s="47">
        <v>621600</v>
      </c>
      <c r="F684" s="47">
        <v>621600</v>
      </c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4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  <c r="AC684" s="52"/>
      <c r="AD684" s="52"/>
      <c r="AE684" s="52"/>
      <c r="AF684" s="52"/>
      <c r="AG684" s="52"/>
      <c r="AH684" s="52"/>
      <c r="AI684" s="52"/>
      <c r="AJ684" s="52"/>
      <c r="AK684" s="52"/>
      <c r="AL684" s="52"/>
      <c r="AM684" s="52"/>
      <c r="AN684" s="52"/>
      <c r="AO684" s="52"/>
      <c r="AP684" s="52"/>
      <c r="AQ684" s="52"/>
      <c r="AR684" s="52"/>
      <c r="AS684" s="52"/>
      <c r="AT684" s="52"/>
      <c r="AU684" s="52"/>
      <c r="AV684" s="52"/>
      <c r="AW684" s="52"/>
      <c r="AX684" s="52"/>
      <c r="AY684" s="52"/>
      <c r="AZ684" s="52"/>
      <c r="BA684" s="52"/>
      <c r="BB684" s="52"/>
      <c r="BC684" s="52"/>
      <c r="BD684" s="52"/>
      <c r="BE684" s="52"/>
      <c r="BF684" s="52"/>
      <c r="BG684" s="52"/>
      <c r="BH684" s="52"/>
      <c r="BI684" s="52"/>
      <c r="BJ684" s="52"/>
      <c r="BK684" s="52"/>
      <c r="BL684" s="52"/>
      <c r="BM684" s="52"/>
      <c r="BN684" s="52"/>
      <c r="BO684" s="52"/>
      <c r="BP684" s="52"/>
      <c r="BQ684" s="52"/>
      <c r="BR684" s="52"/>
      <c r="BS684" s="52"/>
      <c r="BT684" s="52"/>
      <c r="BU684" s="52"/>
      <c r="BV684" s="52"/>
      <c r="BW684" s="52"/>
      <c r="BX684" s="52"/>
      <c r="BY684" s="52"/>
      <c r="BZ684" s="52"/>
      <c r="CA684" s="52"/>
      <c r="CB684" s="52"/>
      <c r="CC684" s="52"/>
      <c r="CD684" s="52"/>
      <c r="CE684" s="52"/>
      <c r="CF684" s="52"/>
      <c r="CG684" s="52"/>
      <c r="CH684" s="52"/>
      <c r="CI684" s="52"/>
      <c r="CJ684" s="52"/>
      <c r="CK684" s="52"/>
      <c r="CL684" s="52"/>
      <c r="CM684" s="52"/>
      <c r="CN684" s="52"/>
      <c r="CO684" s="52"/>
      <c r="CP684" s="52"/>
      <c r="CQ684" s="52"/>
      <c r="CR684" s="52"/>
      <c r="CS684" s="52"/>
      <c r="CT684" s="52"/>
      <c r="CU684" s="52"/>
      <c r="CV684" s="52"/>
      <c r="CW684" s="52"/>
      <c r="CX684" s="52"/>
      <c r="CY684" s="52"/>
      <c r="CZ684" s="52"/>
      <c r="DA684" s="52"/>
      <c r="DB684" s="52"/>
      <c r="DC684" s="52"/>
      <c r="DD684" s="52"/>
      <c r="DE684" s="52"/>
      <c r="DF684" s="52"/>
      <c r="DG684" s="52"/>
      <c r="DH684" s="52"/>
      <c r="DI684" s="52"/>
      <c r="DJ684" s="52"/>
      <c r="DK684" s="52"/>
      <c r="DL684" s="52"/>
      <c r="DM684" s="52"/>
      <c r="DN684" s="52"/>
      <c r="DO684" s="52"/>
      <c r="DP684" s="52"/>
      <c r="DQ684" s="52"/>
      <c r="DR684" s="52"/>
      <c r="DS684" s="52"/>
      <c r="DT684" s="52"/>
      <c r="DU684" s="52"/>
      <c r="DV684" s="52"/>
      <c r="DW684" s="52"/>
      <c r="DX684" s="52"/>
      <c r="DY684" s="52"/>
      <c r="DZ684" s="52"/>
      <c r="EA684" s="52"/>
      <c r="EB684" s="52"/>
      <c r="EC684" s="52"/>
      <c r="ED684" s="52"/>
      <c r="EE684" s="52"/>
      <c r="EF684" s="52"/>
      <c r="EG684" s="52"/>
      <c r="EH684" s="52"/>
      <c r="EI684" s="52"/>
      <c r="EJ684" s="52"/>
      <c r="EK684" s="52"/>
      <c r="EL684" s="52"/>
      <c r="EM684" s="52"/>
      <c r="EN684" s="52"/>
      <c r="EO684" s="52"/>
      <c r="EP684" s="52"/>
      <c r="EQ684" s="52"/>
      <c r="ER684" s="52"/>
      <c r="ES684" s="52"/>
    </row>
    <row r="685" spans="1:149" ht="11.25">
      <c r="A685" s="87" t="s">
        <v>356</v>
      </c>
      <c r="B685" s="28"/>
      <c r="C685" s="28"/>
      <c r="D685" s="88"/>
      <c r="E685" s="47">
        <v>1247000</v>
      </c>
      <c r="F685" s="47">
        <f>E685</f>
        <v>1247000</v>
      </c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4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  <c r="AC685" s="52"/>
      <c r="AD685" s="52"/>
      <c r="AE685" s="52"/>
      <c r="AF685" s="52"/>
      <c r="AG685" s="52"/>
      <c r="AH685" s="52"/>
      <c r="AI685" s="52"/>
      <c r="AJ685" s="52"/>
      <c r="AK685" s="52"/>
      <c r="AL685" s="52"/>
      <c r="AM685" s="52"/>
      <c r="AN685" s="52"/>
      <c r="AO685" s="52"/>
      <c r="AP685" s="52"/>
      <c r="AQ685" s="52"/>
      <c r="AR685" s="52"/>
      <c r="AS685" s="52"/>
      <c r="AT685" s="52"/>
      <c r="AU685" s="52"/>
      <c r="AV685" s="52"/>
      <c r="AW685" s="52"/>
      <c r="AX685" s="52"/>
      <c r="AY685" s="52"/>
      <c r="AZ685" s="52"/>
      <c r="BA685" s="52"/>
      <c r="BB685" s="52"/>
      <c r="BC685" s="52"/>
      <c r="BD685" s="52"/>
      <c r="BE685" s="52"/>
      <c r="BF685" s="52"/>
      <c r="BG685" s="52"/>
      <c r="BH685" s="52"/>
      <c r="BI685" s="52"/>
      <c r="BJ685" s="52"/>
      <c r="BK685" s="52"/>
      <c r="BL685" s="52"/>
      <c r="BM685" s="52"/>
      <c r="BN685" s="52"/>
      <c r="BO685" s="52"/>
      <c r="BP685" s="52"/>
      <c r="BQ685" s="52"/>
      <c r="BR685" s="52"/>
      <c r="BS685" s="52"/>
      <c r="BT685" s="52"/>
      <c r="BU685" s="52"/>
      <c r="BV685" s="52"/>
      <c r="BW685" s="52"/>
      <c r="BX685" s="52"/>
      <c r="BY685" s="52"/>
      <c r="BZ685" s="52"/>
      <c r="CA685" s="52"/>
      <c r="CB685" s="52"/>
      <c r="CC685" s="52"/>
      <c r="CD685" s="52"/>
      <c r="CE685" s="52"/>
      <c r="CF685" s="52"/>
      <c r="CG685" s="52"/>
      <c r="CH685" s="52"/>
      <c r="CI685" s="52"/>
      <c r="CJ685" s="52"/>
      <c r="CK685" s="52"/>
      <c r="CL685" s="52"/>
      <c r="CM685" s="52"/>
      <c r="CN685" s="52"/>
      <c r="CO685" s="52"/>
      <c r="CP685" s="52"/>
      <c r="CQ685" s="52"/>
      <c r="CR685" s="52"/>
      <c r="CS685" s="52"/>
      <c r="CT685" s="52"/>
      <c r="CU685" s="52"/>
      <c r="CV685" s="52"/>
      <c r="CW685" s="52"/>
      <c r="CX685" s="52"/>
      <c r="CY685" s="52"/>
      <c r="CZ685" s="52"/>
      <c r="DA685" s="52"/>
      <c r="DB685" s="52"/>
      <c r="DC685" s="52"/>
      <c r="DD685" s="52"/>
      <c r="DE685" s="52"/>
      <c r="DF685" s="52"/>
      <c r="DG685" s="52"/>
      <c r="DH685" s="52"/>
      <c r="DI685" s="52"/>
      <c r="DJ685" s="52"/>
      <c r="DK685" s="52"/>
      <c r="DL685" s="52"/>
      <c r="DM685" s="52"/>
      <c r="DN685" s="52"/>
      <c r="DO685" s="52"/>
      <c r="DP685" s="52"/>
      <c r="DQ685" s="52"/>
      <c r="DR685" s="52"/>
      <c r="DS685" s="52"/>
      <c r="DT685" s="52"/>
      <c r="DU685" s="52"/>
      <c r="DV685" s="52"/>
      <c r="DW685" s="52"/>
      <c r="DX685" s="52"/>
      <c r="DY685" s="52"/>
      <c r="DZ685" s="52"/>
      <c r="EA685" s="52"/>
      <c r="EB685" s="52"/>
      <c r="EC685" s="52"/>
      <c r="ED685" s="52"/>
      <c r="EE685" s="52"/>
      <c r="EF685" s="52"/>
      <c r="EG685" s="52"/>
      <c r="EH685" s="52"/>
      <c r="EI685" s="52"/>
      <c r="EJ685" s="52"/>
      <c r="EK685" s="52"/>
      <c r="EL685" s="52"/>
      <c r="EM685" s="52"/>
      <c r="EN685" s="52"/>
      <c r="EO685" s="52"/>
      <c r="EP685" s="52"/>
      <c r="EQ685" s="52"/>
      <c r="ER685" s="52"/>
      <c r="ES685" s="52"/>
    </row>
    <row r="686" spans="1:149" ht="33.75">
      <c r="A686" s="87" t="s">
        <v>364</v>
      </c>
      <c r="B686" s="28"/>
      <c r="C686" s="28"/>
      <c r="D686" s="88"/>
      <c r="E686" s="47">
        <v>2420000</v>
      </c>
      <c r="F686" s="47">
        <f>E686</f>
        <v>2420000</v>
      </c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4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  <c r="AC686" s="52"/>
      <c r="AD686" s="52"/>
      <c r="AE686" s="52"/>
      <c r="AF686" s="52"/>
      <c r="AG686" s="52"/>
      <c r="AH686" s="52"/>
      <c r="AI686" s="52"/>
      <c r="AJ686" s="52"/>
      <c r="AK686" s="52"/>
      <c r="AL686" s="52"/>
      <c r="AM686" s="52"/>
      <c r="AN686" s="52"/>
      <c r="AO686" s="52"/>
      <c r="AP686" s="52"/>
      <c r="AQ686" s="52"/>
      <c r="AR686" s="52"/>
      <c r="AS686" s="52"/>
      <c r="AT686" s="52"/>
      <c r="AU686" s="52"/>
      <c r="AV686" s="52"/>
      <c r="AW686" s="52"/>
      <c r="AX686" s="52"/>
      <c r="AY686" s="52"/>
      <c r="AZ686" s="52"/>
      <c r="BA686" s="52"/>
      <c r="BB686" s="52"/>
      <c r="BC686" s="52"/>
      <c r="BD686" s="52"/>
      <c r="BE686" s="52"/>
      <c r="BF686" s="52"/>
      <c r="BG686" s="52"/>
      <c r="BH686" s="52"/>
      <c r="BI686" s="52"/>
      <c r="BJ686" s="52"/>
      <c r="BK686" s="52"/>
      <c r="BL686" s="52"/>
      <c r="BM686" s="52"/>
      <c r="BN686" s="52"/>
      <c r="BO686" s="52"/>
      <c r="BP686" s="52"/>
      <c r="BQ686" s="52"/>
      <c r="BR686" s="52"/>
      <c r="BS686" s="52"/>
      <c r="BT686" s="52"/>
      <c r="BU686" s="52"/>
      <c r="BV686" s="52"/>
      <c r="BW686" s="52"/>
      <c r="BX686" s="52"/>
      <c r="BY686" s="52"/>
      <c r="BZ686" s="52"/>
      <c r="CA686" s="52"/>
      <c r="CB686" s="52"/>
      <c r="CC686" s="52"/>
      <c r="CD686" s="52"/>
      <c r="CE686" s="52"/>
      <c r="CF686" s="52"/>
      <c r="CG686" s="52"/>
      <c r="CH686" s="52"/>
      <c r="CI686" s="52"/>
      <c r="CJ686" s="52"/>
      <c r="CK686" s="52"/>
      <c r="CL686" s="52"/>
      <c r="CM686" s="52"/>
      <c r="CN686" s="52"/>
      <c r="CO686" s="52"/>
      <c r="CP686" s="52"/>
      <c r="CQ686" s="52"/>
      <c r="CR686" s="52"/>
      <c r="CS686" s="52"/>
      <c r="CT686" s="52"/>
      <c r="CU686" s="52"/>
      <c r="CV686" s="52"/>
      <c r="CW686" s="52"/>
      <c r="CX686" s="52"/>
      <c r="CY686" s="52"/>
      <c r="CZ686" s="52"/>
      <c r="DA686" s="52"/>
      <c r="DB686" s="52"/>
      <c r="DC686" s="52"/>
      <c r="DD686" s="52"/>
      <c r="DE686" s="52"/>
      <c r="DF686" s="52"/>
      <c r="DG686" s="52"/>
      <c r="DH686" s="52"/>
      <c r="DI686" s="52"/>
      <c r="DJ686" s="52"/>
      <c r="DK686" s="52"/>
      <c r="DL686" s="52"/>
      <c r="DM686" s="52"/>
      <c r="DN686" s="52"/>
      <c r="DO686" s="52"/>
      <c r="DP686" s="52"/>
      <c r="DQ686" s="52"/>
      <c r="DR686" s="52"/>
      <c r="DS686" s="52"/>
      <c r="DT686" s="52"/>
      <c r="DU686" s="52"/>
      <c r="DV686" s="52"/>
      <c r="DW686" s="52"/>
      <c r="DX686" s="52"/>
      <c r="DY686" s="52"/>
      <c r="DZ686" s="52"/>
      <c r="EA686" s="52"/>
      <c r="EB686" s="52"/>
      <c r="EC686" s="52"/>
      <c r="ED686" s="52"/>
      <c r="EE686" s="52"/>
      <c r="EF686" s="52"/>
      <c r="EG686" s="52"/>
      <c r="EH686" s="52"/>
      <c r="EI686" s="52"/>
      <c r="EJ686" s="52"/>
      <c r="EK686" s="52"/>
      <c r="EL686" s="52"/>
      <c r="EM686" s="52"/>
      <c r="EN686" s="52"/>
      <c r="EO686" s="52"/>
      <c r="EP686" s="52"/>
      <c r="EQ686" s="52"/>
      <c r="ER686" s="52"/>
      <c r="ES686" s="52"/>
    </row>
    <row r="687" spans="1:17" s="90" customFormat="1" ht="13.5" customHeight="1">
      <c r="A687" s="36" t="s">
        <v>329</v>
      </c>
      <c r="B687" s="36"/>
      <c r="C687" s="36"/>
      <c r="D687" s="80">
        <f>SUM(D689)</f>
        <v>0</v>
      </c>
      <c r="E687" s="80"/>
      <c r="F687" s="80">
        <f>SUM(F689)</f>
        <v>0</v>
      </c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89"/>
    </row>
    <row r="688" spans="1:17" s="22" customFormat="1" ht="20.25" customHeight="1">
      <c r="A688" s="8" t="s">
        <v>331</v>
      </c>
      <c r="B688" s="6"/>
      <c r="C688" s="6"/>
      <c r="D688" s="83"/>
      <c r="E688" s="83"/>
      <c r="F688" s="83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3"/>
    </row>
    <row r="689" spans="1:17" s="94" customFormat="1" ht="16.5" customHeight="1">
      <c r="A689" s="91" t="s">
        <v>472</v>
      </c>
      <c r="B689" s="92"/>
      <c r="C689" s="92"/>
      <c r="D689" s="93">
        <f>SUM(D691)</f>
        <v>0</v>
      </c>
      <c r="E689" s="93">
        <f>SUM(E691)</f>
        <v>0</v>
      </c>
      <c r="F689" s="93">
        <f>SUM(F691)</f>
        <v>0</v>
      </c>
      <c r="G689" s="93"/>
      <c r="H689" s="93"/>
      <c r="I689" s="93"/>
      <c r="J689" s="93"/>
      <c r="K689" s="93"/>
      <c r="L689" s="93"/>
      <c r="M689" s="93"/>
      <c r="N689" s="93"/>
      <c r="O689" s="93"/>
      <c r="P689" s="93"/>
      <c r="Q689" s="77"/>
    </row>
    <row r="690" spans="1:149" ht="11.25">
      <c r="A690" s="33" t="s">
        <v>4</v>
      </c>
      <c r="B690" s="6"/>
      <c r="C690" s="6"/>
      <c r="D690" s="83"/>
      <c r="E690" s="83"/>
      <c r="F690" s="83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24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  <c r="AC690" s="52"/>
      <c r="AD690" s="52"/>
      <c r="AE690" s="52"/>
      <c r="AF690" s="52"/>
      <c r="AG690" s="52"/>
      <c r="AH690" s="52"/>
      <c r="AI690" s="52"/>
      <c r="AJ690" s="52"/>
      <c r="AK690" s="52"/>
      <c r="AL690" s="52"/>
      <c r="AM690" s="52"/>
      <c r="AN690" s="52"/>
      <c r="AO690" s="52"/>
      <c r="AP690" s="52"/>
      <c r="AQ690" s="52"/>
      <c r="AR690" s="52"/>
      <c r="AS690" s="52"/>
      <c r="AT690" s="52"/>
      <c r="AU690" s="52"/>
      <c r="AV690" s="52"/>
      <c r="AW690" s="52"/>
      <c r="AX690" s="52"/>
      <c r="AY690" s="52"/>
      <c r="AZ690" s="52"/>
      <c r="BA690" s="52"/>
      <c r="BB690" s="52"/>
      <c r="BC690" s="52"/>
      <c r="BD690" s="52"/>
      <c r="BE690" s="52"/>
      <c r="BF690" s="52"/>
      <c r="BG690" s="52"/>
      <c r="BH690" s="52"/>
      <c r="BI690" s="52"/>
      <c r="BJ690" s="52"/>
      <c r="BK690" s="52"/>
      <c r="BL690" s="52"/>
      <c r="BM690" s="52"/>
      <c r="BN690" s="52"/>
      <c r="BO690" s="52"/>
      <c r="BP690" s="52"/>
      <c r="BQ690" s="52"/>
      <c r="BR690" s="52"/>
      <c r="BS690" s="52"/>
      <c r="BT690" s="52"/>
      <c r="BU690" s="52"/>
      <c r="BV690" s="52"/>
      <c r="BW690" s="52"/>
      <c r="BX690" s="52"/>
      <c r="BY690" s="52"/>
      <c r="BZ690" s="52"/>
      <c r="CA690" s="52"/>
      <c r="CB690" s="52"/>
      <c r="CC690" s="52"/>
      <c r="CD690" s="52"/>
      <c r="CE690" s="52"/>
      <c r="CF690" s="52"/>
      <c r="CG690" s="52"/>
      <c r="CH690" s="52"/>
      <c r="CI690" s="52"/>
      <c r="CJ690" s="52"/>
      <c r="CK690" s="52"/>
      <c r="CL690" s="52"/>
      <c r="CM690" s="52"/>
      <c r="CN690" s="52"/>
      <c r="CO690" s="52"/>
      <c r="CP690" s="52"/>
      <c r="CQ690" s="52"/>
      <c r="CR690" s="52"/>
      <c r="CS690" s="52"/>
      <c r="CT690" s="52"/>
      <c r="CU690" s="52"/>
      <c r="CV690" s="52"/>
      <c r="CW690" s="52"/>
      <c r="CX690" s="52"/>
      <c r="CY690" s="52"/>
      <c r="CZ690" s="52"/>
      <c r="DA690" s="52"/>
      <c r="DB690" s="52"/>
      <c r="DC690" s="52"/>
      <c r="DD690" s="52"/>
      <c r="DE690" s="52"/>
      <c r="DF690" s="52"/>
      <c r="DG690" s="52"/>
      <c r="DH690" s="52"/>
      <c r="DI690" s="52"/>
      <c r="DJ690" s="52"/>
      <c r="DK690" s="52"/>
      <c r="DL690" s="52"/>
      <c r="DM690" s="52"/>
      <c r="DN690" s="52"/>
      <c r="DO690" s="52"/>
      <c r="DP690" s="52"/>
      <c r="DQ690" s="52"/>
      <c r="DR690" s="52"/>
      <c r="DS690" s="52"/>
      <c r="DT690" s="52"/>
      <c r="DU690" s="52"/>
      <c r="DV690" s="52"/>
      <c r="DW690" s="52"/>
      <c r="DX690" s="52"/>
      <c r="DY690" s="52"/>
      <c r="DZ690" s="52"/>
      <c r="EA690" s="52"/>
      <c r="EB690" s="52"/>
      <c r="EC690" s="52"/>
      <c r="ED690" s="52"/>
      <c r="EE690" s="52"/>
      <c r="EF690" s="52"/>
      <c r="EG690" s="52"/>
      <c r="EH690" s="52"/>
      <c r="EI690" s="52"/>
      <c r="EJ690" s="52"/>
      <c r="EK690" s="52"/>
      <c r="EL690" s="52"/>
      <c r="EM690" s="52"/>
      <c r="EN690" s="52"/>
      <c r="EO690" s="52"/>
      <c r="EP690" s="52"/>
      <c r="EQ690" s="52"/>
      <c r="ER690" s="52"/>
      <c r="ES690" s="52"/>
    </row>
    <row r="691" spans="1:149" ht="15" customHeight="1">
      <c r="A691" s="39" t="s">
        <v>43</v>
      </c>
      <c r="B691" s="6"/>
      <c r="C691" s="6"/>
      <c r="D691" s="83">
        <v>0</v>
      </c>
      <c r="E691" s="83"/>
      <c r="F691" s="83">
        <f>SUM(D691:E691)</f>
        <v>0</v>
      </c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24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  <c r="AC691" s="52"/>
      <c r="AD691" s="52"/>
      <c r="AE691" s="52"/>
      <c r="AF691" s="52"/>
      <c r="AG691" s="52"/>
      <c r="AH691" s="52"/>
      <c r="AI691" s="52"/>
      <c r="AJ691" s="52"/>
      <c r="AK691" s="52"/>
      <c r="AL691" s="52"/>
      <c r="AM691" s="52"/>
      <c r="AN691" s="52"/>
      <c r="AO691" s="52"/>
      <c r="AP691" s="52"/>
      <c r="AQ691" s="52"/>
      <c r="AR691" s="52"/>
      <c r="AS691" s="52"/>
      <c r="AT691" s="52"/>
      <c r="AU691" s="52"/>
      <c r="AV691" s="52"/>
      <c r="AW691" s="52"/>
      <c r="AX691" s="52"/>
      <c r="AY691" s="52"/>
      <c r="AZ691" s="52"/>
      <c r="BA691" s="52"/>
      <c r="BB691" s="52"/>
      <c r="BC691" s="52"/>
      <c r="BD691" s="52"/>
      <c r="BE691" s="52"/>
      <c r="BF691" s="52"/>
      <c r="BG691" s="52"/>
      <c r="BH691" s="52"/>
      <c r="BI691" s="52"/>
      <c r="BJ691" s="52"/>
      <c r="BK691" s="52"/>
      <c r="BL691" s="52"/>
      <c r="BM691" s="52"/>
      <c r="BN691" s="52"/>
      <c r="BO691" s="52"/>
      <c r="BP691" s="52"/>
      <c r="BQ691" s="52"/>
      <c r="BR691" s="52"/>
      <c r="BS691" s="52"/>
      <c r="BT691" s="52"/>
      <c r="BU691" s="52"/>
      <c r="BV691" s="52"/>
      <c r="BW691" s="52"/>
      <c r="BX691" s="52"/>
      <c r="BY691" s="52"/>
      <c r="BZ691" s="52"/>
      <c r="CA691" s="52"/>
      <c r="CB691" s="52"/>
      <c r="CC691" s="52"/>
      <c r="CD691" s="52"/>
      <c r="CE691" s="52"/>
      <c r="CF691" s="52"/>
      <c r="CG691" s="52"/>
      <c r="CH691" s="52"/>
      <c r="CI691" s="52"/>
      <c r="CJ691" s="52"/>
      <c r="CK691" s="52"/>
      <c r="CL691" s="52"/>
      <c r="CM691" s="52"/>
      <c r="CN691" s="52"/>
      <c r="CO691" s="52"/>
      <c r="CP691" s="52"/>
      <c r="CQ691" s="52"/>
      <c r="CR691" s="52"/>
      <c r="CS691" s="52"/>
      <c r="CT691" s="52"/>
      <c r="CU691" s="52"/>
      <c r="CV691" s="52"/>
      <c r="CW691" s="52"/>
      <c r="CX691" s="52"/>
      <c r="CY691" s="52"/>
      <c r="CZ691" s="52"/>
      <c r="DA691" s="52"/>
      <c r="DB691" s="52"/>
      <c r="DC691" s="52"/>
      <c r="DD691" s="52"/>
      <c r="DE691" s="52"/>
      <c r="DF691" s="52"/>
      <c r="DG691" s="52"/>
      <c r="DH691" s="52"/>
      <c r="DI691" s="52"/>
      <c r="DJ691" s="52"/>
      <c r="DK691" s="52"/>
      <c r="DL691" s="52"/>
      <c r="DM691" s="52"/>
      <c r="DN691" s="52"/>
      <c r="DO691" s="52"/>
      <c r="DP691" s="52"/>
      <c r="DQ691" s="52"/>
      <c r="DR691" s="52"/>
      <c r="DS691" s="52"/>
      <c r="DT691" s="52"/>
      <c r="DU691" s="52"/>
      <c r="DV691" s="52"/>
      <c r="DW691" s="52"/>
      <c r="DX691" s="52"/>
      <c r="DY691" s="52"/>
      <c r="DZ691" s="52"/>
      <c r="EA691" s="52"/>
      <c r="EB691" s="52"/>
      <c r="EC691" s="52"/>
      <c r="ED691" s="52"/>
      <c r="EE691" s="52"/>
      <c r="EF691" s="52"/>
      <c r="EG691" s="52"/>
      <c r="EH691" s="52"/>
      <c r="EI691" s="52"/>
      <c r="EJ691" s="52"/>
      <c r="EK691" s="52"/>
      <c r="EL691" s="52"/>
      <c r="EM691" s="52"/>
      <c r="EN691" s="52"/>
      <c r="EO691" s="52"/>
      <c r="EP691" s="52"/>
      <c r="EQ691" s="52"/>
      <c r="ER691" s="52"/>
      <c r="ES691" s="52"/>
    </row>
    <row r="692" spans="1:17" s="51" customFormat="1" ht="11.25">
      <c r="A692" s="33" t="s">
        <v>5</v>
      </c>
      <c r="B692" s="36"/>
      <c r="C692" s="36"/>
      <c r="D692" s="80"/>
      <c r="E692" s="80"/>
      <c r="F692" s="80">
        <f>SUM(D692:E692)</f>
        <v>0</v>
      </c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74"/>
    </row>
    <row r="693" spans="1:149" ht="13.5" customHeight="1">
      <c r="A693" s="33" t="s">
        <v>332</v>
      </c>
      <c r="B693" s="6"/>
      <c r="C693" s="6"/>
      <c r="D693" s="83">
        <v>0</v>
      </c>
      <c r="E693" s="83"/>
      <c r="F693" s="83">
        <f>SUM(D693:E693)</f>
        <v>0</v>
      </c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24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  <c r="AC693" s="52"/>
      <c r="AD693" s="52"/>
      <c r="AE693" s="52"/>
      <c r="AF693" s="52"/>
      <c r="AG693" s="52"/>
      <c r="AH693" s="52"/>
      <c r="AI693" s="52"/>
      <c r="AJ693" s="52"/>
      <c r="AK693" s="52"/>
      <c r="AL693" s="52"/>
      <c r="AM693" s="52"/>
      <c r="AN693" s="52"/>
      <c r="AO693" s="52"/>
      <c r="AP693" s="52"/>
      <c r="AQ693" s="52"/>
      <c r="AR693" s="52"/>
      <c r="AS693" s="52"/>
      <c r="AT693" s="52"/>
      <c r="AU693" s="52"/>
      <c r="AV693" s="52"/>
      <c r="AW693" s="52"/>
      <c r="AX693" s="52"/>
      <c r="AY693" s="52"/>
      <c r="AZ693" s="52"/>
      <c r="BA693" s="52"/>
      <c r="BB693" s="52"/>
      <c r="BC693" s="52"/>
      <c r="BD693" s="52"/>
      <c r="BE693" s="52"/>
      <c r="BF693" s="52"/>
      <c r="BG693" s="52"/>
      <c r="BH693" s="52"/>
      <c r="BI693" s="52"/>
      <c r="BJ693" s="52"/>
      <c r="BK693" s="52"/>
      <c r="BL693" s="52"/>
      <c r="BM693" s="52"/>
      <c r="BN693" s="52"/>
      <c r="BO693" s="52"/>
      <c r="BP693" s="52"/>
      <c r="BQ693" s="52"/>
      <c r="BR693" s="52"/>
      <c r="BS693" s="52"/>
      <c r="BT693" s="52"/>
      <c r="BU693" s="52"/>
      <c r="BV693" s="52"/>
      <c r="BW693" s="52"/>
      <c r="BX693" s="52"/>
      <c r="BY693" s="52"/>
      <c r="BZ693" s="52"/>
      <c r="CA693" s="52"/>
      <c r="CB693" s="52"/>
      <c r="CC693" s="52"/>
      <c r="CD693" s="52"/>
      <c r="CE693" s="52"/>
      <c r="CF693" s="52"/>
      <c r="CG693" s="52"/>
      <c r="CH693" s="52"/>
      <c r="CI693" s="52"/>
      <c r="CJ693" s="52"/>
      <c r="CK693" s="52"/>
      <c r="CL693" s="52"/>
      <c r="CM693" s="52"/>
      <c r="CN693" s="52"/>
      <c r="CO693" s="52"/>
      <c r="CP693" s="52"/>
      <c r="CQ693" s="52"/>
      <c r="CR693" s="52"/>
      <c r="CS693" s="52"/>
      <c r="CT693" s="52"/>
      <c r="CU693" s="52"/>
      <c r="CV693" s="52"/>
      <c r="CW693" s="52"/>
      <c r="CX693" s="52"/>
      <c r="CY693" s="52"/>
      <c r="CZ693" s="52"/>
      <c r="DA693" s="52"/>
      <c r="DB693" s="52"/>
      <c r="DC693" s="52"/>
      <c r="DD693" s="52"/>
      <c r="DE693" s="52"/>
      <c r="DF693" s="52"/>
      <c r="DG693" s="52"/>
      <c r="DH693" s="52"/>
      <c r="DI693" s="52"/>
      <c r="DJ693" s="52"/>
      <c r="DK693" s="52"/>
      <c r="DL693" s="52"/>
      <c r="DM693" s="52"/>
      <c r="DN693" s="52"/>
      <c r="DO693" s="52"/>
      <c r="DP693" s="52"/>
      <c r="DQ693" s="52"/>
      <c r="DR693" s="52"/>
      <c r="DS693" s="52"/>
      <c r="DT693" s="52"/>
      <c r="DU693" s="52"/>
      <c r="DV693" s="52"/>
      <c r="DW693" s="52"/>
      <c r="DX693" s="52"/>
      <c r="DY693" s="52"/>
      <c r="DZ693" s="52"/>
      <c r="EA693" s="52"/>
      <c r="EB693" s="52"/>
      <c r="EC693" s="52"/>
      <c r="ED693" s="52"/>
      <c r="EE693" s="52"/>
      <c r="EF693" s="52"/>
      <c r="EG693" s="52"/>
      <c r="EH693" s="52"/>
      <c r="EI693" s="52"/>
      <c r="EJ693" s="52"/>
      <c r="EK693" s="52"/>
      <c r="EL693" s="52"/>
      <c r="EM693" s="52"/>
      <c r="EN693" s="52"/>
      <c r="EO693" s="52"/>
      <c r="EP693" s="52"/>
      <c r="EQ693" s="52"/>
      <c r="ER693" s="52"/>
      <c r="ES693" s="52"/>
    </row>
    <row r="694" spans="1:17" s="51" customFormat="1" ht="16.5" customHeight="1">
      <c r="A694" s="33" t="s">
        <v>7</v>
      </c>
      <c r="B694" s="36"/>
      <c r="C694" s="36"/>
      <c r="D694" s="80"/>
      <c r="E694" s="80"/>
      <c r="F694" s="80"/>
      <c r="G694" s="80"/>
      <c r="H694" s="80"/>
      <c r="I694" s="80"/>
      <c r="J694" s="29"/>
      <c r="K694" s="80"/>
      <c r="L694" s="80"/>
      <c r="M694" s="80"/>
      <c r="N694" s="80"/>
      <c r="O694" s="80"/>
      <c r="P694" s="80"/>
      <c r="Q694" s="74"/>
    </row>
    <row r="695" spans="1:149" ht="11.25">
      <c r="A695" s="33" t="s">
        <v>330</v>
      </c>
      <c r="B695" s="6"/>
      <c r="C695" s="6"/>
      <c r="D695" s="83">
        <v>0</v>
      </c>
      <c r="E695" s="83"/>
      <c r="F695" s="83">
        <f>SUM(D695:E695)</f>
        <v>0</v>
      </c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24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  <c r="AC695" s="52"/>
      <c r="AD695" s="52"/>
      <c r="AE695" s="52"/>
      <c r="AF695" s="52"/>
      <c r="AG695" s="52"/>
      <c r="AH695" s="52"/>
      <c r="AI695" s="52"/>
      <c r="AJ695" s="52"/>
      <c r="AK695" s="52"/>
      <c r="AL695" s="52"/>
      <c r="AM695" s="52"/>
      <c r="AN695" s="52"/>
      <c r="AO695" s="52"/>
      <c r="AP695" s="52"/>
      <c r="AQ695" s="52"/>
      <c r="AR695" s="52"/>
      <c r="AS695" s="52"/>
      <c r="AT695" s="52"/>
      <c r="AU695" s="52"/>
      <c r="AV695" s="52"/>
      <c r="AW695" s="52"/>
      <c r="AX695" s="52"/>
      <c r="AY695" s="52"/>
      <c r="AZ695" s="52"/>
      <c r="BA695" s="52"/>
      <c r="BB695" s="52"/>
      <c r="BC695" s="52"/>
      <c r="BD695" s="52"/>
      <c r="BE695" s="52"/>
      <c r="BF695" s="52"/>
      <c r="BG695" s="52"/>
      <c r="BH695" s="52"/>
      <c r="BI695" s="52"/>
      <c r="BJ695" s="52"/>
      <c r="BK695" s="52"/>
      <c r="BL695" s="52"/>
      <c r="BM695" s="52"/>
      <c r="BN695" s="52"/>
      <c r="BO695" s="52"/>
      <c r="BP695" s="52"/>
      <c r="BQ695" s="52"/>
      <c r="BR695" s="52"/>
      <c r="BS695" s="52"/>
      <c r="BT695" s="52"/>
      <c r="BU695" s="52"/>
      <c r="BV695" s="52"/>
      <c r="BW695" s="52"/>
      <c r="BX695" s="52"/>
      <c r="BY695" s="52"/>
      <c r="BZ695" s="52"/>
      <c r="CA695" s="52"/>
      <c r="CB695" s="52"/>
      <c r="CC695" s="52"/>
      <c r="CD695" s="52"/>
      <c r="CE695" s="52"/>
      <c r="CF695" s="52"/>
      <c r="CG695" s="52"/>
      <c r="CH695" s="52"/>
      <c r="CI695" s="52"/>
      <c r="CJ695" s="52"/>
      <c r="CK695" s="52"/>
      <c r="CL695" s="52"/>
      <c r="CM695" s="52"/>
      <c r="CN695" s="52"/>
      <c r="CO695" s="52"/>
      <c r="CP695" s="52"/>
      <c r="CQ695" s="52"/>
      <c r="CR695" s="52"/>
      <c r="CS695" s="52"/>
      <c r="CT695" s="52"/>
      <c r="CU695" s="52"/>
      <c r="CV695" s="52"/>
      <c r="CW695" s="52"/>
      <c r="CX695" s="52"/>
      <c r="CY695" s="52"/>
      <c r="CZ695" s="52"/>
      <c r="DA695" s="52"/>
      <c r="DB695" s="52"/>
      <c r="DC695" s="52"/>
      <c r="DD695" s="52"/>
      <c r="DE695" s="52"/>
      <c r="DF695" s="52"/>
      <c r="DG695" s="52"/>
      <c r="DH695" s="52"/>
      <c r="DI695" s="52"/>
      <c r="DJ695" s="52"/>
      <c r="DK695" s="52"/>
      <c r="DL695" s="52"/>
      <c r="DM695" s="52"/>
      <c r="DN695" s="52"/>
      <c r="DO695" s="52"/>
      <c r="DP695" s="52"/>
      <c r="DQ695" s="52"/>
      <c r="DR695" s="52"/>
      <c r="DS695" s="52"/>
      <c r="DT695" s="52"/>
      <c r="DU695" s="52"/>
      <c r="DV695" s="52"/>
      <c r="DW695" s="52"/>
      <c r="DX695" s="52"/>
      <c r="DY695" s="52"/>
      <c r="DZ695" s="52"/>
      <c r="EA695" s="52"/>
      <c r="EB695" s="52"/>
      <c r="EC695" s="52"/>
      <c r="ED695" s="52"/>
      <c r="EE695" s="52"/>
      <c r="EF695" s="52"/>
      <c r="EG695" s="52"/>
      <c r="EH695" s="52"/>
      <c r="EI695" s="52"/>
      <c r="EJ695" s="52"/>
      <c r="EK695" s="52"/>
      <c r="EL695" s="52"/>
      <c r="EM695" s="52"/>
      <c r="EN695" s="52"/>
      <c r="EO695" s="52"/>
      <c r="EP695" s="52"/>
      <c r="EQ695" s="52"/>
      <c r="ER695" s="52"/>
      <c r="ES695" s="52"/>
    </row>
    <row r="696" spans="1:149" ht="11.25">
      <c r="A696" s="36" t="s">
        <v>256</v>
      </c>
      <c r="B696" s="6"/>
      <c r="C696" s="6"/>
      <c r="D696" s="80">
        <f>D698</f>
        <v>0</v>
      </c>
      <c r="E696" s="80">
        <f>E698</f>
        <v>-20000</v>
      </c>
      <c r="F696" s="80">
        <f>F698</f>
        <v>-20000</v>
      </c>
      <c r="G696" s="80">
        <f aca="true" t="shared" si="66" ref="G696:Q696">G698</f>
        <v>0</v>
      </c>
      <c r="H696" s="80">
        <f t="shared" si="66"/>
        <v>0</v>
      </c>
      <c r="I696" s="80">
        <f t="shared" si="66"/>
        <v>0</v>
      </c>
      <c r="J696" s="80">
        <f t="shared" si="66"/>
        <v>0</v>
      </c>
      <c r="K696" s="80">
        <f t="shared" si="66"/>
        <v>0</v>
      </c>
      <c r="L696" s="80">
        <f t="shared" si="66"/>
        <v>0</v>
      </c>
      <c r="M696" s="80">
        <f t="shared" si="66"/>
        <v>0</v>
      </c>
      <c r="N696" s="80">
        <f t="shared" si="66"/>
        <v>0</v>
      </c>
      <c r="O696" s="80">
        <f t="shared" si="66"/>
        <v>-2054092</v>
      </c>
      <c r="P696" s="80">
        <f t="shared" si="66"/>
        <v>-2054092</v>
      </c>
      <c r="Q696" s="80">
        <f t="shared" si="66"/>
        <v>0</v>
      </c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  <c r="AC696" s="52"/>
      <c r="AD696" s="52"/>
      <c r="AE696" s="52"/>
      <c r="AF696" s="52"/>
      <c r="AG696" s="52"/>
      <c r="AH696" s="52"/>
      <c r="AI696" s="52"/>
      <c r="AJ696" s="52"/>
      <c r="AK696" s="52"/>
      <c r="AL696" s="52"/>
      <c r="AM696" s="52"/>
      <c r="AN696" s="52"/>
      <c r="AO696" s="52"/>
      <c r="AP696" s="52"/>
      <c r="AQ696" s="52"/>
      <c r="AR696" s="52"/>
      <c r="AS696" s="52"/>
      <c r="AT696" s="52"/>
      <c r="AU696" s="52"/>
      <c r="AV696" s="52"/>
      <c r="AW696" s="52"/>
      <c r="AX696" s="52"/>
      <c r="AY696" s="52"/>
      <c r="AZ696" s="52"/>
      <c r="BA696" s="52"/>
      <c r="BB696" s="52"/>
      <c r="BC696" s="52"/>
      <c r="BD696" s="52"/>
      <c r="BE696" s="52"/>
      <c r="BF696" s="52"/>
      <c r="BG696" s="52"/>
      <c r="BH696" s="52"/>
      <c r="BI696" s="52"/>
      <c r="BJ696" s="52"/>
      <c r="BK696" s="52"/>
      <c r="BL696" s="52"/>
      <c r="BM696" s="52"/>
      <c r="BN696" s="52"/>
      <c r="BO696" s="52"/>
      <c r="BP696" s="52"/>
      <c r="BQ696" s="52"/>
      <c r="BR696" s="52"/>
      <c r="BS696" s="52"/>
      <c r="BT696" s="52"/>
      <c r="BU696" s="52"/>
      <c r="BV696" s="52"/>
      <c r="BW696" s="52"/>
      <c r="BX696" s="52"/>
      <c r="BY696" s="52"/>
      <c r="BZ696" s="52"/>
      <c r="CA696" s="52"/>
      <c r="CB696" s="52"/>
      <c r="CC696" s="52"/>
      <c r="CD696" s="52"/>
      <c r="CE696" s="52"/>
      <c r="CF696" s="52"/>
      <c r="CG696" s="52"/>
      <c r="CH696" s="52"/>
      <c r="CI696" s="52"/>
      <c r="CJ696" s="52"/>
      <c r="CK696" s="52"/>
      <c r="CL696" s="52"/>
      <c r="CM696" s="52"/>
      <c r="CN696" s="52"/>
      <c r="CO696" s="52"/>
      <c r="CP696" s="52"/>
      <c r="CQ696" s="52"/>
      <c r="CR696" s="52"/>
      <c r="CS696" s="52"/>
      <c r="CT696" s="52"/>
      <c r="CU696" s="52"/>
      <c r="CV696" s="52"/>
      <c r="CW696" s="52"/>
      <c r="CX696" s="52"/>
      <c r="CY696" s="52"/>
      <c r="CZ696" s="52"/>
      <c r="DA696" s="52"/>
      <c r="DB696" s="52"/>
      <c r="DC696" s="52"/>
      <c r="DD696" s="52"/>
      <c r="DE696" s="52"/>
      <c r="DF696" s="52"/>
      <c r="DG696" s="52"/>
      <c r="DH696" s="52"/>
      <c r="DI696" s="52"/>
      <c r="DJ696" s="52"/>
      <c r="DK696" s="52"/>
      <c r="DL696" s="52"/>
      <c r="DM696" s="52"/>
      <c r="DN696" s="52"/>
      <c r="DO696" s="52"/>
      <c r="DP696" s="52"/>
      <c r="DQ696" s="52"/>
      <c r="DR696" s="52"/>
      <c r="DS696" s="52"/>
      <c r="DT696" s="52"/>
      <c r="DU696" s="52"/>
      <c r="DV696" s="52"/>
      <c r="DW696" s="52"/>
      <c r="DX696" s="52"/>
      <c r="DY696" s="52"/>
      <c r="DZ696" s="52"/>
      <c r="EA696" s="52"/>
      <c r="EB696" s="52"/>
      <c r="EC696" s="52"/>
      <c r="ED696" s="52"/>
      <c r="EE696" s="52"/>
      <c r="EF696" s="52"/>
      <c r="EG696" s="52"/>
      <c r="EH696" s="52"/>
      <c r="EI696" s="52"/>
      <c r="EJ696" s="52"/>
      <c r="EK696" s="52"/>
      <c r="EL696" s="52"/>
      <c r="EM696" s="52"/>
      <c r="EN696" s="52"/>
      <c r="EO696" s="52"/>
      <c r="EP696" s="52"/>
      <c r="EQ696" s="52"/>
      <c r="ER696" s="52"/>
      <c r="ES696" s="52"/>
    </row>
    <row r="697" spans="1:149" ht="17.25" customHeight="1">
      <c r="A697" s="8" t="s">
        <v>197</v>
      </c>
      <c r="B697" s="6"/>
      <c r="C697" s="6"/>
      <c r="D697" s="83"/>
      <c r="E697" s="83"/>
      <c r="F697" s="83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24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  <c r="AC697" s="52"/>
      <c r="AD697" s="52"/>
      <c r="AE697" s="52"/>
      <c r="AF697" s="52"/>
      <c r="AG697" s="52"/>
      <c r="AH697" s="52"/>
      <c r="AI697" s="52"/>
      <c r="AJ697" s="52"/>
      <c r="AK697" s="52"/>
      <c r="AL697" s="52"/>
      <c r="AM697" s="52"/>
      <c r="AN697" s="52"/>
      <c r="AO697" s="52"/>
      <c r="AP697" s="52"/>
      <c r="AQ697" s="52"/>
      <c r="AR697" s="52"/>
      <c r="AS697" s="52"/>
      <c r="AT697" s="52"/>
      <c r="AU697" s="52"/>
      <c r="AV697" s="52"/>
      <c r="AW697" s="52"/>
      <c r="AX697" s="52"/>
      <c r="AY697" s="52"/>
      <c r="AZ697" s="52"/>
      <c r="BA697" s="52"/>
      <c r="BB697" s="52"/>
      <c r="BC697" s="52"/>
      <c r="BD697" s="52"/>
      <c r="BE697" s="52"/>
      <c r="BF697" s="52"/>
      <c r="BG697" s="52"/>
      <c r="BH697" s="52"/>
      <c r="BI697" s="52"/>
      <c r="BJ697" s="52"/>
      <c r="BK697" s="52"/>
      <c r="BL697" s="52"/>
      <c r="BM697" s="52"/>
      <c r="BN697" s="52"/>
      <c r="BO697" s="52"/>
      <c r="BP697" s="52"/>
      <c r="BQ697" s="52"/>
      <c r="BR697" s="52"/>
      <c r="BS697" s="52"/>
      <c r="BT697" s="52"/>
      <c r="BU697" s="52"/>
      <c r="BV697" s="52"/>
      <c r="BW697" s="52"/>
      <c r="BX697" s="52"/>
      <c r="BY697" s="52"/>
      <c r="BZ697" s="52"/>
      <c r="CA697" s="52"/>
      <c r="CB697" s="52"/>
      <c r="CC697" s="52"/>
      <c r="CD697" s="52"/>
      <c r="CE697" s="52"/>
      <c r="CF697" s="52"/>
      <c r="CG697" s="52"/>
      <c r="CH697" s="52"/>
      <c r="CI697" s="52"/>
      <c r="CJ697" s="52"/>
      <c r="CK697" s="52"/>
      <c r="CL697" s="52"/>
      <c r="CM697" s="52"/>
      <c r="CN697" s="52"/>
      <c r="CO697" s="52"/>
      <c r="CP697" s="52"/>
      <c r="CQ697" s="52"/>
      <c r="CR697" s="52"/>
      <c r="CS697" s="52"/>
      <c r="CT697" s="52"/>
      <c r="CU697" s="52"/>
      <c r="CV697" s="52"/>
      <c r="CW697" s="52"/>
      <c r="CX697" s="52"/>
      <c r="CY697" s="52"/>
      <c r="CZ697" s="52"/>
      <c r="DA697" s="52"/>
      <c r="DB697" s="52"/>
      <c r="DC697" s="52"/>
      <c r="DD697" s="52"/>
      <c r="DE697" s="52"/>
      <c r="DF697" s="52"/>
      <c r="DG697" s="52"/>
      <c r="DH697" s="52"/>
      <c r="DI697" s="52"/>
      <c r="DJ697" s="52"/>
      <c r="DK697" s="52"/>
      <c r="DL697" s="52"/>
      <c r="DM697" s="52"/>
      <c r="DN697" s="52"/>
      <c r="DO697" s="52"/>
      <c r="DP697" s="52"/>
      <c r="DQ697" s="52"/>
      <c r="DR697" s="52"/>
      <c r="DS697" s="52"/>
      <c r="DT697" s="52"/>
      <c r="DU697" s="52"/>
      <c r="DV697" s="52"/>
      <c r="DW697" s="52"/>
      <c r="DX697" s="52"/>
      <c r="DY697" s="52"/>
      <c r="DZ697" s="52"/>
      <c r="EA697" s="52"/>
      <c r="EB697" s="52"/>
      <c r="EC697" s="52"/>
      <c r="ED697" s="52"/>
      <c r="EE697" s="52"/>
      <c r="EF697" s="52"/>
      <c r="EG697" s="52"/>
      <c r="EH697" s="52"/>
      <c r="EI697" s="52"/>
      <c r="EJ697" s="52"/>
      <c r="EK697" s="52"/>
      <c r="EL697" s="52"/>
      <c r="EM697" s="52"/>
      <c r="EN697" s="52"/>
      <c r="EO697" s="52"/>
      <c r="EP697" s="52"/>
      <c r="EQ697" s="52"/>
      <c r="ER697" s="52"/>
      <c r="ES697" s="52"/>
    </row>
    <row r="698" spans="1:17" s="51" customFormat="1" ht="22.5">
      <c r="A698" s="33" t="s">
        <v>425</v>
      </c>
      <c r="B698" s="36"/>
      <c r="C698" s="36"/>
      <c r="D698" s="80"/>
      <c r="E698" s="80">
        <f>E700</f>
        <v>-20000</v>
      </c>
      <c r="F698" s="80">
        <f>D698+E698</f>
        <v>-20000</v>
      </c>
      <c r="G698" s="29"/>
      <c r="H698" s="35">
        <f>H700</f>
        <v>0</v>
      </c>
      <c r="I698" s="35"/>
      <c r="J698" s="35">
        <f>H698</f>
        <v>0</v>
      </c>
      <c r="K698" s="35"/>
      <c r="L698" s="35"/>
      <c r="M698" s="35"/>
      <c r="N698" s="35"/>
      <c r="O698" s="35">
        <f>O700</f>
        <v>-2054092</v>
      </c>
      <c r="P698" s="35">
        <f>O698</f>
        <v>-2054092</v>
      </c>
      <c r="Q698" s="74"/>
    </row>
    <row r="699" spans="1:149" ht="11.25">
      <c r="A699" s="5" t="s">
        <v>4</v>
      </c>
      <c r="B699" s="6"/>
      <c r="C699" s="6"/>
      <c r="D699" s="83"/>
      <c r="E699" s="83"/>
      <c r="F699" s="83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24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  <c r="AC699" s="52"/>
      <c r="AD699" s="52"/>
      <c r="AE699" s="52"/>
      <c r="AF699" s="52"/>
      <c r="AG699" s="52"/>
      <c r="AH699" s="52"/>
      <c r="AI699" s="52"/>
      <c r="AJ699" s="52"/>
      <c r="AK699" s="52"/>
      <c r="AL699" s="52"/>
      <c r="AM699" s="52"/>
      <c r="AN699" s="52"/>
      <c r="AO699" s="52"/>
      <c r="AP699" s="52"/>
      <c r="AQ699" s="52"/>
      <c r="AR699" s="52"/>
      <c r="AS699" s="52"/>
      <c r="AT699" s="52"/>
      <c r="AU699" s="52"/>
      <c r="AV699" s="52"/>
      <c r="AW699" s="52"/>
      <c r="AX699" s="52"/>
      <c r="AY699" s="52"/>
      <c r="AZ699" s="52"/>
      <c r="BA699" s="52"/>
      <c r="BB699" s="52"/>
      <c r="BC699" s="52"/>
      <c r="BD699" s="52"/>
      <c r="BE699" s="52"/>
      <c r="BF699" s="52"/>
      <c r="BG699" s="52"/>
      <c r="BH699" s="52"/>
      <c r="BI699" s="52"/>
      <c r="BJ699" s="52"/>
      <c r="BK699" s="52"/>
      <c r="BL699" s="52"/>
      <c r="BM699" s="52"/>
      <c r="BN699" s="52"/>
      <c r="BO699" s="52"/>
      <c r="BP699" s="52"/>
      <c r="BQ699" s="52"/>
      <c r="BR699" s="52"/>
      <c r="BS699" s="52"/>
      <c r="BT699" s="52"/>
      <c r="BU699" s="52"/>
      <c r="BV699" s="52"/>
      <c r="BW699" s="52"/>
      <c r="BX699" s="52"/>
      <c r="BY699" s="52"/>
      <c r="BZ699" s="52"/>
      <c r="CA699" s="52"/>
      <c r="CB699" s="52"/>
      <c r="CC699" s="52"/>
      <c r="CD699" s="52"/>
      <c r="CE699" s="52"/>
      <c r="CF699" s="52"/>
      <c r="CG699" s="52"/>
      <c r="CH699" s="52"/>
      <c r="CI699" s="52"/>
      <c r="CJ699" s="52"/>
      <c r="CK699" s="52"/>
      <c r="CL699" s="52"/>
      <c r="CM699" s="52"/>
      <c r="CN699" s="52"/>
      <c r="CO699" s="52"/>
      <c r="CP699" s="52"/>
      <c r="CQ699" s="52"/>
      <c r="CR699" s="52"/>
      <c r="CS699" s="52"/>
      <c r="CT699" s="52"/>
      <c r="CU699" s="52"/>
      <c r="CV699" s="52"/>
      <c r="CW699" s="52"/>
      <c r="CX699" s="52"/>
      <c r="CY699" s="52"/>
      <c r="CZ699" s="52"/>
      <c r="DA699" s="52"/>
      <c r="DB699" s="52"/>
      <c r="DC699" s="52"/>
      <c r="DD699" s="52"/>
      <c r="DE699" s="52"/>
      <c r="DF699" s="52"/>
      <c r="DG699" s="52"/>
      <c r="DH699" s="52"/>
      <c r="DI699" s="52"/>
      <c r="DJ699" s="52"/>
      <c r="DK699" s="52"/>
      <c r="DL699" s="52"/>
      <c r="DM699" s="52"/>
      <c r="DN699" s="52"/>
      <c r="DO699" s="52"/>
      <c r="DP699" s="52"/>
      <c r="DQ699" s="52"/>
      <c r="DR699" s="52"/>
      <c r="DS699" s="52"/>
      <c r="DT699" s="52"/>
      <c r="DU699" s="52"/>
      <c r="DV699" s="52"/>
      <c r="DW699" s="52"/>
      <c r="DX699" s="52"/>
      <c r="DY699" s="52"/>
      <c r="DZ699" s="52"/>
      <c r="EA699" s="52"/>
      <c r="EB699" s="52"/>
      <c r="EC699" s="52"/>
      <c r="ED699" s="52"/>
      <c r="EE699" s="52"/>
      <c r="EF699" s="52"/>
      <c r="EG699" s="52"/>
      <c r="EH699" s="52"/>
      <c r="EI699" s="52"/>
      <c r="EJ699" s="52"/>
      <c r="EK699" s="52"/>
      <c r="EL699" s="52"/>
      <c r="EM699" s="52"/>
      <c r="EN699" s="52"/>
      <c r="EO699" s="52"/>
      <c r="EP699" s="52"/>
      <c r="EQ699" s="52"/>
      <c r="ER699" s="52"/>
      <c r="ES699" s="52"/>
    </row>
    <row r="700" spans="1:149" ht="22.5">
      <c r="A700" s="8" t="s">
        <v>199</v>
      </c>
      <c r="B700" s="6"/>
      <c r="C700" s="6"/>
      <c r="D700" s="48"/>
      <c r="E700" s="48">
        <f>E702*E704</f>
        <v>-20000</v>
      </c>
      <c r="F700" s="48">
        <f>F702*F704</f>
        <v>-20000</v>
      </c>
      <c r="G700" s="86"/>
      <c r="H700" s="86">
        <f>H702*H704</f>
        <v>0</v>
      </c>
      <c r="I700" s="86"/>
      <c r="J700" s="86">
        <f>H700</f>
        <v>0</v>
      </c>
      <c r="K700" s="86"/>
      <c r="L700" s="86"/>
      <c r="M700" s="86"/>
      <c r="N700" s="86"/>
      <c r="O700" s="86">
        <f>O702*O704</f>
        <v>-2054092</v>
      </c>
      <c r="P700" s="86">
        <f>P702*P704</f>
        <v>-2054092</v>
      </c>
      <c r="Q700" s="24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  <c r="AC700" s="52"/>
      <c r="AD700" s="52"/>
      <c r="AE700" s="52"/>
      <c r="AF700" s="52"/>
      <c r="AG700" s="52"/>
      <c r="AH700" s="52"/>
      <c r="AI700" s="52"/>
      <c r="AJ700" s="52"/>
      <c r="AK700" s="52"/>
      <c r="AL700" s="52"/>
      <c r="AM700" s="52"/>
      <c r="AN700" s="52"/>
      <c r="AO700" s="52"/>
      <c r="AP700" s="52"/>
      <c r="AQ700" s="52"/>
      <c r="AR700" s="52"/>
      <c r="AS700" s="52"/>
      <c r="AT700" s="52"/>
      <c r="AU700" s="52"/>
      <c r="AV700" s="52"/>
      <c r="AW700" s="52"/>
      <c r="AX700" s="52"/>
      <c r="AY700" s="52"/>
      <c r="AZ700" s="52"/>
      <c r="BA700" s="52"/>
      <c r="BB700" s="52"/>
      <c r="BC700" s="52"/>
      <c r="BD700" s="52"/>
      <c r="BE700" s="52"/>
      <c r="BF700" s="52"/>
      <c r="BG700" s="52"/>
      <c r="BH700" s="52"/>
      <c r="BI700" s="52"/>
      <c r="BJ700" s="52"/>
      <c r="BK700" s="52"/>
      <c r="BL700" s="52"/>
      <c r="BM700" s="52"/>
      <c r="BN700" s="52"/>
      <c r="BO700" s="52"/>
      <c r="BP700" s="52"/>
      <c r="BQ700" s="52"/>
      <c r="BR700" s="52"/>
      <c r="BS700" s="52"/>
      <c r="BT700" s="52"/>
      <c r="BU700" s="52"/>
      <c r="BV700" s="52"/>
      <c r="BW700" s="52"/>
      <c r="BX700" s="52"/>
      <c r="BY700" s="52"/>
      <c r="BZ700" s="52"/>
      <c r="CA700" s="52"/>
      <c r="CB700" s="52"/>
      <c r="CC700" s="52"/>
      <c r="CD700" s="52"/>
      <c r="CE700" s="52"/>
      <c r="CF700" s="52"/>
      <c r="CG700" s="52"/>
      <c r="CH700" s="52"/>
      <c r="CI700" s="52"/>
      <c r="CJ700" s="52"/>
      <c r="CK700" s="52"/>
      <c r="CL700" s="52"/>
      <c r="CM700" s="52"/>
      <c r="CN700" s="52"/>
      <c r="CO700" s="52"/>
      <c r="CP700" s="52"/>
      <c r="CQ700" s="52"/>
      <c r="CR700" s="52"/>
      <c r="CS700" s="52"/>
      <c r="CT700" s="52"/>
      <c r="CU700" s="52"/>
      <c r="CV700" s="52"/>
      <c r="CW700" s="52"/>
      <c r="CX700" s="52"/>
      <c r="CY700" s="52"/>
      <c r="CZ700" s="52"/>
      <c r="DA700" s="52"/>
      <c r="DB700" s="52"/>
      <c r="DC700" s="52"/>
      <c r="DD700" s="52"/>
      <c r="DE700" s="52"/>
      <c r="DF700" s="52"/>
      <c r="DG700" s="52"/>
      <c r="DH700" s="52"/>
      <c r="DI700" s="52"/>
      <c r="DJ700" s="52"/>
      <c r="DK700" s="52"/>
      <c r="DL700" s="52"/>
      <c r="DM700" s="52"/>
      <c r="DN700" s="52"/>
      <c r="DO700" s="52"/>
      <c r="DP700" s="52"/>
      <c r="DQ700" s="52"/>
      <c r="DR700" s="52"/>
      <c r="DS700" s="52"/>
      <c r="DT700" s="52"/>
      <c r="DU700" s="52"/>
      <c r="DV700" s="52"/>
      <c r="DW700" s="52"/>
      <c r="DX700" s="52"/>
      <c r="DY700" s="52"/>
      <c r="DZ700" s="52"/>
      <c r="EA700" s="52"/>
      <c r="EB700" s="52"/>
      <c r="EC700" s="52"/>
      <c r="ED700" s="52"/>
      <c r="EE700" s="52"/>
      <c r="EF700" s="52"/>
      <c r="EG700" s="52"/>
      <c r="EH700" s="52"/>
      <c r="EI700" s="52"/>
      <c r="EJ700" s="52"/>
      <c r="EK700" s="52"/>
      <c r="EL700" s="52"/>
      <c r="EM700" s="52"/>
      <c r="EN700" s="52"/>
      <c r="EO700" s="52"/>
      <c r="EP700" s="52"/>
      <c r="EQ700" s="52"/>
      <c r="ER700" s="52"/>
      <c r="ES700" s="52"/>
    </row>
    <row r="701" spans="1:149" ht="11.25">
      <c r="A701" s="5" t="s">
        <v>5</v>
      </c>
      <c r="B701" s="6"/>
      <c r="C701" s="6"/>
      <c r="D701" s="48"/>
      <c r="E701" s="48"/>
      <c r="F701" s="48"/>
      <c r="G701" s="86"/>
      <c r="H701" s="86"/>
      <c r="I701" s="86"/>
      <c r="J701" s="86"/>
      <c r="K701" s="86"/>
      <c r="L701" s="86"/>
      <c r="M701" s="86"/>
      <c r="N701" s="86"/>
      <c r="O701" s="86"/>
      <c r="P701" s="86"/>
      <c r="Q701" s="24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  <c r="AC701" s="52"/>
      <c r="AD701" s="52"/>
      <c r="AE701" s="52"/>
      <c r="AF701" s="52"/>
      <c r="AG701" s="52"/>
      <c r="AH701" s="52"/>
      <c r="AI701" s="52"/>
      <c r="AJ701" s="52"/>
      <c r="AK701" s="52"/>
      <c r="AL701" s="52"/>
      <c r="AM701" s="52"/>
      <c r="AN701" s="52"/>
      <c r="AO701" s="52"/>
      <c r="AP701" s="52"/>
      <c r="AQ701" s="52"/>
      <c r="AR701" s="52"/>
      <c r="AS701" s="52"/>
      <c r="AT701" s="52"/>
      <c r="AU701" s="52"/>
      <c r="AV701" s="52"/>
      <c r="AW701" s="52"/>
      <c r="AX701" s="52"/>
      <c r="AY701" s="52"/>
      <c r="AZ701" s="52"/>
      <c r="BA701" s="52"/>
      <c r="BB701" s="52"/>
      <c r="BC701" s="52"/>
      <c r="BD701" s="52"/>
      <c r="BE701" s="52"/>
      <c r="BF701" s="52"/>
      <c r="BG701" s="52"/>
      <c r="BH701" s="52"/>
      <c r="BI701" s="52"/>
      <c r="BJ701" s="52"/>
      <c r="BK701" s="52"/>
      <c r="BL701" s="52"/>
      <c r="BM701" s="52"/>
      <c r="BN701" s="52"/>
      <c r="BO701" s="52"/>
      <c r="BP701" s="52"/>
      <c r="BQ701" s="52"/>
      <c r="BR701" s="52"/>
      <c r="BS701" s="52"/>
      <c r="BT701" s="52"/>
      <c r="BU701" s="52"/>
      <c r="BV701" s="52"/>
      <c r="BW701" s="52"/>
      <c r="BX701" s="52"/>
      <c r="BY701" s="52"/>
      <c r="BZ701" s="52"/>
      <c r="CA701" s="52"/>
      <c r="CB701" s="52"/>
      <c r="CC701" s="52"/>
      <c r="CD701" s="52"/>
      <c r="CE701" s="52"/>
      <c r="CF701" s="52"/>
      <c r="CG701" s="52"/>
      <c r="CH701" s="52"/>
      <c r="CI701" s="52"/>
      <c r="CJ701" s="52"/>
      <c r="CK701" s="52"/>
      <c r="CL701" s="52"/>
      <c r="CM701" s="52"/>
      <c r="CN701" s="52"/>
      <c r="CO701" s="52"/>
      <c r="CP701" s="52"/>
      <c r="CQ701" s="52"/>
      <c r="CR701" s="52"/>
      <c r="CS701" s="52"/>
      <c r="CT701" s="52"/>
      <c r="CU701" s="52"/>
      <c r="CV701" s="52"/>
      <c r="CW701" s="52"/>
      <c r="CX701" s="52"/>
      <c r="CY701" s="52"/>
      <c r="CZ701" s="52"/>
      <c r="DA701" s="52"/>
      <c r="DB701" s="52"/>
      <c r="DC701" s="52"/>
      <c r="DD701" s="52"/>
      <c r="DE701" s="52"/>
      <c r="DF701" s="52"/>
      <c r="DG701" s="52"/>
      <c r="DH701" s="52"/>
      <c r="DI701" s="52"/>
      <c r="DJ701" s="52"/>
      <c r="DK701" s="52"/>
      <c r="DL701" s="52"/>
      <c r="DM701" s="52"/>
      <c r="DN701" s="52"/>
      <c r="DO701" s="52"/>
      <c r="DP701" s="52"/>
      <c r="DQ701" s="52"/>
      <c r="DR701" s="52"/>
      <c r="DS701" s="52"/>
      <c r="DT701" s="52"/>
      <c r="DU701" s="52"/>
      <c r="DV701" s="52"/>
      <c r="DW701" s="52"/>
      <c r="DX701" s="52"/>
      <c r="DY701" s="52"/>
      <c r="DZ701" s="52"/>
      <c r="EA701" s="52"/>
      <c r="EB701" s="52"/>
      <c r="EC701" s="52"/>
      <c r="ED701" s="52"/>
      <c r="EE701" s="52"/>
      <c r="EF701" s="52"/>
      <c r="EG701" s="52"/>
      <c r="EH701" s="52"/>
      <c r="EI701" s="52"/>
      <c r="EJ701" s="52"/>
      <c r="EK701" s="52"/>
      <c r="EL701" s="52"/>
      <c r="EM701" s="52"/>
      <c r="EN701" s="52"/>
      <c r="EO701" s="52"/>
      <c r="EP701" s="52"/>
      <c r="EQ701" s="52"/>
      <c r="ER701" s="52"/>
      <c r="ES701" s="52"/>
    </row>
    <row r="702" spans="1:149" ht="22.5">
      <c r="A702" s="8" t="s">
        <v>198</v>
      </c>
      <c r="B702" s="6"/>
      <c r="C702" s="6"/>
      <c r="D702" s="48"/>
      <c r="E702" s="48">
        <v>1</v>
      </c>
      <c r="F702" s="48">
        <f>D702+E702</f>
        <v>1</v>
      </c>
      <c r="G702" s="86"/>
      <c r="H702" s="95">
        <f>1-1</f>
        <v>0</v>
      </c>
      <c r="I702" s="86"/>
      <c r="J702" s="95">
        <f>H702</f>
        <v>0</v>
      </c>
      <c r="K702" s="86"/>
      <c r="L702" s="86"/>
      <c r="M702" s="86"/>
      <c r="N702" s="86"/>
      <c r="O702" s="95">
        <v>1</v>
      </c>
      <c r="P702" s="95">
        <v>1</v>
      </c>
      <c r="Q702" s="24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  <c r="AC702" s="52"/>
      <c r="AD702" s="52"/>
      <c r="AE702" s="52"/>
      <c r="AF702" s="52"/>
      <c r="AG702" s="52"/>
      <c r="AH702" s="52"/>
      <c r="AI702" s="52"/>
      <c r="AJ702" s="52"/>
      <c r="AK702" s="52"/>
      <c r="AL702" s="52"/>
      <c r="AM702" s="52"/>
      <c r="AN702" s="52"/>
      <c r="AO702" s="52"/>
      <c r="AP702" s="52"/>
      <c r="AQ702" s="52"/>
      <c r="AR702" s="52"/>
      <c r="AS702" s="52"/>
      <c r="AT702" s="52"/>
      <c r="AU702" s="52"/>
      <c r="AV702" s="52"/>
      <c r="AW702" s="52"/>
      <c r="AX702" s="52"/>
      <c r="AY702" s="52"/>
      <c r="AZ702" s="52"/>
      <c r="BA702" s="52"/>
      <c r="BB702" s="52"/>
      <c r="BC702" s="52"/>
      <c r="BD702" s="52"/>
      <c r="BE702" s="52"/>
      <c r="BF702" s="52"/>
      <c r="BG702" s="52"/>
      <c r="BH702" s="52"/>
      <c r="BI702" s="52"/>
      <c r="BJ702" s="52"/>
      <c r="BK702" s="52"/>
      <c r="BL702" s="52"/>
      <c r="BM702" s="52"/>
      <c r="BN702" s="52"/>
      <c r="BO702" s="52"/>
      <c r="BP702" s="52"/>
      <c r="BQ702" s="52"/>
      <c r="BR702" s="52"/>
      <c r="BS702" s="52"/>
      <c r="BT702" s="52"/>
      <c r="BU702" s="52"/>
      <c r="BV702" s="52"/>
      <c r="BW702" s="52"/>
      <c r="BX702" s="52"/>
      <c r="BY702" s="52"/>
      <c r="BZ702" s="52"/>
      <c r="CA702" s="52"/>
      <c r="CB702" s="52"/>
      <c r="CC702" s="52"/>
      <c r="CD702" s="52"/>
      <c r="CE702" s="52"/>
      <c r="CF702" s="52"/>
      <c r="CG702" s="52"/>
      <c r="CH702" s="52"/>
      <c r="CI702" s="52"/>
      <c r="CJ702" s="52"/>
      <c r="CK702" s="52"/>
      <c r="CL702" s="52"/>
      <c r="CM702" s="52"/>
      <c r="CN702" s="52"/>
      <c r="CO702" s="52"/>
      <c r="CP702" s="52"/>
      <c r="CQ702" s="52"/>
      <c r="CR702" s="52"/>
      <c r="CS702" s="52"/>
      <c r="CT702" s="52"/>
      <c r="CU702" s="52"/>
      <c r="CV702" s="52"/>
      <c r="CW702" s="52"/>
      <c r="CX702" s="52"/>
      <c r="CY702" s="52"/>
      <c r="CZ702" s="52"/>
      <c r="DA702" s="52"/>
      <c r="DB702" s="52"/>
      <c r="DC702" s="52"/>
      <c r="DD702" s="52"/>
      <c r="DE702" s="52"/>
      <c r="DF702" s="52"/>
      <c r="DG702" s="52"/>
      <c r="DH702" s="52"/>
      <c r="DI702" s="52"/>
      <c r="DJ702" s="52"/>
      <c r="DK702" s="52"/>
      <c r="DL702" s="52"/>
      <c r="DM702" s="52"/>
      <c r="DN702" s="52"/>
      <c r="DO702" s="52"/>
      <c r="DP702" s="52"/>
      <c r="DQ702" s="52"/>
      <c r="DR702" s="52"/>
      <c r="DS702" s="52"/>
      <c r="DT702" s="52"/>
      <c r="DU702" s="52"/>
      <c r="DV702" s="52"/>
      <c r="DW702" s="52"/>
      <c r="DX702" s="52"/>
      <c r="DY702" s="52"/>
      <c r="DZ702" s="52"/>
      <c r="EA702" s="52"/>
      <c r="EB702" s="52"/>
      <c r="EC702" s="52"/>
      <c r="ED702" s="52"/>
      <c r="EE702" s="52"/>
      <c r="EF702" s="52"/>
      <c r="EG702" s="52"/>
      <c r="EH702" s="52"/>
      <c r="EI702" s="52"/>
      <c r="EJ702" s="52"/>
      <c r="EK702" s="52"/>
      <c r="EL702" s="52"/>
      <c r="EM702" s="52"/>
      <c r="EN702" s="52"/>
      <c r="EO702" s="52"/>
      <c r="EP702" s="52"/>
      <c r="EQ702" s="52"/>
      <c r="ER702" s="52"/>
      <c r="ES702" s="52"/>
    </row>
    <row r="703" spans="1:149" ht="11.25">
      <c r="A703" s="33" t="s">
        <v>7</v>
      </c>
      <c r="B703" s="6"/>
      <c r="C703" s="6"/>
      <c r="D703" s="48"/>
      <c r="E703" s="48"/>
      <c r="F703" s="48"/>
      <c r="G703" s="86"/>
      <c r="H703" s="95"/>
      <c r="I703" s="86"/>
      <c r="J703" s="95"/>
      <c r="K703" s="86"/>
      <c r="L703" s="86"/>
      <c r="M703" s="86"/>
      <c r="N703" s="86"/>
      <c r="O703" s="95"/>
      <c r="P703" s="95"/>
      <c r="Q703" s="24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  <c r="AC703" s="52"/>
      <c r="AD703" s="52"/>
      <c r="AE703" s="52"/>
      <c r="AF703" s="52"/>
      <c r="AG703" s="52"/>
      <c r="AH703" s="52"/>
      <c r="AI703" s="52"/>
      <c r="AJ703" s="52"/>
      <c r="AK703" s="52"/>
      <c r="AL703" s="52"/>
      <c r="AM703" s="52"/>
      <c r="AN703" s="52"/>
      <c r="AO703" s="52"/>
      <c r="AP703" s="52"/>
      <c r="AQ703" s="52"/>
      <c r="AR703" s="52"/>
      <c r="AS703" s="52"/>
      <c r="AT703" s="52"/>
      <c r="AU703" s="52"/>
      <c r="AV703" s="52"/>
      <c r="AW703" s="52"/>
      <c r="AX703" s="52"/>
      <c r="AY703" s="52"/>
      <c r="AZ703" s="52"/>
      <c r="BA703" s="52"/>
      <c r="BB703" s="52"/>
      <c r="BC703" s="52"/>
      <c r="BD703" s="52"/>
      <c r="BE703" s="52"/>
      <c r="BF703" s="52"/>
      <c r="BG703" s="52"/>
      <c r="BH703" s="52"/>
      <c r="BI703" s="52"/>
      <c r="BJ703" s="52"/>
      <c r="BK703" s="52"/>
      <c r="BL703" s="52"/>
      <c r="BM703" s="52"/>
      <c r="BN703" s="52"/>
      <c r="BO703" s="52"/>
      <c r="BP703" s="52"/>
      <c r="BQ703" s="52"/>
      <c r="BR703" s="52"/>
      <c r="BS703" s="52"/>
      <c r="BT703" s="52"/>
      <c r="BU703" s="52"/>
      <c r="BV703" s="52"/>
      <c r="BW703" s="52"/>
      <c r="BX703" s="52"/>
      <c r="BY703" s="52"/>
      <c r="BZ703" s="52"/>
      <c r="CA703" s="52"/>
      <c r="CB703" s="52"/>
      <c r="CC703" s="52"/>
      <c r="CD703" s="52"/>
      <c r="CE703" s="52"/>
      <c r="CF703" s="52"/>
      <c r="CG703" s="52"/>
      <c r="CH703" s="52"/>
      <c r="CI703" s="52"/>
      <c r="CJ703" s="52"/>
      <c r="CK703" s="52"/>
      <c r="CL703" s="52"/>
      <c r="CM703" s="52"/>
      <c r="CN703" s="52"/>
      <c r="CO703" s="52"/>
      <c r="CP703" s="52"/>
      <c r="CQ703" s="52"/>
      <c r="CR703" s="52"/>
      <c r="CS703" s="52"/>
      <c r="CT703" s="52"/>
      <c r="CU703" s="52"/>
      <c r="CV703" s="52"/>
      <c r="CW703" s="52"/>
      <c r="CX703" s="52"/>
      <c r="CY703" s="52"/>
      <c r="CZ703" s="52"/>
      <c r="DA703" s="52"/>
      <c r="DB703" s="52"/>
      <c r="DC703" s="52"/>
      <c r="DD703" s="52"/>
      <c r="DE703" s="52"/>
      <c r="DF703" s="52"/>
      <c r="DG703" s="52"/>
      <c r="DH703" s="52"/>
      <c r="DI703" s="52"/>
      <c r="DJ703" s="52"/>
      <c r="DK703" s="52"/>
      <c r="DL703" s="52"/>
      <c r="DM703" s="52"/>
      <c r="DN703" s="52"/>
      <c r="DO703" s="52"/>
      <c r="DP703" s="52"/>
      <c r="DQ703" s="52"/>
      <c r="DR703" s="52"/>
      <c r="DS703" s="52"/>
      <c r="DT703" s="52"/>
      <c r="DU703" s="52"/>
      <c r="DV703" s="52"/>
      <c r="DW703" s="52"/>
      <c r="DX703" s="52"/>
      <c r="DY703" s="52"/>
      <c r="DZ703" s="52"/>
      <c r="EA703" s="52"/>
      <c r="EB703" s="52"/>
      <c r="EC703" s="52"/>
      <c r="ED703" s="52"/>
      <c r="EE703" s="52"/>
      <c r="EF703" s="52"/>
      <c r="EG703" s="52"/>
      <c r="EH703" s="52"/>
      <c r="EI703" s="52"/>
      <c r="EJ703" s="52"/>
      <c r="EK703" s="52"/>
      <c r="EL703" s="52"/>
      <c r="EM703" s="52"/>
      <c r="EN703" s="52"/>
      <c r="EO703" s="52"/>
      <c r="EP703" s="52"/>
      <c r="EQ703" s="52"/>
      <c r="ER703" s="52"/>
      <c r="ES703" s="52"/>
    </row>
    <row r="704" spans="1:149" ht="22.5">
      <c r="A704" s="39" t="s">
        <v>338</v>
      </c>
      <c r="B704" s="6"/>
      <c r="C704" s="6"/>
      <c r="D704" s="48"/>
      <c r="E704" s="48">
        <v>-20000</v>
      </c>
      <c r="F704" s="48">
        <f>E704</f>
        <v>-20000</v>
      </c>
      <c r="G704" s="86"/>
      <c r="H704" s="86">
        <f>-2054092+2054092</f>
        <v>0</v>
      </c>
      <c r="I704" s="86"/>
      <c r="J704" s="86">
        <f>H704</f>
        <v>0</v>
      </c>
      <c r="K704" s="86"/>
      <c r="L704" s="86"/>
      <c r="M704" s="86"/>
      <c r="N704" s="86"/>
      <c r="O704" s="95">
        <v>-2054092</v>
      </c>
      <c r="P704" s="95">
        <v>-2054092</v>
      </c>
      <c r="Q704" s="24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  <c r="AC704" s="52"/>
      <c r="AD704" s="52"/>
      <c r="AE704" s="52"/>
      <c r="AF704" s="52"/>
      <c r="AG704" s="52"/>
      <c r="AH704" s="52"/>
      <c r="AI704" s="52"/>
      <c r="AJ704" s="52"/>
      <c r="AK704" s="52"/>
      <c r="AL704" s="52"/>
      <c r="AM704" s="52"/>
      <c r="AN704" s="52"/>
      <c r="AO704" s="52"/>
      <c r="AP704" s="52"/>
      <c r="AQ704" s="52"/>
      <c r="AR704" s="52"/>
      <c r="AS704" s="52"/>
      <c r="AT704" s="52"/>
      <c r="AU704" s="52"/>
      <c r="AV704" s="52"/>
      <c r="AW704" s="52"/>
      <c r="AX704" s="52"/>
      <c r="AY704" s="52"/>
      <c r="AZ704" s="52"/>
      <c r="BA704" s="52"/>
      <c r="BB704" s="52"/>
      <c r="BC704" s="52"/>
      <c r="BD704" s="52"/>
      <c r="BE704" s="52"/>
      <c r="BF704" s="52"/>
      <c r="BG704" s="52"/>
      <c r="BH704" s="52"/>
      <c r="BI704" s="52"/>
      <c r="BJ704" s="52"/>
      <c r="BK704" s="52"/>
      <c r="BL704" s="52"/>
      <c r="BM704" s="52"/>
      <c r="BN704" s="52"/>
      <c r="BO704" s="52"/>
      <c r="BP704" s="52"/>
      <c r="BQ704" s="52"/>
      <c r="BR704" s="52"/>
      <c r="BS704" s="52"/>
      <c r="BT704" s="52"/>
      <c r="BU704" s="52"/>
      <c r="BV704" s="52"/>
      <c r="BW704" s="52"/>
      <c r="BX704" s="52"/>
      <c r="BY704" s="52"/>
      <c r="BZ704" s="52"/>
      <c r="CA704" s="52"/>
      <c r="CB704" s="52"/>
      <c r="CC704" s="52"/>
      <c r="CD704" s="52"/>
      <c r="CE704" s="52"/>
      <c r="CF704" s="52"/>
      <c r="CG704" s="52"/>
      <c r="CH704" s="52"/>
      <c r="CI704" s="52"/>
      <c r="CJ704" s="52"/>
      <c r="CK704" s="52"/>
      <c r="CL704" s="52"/>
      <c r="CM704" s="52"/>
      <c r="CN704" s="52"/>
      <c r="CO704" s="52"/>
      <c r="CP704" s="52"/>
      <c r="CQ704" s="52"/>
      <c r="CR704" s="52"/>
      <c r="CS704" s="52"/>
      <c r="CT704" s="52"/>
      <c r="CU704" s="52"/>
      <c r="CV704" s="52"/>
      <c r="CW704" s="52"/>
      <c r="CX704" s="52"/>
      <c r="CY704" s="52"/>
      <c r="CZ704" s="52"/>
      <c r="DA704" s="52"/>
      <c r="DB704" s="52"/>
      <c r="DC704" s="52"/>
      <c r="DD704" s="52"/>
      <c r="DE704" s="52"/>
      <c r="DF704" s="52"/>
      <c r="DG704" s="52"/>
      <c r="DH704" s="52"/>
      <c r="DI704" s="52"/>
      <c r="DJ704" s="52"/>
      <c r="DK704" s="52"/>
      <c r="DL704" s="52"/>
      <c r="DM704" s="52"/>
      <c r="DN704" s="52"/>
      <c r="DO704" s="52"/>
      <c r="DP704" s="52"/>
      <c r="DQ704" s="52"/>
      <c r="DR704" s="52"/>
      <c r="DS704" s="52"/>
      <c r="DT704" s="52"/>
      <c r="DU704" s="52"/>
      <c r="DV704" s="52"/>
      <c r="DW704" s="52"/>
      <c r="DX704" s="52"/>
      <c r="DY704" s="52"/>
      <c r="DZ704" s="52"/>
      <c r="EA704" s="52"/>
      <c r="EB704" s="52"/>
      <c r="EC704" s="52"/>
      <c r="ED704" s="52"/>
      <c r="EE704" s="52"/>
      <c r="EF704" s="52"/>
      <c r="EG704" s="52"/>
      <c r="EH704" s="52"/>
      <c r="EI704" s="52"/>
      <c r="EJ704" s="52"/>
      <c r="EK704" s="52"/>
      <c r="EL704" s="52"/>
      <c r="EM704" s="52"/>
      <c r="EN704" s="52"/>
      <c r="EO704" s="52"/>
      <c r="EP704" s="52"/>
      <c r="EQ704" s="52"/>
      <c r="ER704" s="52"/>
      <c r="ES704" s="52"/>
    </row>
    <row r="705" spans="1:149" ht="11.25">
      <c r="A705" s="36" t="s">
        <v>301</v>
      </c>
      <c r="B705" s="6"/>
      <c r="C705" s="6"/>
      <c r="D705" s="48"/>
      <c r="E705" s="48"/>
      <c r="F705" s="48"/>
      <c r="G705" s="80">
        <f>G707</f>
        <v>0</v>
      </c>
      <c r="H705" s="80">
        <f>H707</f>
        <v>0</v>
      </c>
      <c r="I705" s="80">
        <f>I707</f>
        <v>0</v>
      </c>
      <c r="J705" s="80">
        <f>J707</f>
        <v>0</v>
      </c>
      <c r="K705" s="86"/>
      <c r="L705" s="86"/>
      <c r="M705" s="86"/>
      <c r="N705" s="86"/>
      <c r="O705" s="160">
        <f>O707</f>
        <v>-740000</v>
      </c>
      <c r="P705" s="160">
        <f>P707</f>
        <v>-740000</v>
      </c>
      <c r="Q705" s="24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  <c r="AC705" s="52"/>
      <c r="AD705" s="52"/>
      <c r="AE705" s="52"/>
      <c r="AF705" s="52"/>
      <c r="AG705" s="52"/>
      <c r="AH705" s="52"/>
      <c r="AI705" s="52"/>
      <c r="AJ705" s="52"/>
      <c r="AK705" s="52"/>
      <c r="AL705" s="52"/>
      <c r="AM705" s="52"/>
      <c r="AN705" s="52"/>
      <c r="AO705" s="52"/>
      <c r="AP705" s="52"/>
      <c r="AQ705" s="52"/>
      <c r="AR705" s="52"/>
      <c r="AS705" s="52"/>
      <c r="AT705" s="52"/>
      <c r="AU705" s="52"/>
      <c r="AV705" s="52"/>
      <c r="AW705" s="52"/>
      <c r="AX705" s="52"/>
      <c r="AY705" s="52"/>
      <c r="AZ705" s="52"/>
      <c r="BA705" s="52"/>
      <c r="BB705" s="52"/>
      <c r="BC705" s="52"/>
      <c r="BD705" s="52"/>
      <c r="BE705" s="52"/>
      <c r="BF705" s="52"/>
      <c r="BG705" s="52"/>
      <c r="BH705" s="52"/>
      <c r="BI705" s="52"/>
      <c r="BJ705" s="52"/>
      <c r="BK705" s="52"/>
      <c r="BL705" s="52"/>
      <c r="BM705" s="52"/>
      <c r="BN705" s="52"/>
      <c r="BO705" s="52"/>
      <c r="BP705" s="52"/>
      <c r="BQ705" s="52"/>
      <c r="BR705" s="52"/>
      <c r="BS705" s="52"/>
      <c r="BT705" s="52"/>
      <c r="BU705" s="52"/>
      <c r="BV705" s="52"/>
      <c r="BW705" s="52"/>
      <c r="BX705" s="52"/>
      <c r="BY705" s="52"/>
      <c r="BZ705" s="52"/>
      <c r="CA705" s="52"/>
      <c r="CB705" s="52"/>
      <c r="CC705" s="52"/>
      <c r="CD705" s="52"/>
      <c r="CE705" s="52"/>
      <c r="CF705" s="52"/>
      <c r="CG705" s="52"/>
      <c r="CH705" s="52"/>
      <c r="CI705" s="52"/>
      <c r="CJ705" s="52"/>
      <c r="CK705" s="52"/>
      <c r="CL705" s="52"/>
      <c r="CM705" s="52"/>
      <c r="CN705" s="52"/>
      <c r="CO705" s="52"/>
      <c r="CP705" s="52"/>
      <c r="CQ705" s="52"/>
      <c r="CR705" s="52"/>
      <c r="CS705" s="52"/>
      <c r="CT705" s="52"/>
      <c r="CU705" s="52"/>
      <c r="CV705" s="52"/>
      <c r="CW705" s="52"/>
      <c r="CX705" s="52"/>
      <c r="CY705" s="52"/>
      <c r="CZ705" s="52"/>
      <c r="DA705" s="52"/>
      <c r="DB705" s="52"/>
      <c r="DC705" s="52"/>
      <c r="DD705" s="52"/>
      <c r="DE705" s="52"/>
      <c r="DF705" s="52"/>
      <c r="DG705" s="52"/>
      <c r="DH705" s="52"/>
      <c r="DI705" s="52"/>
      <c r="DJ705" s="52"/>
      <c r="DK705" s="52"/>
      <c r="DL705" s="52"/>
      <c r="DM705" s="52"/>
      <c r="DN705" s="52"/>
      <c r="DO705" s="52"/>
      <c r="DP705" s="52"/>
      <c r="DQ705" s="52"/>
      <c r="DR705" s="52"/>
      <c r="DS705" s="52"/>
      <c r="DT705" s="52"/>
      <c r="DU705" s="52"/>
      <c r="DV705" s="52"/>
      <c r="DW705" s="52"/>
      <c r="DX705" s="52"/>
      <c r="DY705" s="52"/>
      <c r="DZ705" s="52"/>
      <c r="EA705" s="52"/>
      <c r="EB705" s="52"/>
      <c r="EC705" s="52"/>
      <c r="ED705" s="52"/>
      <c r="EE705" s="52"/>
      <c r="EF705" s="52"/>
      <c r="EG705" s="52"/>
      <c r="EH705" s="52"/>
      <c r="EI705" s="52"/>
      <c r="EJ705" s="52"/>
      <c r="EK705" s="52"/>
      <c r="EL705" s="52"/>
      <c r="EM705" s="52"/>
      <c r="EN705" s="52"/>
      <c r="EO705" s="52"/>
      <c r="EP705" s="52"/>
      <c r="EQ705" s="52"/>
      <c r="ER705" s="52"/>
      <c r="ES705" s="52"/>
    </row>
    <row r="706" spans="1:149" ht="11.25">
      <c r="A706" s="8" t="s">
        <v>197</v>
      </c>
      <c r="B706" s="6"/>
      <c r="C706" s="6"/>
      <c r="D706" s="48"/>
      <c r="E706" s="48"/>
      <c r="F706" s="48"/>
      <c r="G706" s="7"/>
      <c r="H706" s="7"/>
      <c r="I706" s="7"/>
      <c r="J706" s="7"/>
      <c r="K706" s="86"/>
      <c r="L706" s="86"/>
      <c r="M706" s="86"/>
      <c r="N706" s="86"/>
      <c r="O706" s="95"/>
      <c r="P706" s="95"/>
      <c r="Q706" s="24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  <c r="AC706" s="52"/>
      <c r="AD706" s="52"/>
      <c r="AE706" s="52"/>
      <c r="AF706" s="52"/>
      <c r="AG706" s="52"/>
      <c r="AH706" s="52"/>
      <c r="AI706" s="52"/>
      <c r="AJ706" s="52"/>
      <c r="AK706" s="52"/>
      <c r="AL706" s="52"/>
      <c r="AM706" s="52"/>
      <c r="AN706" s="52"/>
      <c r="AO706" s="52"/>
      <c r="AP706" s="52"/>
      <c r="AQ706" s="52"/>
      <c r="AR706" s="52"/>
      <c r="AS706" s="52"/>
      <c r="AT706" s="52"/>
      <c r="AU706" s="52"/>
      <c r="AV706" s="52"/>
      <c r="AW706" s="52"/>
      <c r="AX706" s="52"/>
      <c r="AY706" s="52"/>
      <c r="AZ706" s="52"/>
      <c r="BA706" s="52"/>
      <c r="BB706" s="52"/>
      <c r="BC706" s="52"/>
      <c r="BD706" s="52"/>
      <c r="BE706" s="52"/>
      <c r="BF706" s="52"/>
      <c r="BG706" s="52"/>
      <c r="BH706" s="52"/>
      <c r="BI706" s="52"/>
      <c r="BJ706" s="52"/>
      <c r="BK706" s="52"/>
      <c r="BL706" s="52"/>
      <c r="BM706" s="52"/>
      <c r="BN706" s="52"/>
      <c r="BO706" s="52"/>
      <c r="BP706" s="52"/>
      <c r="BQ706" s="52"/>
      <c r="BR706" s="52"/>
      <c r="BS706" s="52"/>
      <c r="BT706" s="52"/>
      <c r="BU706" s="52"/>
      <c r="BV706" s="52"/>
      <c r="BW706" s="52"/>
      <c r="BX706" s="52"/>
      <c r="BY706" s="52"/>
      <c r="BZ706" s="52"/>
      <c r="CA706" s="52"/>
      <c r="CB706" s="52"/>
      <c r="CC706" s="52"/>
      <c r="CD706" s="52"/>
      <c r="CE706" s="52"/>
      <c r="CF706" s="52"/>
      <c r="CG706" s="52"/>
      <c r="CH706" s="52"/>
      <c r="CI706" s="52"/>
      <c r="CJ706" s="52"/>
      <c r="CK706" s="52"/>
      <c r="CL706" s="52"/>
      <c r="CM706" s="52"/>
      <c r="CN706" s="52"/>
      <c r="CO706" s="52"/>
      <c r="CP706" s="52"/>
      <c r="CQ706" s="52"/>
      <c r="CR706" s="52"/>
      <c r="CS706" s="52"/>
      <c r="CT706" s="52"/>
      <c r="CU706" s="52"/>
      <c r="CV706" s="52"/>
      <c r="CW706" s="52"/>
      <c r="CX706" s="52"/>
      <c r="CY706" s="52"/>
      <c r="CZ706" s="52"/>
      <c r="DA706" s="52"/>
      <c r="DB706" s="52"/>
      <c r="DC706" s="52"/>
      <c r="DD706" s="52"/>
      <c r="DE706" s="52"/>
      <c r="DF706" s="52"/>
      <c r="DG706" s="52"/>
      <c r="DH706" s="52"/>
      <c r="DI706" s="52"/>
      <c r="DJ706" s="52"/>
      <c r="DK706" s="52"/>
      <c r="DL706" s="52"/>
      <c r="DM706" s="52"/>
      <c r="DN706" s="52"/>
      <c r="DO706" s="52"/>
      <c r="DP706" s="52"/>
      <c r="DQ706" s="52"/>
      <c r="DR706" s="52"/>
      <c r="DS706" s="52"/>
      <c r="DT706" s="52"/>
      <c r="DU706" s="52"/>
      <c r="DV706" s="52"/>
      <c r="DW706" s="52"/>
      <c r="DX706" s="52"/>
      <c r="DY706" s="52"/>
      <c r="DZ706" s="52"/>
      <c r="EA706" s="52"/>
      <c r="EB706" s="52"/>
      <c r="EC706" s="52"/>
      <c r="ED706" s="52"/>
      <c r="EE706" s="52"/>
      <c r="EF706" s="52"/>
      <c r="EG706" s="52"/>
      <c r="EH706" s="52"/>
      <c r="EI706" s="52"/>
      <c r="EJ706" s="52"/>
      <c r="EK706" s="52"/>
      <c r="EL706" s="52"/>
      <c r="EM706" s="52"/>
      <c r="EN706" s="52"/>
      <c r="EO706" s="52"/>
      <c r="EP706" s="52"/>
      <c r="EQ706" s="52"/>
      <c r="ER706" s="52"/>
      <c r="ES706" s="52"/>
    </row>
    <row r="707" spans="1:149" ht="22.5">
      <c r="A707" s="33" t="s">
        <v>473</v>
      </c>
      <c r="B707" s="6"/>
      <c r="C707" s="6"/>
      <c r="D707" s="48"/>
      <c r="E707" s="48"/>
      <c r="F707" s="48"/>
      <c r="G707" s="29"/>
      <c r="H707" s="35">
        <f>H709</f>
        <v>0</v>
      </c>
      <c r="I707" s="35"/>
      <c r="J707" s="35">
        <f>H707</f>
        <v>0</v>
      </c>
      <c r="K707" s="86"/>
      <c r="L707" s="86"/>
      <c r="M707" s="86"/>
      <c r="N707" s="86"/>
      <c r="O707" s="159">
        <f>O709</f>
        <v>-740000</v>
      </c>
      <c r="P707" s="159">
        <f>P709</f>
        <v>-740000</v>
      </c>
      <c r="Q707" s="24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  <c r="AC707" s="52"/>
      <c r="AD707" s="52"/>
      <c r="AE707" s="52"/>
      <c r="AF707" s="52"/>
      <c r="AG707" s="52"/>
      <c r="AH707" s="52"/>
      <c r="AI707" s="52"/>
      <c r="AJ707" s="52"/>
      <c r="AK707" s="52"/>
      <c r="AL707" s="52"/>
      <c r="AM707" s="52"/>
      <c r="AN707" s="52"/>
      <c r="AO707" s="52"/>
      <c r="AP707" s="52"/>
      <c r="AQ707" s="52"/>
      <c r="AR707" s="52"/>
      <c r="AS707" s="52"/>
      <c r="AT707" s="52"/>
      <c r="AU707" s="52"/>
      <c r="AV707" s="52"/>
      <c r="AW707" s="52"/>
      <c r="AX707" s="52"/>
      <c r="AY707" s="52"/>
      <c r="AZ707" s="52"/>
      <c r="BA707" s="52"/>
      <c r="BB707" s="52"/>
      <c r="BC707" s="52"/>
      <c r="BD707" s="52"/>
      <c r="BE707" s="52"/>
      <c r="BF707" s="52"/>
      <c r="BG707" s="52"/>
      <c r="BH707" s="52"/>
      <c r="BI707" s="52"/>
      <c r="BJ707" s="52"/>
      <c r="BK707" s="52"/>
      <c r="BL707" s="52"/>
      <c r="BM707" s="52"/>
      <c r="BN707" s="52"/>
      <c r="BO707" s="52"/>
      <c r="BP707" s="52"/>
      <c r="BQ707" s="52"/>
      <c r="BR707" s="52"/>
      <c r="BS707" s="52"/>
      <c r="BT707" s="52"/>
      <c r="BU707" s="52"/>
      <c r="BV707" s="52"/>
      <c r="BW707" s="52"/>
      <c r="BX707" s="52"/>
      <c r="BY707" s="52"/>
      <c r="BZ707" s="52"/>
      <c r="CA707" s="52"/>
      <c r="CB707" s="52"/>
      <c r="CC707" s="52"/>
      <c r="CD707" s="52"/>
      <c r="CE707" s="52"/>
      <c r="CF707" s="52"/>
      <c r="CG707" s="52"/>
      <c r="CH707" s="52"/>
      <c r="CI707" s="52"/>
      <c r="CJ707" s="52"/>
      <c r="CK707" s="52"/>
      <c r="CL707" s="52"/>
      <c r="CM707" s="52"/>
      <c r="CN707" s="52"/>
      <c r="CO707" s="52"/>
      <c r="CP707" s="52"/>
      <c r="CQ707" s="52"/>
      <c r="CR707" s="52"/>
      <c r="CS707" s="52"/>
      <c r="CT707" s="52"/>
      <c r="CU707" s="52"/>
      <c r="CV707" s="52"/>
      <c r="CW707" s="52"/>
      <c r="CX707" s="52"/>
      <c r="CY707" s="52"/>
      <c r="CZ707" s="52"/>
      <c r="DA707" s="52"/>
      <c r="DB707" s="52"/>
      <c r="DC707" s="52"/>
      <c r="DD707" s="52"/>
      <c r="DE707" s="52"/>
      <c r="DF707" s="52"/>
      <c r="DG707" s="52"/>
      <c r="DH707" s="52"/>
      <c r="DI707" s="52"/>
      <c r="DJ707" s="52"/>
      <c r="DK707" s="52"/>
      <c r="DL707" s="52"/>
      <c r="DM707" s="52"/>
      <c r="DN707" s="52"/>
      <c r="DO707" s="52"/>
      <c r="DP707" s="52"/>
      <c r="DQ707" s="52"/>
      <c r="DR707" s="52"/>
      <c r="DS707" s="52"/>
      <c r="DT707" s="52"/>
      <c r="DU707" s="52"/>
      <c r="DV707" s="52"/>
      <c r="DW707" s="52"/>
      <c r="DX707" s="52"/>
      <c r="DY707" s="52"/>
      <c r="DZ707" s="52"/>
      <c r="EA707" s="52"/>
      <c r="EB707" s="52"/>
      <c r="EC707" s="52"/>
      <c r="ED707" s="52"/>
      <c r="EE707" s="52"/>
      <c r="EF707" s="52"/>
      <c r="EG707" s="52"/>
      <c r="EH707" s="52"/>
      <c r="EI707" s="52"/>
      <c r="EJ707" s="52"/>
      <c r="EK707" s="52"/>
      <c r="EL707" s="52"/>
      <c r="EM707" s="52"/>
      <c r="EN707" s="52"/>
      <c r="EO707" s="52"/>
      <c r="EP707" s="52"/>
      <c r="EQ707" s="52"/>
      <c r="ER707" s="52"/>
      <c r="ES707" s="52"/>
    </row>
    <row r="708" spans="1:149" ht="11.25">
      <c r="A708" s="5" t="s">
        <v>4</v>
      </c>
      <c r="B708" s="6"/>
      <c r="C708" s="6"/>
      <c r="D708" s="48"/>
      <c r="E708" s="48"/>
      <c r="F708" s="48"/>
      <c r="G708" s="7"/>
      <c r="H708" s="7"/>
      <c r="I708" s="7"/>
      <c r="J708" s="7"/>
      <c r="K708" s="86"/>
      <c r="L708" s="86"/>
      <c r="M708" s="86"/>
      <c r="N708" s="86"/>
      <c r="O708" s="95"/>
      <c r="P708" s="95"/>
      <c r="Q708" s="24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  <c r="AC708" s="52"/>
      <c r="AD708" s="52"/>
      <c r="AE708" s="52"/>
      <c r="AF708" s="52"/>
      <c r="AG708" s="52"/>
      <c r="AH708" s="52"/>
      <c r="AI708" s="52"/>
      <c r="AJ708" s="52"/>
      <c r="AK708" s="52"/>
      <c r="AL708" s="52"/>
      <c r="AM708" s="52"/>
      <c r="AN708" s="52"/>
      <c r="AO708" s="52"/>
      <c r="AP708" s="52"/>
      <c r="AQ708" s="52"/>
      <c r="AR708" s="52"/>
      <c r="AS708" s="52"/>
      <c r="AT708" s="52"/>
      <c r="AU708" s="52"/>
      <c r="AV708" s="52"/>
      <c r="AW708" s="52"/>
      <c r="AX708" s="52"/>
      <c r="AY708" s="52"/>
      <c r="AZ708" s="52"/>
      <c r="BA708" s="52"/>
      <c r="BB708" s="52"/>
      <c r="BC708" s="52"/>
      <c r="BD708" s="52"/>
      <c r="BE708" s="52"/>
      <c r="BF708" s="52"/>
      <c r="BG708" s="52"/>
      <c r="BH708" s="52"/>
      <c r="BI708" s="52"/>
      <c r="BJ708" s="52"/>
      <c r="BK708" s="52"/>
      <c r="BL708" s="52"/>
      <c r="BM708" s="52"/>
      <c r="BN708" s="52"/>
      <c r="BO708" s="52"/>
      <c r="BP708" s="52"/>
      <c r="BQ708" s="52"/>
      <c r="BR708" s="52"/>
      <c r="BS708" s="52"/>
      <c r="BT708" s="52"/>
      <c r="BU708" s="52"/>
      <c r="BV708" s="52"/>
      <c r="BW708" s="52"/>
      <c r="BX708" s="52"/>
      <c r="BY708" s="52"/>
      <c r="BZ708" s="52"/>
      <c r="CA708" s="52"/>
      <c r="CB708" s="52"/>
      <c r="CC708" s="52"/>
      <c r="CD708" s="52"/>
      <c r="CE708" s="52"/>
      <c r="CF708" s="52"/>
      <c r="CG708" s="52"/>
      <c r="CH708" s="52"/>
      <c r="CI708" s="52"/>
      <c r="CJ708" s="52"/>
      <c r="CK708" s="52"/>
      <c r="CL708" s="52"/>
      <c r="CM708" s="52"/>
      <c r="CN708" s="52"/>
      <c r="CO708" s="52"/>
      <c r="CP708" s="52"/>
      <c r="CQ708" s="52"/>
      <c r="CR708" s="52"/>
      <c r="CS708" s="52"/>
      <c r="CT708" s="52"/>
      <c r="CU708" s="52"/>
      <c r="CV708" s="52"/>
      <c r="CW708" s="52"/>
      <c r="CX708" s="52"/>
      <c r="CY708" s="52"/>
      <c r="CZ708" s="52"/>
      <c r="DA708" s="52"/>
      <c r="DB708" s="52"/>
      <c r="DC708" s="52"/>
      <c r="DD708" s="52"/>
      <c r="DE708" s="52"/>
      <c r="DF708" s="52"/>
      <c r="DG708" s="52"/>
      <c r="DH708" s="52"/>
      <c r="DI708" s="52"/>
      <c r="DJ708" s="52"/>
      <c r="DK708" s="52"/>
      <c r="DL708" s="52"/>
      <c r="DM708" s="52"/>
      <c r="DN708" s="52"/>
      <c r="DO708" s="52"/>
      <c r="DP708" s="52"/>
      <c r="DQ708" s="52"/>
      <c r="DR708" s="52"/>
      <c r="DS708" s="52"/>
      <c r="DT708" s="52"/>
      <c r="DU708" s="52"/>
      <c r="DV708" s="52"/>
      <c r="DW708" s="52"/>
      <c r="DX708" s="52"/>
      <c r="DY708" s="52"/>
      <c r="DZ708" s="52"/>
      <c r="EA708" s="52"/>
      <c r="EB708" s="52"/>
      <c r="EC708" s="52"/>
      <c r="ED708" s="52"/>
      <c r="EE708" s="52"/>
      <c r="EF708" s="52"/>
      <c r="EG708" s="52"/>
      <c r="EH708" s="52"/>
      <c r="EI708" s="52"/>
      <c r="EJ708" s="52"/>
      <c r="EK708" s="52"/>
      <c r="EL708" s="52"/>
      <c r="EM708" s="52"/>
      <c r="EN708" s="52"/>
      <c r="EO708" s="52"/>
      <c r="EP708" s="52"/>
      <c r="EQ708" s="52"/>
      <c r="ER708" s="52"/>
      <c r="ES708" s="52"/>
    </row>
    <row r="709" spans="1:149" ht="22.5">
      <c r="A709" s="8" t="s">
        <v>199</v>
      </c>
      <c r="B709" s="6"/>
      <c r="C709" s="6"/>
      <c r="D709" s="48"/>
      <c r="E709" s="48"/>
      <c r="F709" s="48"/>
      <c r="G709" s="86"/>
      <c r="H709" s="86">
        <f>H711*H713</f>
        <v>0</v>
      </c>
      <c r="I709" s="86"/>
      <c r="J709" s="86">
        <f>H709</f>
        <v>0</v>
      </c>
      <c r="K709" s="86"/>
      <c r="L709" s="86"/>
      <c r="M709" s="86"/>
      <c r="N709" s="86"/>
      <c r="O709" s="95">
        <f>O711*O713</f>
        <v>-740000</v>
      </c>
      <c r="P709" s="95">
        <f>P711*P713</f>
        <v>-740000</v>
      </c>
      <c r="Q709" s="24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  <c r="AC709" s="52"/>
      <c r="AD709" s="52"/>
      <c r="AE709" s="52"/>
      <c r="AF709" s="52"/>
      <c r="AG709" s="52"/>
      <c r="AH709" s="52"/>
      <c r="AI709" s="52"/>
      <c r="AJ709" s="52"/>
      <c r="AK709" s="52"/>
      <c r="AL709" s="52"/>
      <c r="AM709" s="52"/>
      <c r="AN709" s="52"/>
      <c r="AO709" s="52"/>
      <c r="AP709" s="52"/>
      <c r="AQ709" s="52"/>
      <c r="AR709" s="52"/>
      <c r="AS709" s="52"/>
      <c r="AT709" s="52"/>
      <c r="AU709" s="52"/>
      <c r="AV709" s="52"/>
      <c r="AW709" s="52"/>
      <c r="AX709" s="52"/>
      <c r="AY709" s="52"/>
      <c r="AZ709" s="52"/>
      <c r="BA709" s="52"/>
      <c r="BB709" s="52"/>
      <c r="BC709" s="52"/>
      <c r="BD709" s="52"/>
      <c r="BE709" s="52"/>
      <c r="BF709" s="52"/>
      <c r="BG709" s="52"/>
      <c r="BH709" s="52"/>
      <c r="BI709" s="52"/>
      <c r="BJ709" s="52"/>
      <c r="BK709" s="52"/>
      <c r="BL709" s="52"/>
      <c r="BM709" s="52"/>
      <c r="BN709" s="52"/>
      <c r="BO709" s="52"/>
      <c r="BP709" s="52"/>
      <c r="BQ709" s="52"/>
      <c r="BR709" s="52"/>
      <c r="BS709" s="52"/>
      <c r="BT709" s="52"/>
      <c r="BU709" s="52"/>
      <c r="BV709" s="52"/>
      <c r="BW709" s="52"/>
      <c r="BX709" s="52"/>
      <c r="BY709" s="52"/>
      <c r="BZ709" s="52"/>
      <c r="CA709" s="52"/>
      <c r="CB709" s="52"/>
      <c r="CC709" s="52"/>
      <c r="CD709" s="52"/>
      <c r="CE709" s="52"/>
      <c r="CF709" s="52"/>
      <c r="CG709" s="52"/>
      <c r="CH709" s="52"/>
      <c r="CI709" s="52"/>
      <c r="CJ709" s="52"/>
      <c r="CK709" s="52"/>
      <c r="CL709" s="52"/>
      <c r="CM709" s="52"/>
      <c r="CN709" s="52"/>
      <c r="CO709" s="52"/>
      <c r="CP709" s="52"/>
      <c r="CQ709" s="52"/>
      <c r="CR709" s="52"/>
      <c r="CS709" s="52"/>
      <c r="CT709" s="52"/>
      <c r="CU709" s="52"/>
      <c r="CV709" s="52"/>
      <c r="CW709" s="52"/>
      <c r="CX709" s="52"/>
      <c r="CY709" s="52"/>
      <c r="CZ709" s="52"/>
      <c r="DA709" s="52"/>
      <c r="DB709" s="52"/>
      <c r="DC709" s="52"/>
      <c r="DD709" s="52"/>
      <c r="DE709" s="52"/>
      <c r="DF709" s="52"/>
      <c r="DG709" s="52"/>
      <c r="DH709" s="52"/>
      <c r="DI709" s="52"/>
      <c r="DJ709" s="52"/>
      <c r="DK709" s="52"/>
      <c r="DL709" s="52"/>
      <c r="DM709" s="52"/>
      <c r="DN709" s="52"/>
      <c r="DO709" s="52"/>
      <c r="DP709" s="52"/>
      <c r="DQ709" s="52"/>
      <c r="DR709" s="52"/>
      <c r="DS709" s="52"/>
      <c r="DT709" s="52"/>
      <c r="DU709" s="52"/>
      <c r="DV709" s="52"/>
      <c r="DW709" s="52"/>
      <c r="DX709" s="52"/>
      <c r="DY709" s="52"/>
      <c r="DZ709" s="52"/>
      <c r="EA709" s="52"/>
      <c r="EB709" s="52"/>
      <c r="EC709" s="52"/>
      <c r="ED709" s="52"/>
      <c r="EE709" s="52"/>
      <c r="EF709" s="52"/>
      <c r="EG709" s="52"/>
      <c r="EH709" s="52"/>
      <c r="EI709" s="52"/>
      <c r="EJ709" s="52"/>
      <c r="EK709" s="52"/>
      <c r="EL709" s="52"/>
      <c r="EM709" s="52"/>
      <c r="EN709" s="52"/>
      <c r="EO709" s="52"/>
      <c r="EP709" s="52"/>
      <c r="EQ709" s="52"/>
      <c r="ER709" s="52"/>
      <c r="ES709" s="52"/>
    </row>
    <row r="710" spans="1:149" ht="11.25">
      <c r="A710" s="5" t="s">
        <v>5</v>
      </c>
      <c r="B710" s="6"/>
      <c r="C710" s="6"/>
      <c r="D710" s="48"/>
      <c r="E710" s="48"/>
      <c r="F710" s="48"/>
      <c r="G710" s="86"/>
      <c r="H710" s="86"/>
      <c r="I710" s="86"/>
      <c r="J710" s="86"/>
      <c r="K710" s="86"/>
      <c r="L710" s="86"/>
      <c r="M710" s="86"/>
      <c r="N710" s="86"/>
      <c r="O710" s="95"/>
      <c r="P710" s="95"/>
      <c r="Q710" s="24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  <c r="AC710" s="52"/>
      <c r="AD710" s="52"/>
      <c r="AE710" s="52"/>
      <c r="AF710" s="52"/>
      <c r="AG710" s="52"/>
      <c r="AH710" s="52"/>
      <c r="AI710" s="52"/>
      <c r="AJ710" s="52"/>
      <c r="AK710" s="52"/>
      <c r="AL710" s="52"/>
      <c r="AM710" s="52"/>
      <c r="AN710" s="52"/>
      <c r="AO710" s="52"/>
      <c r="AP710" s="52"/>
      <c r="AQ710" s="52"/>
      <c r="AR710" s="52"/>
      <c r="AS710" s="52"/>
      <c r="AT710" s="52"/>
      <c r="AU710" s="52"/>
      <c r="AV710" s="52"/>
      <c r="AW710" s="52"/>
      <c r="AX710" s="52"/>
      <c r="AY710" s="52"/>
      <c r="AZ710" s="52"/>
      <c r="BA710" s="52"/>
      <c r="BB710" s="52"/>
      <c r="BC710" s="52"/>
      <c r="BD710" s="52"/>
      <c r="BE710" s="52"/>
      <c r="BF710" s="52"/>
      <c r="BG710" s="52"/>
      <c r="BH710" s="52"/>
      <c r="BI710" s="52"/>
      <c r="BJ710" s="52"/>
      <c r="BK710" s="52"/>
      <c r="BL710" s="52"/>
      <c r="BM710" s="52"/>
      <c r="BN710" s="52"/>
      <c r="BO710" s="52"/>
      <c r="BP710" s="52"/>
      <c r="BQ710" s="52"/>
      <c r="BR710" s="52"/>
      <c r="BS710" s="52"/>
      <c r="BT710" s="52"/>
      <c r="BU710" s="52"/>
      <c r="BV710" s="52"/>
      <c r="BW710" s="52"/>
      <c r="BX710" s="52"/>
      <c r="BY710" s="52"/>
      <c r="BZ710" s="52"/>
      <c r="CA710" s="52"/>
      <c r="CB710" s="52"/>
      <c r="CC710" s="52"/>
      <c r="CD710" s="52"/>
      <c r="CE710" s="52"/>
      <c r="CF710" s="52"/>
      <c r="CG710" s="52"/>
      <c r="CH710" s="52"/>
      <c r="CI710" s="52"/>
      <c r="CJ710" s="52"/>
      <c r="CK710" s="52"/>
      <c r="CL710" s="52"/>
      <c r="CM710" s="52"/>
      <c r="CN710" s="52"/>
      <c r="CO710" s="52"/>
      <c r="CP710" s="52"/>
      <c r="CQ710" s="52"/>
      <c r="CR710" s="52"/>
      <c r="CS710" s="52"/>
      <c r="CT710" s="52"/>
      <c r="CU710" s="52"/>
      <c r="CV710" s="52"/>
      <c r="CW710" s="52"/>
      <c r="CX710" s="52"/>
      <c r="CY710" s="52"/>
      <c r="CZ710" s="52"/>
      <c r="DA710" s="52"/>
      <c r="DB710" s="52"/>
      <c r="DC710" s="52"/>
      <c r="DD710" s="52"/>
      <c r="DE710" s="52"/>
      <c r="DF710" s="52"/>
      <c r="DG710" s="52"/>
      <c r="DH710" s="52"/>
      <c r="DI710" s="52"/>
      <c r="DJ710" s="52"/>
      <c r="DK710" s="52"/>
      <c r="DL710" s="52"/>
      <c r="DM710" s="52"/>
      <c r="DN710" s="52"/>
      <c r="DO710" s="52"/>
      <c r="DP710" s="52"/>
      <c r="DQ710" s="52"/>
      <c r="DR710" s="52"/>
      <c r="DS710" s="52"/>
      <c r="DT710" s="52"/>
      <c r="DU710" s="52"/>
      <c r="DV710" s="52"/>
      <c r="DW710" s="52"/>
      <c r="DX710" s="52"/>
      <c r="DY710" s="52"/>
      <c r="DZ710" s="52"/>
      <c r="EA710" s="52"/>
      <c r="EB710" s="52"/>
      <c r="EC710" s="52"/>
      <c r="ED710" s="52"/>
      <c r="EE710" s="52"/>
      <c r="EF710" s="52"/>
      <c r="EG710" s="52"/>
      <c r="EH710" s="52"/>
      <c r="EI710" s="52"/>
      <c r="EJ710" s="52"/>
      <c r="EK710" s="52"/>
      <c r="EL710" s="52"/>
      <c r="EM710" s="52"/>
      <c r="EN710" s="52"/>
      <c r="EO710" s="52"/>
      <c r="EP710" s="52"/>
      <c r="EQ710" s="52"/>
      <c r="ER710" s="52"/>
      <c r="ES710" s="52"/>
    </row>
    <row r="711" spans="1:149" ht="22.5">
      <c r="A711" s="8" t="s">
        <v>198</v>
      </c>
      <c r="B711" s="6"/>
      <c r="C711" s="6"/>
      <c r="D711" s="48"/>
      <c r="E711" s="48"/>
      <c r="F711" s="48"/>
      <c r="G711" s="86"/>
      <c r="H711" s="95">
        <f>1-1</f>
        <v>0</v>
      </c>
      <c r="I711" s="86"/>
      <c r="J711" s="95">
        <f>H711</f>
        <v>0</v>
      </c>
      <c r="K711" s="86"/>
      <c r="L711" s="86"/>
      <c r="M711" s="86"/>
      <c r="N711" s="86"/>
      <c r="O711" s="95">
        <v>1</v>
      </c>
      <c r="P711" s="95">
        <v>1</v>
      </c>
      <c r="Q711" s="24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  <c r="AC711" s="52"/>
      <c r="AD711" s="52"/>
      <c r="AE711" s="52"/>
      <c r="AF711" s="52"/>
      <c r="AG711" s="52"/>
      <c r="AH711" s="52"/>
      <c r="AI711" s="52"/>
      <c r="AJ711" s="52"/>
      <c r="AK711" s="52"/>
      <c r="AL711" s="52"/>
      <c r="AM711" s="52"/>
      <c r="AN711" s="52"/>
      <c r="AO711" s="52"/>
      <c r="AP711" s="52"/>
      <c r="AQ711" s="52"/>
      <c r="AR711" s="52"/>
      <c r="AS711" s="52"/>
      <c r="AT711" s="52"/>
      <c r="AU711" s="52"/>
      <c r="AV711" s="52"/>
      <c r="AW711" s="52"/>
      <c r="AX711" s="52"/>
      <c r="AY711" s="52"/>
      <c r="AZ711" s="52"/>
      <c r="BA711" s="52"/>
      <c r="BB711" s="52"/>
      <c r="BC711" s="52"/>
      <c r="BD711" s="52"/>
      <c r="BE711" s="52"/>
      <c r="BF711" s="52"/>
      <c r="BG711" s="52"/>
      <c r="BH711" s="52"/>
      <c r="BI711" s="52"/>
      <c r="BJ711" s="52"/>
      <c r="BK711" s="52"/>
      <c r="BL711" s="52"/>
      <c r="BM711" s="52"/>
      <c r="BN711" s="52"/>
      <c r="BO711" s="52"/>
      <c r="BP711" s="52"/>
      <c r="BQ711" s="52"/>
      <c r="BR711" s="52"/>
      <c r="BS711" s="52"/>
      <c r="BT711" s="52"/>
      <c r="BU711" s="52"/>
      <c r="BV711" s="52"/>
      <c r="BW711" s="52"/>
      <c r="BX711" s="52"/>
      <c r="BY711" s="52"/>
      <c r="BZ711" s="52"/>
      <c r="CA711" s="52"/>
      <c r="CB711" s="52"/>
      <c r="CC711" s="52"/>
      <c r="CD711" s="52"/>
      <c r="CE711" s="52"/>
      <c r="CF711" s="52"/>
      <c r="CG711" s="52"/>
      <c r="CH711" s="52"/>
      <c r="CI711" s="52"/>
      <c r="CJ711" s="52"/>
      <c r="CK711" s="52"/>
      <c r="CL711" s="52"/>
      <c r="CM711" s="52"/>
      <c r="CN711" s="52"/>
      <c r="CO711" s="52"/>
      <c r="CP711" s="52"/>
      <c r="CQ711" s="52"/>
      <c r="CR711" s="52"/>
      <c r="CS711" s="52"/>
      <c r="CT711" s="52"/>
      <c r="CU711" s="52"/>
      <c r="CV711" s="52"/>
      <c r="CW711" s="52"/>
      <c r="CX711" s="52"/>
      <c r="CY711" s="52"/>
      <c r="CZ711" s="52"/>
      <c r="DA711" s="52"/>
      <c r="DB711" s="52"/>
      <c r="DC711" s="52"/>
      <c r="DD711" s="52"/>
      <c r="DE711" s="52"/>
      <c r="DF711" s="52"/>
      <c r="DG711" s="52"/>
      <c r="DH711" s="52"/>
      <c r="DI711" s="52"/>
      <c r="DJ711" s="52"/>
      <c r="DK711" s="52"/>
      <c r="DL711" s="52"/>
      <c r="DM711" s="52"/>
      <c r="DN711" s="52"/>
      <c r="DO711" s="52"/>
      <c r="DP711" s="52"/>
      <c r="DQ711" s="52"/>
      <c r="DR711" s="52"/>
      <c r="DS711" s="52"/>
      <c r="DT711" s="52"/>
      <c r="DU711" s="52"/>
      <c r="DV711" s="52"/>
      <c r="DW711" s="52"/>
      <c r="DX711" s="52"/>
      <c r="DY711" s="52"/>
      <c r="DZ711" s="52"/>
      <c r="EA711" s="52"/>
      <c r="EB711" s="52"/>
      <c r="EC711" s="52"/>
      <c r="ED711" s="52"/>
      <c r="EE711" s="52"/>
      <c r="EF711" s="52"/>
      <c r="EG711" s="52"/>
      <c r="EH711" s="52"/>
      <c r="EI711" s="52"/>
      <c r="EJ711" s="52"/>
      <c r="EK711" s="52"/>
      <c r="EL711" s="52"/>
      <c r="EM711" s="52"/>
      <c r="EN711" s="52"/>
      <c r="EO711" s="52"/>
      <c r="EP711" s="52"/>
      <c r="EQ711" s="52"/>
      <c r="ER711" s="52"/>
      <c r="ES711" s="52"/>
    </row>
    <row r="712" spans="1:149" ht="11.25">
      <c r="A712" s="33" t="s">
        <v>7</v>
      </c>
      <c r="B712" s="6"/>
      <c r="C712" s="6"/>
      <c r="D712" s="48"/>
      <c r="E712" s="48"/>
      <c r="F712" s="48"/>
      <c r="G712" s="86"/>
      <c r="H712" s="95"/>
      <c r="I712" s="86"/>
      <c r="J712" s="95"/>
      <c r="K712" s="86"/>
      <c r="L712" s="86"/>
      <c r="M712" s="86"/>
      <c r="N712" s="86"/>
      <c r="O712" s="95"/>
      <c r="P712" s="95"/>
      <c r="Q712" s="24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  <c r="AC712" s="52"/>
      <c r="AD712" s="52"/>
      <c r="AE712" s="52"/>
      <c r="AF712" s="52"/>
      <c r="AG712" s="52"/>
      <c r="AH712" s="52"/>
      <c r="AI712" s="52"/>
      <c r="AJ712" s="52"/>
      <c r="AK712" s="52"/>
      <c r="AL712" s="52"/>
      <c r="AM712" s="52"/>
      <c r="AN712" s="52"/>
      <c r="AO712" s="52"/>
      <c r="AP712" s="52"/>
      <c r="AQ712" s="52"/>
      <c r="AR712" s="52"/>
      <c r="AS712" s="52"/>
      <c r="AT712" s="52"/>
      <c r="AU712" s="52"/>
      <c r="AV712" s="52"/>
      <c r="AW712" s="52"/>
      <c r="AX712" s="52"/>
      <c r="AY712" s="52"/>
      <c r="AZ712" s="52"/>
      <c r="BA712" s="52"/>
      <c r="BB712" s="52"/>
      <c r="BC712" s="52"/>
      <c r="BD712" s="52"/>
      <c r="BE712" s="52"/>
      <c r="BF712" s="52"/>
      <c r="BG712" s="52"/>
      <c r="BH712" s="52"/>
      <c r="BI712" s="52"/>
      <c r="BJ712" s="52"/>
      <c r="BK712" s="52"/>
      <c r="BL712" s="52"/>
      <c r="BM712" s="52"/>
      <c r="BN712" s="52"/>
      <c r="BO712" s="52"/>
      <c r="BP712" s="52"/>
      <c r="BQ712" s="52"/>
      <c r="BR712" s="52"/>
      <c r="BS712" s="52"/>
      <c r="BT712" s="52"/>
      <c r="BU712" s="52"/>
      <c r="BV712" s="52"/>
      <c r="BW712" s="52"/>
      <c r="BX712" s="52"/>
      <c r="BY712" s="52"/>
      <c r="BZ712" s="52"/>
      <c r="CA712" s="52"/>
      <c r="CB712" s="52"/>
      <c r="CC712" s="52"/>
      <c r="CD712" s="52"/>
      <c r="CE712" s="52"/>
      <c r="CF712" s="52"/>
      <c r="CG712" s="52"/>
      <c r="CH712" s="52"/>
      <c r="CI712" s="52"/>
      <c r="CJ712" s="52"/>
      <c r="CK712" s="52"/>
      <c r="CL712" s="52"/>
      <c r="CM712" s="52"/>
      <c r="CN712" s="52"/>
      <c r="CO712" s="52"/>
      <c r="CP712" s="52"/>
      <c r="CQ712" s="52"/>
      <c r="CR712" s="52"/>
      <c r="CS712" s="52"/>
      <c r="CT712" s="52"/>
      <c r="CU712" s="52"/>
      <c r="CV712" s="52"/>
      <c r="CW712" s="52"/>
      <c r="CX712" s="52"/>
      <c r="CY712" s="52"/>
      <c r="CZ712" s="52"/>
      <c r="DA712" s="52"/>
      <c r="DB712" s="52"/>
      <c r="DC712" s="52"/>
      <c r="DD712" s="52"/>
      <c r="DE712" s="52"/>
      <c r="DF712" s="52"/>
      <c r="DG712" s="52"/>
      <c r="DH712" s="52"/>
      <c r="DI712" s="52"/>
      <c r="DJ712" s="52"/>
      <c r="DK712" s="52"/>
      <c r="DL712" s="52"/>
      <c r="DM712" s="52"/>
      <c r="DN712" s="52"/>
      <c r="DO712" s="52"/>
      <c r="DP712" s="52"/>
      <c r="DQ712" s="52"/>
      <c r="DR712" s="52"/>
      <c r="DS712" s="52"/>
      <c r="DT712" s="52"/>
      <c r="DU712" s="52"/>
      <c r="DV712" s="52"/>
      <c r="DW712" s="52"/>
      <c r="DX712" s="52"/>
      <c r="DY712" s="52"/>
      <c r="DZ712" s="52"/>
      <c r="EA712" s="52"/>
      <c r="EB712" s="52"/>
      <c r="EC712" s="52"/>
      <c r="ED712" s="52"/>
      <c r="EE712" s="52"/>
      <c r="EF712" s="52"/>
      <c r="EG712" s="52"/>
      <c r="EH712" s="52"/>
      <c r="EI712" s="52"/>
      <c r="EJ712" s="52"/>
      <c r="EK712" s="52"/>
      <c r="EL712" s="52"/>
      <c r="EM712" s="52"/>
      <c r="EN712" s="52"/>
      <c r="EO712" s="52"/>
      <c r="EP712" s="52"/>
      <c r="EQ712" s="52"/>
      <c r="ER712" s="52"/>
      <c r="ES712" s="52"/>
    </row>
    <row r="713" spans="1:149" ht="22.5">
      <c r="A713" s="39" t="s">
        <v>338</v>
      </c>
      <c r="B713" s="6"/>
      <c r="C713" s="6"/>
      <c r="D713" s="48"/>
      <c r="E713" s="48"/>
      <c r="F713" s="48"/>
      <c r="G713" s="86"/>
      <c r="H713" s="86">
        <f>-740000+740000</f>
        <v>0</v>
      </c>
      <c r="I713" s="86"/>
      <c r="J713" s="86">
        <f>H713</f>
        <v>0</v>
      </c>
      <c r="K713" s="86"/>
      <c r="L713" s="86"/>
      <c r="M713" s="86"/>
      <c r="N713" s="86"/>
      <c r="O713" s="95">
        <v>-740000</v>
      </c>
      <c r="P713" s="95">
        <v>-740000</v>
      </c>
      <c r="Q713" s="24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  <c r="AC713" s="52"/>
      <c r="AD713" s="52"/>
      <c r="AE713" s="52"/>
      <c r="AF713" s="52"/>
      <c r="AG713" s="52"/>
      <c r="AH713" s="52"/>
      <c r="AI713" s="52"/>
      <c r="AJ713" s="52"/>
      <c r="AK713" s="52"/>
      <c r="AL713" s="52"/>
      <c r="AM713" s="52"/>
      <c r="AN713" s="52"/>
      <c r="AO713" s="52"/>
      <c r="AP713" s="52"/>
      <c r="AQ713" s="52"/>
      <c r="AR713" s="52"/>
      <c r="AS713" s="52"/>
      <c r="AT713" s="52"/>
      <c r="AU713" s="52"/>
      <c r="AV713" s="52"/>
      <c r="AW713" s="52"/>
      <c r="AX713" s="52"/>
      <c r="AY713" s="52"/>
      <c r="AZ713" s="52"/>
      <c r="BA713" s="52"/>
      <c r="BB713" s="52"/>
      <c r="BC713" s="52"/>
      <c r="BD713" s="52"/>
      <c r="BE713" s="52"/>
      <c r="BF713" s="52"/>
      <c r="BG713" s="52"/>
      <c r="BH713" s="52"/>
      <c r="BI713" s="52"/>
      <c r="BJ713" s="52"/>
      <c r="BK713" s="52"/>
      <c r="BL713" s="52"/>
      <c r="BM713" s="52"/>
      <c r="BN713" s="52"/>
      <c r="BO713" s="52"/>
      <c r="BP713" s="52"/>
      <c r="BQ713" s="52"/>
      <c r="BR713" s="52"/>
      <c r="BS713" s="52"/>
      <c r="BT713" s="52"/>
      <c r="BU713" s="52"/>
      <c r="BV713" s="52"/>
      <c r="BW713" s="52"/>
      <c r="BX713" s="52"/>
      <c r="BY713" s="52"/>
      <c r="BZ713" s="52"/>
      <c r="CA713" s="52"/>
      <c r="CB713" s="52"/>
      <c r="CC713" s="52"/>
      <c r="CD713" s="52"/>
      <c r="CE713" s="52"/>
      <c r="CF713" s="52"/>
      <c r="CG713" s="52"/>
      <c r="CH713" s="52"/>
      <c r="CI713" s="52"/>
      <c r="CJ713" s="52"/>
      <c r="CK713" s="52"/>
      <c r="CL713" s="52"/>
      <c r="CM713" s="52"/>
      <c r="CN713" s="52"/>
      <c r="CO713" s="52"/>
      <c r="CP713" s="52"/>
      <c r="CQ713" s="52"/>
      <c r="CR713" s="52"/>
      <c r="CS713" s="52"/>
      <c r="CT713" s="52"/>
      <c r="CU713" s="52"/>
      <c r="CV713" s="52"/>
      <c r="CW713" s="52"/>
      <c r="CX713" s="52"/>
      <c r="CY713" s="52"/>
      <c r="CZ713" s="52"/>
      <c r="DA713" s="52"/>
      <c r="DB713" s="52"/>
      <c r="DC713" s="52"/>
      <c r="DD713" s="52"/>
      <c r="DE713" s="52"/>
      <c r="DF713" s="52"/>
      <c r="DG713" s="52"/>
      <c r="DH713" s="52"/>
      <c r="DI713" s="52"/>
      <c r="DJ713" s="52"/>
      <c r="DK713" s="52"/>
      <c r="DL713" s="52"/>
      <c r="DM713" s="52"/>
      <c r="DN713" s="52"/>
      <c r="DO713" s="52"/>
      <c r="DP713" s="52"/>
      <c r="DQ713" s="52"/>
      <c r="DR713" s="52"/>
      <c r="DS713" s="52"/>
      <c r="DT713" s="52"/>
      <c r="DU713" s="52"/>
      <c r="DV713" s="52"/>
      <c r="DW713" s="52"/>
      <c r="DX713" s="52"/>
      <c r="DY713" s="52"/>
      <c r="DZ713" s="52"/>
      <c r="EA713" s="52"/>
      <c r="EB713" s="52"/>
      <c r="EC713" s="52"/>
      <c r="ED713" s="52"/>
      <c r="EE713" s="52"/>
      <c r="EF713" s="52"/>
      <c r="EG713" s="52"/>
      <c r="EH713" s="52"/>
      <c r="EI713" s="52"/>
      <c r="EJ713" s="52"/>
      <c r="EK713" s="52"/>
      <c r="EL713" s="52"/>
      <c r="EM713" s="52"/>
      <c r="EN713" s="52"/>
      <c r="EO713" s="52"/>
      <c r="EP713" s="52"/>
      <c r="EQ713" s="52"/>
      <c r="ER713" s="52"/>
      <c r="ES713" s="52"/>
    </row>
    <row r="714" spans="1:149" ht="13.5" customHeight="1">
      <c r="A714" s="36" t="s">
        <v>263</v>
      </c>
      <c r="B714" s="6"/>
      <c r="C714" s="6"/>
      <c r="D714" s="80">
        <f>D716</f>
        <v>0</v>
      </c>
      <c r="E714" s="80">
        <f aca="true" t="shared" si="67" ref="E714:P714">E716</f>
        <v>74070200</v>
      </c>
      <c r="F714" s="80">
        <f t="shared" si="67"/>
        <v>74070200</v>
      </c>
      <c r="G714" s="80">
        <f t="shared" si="67"/>
        <v>0</v>
      </c>
      <c r="H714" s="80">
        <f t="shared" si="67"/>
        <v>0</v>
      </c>
      <c r="I714" s="80">
        <f t="shared" si="67"/>
        <v>0</v>
      </c>
      <c r="J714" s="80">
        <f t="shared" si="67"/>
        <v>0</v>
      </c>
      <c r="K714" s="80">
        <f t="shared" si="67"/>
        <v>0</v>
      </c>
      <c r="L714" s="80">
        <f t="shared" si="67"/>
        <v>0</v>
      </c>
      <c r="M714" s="80">
        <f t="shared" si="67"/>
        <v>0</v>
      </c>
      <c r="N714" s="80">
        <f t="shared" si="67"/>
        <v>0</v>
      </c>
      <c r="O714" s="80">
        <f t="shared" si="67"/>
        <v>0</v>
      </c>
      <c r="P714" s="80">
        <f t="shared" si="67"/>
        <v>0</v>
      </c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  <c r="AC714" s="52"/>
      <c r="AD714" s="52"/>
      <c r="AE714" s="52"/>
      <c r="AF714" s="52"/>
      <c r="AG714" s="52"/>
      <c r="AH714" s="52"/>
      <c r="AI714" s="52"/>
      <c r="AJ714" s="52"/>
      <c r="AK714" s="52"/>
      <c r="AL714" s="52"/>
      <c r="AM714" s="52"/>
      <c r="AN714" s="52"/>
      <c r="AO714" s="52"/>
      <c r="AP714" s="52"/>
      <c r="AQ714" s="52"/>
      <c r="AR714" s="52"/>
      <c r="AS714" s="52"/>
      <c r="AT714" s="52"/>
      <c r="AU714" s="52"/>
      <c r="AV714" s="52"/>
      <c r="AW714" s="52"/>
      <c r="AX714" s="52"/>
      <c r="AY714" s="52"/>
      <c r="AZ714" s="52"/>
      <c r="BA714" s="52"/>
      <c r="BB714" s="52"/>
      <c r="BC714" s="52"/>
      <c r="BD714" s="52"/>
      <c r="BE714" s="52"/>
      <c r="BF714" s="52"/>
      <c r="BG714" s="52"/>
      <c r="BH714" s="52"/>
      <c r="BI714" s="52"/>
      <c r="BJ714" s="52"/>
      <c r="BK714" s="52"/>
      <c r="BL714" s="52"/>
      <c r="BM714" s="52"/>
      <c r="BN714" s="52"/>
      <c r="BO714" s="52"/>
      <c r="BP714" s="52"/>
      <c r="BQ714" s="52"/>
      <c r="BR714" s="52"/>
      <c r="BS714" s="52"/>
      <c r="BT714" s="52"/>
      <c r="BU714" s="52"/>
      <c r="BV714" s="52"/>
      <c r="BW714" s="52"/>
      <c r="BX714" s="52"/>
      <c r="BY714" s="52"/>
      <c r="BZ714" s="52"/>
      <c r="CA714" s="52"/>
      <c r="CB714" s="52"/>
      <c r="CC714" s="52"/>
      <c r="CD714" s="52"/>
      <c r="CE714" s="52"/>
      <c r="CF714" s="52"/>
      <c r="CG714" s="52"/>
      <c r="CH714" s="52"/>
      <c r="CI714" s="52"/>
      <c r="CJ714" s="52"/>
      <c r="CK714" s="52"/>
      <c r="CL714" s="52"/>
      <c r="CM714" s="52"/>
      <c r="CN714" s="52"/>
      <c r="CO714" s="52"/>
      <c r="CP714" s="52"/>
      <c r="CQ714" s="52"/>
      <c r="CR714" s="52"/>
      <c r="CS714" s="52"/>
      <c r="CT714" s="52"/>
      <c r="CU714" s="52"/>
      <c r="CV714" s="52"/>
      <c r="CW714" s="52"/>
      <c r="CX714" s="52"/>
      <c r="CY714" s="52"/>
      <c r="CZ714" s="52"/>
      <c r="DA714" s="52"/>
      <c r="DB714" s="52"/>
      <c r="DC714" s="52"/>
      <c r="DD714" s="52"/>
      <c r="DE714" s="52"/>
      <c r="DF714" s="52"/>
      <c r="DG714" s="52"/>
      <c r="DH714" s="52"/>
      <c r="DI714" s="52"/>
      <c r="DJ714" s="52"/>
      <c r="DK714" s="52"/>
      <c r="DL714" s="52"/>
      <c r="DM714" s="52"/>
      <c r="DN714" s="52"/>
      <c r="DO714" s="52"/>
      <c r="DP714" s="52"/>
      <c r="DQ714" s="52"/>
      <c r="DR714" s="52"/>
      <c r="DS714" s="52"/>
      <c r="DT714" s="52"/>
      <c r="DU714" s="52"/>
      <c r="DV714" s="52"/>
      <c r="DW714" s="52"/>
      <c r="DX714" s="52"/>
      <c r="DY714" s="52"/>
      <c r="DZ714" s="52"/>
      <c r="EA714" s="52"/>
      <c r="EB714" s="52"/>
      <c r="EC714" s="52"/>
      <c r="ED714" s="52"/>
      <c r="EE714" s="52"/>
      <c r="EF714" s="52"/>
      <c r="EG714" s="52"/>
      <c r="EH714" s="52"/>
      <c r="EI714" s="52"/>
      <c r="EJ714" s="52"/>
      <c r="EK714" s="52"/>
      <c r="EL714" s="52"/>
      <c r="EM714" s="52"/>
      <c r="EN714" s="52"/>
      <c r="EO714" s="52"/>
      <c r="EP714" s="52"/>
      <c r="EQ714" s="52"/>
      <c r="ER714" s="52"/>
      <c r="ES714" s="52"/>
    </row>
    <row r="715" spans="1:149" ht="21.75" customHeight="1">
      <c r="A715" s="8" t="s">
        <v>259</v>
      </c>
      <c r="B715" s="6"/>
      <c r="C715" s="6"/>
      <c r="D715" s="83"/>
      <c r="E715" s="83"/>
      <c r="F715" s="83"/>
      <c r="G715" s="7"/>
      <c r="H715" s="7"/>
      <c r="I715" s="7"/>
      <c r="J715" s="7"/>
      <c r="K715" s="7"/>
      <c r="L715" s="7"/>
      <c r="M715" s="7"/>
      <c r="N715" s="7"/>
      <c r="O715" s="7"/>
      <c r="P715" s="7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  <c r="AC715" s="52"/>
      <c r="AD715" s="52"/>
      <c r="AE715" s="52"/>
      <c r="AF715" s="52"/>
      <c r="AG715" s="52"/>
      <c r="AH715" s="52"/>
      <c r="AI715" s="52"/>
      <c r="AJ715" s="52"/>
      <c r="AK715" s="52"/>
      <c r="AL715" s="52"/>
      <c r="AM715" s="52"/>
      <c r="AN715" s="52"/>
      <c r="AO715" s="52"/>
      <c r="AP715" s="52"/>
      <c r="AQ715" s="52"/>
      <c r="AR715" s="52"/>
      <c r="AS715" s="52"/>
      <c r="AT715" s="52"/>
      <c r="AU715" s="52"/>
      <c r="AV715" s="52"/>
      <c r="AW715" s="52"/>
      <c r="AX715" s="52"/>
      <c r="AY715" s="52"/>
      <c r="AZ715" s="52"/>
      <c r="BA715" s="52"/>
      <c r="BB715" s="52"/>
      <c r="BC715" s="52"/>
      <c r="BD715" s="52"/>
      <c r="BE715" s="52"/>
      <c r="BF715" s="52"/>
      <c r="BG715" s="52"/>
      <c r="BH715" s="52"/>
      <c r="BI715" s="52"/>
      <c r="BJ715" s="52"/>
      <c r="BK715" s="52"/>
      <c r="BL715" s="52"/>
      <c r="BM715" s="52"/>
      <c r="BN715" s="52"/>
      <c r="BO715" s="52"/>
      <c r="BP715" s="52"/>
      <c r="BQ715" s="52"/>
      <c r="BR715" s="52"/>
      <c r="BS715" s="52"/>
      <c r="BT715" s="52"/>
      <c r="BU715" s="52"/>
      <c r="BV715" s="52"/>
      <c r="BW715" s="52"/>
      <c r="BX715" s="52"/>
      <c r="BY715" s="52"/>
      <c r="BZ715" s="52"/>
      <c r="CA715" s="52"/>
      <c r="CB715" s="52"/>
      <c r="CC715" s="52"/>
      <c r="CD715" s="52"/>
      <c r="CE715" s="52"/>
      <c r="CF715" s="52"/>
      <c r="CG715" s="52"/>
      <c r="CH715" s="52"/>
      <c r="CI715" s="52"/>
      <c r="CJ715" s="52"/>
      <c r="CK715" s="52"/>
      <c r="CL715" s="52"/>
      <c r="CM715" s="52"/>
      <c r="CN715" s="52"/>
      <c r="CO715" s="52"/>
      <c r="CP715" s="52"/>
      <c r="CQ715" s="52"/>
      <c r="CR715" s="52"/>
      <c r="CS715" s="52"/>
      <c r="CT715" s="52"/>
      <c r="CU715" s="52"/>
      <c r="CV715" s="52"/>
      <c r="CW715" s="52"/>
      <c r="CX715" s="52"/>
      <c r="CY715" s="52"/>
      <c r="CZ715" s="52"/>
      <c r="DA715" s="52"/>
      <c r="DB715" s="52"/>
      <c r="DC715" s="52"/>
      <c r="DD715" s="52"/>
      <c r="DE715" s="52"/>
      <c r="DF715" s="52"/>
      <c r="DG715" s="52"/>
      <c r="DH715" s="52"/>
      <c r="DI715" s="52"/>
      <c r="DJ715" s="52"/>
      <c r="DK715" s="52"/>
      <c r="DL715" s="52"/>
      <c r="DM715" s="52"/>
      <c r="DN715" s="52"/>
      <c r="DO715" s="52"/>
      <c r="DP715" s="52"/>
      <c r="DQ715" s="52"/>
      <c r="DR715" s="52"/>
      <c r="DS715" s="52"/>
      <c r="DT715" s="52"/>
      <c r="DU715" s="52"/>
      <c r="DV715" s="52"/>
      <c r="DW715" s="52"/>
      <c r="DX715" s="52"/>
      <c r="DY715" s="52"/>
      <c r="DZ715" s="52"/>
      <c r="EA715" s="52"/>
      <c r="EB715" s="52"/>
      <c r="EC715" s="52"/>
      <c r="ED715" s="52"/>
      <c r="EE715" s="52"/>
      <c r="EF715" s="52"/>
      <c r="EG715" s="52"/>
      <c r="EH715" s="52"/>
      <c r="EI715" s="52"/>
      <c r="EJ715" s="52"/>
      <c r="EK715" s="52"/>
      <c r="EL715" s="52"/>
      <c r="EM715" s="52"/>
      <c r="EN715" s="52"/>
      <c r="EO715" s="52"/>
      <c r="EP715" s="52"/>
      <c r="EQ715" s="52"/>
      <c r="ER715" s="52"/>
      <c r="ES715" s="52"/>
    </row>
    <row r="716" spans="1:149" ht="21.75" customHeight="1">
      <c r="A716" s="33" t="s">
        <v>474</v>
      </c>
      <c r="B716" s="36"/>
      <c r="C716" s="36"/>
      <c r="D716" s="80"/>
      <c r="E716" s="80">
        <f>E718</f>
        <v>74070200</v>
      </c>
      <c r="F716" s="80">
        <f>D716+E716</f>
        <v>74070200</v>
      </c>
      <c r="G716" s="29"/>
      <c r="H716" s="35">
        <f>H718</f>
        <v>0</v>
      </c>
      <c r="I716" s="35"/>
      <c r="J716" s="35">
        <f>H716</f>
        <v>0</v>
      </c>
      <c r="K716" s="35"/>
      <c r="L716" s="35"/>
      <c r="M716" s="35"/>
      <c r="N716" s="35"/>
      <c r="O716" s="35">
        <f>O718</f>
        <v>0</v>
      </c>
      <c r="P716" s="35">
        <f>O716</f>
        <v>0</v>
      </c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  <c r="AC716" s="52"/>
      <c r="AD716" s="52"/>
      <c r="AE716" s="52"/>
      <c r="AF716" s="52"/>
      <c r="AG716" s="52"/>
      <c r="AH716" s="52"/>
      <c r="AI716" s="52"/>
      <c r="AJ716" s="52"/>
      <c r="AK716" s="52"/>
      <c r="AL716" s="52"/>
      <c r="AM716" s="52"/>
      <c r="AN716" s="52"/>
      <c r="AO716" s="52"/>
      <c r="AP716" s="52"/>
      <c r="AQ716" s="52"/>
      <c r="AR716" s="52"/>
      <c r="AS716" s="52"/>
      <c r="AT716" s="52"/>
      <c r="AU716" s="52"/>
      <c r="AV716" s="52"/>
      <c r="AW716" s="52"/>
      <c r="AX716" s="52"/>
      <c r="AY716" s="52"/>
      <c r="AZ716" s="52"/>
      <c r="BA716" s="52"/>
      <c r="BB716" s="52"/>
      <c r="BC716" s="52"/>
      <c r="BD716" s="52"/>
      <c r="BE716" s="52"/>
      <c r="BF716" s="52"/>
      <c r="BG716" s="52"/>
      <c r="BH716" s="52"/>
      <c r="BI716" s="52"/>
      <c r="BJ716" s="52"/>
      <c r="BK716" s="52"/>
      <c r="BL716" s="52"/>
      <c r="BM716" s="52"/>
      <c r="BN716" s="52"/>
      <c r="BO716" s="52"/>
      <c r="BP716" s="52"/>
      <c r="BQ716" s="52"/>
      <c r="BR716" s="52"/>
      <c r="BS716" s="52"/>
      <c r="BT716" s="52"/>
      <c r="BU716" s="52"/>
      <c r="BV716" s="52"/>
      <c r="BW716" s="52"/>
      <c r="BX716" s="52"/>
      <c r="BY716" s="52"/>
      <c r="BZ716" s="52"/>
      <c r="CA716" s="52"/>
      <c r="CB716" s="52"/>
      <c r="CC716" s="52"/>
      <c r="CD716" s="52"/>
      <c r="CE716" s="52"/>
      <c r="CF716" s="52"/>
      <c r="CG716" s="52"/>
      <c r="CH716" s="52"/>
      <c r="CI716" s="52"/>
      <c r="CJ716" s="52"/>
      <c r="CK716" s="52"/>
      <c r="CL716" s="52"/>
      <c r="CM716" s="52"/>
      <c r="CN716" s="52"/>
      <c r="CO716" s="52"/>
      <c r="CP716" s="52"/>
      <c r="CQ716" s="52"/>
      <c r="CR716" s="52"/>
      <c r="CS716" s="52"/>
      <c r="CT716" s="52"/>
      <c r="CU716" s="52"/>
      <c r="CV716" s="52"/>
      <c r="CW716" s="52"/>
      <c r="CX716" s="52"/>
      <c r="CY716" s="52"/>
      <c r="CZ716" s="52"/>
      <c r="DA716" s="52"/>
      <c r="DB716" s="52"/>
      <c r="DC716" s="52"/>
      <c r="DD716" s="52"/>
      <c r="DE716" s="52"/>
      <c r="DF716" s="52"/>
      <c r="DG716" s="52"/>
      <c r="DH716" s="52"/>
      <c r="DI716" s="52"/>
      <c r="DJ716" s="52"/>
      <c r="DK716" s="52"/>
      <c r="DL716" s="52"/>
      <c r="DM716" s="52"/>
      <c r="DN716" s="52"/>
      <c r="DO716" s="52"/>
      <c r="DP716" s="52"/>
      <c r="DQ716" s="52"/>
      <c r="DR716" s="52"/>
      <c r="DS716" s="52"/>
      <c r="DT716" s="52"/>
      <c r="DU716" s="52"/>
      <c r="DV716" s="52"/>
      <c r="DW716" s="52"/>
      <c r="DX716" s="52"/>
      <c r="DY716" s="52"/>
      <c r="DZ716" s="52"/>
      <c r="EA716" s="52"/>
      <c r="EB716" s="52"/>
      <c r="EC716" s="52"/>
      <c r="ED716" s="52"/>
      <c r="EE716" s="52"/>
      <c r="EF716" s="52"/>
      <c r="EG716" s="52"/>
      <c r="EH716" s="52"/>
      <c r="EI716" s="52"/>
      <c r="EJ716" s="52"/>
      <c r="EK716" s="52"/>
      <c r="EL716" s="52"/>
      <c r="EM716" s="52"/>
      <c r="EN716" s="52"/>
      <c r="EO716" s="52"/>
      <c r="EP716" s="52"/>
      <c r="EQ716" s="52"/>
      <c r="ER716" s="52"/>
      <c r="ES716" s="52"/>
    </row>
    <row r="717" spans="1:149" ht="21.75" customHeight="1">
      <c r="A717" s="5" t="s">
        <v>4</v>
      </c>
      <c r="B717" s="6"/>
      <c r="C717" s="6"/>
      <c r="D717" s="83"/>
      <c r="E717" s="83"/>
      <c r="F717" s="83"/>
      <c r="G717" s="7"/>
      <c r="H717" s="7"/>
      <c r="I717" s="7"/>
      <c r="J717" s="7"/>
      <c r="K717" s="7"/>
      <c r="L717" s="7"/>
      <c r="M717" s="7"/>
      <c r="N717" s="7"/>
      <c r="O717" s="7"/>
      <c r="P717" s="7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  <c r="AC717" s="52"/>
      <c r="AD717" s="52"/>
      <c r="AE717" s="52"/>
      <c r="AF717" s="52"/>
      <c r="AG717" s="52"/>
      <c r="AH717" s="52"/>
      <c r="AI717" s="52"/>
      <c r="AJ717" s="52"/>
      <c r="AK717" s="52"/>
      <c r="AL717" s="52"/>
      <c r="AM717" s="52"/>
      <c r="AN717" s="52"/>
      <c r="AO717" s="52"/>
      <c r="AP717" s="52"/>
      <c r="AQ717" s="52"/>
      <c r="AR717" s="52"/>
      <c r="AS717" s="52"/>
      <c r="AT717" s="52"/>
      <c r="AU717" s="52"/>
      <c r="AV717" s="52"/>
      <c r="AW717" s="52"/>
      <c r="AX717" s="52"/>
      <c r="AY717" s="52"/>
      <c r="AZ717" s="52"/>
      <c r="BA717" s="52"/>
      <c r="BB717" s="52"/>
      <c r="BC717" s="52"/>
      <c r="BD717" s="52"/>
      <c r="BE717" s="52"/>
      <c r="BF717" s="52"/>
      <c r="BG717" s="52"/>
      <c r="BH717" s="52"/>
      <c r="BI717" s="52"/>
      <c r="BJ717" s="52"/>
      <c r="BK717" s="52"/>
      <c r="BL717" s="52"/>
      <c r="BM717" s="52"/>
      <c r="BN717" s="52"/>
      <c r="BO717" s="52"/>
      <c r="BP717" s="52"/>
      <c r="BQ717" s="52"/>
      <c r="BR717" s="52"/>
      <c r="BS717" s="52"/>
      <c r="BT717" s="52"/>
      <c r="BU717" s="52"/>
      <c r="BV717" s="52"/>
      <c r="BW717" s="52"/>
      <c r="BX717" s="52"/>
      <c r="BY717" s="52"/>
      <c r="BZ717" s="52"/>
      <c r="CA717" s="52"/>
      <c r="CB717" s="52"/>
      <c r="CC717" s="52"/>
      <c r="CD717" s="52"/>
      <c r="CE717" s="52"/>
      <c r="CF717" s="52"/>
      <c r="CG717" s="52"/>
      <c r="CH717" s="52"/>
      <c r="CI717" s="52"/>
      <c r="CJ717" s="52"/>
      <c r="CK717" s="52"/>
      <c r="CL717" s="52"/>
      <c r="CM717" s="52"/>
      <c r="CN717" s="52"/>
      <c r="CO717" s="52"/>
      <c r="CP717" s="52"/>
      <c r="CQ717" s="52"/>
      <c r="CR717" s="52"/>
      <c r="CS717" s="52"/>
      <c r="CT717" s="52"/>
      <c r="CU717" s="52"/>
      <c r="CV717" s="52"/>
      <c r="CW717" s="52"/>
      <c r="CX717" s="52"/>
      <c r="CY717" s="52"/>
      <c r="CZ717" s="52"/>
      <c r="DA717" s="52"/>
      <c r="DB717" s="52"/>
      <c r="DC717" s="52"/>
      <c r="DD717" s="52"/>
      <c r="DE717" s="52"/>
      <c r="DF717" s="52"/>
      <c r="DG717" s="52"/>
      <c r="DH717" s="52"/>
      <c r="DI717" s="52"/>
      <c r="DJ717" s="52"/>
      <c r="DK717" s="52"/>
      <c r="DL717" s="52"/>
      <c r="DM717" s="52"/>
      <c r="DN717" s="52"/>
      <c r="DO717" s="52"/>
      <c r="DP717" s="52"/>
      <c r="DQ717" s="52"/>
      <c r="DR717" s="52"/>
      <c r="DS717" s="52"/>
      <c r="DT717" s="52"/>
      <c r="DU717" s="52"/>
      <c r="DV717" s="52"/>
      <c r="DW717" s="52"/>
      <c r="DX717" s="52"/>
      <c r="DY717" s="52"/>
      <c r="DZ717" s="52"/>
      <c r="EA717" s="52"/>
      <c r="EB717" s="52"/>
      <c r="EC717" s="52"/>
      <c r="ED717" s="52"/>
      <c r="EE717" s="52"/>
      <c r="EF717" s="52"/>
      <c r="EG717" s="52"/>
      <c r="EH717" s="52"/>
      <c r="EI717" s="52"/>
      <c r="EJ717" s="52"/>
      <c r="EK717" s="52"/>
      <c r="EL717" s="52"/>
      <c r="EM717" s="52"/>
      <c r="EN717" s="52"/>
      <c r="EO717" s="52"/>
      <c r="EP717" s="52"/>
      <c r="EQ717" s="52"/>
      <c r="ER717" s="52"/>
      <c r="ES717" s="52"/>
    </row>
    <row r="718" spans="1:149" ht="21.75" customHeight="1">
      <c r="A718" s="8" t="s">
        <v>262</v>
      </c>
      <c r="B718" s="6"/>
      <c r="C718" s="6"/>
      <c r="D718" s="48"/>
      <c r="E718" s="48">
        <v>74070200</v>
      </c>
      <c r="F718" s="48">
        <f>D718+E718</f>
        <v>74070200</v>
      </c>
      <c r="G718" s="86"/>
      <c r="H718" s="86"/>
      <c r="I718" s="86"/>
      <c r="J718" s="86"/>
      <c r="K718" s="86"/>
      <c r="L718" s="86"/>
      <c r="M718" s="86"/>
      <c r="N718" s="86"/>
      <c r="O718" s="86"/>
      <c r="P718" s="86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  <c r="AC718" s="52"/>
      <c r="AD718" s="52"/>
      <c r="AE718" s="52"/>
      <c r="AF718" s="52"/>
      <c r="AG718" s="52"/>
      <c r="AH718" s="52"/>
      <c r="AI718" s="52"/>
      <c r="AJ718" s="52"/>
      <c r="AK718" s="52"/>
      <c r="AL718" s="52"/>
      <c r="AM718" s="52"/>
      <c r="AN718" s="52"/>
      <c r="AO718" s="52"/>
      <c r="AP718" s="52"/>
      <c r="AQ718" s="52"/>
      <c r="AR718" s="52"/>
      <c r="AS718" s="52"/>
      <c r="AT718" s="52"/>
      <c r="AU718" s="52"/>
      <c r="AV718" s="52"/>
      <c r="AW718" s="52"/>
      <c r="AX718" s="52"/>
      <c r="AY718" s="52"/>
      <c r="AZ718" s="52"/>
      <c r="BA718" s="52"/>
      <c r="BB718" s="52"/>
      <c r="BC718" s="52"/>
      <c r="BD718" s="52"/>
      <c r="BE718" s="52"/>
      <c r="BF718" s="52"/>
      <c r="BG718" s="52"/>
      <c r="BH718" s="52"/>
      <c r="BI718" s="52"/>
      <c r="BJ718" s="52"/>
      <c r="BK718" s="52"/>
      <c r="BL718" s="52"/>
      <c r="BM718" s="52"/>
      <c r="BN718" s="52"/>
      <c r="BO718" s="52"/>
      <c r="BP718" s="52"/>
      <c r="BQ718" s="52"/>
      <c r="BR718" s="52"/>
      <c r="BS718" s="52"/>
      <c r="BT718" s="52"/>
      <c r="BU718" s="52"/>
      <c r="BV718" s="52"/>
      <c r="BW718" s="52"/>
      <c r="BX718" s="52"/>
      <c r="BY718" s="52"/>
      <c r="BZ718" s="52"/>
      <c r="CA718" s="52"/>
      <c r="CB718" s="52"/>
      <c r="CC718" s="52"/>
      <c r="CD718" s="52"/>
      <c r="CE718" s="52"/>
      <c r="CF718" s="52"/>
      <c r="CG718" s="52"/>
      <c r="CH718" s="52"/>
      <c r="CI718" s="52"/>
      <c r="CJ718" s="52"/>
      <c r="CK718" s="52"/>
      <c r="CL718" s="52"/>
      <c r="CM718" s="52"/>
      <c r="CN718" s="52"/>
      <c r="CO718" s="52"/>
      <c r="CP718" s="52"/>
      <c r="CQ718" s="52"/>
      <c r="CR718" s="52"/>
      <c r="CS718" s="52"/>
      <c r="CT718" s="52"/>
      <c r="CU718" s="52"/>
      <c r="CV718" s="52"/>
      <c r="CW718" s="52"/>
      <c r="CX718" s="52"/>
      <c r="CY718" s="52"/>
      <c r="CZ718" s="52"/>
      <c r="DA718" s="52"/>
      <c r="DB718" s="52"/>
      <c r="DC718" s="52"/>
      <c r="DD718" s="52"/>
      <c r="DE718" s="52"/>
      <c r="DF718" s="52"/>
      <c r="DG718" s="52"/>
      <c r="DH718" s="52"/>
      <c r="DI718" s="52"/>
      <c r="DJ718" s="52"/>
      <c r="DK718" s="52"/>
      <c r="DL718" s="52"/>
      <c r="DM718" s="52"/>
      <c r="DN718" s="52"/>
      <c r="DO718" s="52"/>
      <c r="DP718" s="52"/>
      <c r="DQ718" s="52"/>
      <c r="DR718" s="52"/>
      <c r="DS718" s="52"/>
      <c r="DT718" s="52"/>
      <c r="DU718" s="52"/>
      <c r="DV718" s="52"/>
      <c r="DW718" s="52"/>
      <c r="DX718" s="52"/>
      <c r="DY718" s="52"/>
      <c r="DZ718" s="52"/>
      <c r="EA718" s="52"/>
      <c r="EB718" s="52"/>
      <c r="EC718" s="52"/>
      <c r="ED718" s="52"/>
      <c r="EE718" s="52"/>
      <c r="EF718" s="52"/>
      <c r="EG718" s="52"/>
      <c r="EH718" s="52"/>
      <c r="EI718" s="52"/>
      <c r="EJ718" s="52"/>
      <c r="EK718" s="52"/>
      <c r="EL718" s="52"/>
      <c r="EM718" s="52"/>
      <c r="EN718" s="52"/>
      <c r="EO718" s="52"/>
      <c r="EP718" s="52"/>
      <c r="EQ718" s="52"/>
      <c r="ER718" s="52"/>
      <c r="ES718" s="52"/>
    </row>
    <row r="719" spans="1:149" ht="21.75" customHeight="1">
      <c r="A719" s="5" t="s">
        <v>5</v>
      </c>
      <c r="B719" s="6"/>
      <c r="C719" s="6"/>
      <c r="D719" s="48"/>
      <c r="E719" s="48"/>
      <c r="F719" s="48"/>
      <c r="G719" s="86"/>
      <c r="H719" s="86"/>
      <c r="I719" s="86"/>
      <c r="J719" s="86"/>
      <c r="K719" s="86"/>
      <c r="L719" s="86"/>
      <c r="M719" s="86"/>
      <c r="N719" s="86"/>
      <c r="O719" s="86"/>
      <c r="P719" s="86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  <c r="AC719" s="52"/>
      <c r="AD719" s="52"/>
      <c r="AE719" s="52"/>
      <c r="AF719" s="52"/>
      <c r="AG719" s="52"/>
      <c r="AH719" s="52"/>
      <c r="AI719" s="52"/>
      <c r="AJ719" s="52"/>
      <c r="AK719" s="52"/>
      <c r="AL719" s="52"/>
      <c r="AM719" s="52"/>
      <c r="AN719" s="52"/>
      <c r="AO719" s="52"/>
      <c r="AP719" s="52"/>
      <c r="AQ719" s="52"/>
      <c r="AR719" s="52"/>
      <c r="AS719" s="52"/>
      <c r="AT719" s="52"/>
      <c r="AU719" s="52"/>
      <c r="AV719" s="52"/>
      <c r="AW719" s="52"/>
      <c r="AX719" s="52"/>
      <c r="AY719" s="52"/>
      <c r="AZ719" s="52"/>
      <c r="BA719" s="52"/>
      <c r="BB719" s="52"/>
      <c r="BC719" s="52"/>
      <c r="BD719" s="52"/>
      <c r="BE719" s="52"/>
      <c r="BF719" s="52"/>
      <c r="BG719" s="52"/>
      <c r="BH719" s="52"/>
      <c r="BI719" s="52"/>
      <c r="BJ719" s="52"/>
      <c r="BK719" s="52"/>
      <c r="BL719" s="52"/>
      <c r="BM719" s="52"/>
      <c r="BN719" s="52"/>
      <c r="BO719" s="52"/>
      <c r="BP719" s="52"/>
      <c r="BQ719" s="52"/>
      <c r="BR719" s="52"/>
      <c r="BS719" s="52"/>
      <c r="BT719" s="52"/>
      <c r="BU719" s="52"/>
      <c r="BV719" s="52"/>
      <c r="BW719" s="52"/>
      <c r="BX719" s="52"/>
      <c r="BY719" s="52"/>
      <c r="BZ719" s="52"/>
      <c r="CA719" s="52"/>
      <c r="CB719" s="52"/>
      <c r="CC719" s="52"/>
      <c r="CD719" s="52"/>
      <c r="CE719" s="52"/>
      <c r="CF719" s="52"/>
      <c r="CG719" s="52"/>
      <c r="CH719" s="52"/>
      <c r="CI719" s="52"/>
      <c r="CJ719" s="52"/>
      <c r="CK719" s="52"/>
      <c r="CL719" s="52"/>
      <c r="CM719" s="52"/>
      <c r="CN719" s="52"/>
      <c r="CO719" s="52"/>
      <c r="CP719" s="52"/>
      <c r="CQ719" s="52"/>
      <c r="CR719" s="52"/>
      <c r="CS719" s="52"/>
      <c r="CT719" s="52"/>
      <c r="CU719" s="52"/>
      <c r="CV719" s="52"/>
      <c r="CW719" s="52"/>
      <c r="CX719" s="52"/>
      <c r="CY719" s="52"/>
      <c r="CZ719" s="52"/>
      <c r="DA719" s="52"/>
      <c r="DB719" s="52"/>
      <c r="DC719" s="52"/>
      <c r="DD719" s="52"/>
      <c r="DE719" s="52"/>
      <c r="DF719" s="52"/>
      <c r="DG719" s="52"/>
      <c r="DH719" s="52"/>
      <c r="DI719" s="52"/>
      <c r="DJ719" s="52"/>
      <c r="DK719" s="52"/>
      <c r="DL719" s="52"/>
      <c r="DM719" s="52"/>
      <c r="DN719" s="52"/>
      <c r="DO719" s="52"/>
      <c r="DP719" s="52"/>
      <c r="DQ719" s="52"/>
      <c r="DR719" s="52"/>
      <c r="DS719" s="52"/>
      <c r="DT719" s="52"/>
      <c r="DU719" s="52"/>
      <c r="DV719" s="52"/>
      <c r="DW719" s="52"/>
      <c r="DX719" s="52"/>
      <c r="DY719" s="52"/>
      <c r="DZ719" s="52"/>
      <c r="EA719" s="52"/>
      <c r="EB719" s="52"/>
      <c r="EC719" s="52"/>
      <c r="ED719" s="52"/>
      <c r="EE719" s="52"/>
      <c r="EF719" s="52"/>
      <c r="EG719" s="52"/>
      <c r="EH719" s="52"/>
      <c r="EI719" s="52"/>
      <c r="EJ719" s="52"/>
      <c r="EK719" s="52"/>
      <c r="EL719" s="52"/>
      <c r="EM719" s="52"/>
      <c r="EN719" s="52"/>
      <c r="EO719" s="52"/>
      <c r="EP719" s="52"/>
      <c r="EQ719" s="52"/>
      <c r="ER719" s="52"/>
      <c r="ES719" s="52"/>
    </row>
    <row r="720" spans="1:149" ht="21.75" customHeight="1">
      <c r="A720" s="8" t="s">
        <v>260</v>
      </c>
      <c r="B720" s="6"/>
      <c r="C720" s="6"/>
      <c r="D720" s="48"/>
      <c r="E720" s="48">
        <v>1</v>
      </c>
      <c r="F720" s="48">
        <f>D720+E720</f>
        <v>1</v>
      </c>
      <c r="G720" s="86"/>
      <c r="H720" s="95"/>
      <c r="I720" s="86"/>
      <c r="J720" s="95"/>
      <c r="K720" s="86"/>
      <c r="L720" s="86"/>
      <c r="M720" s="86"/>
      <c r="N720" s="86"/>
      <c r="O720" s="95"/>
      <c r="P720" s="95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  <c r="AC720" s="52"/>
      <c r="AD720" s="52"/>
      <c r="AE720" s="52"/>
      <c r="AF720" s="52"/>
      <c r="AG720" s="52"/>
      <c r="AH720" s="52"/>
      <c r="AI720" s="52"/>
      <c r="AJ720" s="52"/>
      <c r="AK720" s="52"/>
      <c r="AL720" s="52"/>
      <c r="AM720" s="52"/>
      <c r="AN720" s="52"/>
      <c r="AO720" s="52"/>
      <c r="AP720" s="52"/>
      <c r="AQ720" s="52"/>
      <c r="AR720" s="52"/>
      <c r="AS720" s="52"/>
      <c r="AT720" s="52"/>
      <c r="AU720" s="52"/>
      <c r="AV720" s="52"/>
      <c r="AW720" s="52"/>
      <c r="AX720" s="52"/>
      <c r="AY720" s="52"/>
      <c r="AZ720" s="52"/>
      <c r="BA720" s="52"/>
      <c r="BB720" s="52"/>
      <c r="BC720" s="52"/>
      <c r="BD720" s="52"/>
      <c r="BE720" s="52"/>
      <c r="BF720" s="52"/>
      <c r="BG720" s="52"/>
      <c r="BH720" s="52"/>
      <c r="BI720" s="52"/>
      <c r="BJ720" s="52"/>
      <c r="BK720" s="52"/>
      <c r="BL720" s="52"/>
      <c r="BM720" s="52"/>
      <c r="BN720" s="52"/>
      <c r="BO720" s="52"/>
      <c r="BP720" s="52"/>
      <c r="BQ720" s="52"/>
      <c r="BR720" s="52"/>
      <c r="BS720" s="52"/>
      <c r="BT720" s="52"/>
      <c r="BU720" s="52"/>
      <c r="BV720" s="52"/>
      <c r="BW720" s="52"/>
      <c r="BX720" s="52"/>
      <c r="BY720" s="52"/>
      <c r="BZ720" s="52"/>
      <c r="CA720" s="52"/>
      <c r="CB720" s="52"/>
      <c r="CC720" s="52"/>
      <c r="CD720" s="52"/>
      <c r="CE720" s="52"/>
      <c r="CF720" s="52"/>
      <c r="CG720" s="52"/>
      <c r="CH720" s="52"/>
      <c r="CI720" s="52"/>
      <c r="CJ720" s="52"/>
      <c r="CK720" s="52"/>
      <c r="CL720" s="52"/>
      <c r="CM720" s="52"/>
      <c r="CN720" s="52"/>
      <c r="CO720" s="52"/>
      <c r="CP720" s="52"/>
      <c r="CQ720" s="52"/>
      <c r="CR720" s="52"/>
      <c r="CS720" s="52"/>
      <c r="CT720" s="52"/>
      <c r="CU720" s="52"/>
      <c r="CV720" s="52"/>
      <c r="CW720" s="52"/>
      <c r="CX720" s="52"/>
      <c r="CY720" s="52"/>
      <c r="CZ720" s="52"/>
      <c r="DA720" s="52"/>
      <c r="DB720" s="52"/>
      <c r="DC720" s="52"/>
      <c r="DD720" s="52"/>
      <c r="DE720" s="52"/>
      <c r="DF720" s="52"/>
      <c r="DG720" s="52"/>
      <c r="DH720" s="52"/>
      <c r="DI720" s="52"/>
      <c r="DJ720" s="52"/>
      <c r="DK720" s="52"/>
      <c r="DL720" s="52"/>
      <c r="DM720" s="52"/>
      <c r="DN720" s="52"/>
      <c r="DO720" s="52"/>
      <c r="DP720" s="52"/>
      <c r="DQ720" s="52"/>
      <c r="DR720" s="52"/>
      <c r="DS720" s="52"/>
      <c r="DT720" s="52"/>
      <c r="DU720" s="52"/>
      <c r="DV720" s="52"/>
      <c r="DW720" s="52"/>
      <c r="DX720" s="52"/>
      <c r="DY720" s="52"/>
      <c r="DZ720" s="52"/>
      <c r="EA720" s="52"/>
      <c r="EB720" s="52"/>
      <c r="EC720" s="52"/>
      <c r="ED720" s="52"/>
      <c r="EE720" s="52"/>
      <c r="EF720" s="52"/>
      <c r="EG720" s="52"/>
      <c r="EH720" s="52"/>
      <c r="EI720" s="52"/>
      <c r="EJ720" s="52"/>
      <c r="EK720" s="52"/>
      <c r="EL720" s="52"/>
      <c r="EM720" s="52"/>
      <c r="EN720" s="52"/>
      <c r="EO720" s="52"/>
      <c r="EP720" s="52"/>
      <c r="EQ720" s="52"/>
      <c r="ER720" s="52"/>
      <c r="ES720" s="52"/>
    </row>
    <row r="721" spans="1:149" ht="21.75" customHeight="1">
      <c r="A721" s="5" t="s">
        <v>7</v>
      </c>
      <c r="B721" s="6"/>
      <c r="C721" s="6"/>
      <c r="D721" s="48"/>
      <c r="E721" s="48"/>
      <c r="F721" s="48"/>
      <c r="G721" s="86"/>
      <c r="H721" s="86"/>
      <c r="I721" s="86"/>
      <c r="J721" s="86"/>
      <c r="K721" s="86"/>
      <c r="L721" s="86"/>
      <c r="M721" s="86"/>
      <c r="N721" s="86"/>
      <c r="O721" s="86"/>
      <c r="P721" s="86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  <c r="AC721" s="52"/>
      <c r="AD721" s="52"/>
      <c r="AE721" s="52"/>
      <c r="AF721" s="52"/>
      <c r="AG721" s="52"/>
      <c r="AH721" s="52"/>
      <c r="AI721" s="52"/>
      <c r="AJ721" s="52"/>
      <c r="AK721" s="52"/>
      <c r="AL721" s="52"/>
      <c r="AM721" s="52"/>
      <c r="AN721" s="52"/>
      <c r="AO721" s="52"/>
      <c r="AP721" s="52"/>
      <c r="AQ721" s="52"/>
      <c r="AR721" s="52"/>
      <c r="AS721" s="52"/>
      <c r="AT721" s="52"/>
      <c r="AU721" s="52"/>
      <c r="AV721" s="52"/>
      <c r="AW721" s="52"/>
      <c r="AX721" s="52"/>
      <c r="AY721" s="52"/>
      <c r="AZ721" s="52"/>
      <c r="BA721" s="52"/>
      <c r="BB721" s="52"/>
      <c r="BC721" s="52"/>
      <c r="BD721" s="52"/>
      <c r="BE721" s="52"/>
      <c r="BF721" s="52"/>
      <c r="BG721" s="52"/>
      <c r="BH721" s="52"/>
      <c r="BI721" s="52"/>
      <c r="BJ721" s="52"/>
      <c r="BK721" s="52"/>
      <c r="BL721" s="52"/>
      <c r="BM721" s="52"/>
      <c r="BN721" s="52"/>
      <c r="BO721" s="52"/>
      <c r="BP721" s="52"/>
      <c r="BQ721" s="52"/>
      <c r="BR721" s="52"/>
      <c r="BS721" s="52"/>
      <c r="BT721" s="52"/>
      <c r="BU721" s="52"/>
      <c r="BV721" s="52"/>
      <c r="BW721" s="52"/>
      <c r="BX721" s="52"/>
      <c r="BY721" s="52"/>
      <c r="BZ721" s="52"/>
      <c r="CA721" s="52"/>
      <c r="CB721" s="52"/>
      <c r="CC721" s="52"/>
      <c r="CD721" s="52"/>
      <c r="CE721" s="52"/>
      <c r="CF721" s="52"/>
      <c r="CG721" s="52"/>
      <c r="CH721" s="52"/>
      <c r="CI721" s="52"/>
      <c r="CJ721" s="52"/>
      <c r="CK721" s="52"/>
      <c r="CL721" s="52"/>
      <c r="CM721" s="52"/>
      <c r="CN721" s="52"/>
      <c r="CO721" s="52"/>
      <c r="CP721" s="52"/>
      <c r="CQ721" s="52"/>
      <c r="CR721" s="52"/>
      <c r="CS721" s="52"/>
      <c r="CT721" s="52"/>
      <c r="CU721" s="52"/>
      <c r="CV721" s="52"/>
      <c r="CW721" s="52"/>
      <c r="CX721" s="52"/>
      <c r="CY721" s="52"/>
      <c r="CZ721" s="52"/>
      <c r="DA721" s="52"/>
      <c r="DB721" s="52"/>
      <c r="DC721" s="52"/>
      <c r="DD721" s="52"/>
      <c r="DE721" s="52"/>
      <c r="DF721" s="52"/>
      <c r="DG721" s="52"/>
      <c r="DH721" s="52"/>
      <c r="DI721" s="52"/>
      <c r="DJ721" s="52"/>
      <c r="DK721" s="52"/>
      <c r="DL721" s="52"/>
      <c r="DM721" s="52"/>
      <c r="DN721" s="52"/>
      <c r="DO721" s="52"/>
      <c r="DP721" s="52"/>
      <c r="DQ721" s="52"/>
      <c r="DR721" s="52"/>
      <c r="DS721" s="52"/>
      <c r="DT721" s="52"/>
      <c r="DU721" s="52"/>
      <c r="DV721" s="52"/>
      <c r="DW721" s="52"/>
      <c r="DX721" s="52"/>
      <c r="DY721" s="52"/>
      <c r="DZ721" s="52"/>
      <c r="EA721" s="52"/>
      <c r="EB721" s="52"/>
      <c r="EC721" s="52"/>
      <c r="ED721" s="52"/>
      <c r="EE721" s="52"/>
      <c r="EF721" s="52"/>
      <c r="EG721" s="52"/>
      <c r="EH721" s="52"/>
      <c r="EI721" s="52"/>
      <c r="EJ721" s="52"/>
      <c r="EK721" s="52"/>
      <c r="EL721" s="52"/>
      <c r="EM721" s="52"/>
      <c r="EN721" s="52"/>
      <c r="EO721" s="52"/>
      <c r="EP721" s="52"/>
      <c r="EQ721" s="52"/>
      <c r="ER721" s="52"/>
      <c r="ES721" s="52"/>
    </row>
    <row r="722" spans="1:149" ht="21.75" customHeight="1">
      <c r="A722" s="8" t="s">
        <v>261</v>
      </c>
      <c r="B722" s="125"/>
      <c r="C722" s="125"/>
      <c r="D722" s="35"/>
      <c r="E722" s="86">
        <f>E718/E720</f>
        <v>74070200</v>
      </c>
      <c r="F722" s="48">
        <f>D722+E722</f>
        <v>74070200</v>
      </c>
      <c r="G722" s="126"/>
      <c r="H722" s="126"/>
      <c r="I722" s="126"/>
      <c r="J722" s="29"/>
      <c r="K722" s="29"/>
      <c r="L722" s="29"/>
      <c r="M722" s="29"/>
      <c r="N722" s="29"/>
      <c r="O722" s="29"/>
      <c r="P722" s="29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  <c r="AC722" s="52"/>
      <c r="AD722" s="52"/>
      <c r="AE722" s="52"/>
      <c r="AF722" s="52"/>
      <c r="AG722" s="52"/>
      <c r="AH722" s="52"/>
      <c r="AI722" s="52"/>
      <c r="AJ722" s="52"/>
      <c r="AK722" s="52"/>
      <c r="AL722" s="52"/>
      <c r="AM722" s="52"/>
      <c r="AN722" s="52"/>
      <c r="AO722" s="52"/>
      <c r="AP722" s="52"/>
      <c r="AQ722" s="52"/>
      <c r="AR722" s="52"/>
      <c r="AS722" s="52"/>
      <c r="AT722" s="52"/>
      <c r="AU722" s="52"/>
      <c r="AV722" s="52"/>
      <c r="AW722" s="52"/>
      <c r="AX722" s="52"/>
      <c r="AY722" s="52"/>
      <c r="AZ722" s="52"/>
      <c r="BA722" s="52"/>
      <c r="BB722" s="52"/>
      <c r="BC722" s="52"/>
      <c r="BD722" s="52"/>
      <c r="BE722" s="52"/>
      <c r="BF722" s="52"/>
      <c r="BG722" s="52"/>
      <c r="BH722" s="52"/>
      <c r="BI722" s="52"/>
      <c r="BJ722" s="52"/>
      <c r="BK722" s="52"/>
      <c r="BL722" s="52"/>
      <c r="BM722" s="52"/>
      <c r="BN722" s="52"/>
      <c r="BO722" s="52"/>
      <c r="BP722" s="52"/>
      <c r="BQ722" s="52"/>
      <c r="BR722" s="52"/>
      <c r="BS722" s="52"/>
      <c r="BT722" s="52"/>
      <c r="BU722" s="52"/>
      <c r="BV722" s="52"/>
      <c r="BW722" s="52"/>
      <c r="BX722" s="52"/>
      <c r="BY722" s="52"/>
      <c r="BZ722" s="52"/>
      <c r="CA722" s="52"/>
      <c r="CB722" s="52"/>
      <c r="CC722" s="52"/>
      <c r="CD722" s="52"/>
      <c r="CE722" s="52"/>
      <c r="CF722" s="52"/>
      <c r="CG722" s="52"/>
      <c r="CH722" s="52"/>
      <c r="CI722" s="52"/>
      <c r="CJ722" s="52"/>
      <c r="CK722" s="52"/>
      <c r="CL722" s="52"/>
      <c r="CM722" s="52"/>
      <c r="CN722" s="52"/>
      <c r="CO722" s="52"/>
      <c r="CP722" s="52"/>
      <c r="CQ722" s="52"/>
      <c r="CR722" s="52"/>
      <c r="CS722" s="52"/>
      <c r="CT722" s="52"/>
      <c r="CU722" s="52"/>
      <c r="CV722" s="52"/>
      <c r="CW722" s="52"/>
      <c r="CX722" s="52"/>
      <c r="CY722" s="52"/>
      <c r="CZ722" s="52"/>
      <c r="DA722" s="52"/>
      <c r="DB722" s="52"/>
      <c r="DC722" s="52"/>
      <c r="DD722" s="52"/>
      <c r="DE722" s="52"/>
      <c r="DF722" s="52"/>
      <c r="DG722" s="52"/>
      <c r="DH722" s="52"/>
      <c r="DI722" s="52"/>
      <c r="DJ722" s="52"/>
      <c r="DK722" s="52"/>
      <c r="DL722" s="52"/>
      <c r="DM722" s="52"/>
      <c r="DN722" s="52"/>
      <c r="DO722" s="52"/>
      <c r="DP722" s="52"/>
      <c r="DQ722" s="52"/>
      <c r="DR722" s="52"/>
      <c r="DS722" s="52"/>
      <c r="DT722" s="52"/>
      <c r="DU722" s="52"/>
      <c r="DV722" s="52"/>
      <c r="DW722" s="52"/>
      <c r="DX722" s="52"/>
      <c r="DY722" s="52"/>
      <c r="DZ722" s="52"/>
      <c r="EA722" s="52"/>
      <c r="EB722" s="52"/>
      <c r="EC722" s="52"/>
      <c r="ED722" s="52"/>
      <c r="EE722" s="52"/>
      <c r="EF722" s="52"/>
      <c r="EG722" s="52"/>
      <c r="EH722" s="52"/>
      <c r="EI722" s="52"/>
      <c r="EJ722" s="52"/>
      <c r="EK722" s="52"/>
      <c r="EL722" s="52"/>
      <c r="EM722" s="52"/>
      <c r="EN722" s="52"/>
      <c r="EO722" s="52"/>
      <c r="EP722" s="52"/>
      <c r="EQ722" s="52"/>
      <c r="ER722" s="52"/>
      <c r="ES722" s="52"/>
    </row>
    <row r="723" spans="1:149" ht="11.25" customHeight="1">
      <c r="A723" s="96"/>
      <c r="B723" s="97"/>
      <c r="C723" s="97"/>
      <c r="D723" s="98"/>
      <c r="E723" s="4"/>
      <c r="F723" s="4"/>
      <c r="G723" s="4"/>
      <c r="H723" s="4"/>
      <c r="I723" s="4"/>
      <c r="J723" s="99"/>
      <c r="K723" s="99"/>
      <c r="L723" s="99"/>
      <c r="M723" s="99"/>
      <c r="N723" s="99"/>
      <c r="O723" s="99"/>
      <c r="P723" s="99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  <c r="AC723" s="52"/>
      <c r="AD723" s="52"/>
      <c r="AE723" s="52"/>
      <c r="AF723" s="52"/>
      <c r="AG723" s="52"/>
      <c r="AH723" s="52"/>
      <c r="AI723" s="52"/>
      <c r="AJ723" s="52"/>
      <c r="AK723" s="52"/>
      <c r="AL723" s="52"/>
      <c r="AM723" s="52"/>
      <c r="AN723" s="52"/>
      <c r="AO723" s="52"/>
      <c r="AP723" s="52"/>
      <c r="AQ723" s="52"/>
      <c r="AR723" s="52"/>
      <c r="AS723" s="52"/>
      <c r="AT723" s="52"/>
      <c r="AU723" s="52"/>
      <c r="AV723" s="52"/>
      <c r="AW723" s="52"/>
      <c r="AX723" s="52"/>
      <c r="AY723" s="52"/>
      <c r="AZ723" s="52"/>
      <c r="BA723" s="52"/>
      <c r="BB723" s="52"/>
      <c r="BC723" s="52"/>
      <c r="BD723" s="52"/>
      <c r="BE723" s="52"/>
      <c r="BF723" s="52"/>
      <c r="BG723" s="52"/>
      <c r="BH723" s="52"/>
      <c r="BI723" s="52"/>
      <c r="BJ723" s="52"/>
      <c r="BK723" s="52"/>
      <c r="BL723" s="52"/>
      <c r="BM723" s="52"/>
      <c r="BN723" s="52"/>
      <c r="BO723" s="52"/>
      <c r="BP723" s="52"/>
      <c r="BQ723" s="52"/>
      <c r="BR723" s="52"/>
      <c r="BS723" s="52"/>
      <c r="BT723" s="52"/>
      <c r="BU723" s="52"/>
      <c r="BV723" s="52"/>
      <c r="BW723" s="52"/>
      <c r="BX723" s="52"/>
      <c r="BY723" s="52"/>
      <c r="BZ723" s="52"/>
      <c r="CA723" s="52"/>
      <c r="CB723" s="52"/>
      <c r="CC723" s="52"/>
      <c r="CD723" s="52"/>
      <c r="CE723" s="52"/>
      <c r="CF723" s="52"/>
      <c r="CG723" s="52"/>
      <c r="CH723" s="52"/>
      <c r="CI723" s="52"/>
      <c r="CJ723" s="52"/>
      <c r="CK723" s="52"/>
      <c r="CL723" s="52"/>
      <c r="CM723" s="52"/>
      <c r="CN723" s="52"/>
      <c r="CO723" s="52"/>
      <c r="CP723" s="52"/>
      <c r="CQ723" s="52"/>
      <c r="CR723" s="52"/>
      <c r="CS723" s="52"/>
      <c r="CT723" s="52"/>
      <c r="CU723" s="52"/>
      <c r="CV723" s="52"/>
      <c r="CW723" s="52"/>
      <c r="CX723" s="52"/>
      <c r="CY723" s="52"/>
      <c r="CZ723" s="52"/>
      <c r="DA723" s="52"/>
      <c r="DB723" s="52"/>
      <c r="DC723" s="52"/>
      <c r="DD723" s="52"/>
      <c r="DE723" s="52"/>
      <c r="DF723" s="52"/>
      <c r="DG723" s="52"/>
      <c r="DH723" s="52"/>
      <c r="DI723" s="52"/>
      <c r="DJ723" s="52"/>
      <c r="DK723" s="52"/>
      <c r="DL723" s="52"/>
      <c r="DM723" s="52"/>
      <c r="DN723" s="52"/>
      <c r="DO723" s="52"/>
      <c r="DP723" s="52"/>
      <c r="DQ723" s="52"/>
      <c r="DR723" s="52"/>
      <c r="DS723" s="52"/>
      <c r="DT723" s="52"/>
      <c r="DU723" s="52"/>
      <c r="DV723" s="52"/>
      <c r="DW723" s="52"/>
      <c r="DX723" s="52"/>
      <c r="DY723" s="52"/>
      <c r="DZ723" s="52"/>
      <c r="EA723" s="52"/>
      <c r="EB723" s="52"/>
      <c r="EC723" s="52"/>
      <c r="ED723" s="52"/>
      <c r="EE723" s="52"/>
      <c r="EF723" s="52"/>
      <c r="EG723" s="52"/>
      <c r="EH723" s="52"/>
      <c r="EI723" s="52"/>
      <c r="EJ723" s="52"/>
      <c r="EK723" s="52"/>
      <c r="EL723" s="52"/>
      <c r="EM723" s="52"/>
      <c r="EN723" s="52"/>
      <c r="EO723" s="52"/>
      <c r="EP723" s="52"/>
      <c r="EQ723" s="52"/>
      <c r="ER723" s="52"/>
      <c r="ES723" s="52"/>
    </row>
    <row r="724" spans="1:149" ht="6.75" customHeight="1">
      <c r="A724" s="97"/>
      <c r="B724" s="97"/>
      <c r="C724" s="97"/>
      <c r="D724" s="98"/>
      <c r="E724" s="2"/>
      <c r="F724" s="2"/>
      <c r="G724" s="2"/>
      <c r="H724" s="2"/>
      <c r="I724" s="2"/>
      <c r="J724" s="99"/>
      <c r="K724" s="99"/>
      <c r="L724" s="99"/>
      <c r="M724" s="99"/>
      <c r="N724" s="99"/>
      <c r="O724" s="99"/>
      <c r="P724" s="99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  <c r="AC724" s="52"/>
      <c r="AD724" s="52"/>
      <c r="AE724" s="52"/>
      <c r="AF724" s="52"/>
      <c r="AG724" s="52"/>
      <c r="AH724" s="52"/>
      <c r="AI724" s="52"/>
      <c r="AJ724" s="52"/>
      <c r="AK724" s="52"/>
      <c r="AL724" s="52"/>
      <c r="AM724" s="52"/>
      <c r="AN724" s="52"/>
      <c r="AO724" s="52"/>
      <c r="AP724" s="52"/>
      <c r="AQ724" s="52"/>
      <c r="AR724" s="52"/>
      <c r="AS724" s="52"/>
      <c r="AT724" s="52"/>
      <c r="AU724" s="52"/>
      <c r="AV724" s="52"/>
      <c r="AW724" s="52"/>
      <c r="AX724" s="52"/>
      <c r="AY724" s="52"/>
      <c r="AZ724" s="52"/>
      <c r="BA724" s="52"/>
      <c r="BB724" s="52"/>
      <c r="BC724" s="52"/>
      <c r="BD724" s="52"/>
      <c r="BE724" s="52"/>
      <c r="BF724" s="52"/>
      <c r="BG724" s="52"/>
      <c r="BH724" s="52"/>
      <c r="BI724" s="52"/>
      <c r="BJ724" s="52"/>
      <c r="BK724" s="52"/>
      <c r="BL724" s="52"/>
      <c r="BM724" s="52"/>
      <c r="BN724" s="52"/>
      <c r="BO724" s="52"/>
      <c r="BP724" s="52"/>
      <c r="BQ724" s="52"/>
      <c r="BR724" s="52"/>
      <c r="BS724" s="52"/>
      <c r="BT724" s="52"/>
      <c r="BU724" s="52"/>
      <c r="BV724" s="52"/>
      <c r="BW724" s="52"/>
      <c r="BX724" s="52"/>
      <c r="BY724" s="52"/>
      <c r="BZ724" s="52"/>
      <c r="CA724" s="52"/>
      <c r="CB724" s="52"/>
      <c r="CC724" s="52"/>
      <c r="CD724" s="52"/>
      <c r="CE724" s="52"/>
      <c r="CF724" s="52"/>
      <c r="CG724" s="52"/>
      <c r="CH724" s="52"/>
      <c r="CI724" s="52"/>
      <c r="CJ724" s="52"/>
      <c r="CK724" s="52"/>
      <c r="CL724" s="52"/>
      <c r="CM724" s="52"/>
      <c r="CN724" s="52"/>
      <c r="CO724" s="52"/>
      <c r="CP724" s="52"/>
      <c r="CQ724" s="52"/>
      <c r="CR724" s="52"/>
      <c r="CS724" s="52"/>
      <c r="CT724" s="52"/>
      <c r="CU724" s="52"/>
      <c r="CV724" s="52"/>
      <c r="CW724" s="52"/>
      <c r="CX724" s="52"/>
      <c r="CY724" s="52"/>
      <c r="CZ724" s="52"/>
      <c r="DA724" s="52"/>
      <c r="DB724" s="52"/>
      <c r="DC724" s="52"/>
      <c r="DD724" s="52"/>
      <c r="DE724" s="52"/>
      <c r="DF724" s="52"/>
      <c r="DG724" s="52"/>
      <c r="DH724" s="52"/>
      <c r="DI724" s="52"/>
      <c r="DJ724" s="52"/>
      <c r="DK724" s="52"/>
      <c r="DL724" s="52"/>
      <c r="DM724" s="52"/>
      <c r="DN724" s="52"/>
      <c r="DO724" s="52"/>
      <c r="DP724" s="52"/>
      <c r="DQ724" s="52"/>
      <c r="DR724" s="52"/>
      <c r="DS724" s="52"/>
      <c r="DT724" s="52"/>
      <c r="DU724" s="52"/>
      <c r="DV724" s="52"/>
      <c r="DW724" s="52"/>
      <c r="DX724" s="52"/>
      <c r="DY724" s="52"/>
      <c r="DZ724" s="52"/>
      <c r="EA724" s="52"/>
      <c r="EB724" s="52"/>
      <c r="EC724" s="52"/>
      <c r="ED724" s="52"/>
      <c r="EE724" s="52"/>
      <c r="EF724" s="52"/>
      <c r="EG724" s="52"/>
      <c r="EH724" s="52"/>
      <c r="EI724" s="52"/>
      <c r="EJ724" s="52"/>
      <c r="EK724" s="52"/>
      <c r="EL724" s="52"/>
      <c r="EM724" s="52"/>
      <c r="EN724" s="52"/>
      <c r="EO724" s="52"/>
      <c r="EP724" s="52"/>
      <c r="EQ724" s="52"/>
      <c r="ER724" s="52"/>
      <c r="ES724" s="52"/>
    </row>
    <row r="725" spans="1:149" ht="20.25" customHeight="1">
      <c r="A725" s="188" t="s">
        <v>484</v>
      </c>
      <c r="B725" s="188"/>
      <c r="C725" s="188"/>
      <c r="D725" s="188"/>
      <c r="E725" s="101"/>
      <c r="F725" s="102"/>
      <c r="G725" s="103"/>
      <c r="H725" s="103"/>
      <c r="I725" s="103"/>
      <c r="J725" s="104"/>
      <c r="K725" s="104"/>
      <c r="L725" s="104"/>
      <c r="M725" s="104"/>
      <c r="N725" s="103"/>
      <c r="O725" s="192" t="s">
        <v>485</v>
      </c>
      <c r="P725" s="19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  <c r="AC725" s="52"/>
      <c r="AD725" s="52"/>
      <c r="AE725" s="52"/>
      <c r="AF725" s="52"/>
      <c r="AG725" s="52"/>
      <c r="AH725" s="52"/>
      <c r="AI725" s="52"/>
      <c r="AJ725" s="52"/>
      <c r="AK725" s="52"/>
      <c r="AL725" s="52"/>
      <c r="AM725" s="52"/>
      <c r="AN725" s="52"/>
      <c r="AO725" s="52"/>
      <c r="AP725" s="52"/>
      <c r="AQ725" s="52"/>
      <c r="AR725" s="52"/>
      <c r="AS725" s="52"/>
      <c r="AT725" s="52"/>
      <c r="AU725" s="52"/>
      <c r="AV725" s="52"/>
      <c r="AW725" s="52"/>
      <c r="AX725" s="52"/>
      <c r="AY725" s="52"/>
      <c r="AZ725" s="52"/>
      <c r="BA725" s="52"/>
      <c r="BB725" s="52"/>
      <c r="BC725" s="52"/>
      <c r="BD725" s="52"/>
      <c r="BE725" s="52"/>
      <c r="BF725" s="52"/>
      <c r="BG725" s="52"/>
      <c r="BH725" s="52"/>
      <c r="BI725" s="52"/>
      <c r="BJ725" s="52"/>
      <c r="BK725" s="52"/>
      <c r="BL725" s="52"/>
      <c r="BM725" s="52"/>
      <c r="BN725" s="52"/>
      <c r="BO725" s="52"/>
      <c r="BP725" s="52"/>
      <c r="BQ725" s="52"/>
      <c r="BR725" s="52"/>
      <c r="BS725" s="52"/>
      <c r="BT725" s="52"/>
      <c r="BU725" s="52"/>
      <c r="BV725" s="52"/>
      <c r="BW725" s="52"/>
      <c r="BX725" s="52"/>
      <c r="BY725" s="52"/>
      <c r="BZ725" s="52"/>
      <c r="CA725" s="52"/>
      <c r="CB725" s="52"/>
      <c r="CC725" s="52"/>
      <c r="CD725" s="52"/>
      <c r="CE725" s="52"/>
      <c r="CF725" s="52"/>
      <c r="CG725" s="52"/>
      <c r="CH725" s="52"/>
      <c r="CI725" s="52"/>
      <c r="CJ725" s="52"/>
      <c r="CK725" s="52"/>
      <c r="CL725" s="52"/>
      <c r="CM725" s="52"/>
      <c r="CN725" s="52"/>
      <c r="CO725" s="52"/>
      <c r="CP725" s="52"/>
      <c r="CQ725" s="52"/>
      <c r="CR725" s="52"/>
      <c r="CS725" s="52"/>
      <c r="CT725" s="52"/>
      <c r="CU725" s="52"/>
      <c r="CV725" s="52"/>
      <c r="CW725" s="52"/>
      <c r="CX725" s="52"/>
      <c r="CY725" s="52"/>
      <c r="CZ725" s="52"/>
      <c r="DA725" s="52"/>
      <c r="DB725" s="52"/>
      <c r="DC725" s="52"/>
      <c r="DD725" s="52"/>
      <c r="DE725" s="52"/>
      <c r="DF725" s="52"/>
      <c r="DG725" s="52"/>
      <c r="DH725" s="52"/>
      <c r="DI725" s="52"/>
      <c r="DJ725" s="52"/>
      <c r="DK725" s="52"/>
      <c r="DL725" s="52"/>
      <c r="DM725" s="52"/>
      <c r="DN725" s="52"/>
      <c r="DO725" s="52"/>
      <c r="DP725" s="52"/>
      <c r="DQ725" s="52"/>
      <c r="DR725" s="52"/>
      <c r="DS725" s="52"/>
      <c r="DT725" s="52"/>
      <c r="DU725" s="52"/>
      <c r="DV725" s="52"/>
      <c r="DW725" s="52"/>
      <c r="DX725" s="52"/>
      <c r="DY725" s="52"/>
      <c r="DZ725" s="52"/>
      <c r="EA725" s="52"/>
      <c r="EB725" s="52"/>
      <c r="EC725" s="52"/>
      <c r="ED725" s="52"/>
      <c r="EE725" s="52"/>
      <c r="EF725" s="52"/>
      <c r="EG725" s="52"/>
      <c r="EH725" s="52"/>
      <c r="EI725" s="52"/>
      <c r="EJ725" s="52"/>
      <c r="EK725" s="52"/>
      <c r="EL725" s="52"/>
      <c r="EM725" s="52"/>
      <c r="EN725" s="52"/>
      <c r="EO725" s="52"/>
      <c r="EP725" s="52"/>
      <c r="EQ725" s="52"/>
      <c r="ER725" s="52"/>
      <c r="ES725" s="52"/>
    </row>
    <row r="726" spans="1:149" ht="8.25" customHeight="1">
      <c r="A726" s="100"/>
      <c r="B726" s="100"/>
      <c r="C726" s="100"/>
      <c r="D726" s="101"/>
      <c r="E726" s="101"/>
      <c r="F726" s="102"/>
      <c r="G726" s="103"/>
      <c r="H726" s="103"/>
      <c r="I726" s="103"/>
      <c r="J726" s="104"/>
      <c r="K726" s="104"/>
      <c r="L726" s="104"/>
      <c r="M726" s="104"/>
      <c r="N726" s="103"/>
      <c r="O726" s="105"/>
      <c r="P726" s="105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  <c r="AC726" s="52"/>
      <c r="AD726" s="52"/>
      <c r="AE726" s="52"/>
      <c r="AF726" s="52"/>
      <c r="AG726" s="52"/>
      <c r="AH726" s="52"/>
      <c r="AI726" s="52"/>
      <c r="AJ726" s="52"/>
      <c r="AK726" s="52"/>
      <c r="AL726" s="52"/>
      <c r="AM726" s="52"/>
      <c r="AN726" s="52"/>
      <c r="AO726" s="52"/>
      <c r="AP726" s="52"/>
      <c r="AQ726" s="52"/>
      <c r="AR726" s="52"/>
      <c r="AS726" s="52"/>
      <c r="AT726" s="52"/>
      <c r="AU726" s="52"/>
      <c r="AV726" s="52"/>
      <c r="AW726" s="52"/>
      <c r="AX726" s="52"/>
      <c r="AY726" s="52"/>
      <c r="AZ726" s="52"/>
      <c r="BA726" s="52"/>
      <c r="BB726" s="52"/>
      <c r="BC726" s="52"/>
      <c r="BD726" s="52"/>
      <c r="BE726" s="52"/>
      <c r="BF726" s="52"/>
      <c r="BG726" s="52"/>
      <c r="BH726" s="52"/>
      <c r="BI726" s="52"/>
      <c r="BJ726" s="52"/>
      <c r="BK726" s="52"/>
      <c r="BL726" s="52"/>
      <c r="BM726" s="52"/>
      <c r="BN726" s="52"/>
      <c r="BO726" s="52"/>
      <c r="BP726" s="52"/>
      <c r="BQ726" s="52"/>
      <c r="BR726" s="52"/>
      <c r="BS726" s="52"/>
      <c r="BT726" s="52"/>
      <c r="BU726" s="52"/>
      <c r="BV726" s="52"/>
      <c r="BW726" s="52"/>
      <c r="BX726" s="52"/>
      <c r="BY726" s="52"/>
      <c r="BZ726" s="52"/>
      <c r="CA726" s="52"/>
      <c r="CB726" s="52"/>
      <c r="CC726" s="52"/>
      <c r="CD726" s="52"/>
      <c r="CE726" s="52"/>
      <c r="CF726" s="52"/>
      <c r="CG726" s="52"/>
      <c r="CH726" s="52"/>
      <c r="CI726" s="52"/>
      <c r="CJ726" s="52"/>
      <c r="CK726" s="52"/>
      <c r="CL726" s="52"/>
      <c r="CM726" s="52"/>
      <c r="CN726" s="52"/>
      <c r="CO726" s="52"/>
      <c r="CP726" s="52"/>
      <c r="CQ726" s="52"/>
      <c r="CR726" s="52"/>
      <c r="CS726" s="52"/>
      <c r="CT726" s="52"/>
      <c r="CU726" s="52"/>
      <c r="CV726" s="52"/>
      <c r="CW726" s="52"/>
      <c r="CX726" s="52"/>
      <c r="CY726" s="52"/>
      <c r="CZ726" s="52"/>
      <c r="DA726" s="52"/>
      <c r="DB726" s="52"/>
      <c r="DC726" s="52"/>
      <c r="DD726" s="52"/>
      <c r="DE726" s="52"/>
      <c r="DF726" s="52"/>
      <c r="DG726" s="52"/>
      <c r="DH726" s="52"/>
      <c r="DI726" s="52"/>
      <c r="DJ726" s="52"/>
      <c r="DK726" s="52"/>
      <c r="DL726" s="52"/>
      <c r="DM726" s="52"/>
      <c r="DN726" s="52"/>
      <c r="DO726" s="52"/>
      <c r="DP726" s="52"/>
      <c r="DQ726" s="52"/>
      <c r="DR726" s="52"/>
      <c r="DS726" s="52"/>
      <c r="DT726" s="52"/>
      <c r="DU726" s="52"/>
      <c r="DV726" s="52"/>
      <c r="DW726" s="52"/>
      <c r="DX726" s="52"/>
      <c r="DY726" s="52"/>
      <c r="DZ726" s="52"/>
      <c r="EA726" s="52"/>
      <c r="EB726" s="52"/>
      <c r="EC726" s="52"/>
      <c r="ED726" s="52"/>
      <c r="EE726" s="52"/>
      <c r="EF726" s="52"/>
      <c r="EG726" s="52"/>
      <c r="EH726" s="52"/>
      <c r="EI726" s="52"/>
      <c r="EJ726" s="52"/>
      <c r="EK726" s="52"/>
      <c r="EL726" s="52"/>
      <c r="EM726" s="52"/>
      <c r="EN726" s="52"/>
      <c r="EO726" s="52"/>
      <c r="EP726" s="52"/>
      <c r="EQ726" s="52"/>
      <c r="ER726" s="52"/>
      <c r="ES726" s="52"/>
    </row>
    <row r="727" spans="1:149" ht="6.75" customHeight="1">
      <c r="A727" s="100"/>
      <c r="B727" s="100"/>
      <c r="C727" s="100"/>
      <c r="D727" s="101"/>
      <c r="E727" s="101"/>
      <c r="F727" s="102"/>
      <c r="G727" s="103"/>
      <c r="H727" s="103"/>
      <c r="I727" s="103"/>
      <c r="J727" s="104"/>
      <c r="K727" s="104"/>
      <c r="L727" s="104"/>
      <c r="M727" s="104"/>
      <c r="N727" s="103"/>
      <c r="O727" s="105"/>
      <c r="P727" s="105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  <c r="AC727" s="52"/>
      <c r="AD727" s="52"/>
      <c r="AE727" s="52"/>
      <c r="AF727" s="52"/>
      <c r="AG727" s="52"/>
      <c r="AH727" s="52"/>
      <c r="AI727" s="52"/>
      <c r="AJ727" s="52"/>
      <c r="AK727" s="52"/>
      <c r="AL727" s="52"/>
      <c r="AM727" s="52"/>
      <c r="AN727" s="52"/>
      <c r="AO727" s="52"/>
      <c r="AP727" s="52"/>
      <c r="AQ727" s="52"/>
      <c r="AR727" s="52"/>
      <c r="AS727" s="52"/>
      <c r="AT727" s="52"/>
      <c r="AU727" s="52"/>
      <c r="AV727" s="52"/>
      <c r="AW727" s="52"/>
      <c r="AX727" s="52"/>
      <c r="AY727" s="52"/>
      <c r="AZ727" s="52"/>
      <c r="BA727" s="52"/>
      <c r="BB727" s="52"/>
      <c r="BC727" s="52"/>
      <c r="BD727" s="52"/>
      <c r="BE727" s="52"/>
      <c r="BF727" s="52"/>
      <c r="BG727" s="52"/>
      <c r="BH727" s="52"/>
      <c r="BI727" s="52"/>
      <c r="BJ727" s="52"/>
      <c r="BK727" s="52"/>
      <c r="BL727" s="52"/>
      <c r="BM727" s="52"/>
      <c r="BN727" s="52"/>
      <c r="BO727" s="52"/>
      <c r="BP727" s="52"/>
      <c r="BQ727" s="52"/>
      <c r="BR727" s="52"/>
      <c r="BS727" s="52"/>
      <c r="BT727" s="52"/>
      <c r="BU727" s="52"/>
      <c r="BV727" s="52"/>
      <c r="BW727" s="52"/>
      <c r="BX727" s="52"/>
      <c r="BY727" s="52"/>
      <c r="BZ727" s="52"/>
      <c r="CA727" s="52"/>
      <c r="CB727" s="52"/>
      <c r="CC727" s="52"/>
      <c r="CD727" s="52"/>
      <c r="CE727" s="52"/>
      <c r="CF727" s="52"/>
      <c r="CG727" s="52"/>
      <c r="CH727" s="52"/>
      <c r="CI727" s="52"/>
      <c r="CJ727" s="52"/>
      <c r="CK727" s="52"/>
      <c r="CL727" s="52"/>
      <c r="CM727" s="52"/>
      <c r="CN727" s="52"/>
      <c r="CO727" s="52"/>
      <c r="CP727" s="52"/>
      <c r="CQ727" s="52"/>
      <c r="CR727" s="52"/>
      <c r="CS727" s="52"/>
      <c r="CT727" s="52"/>
      <c r="CU727" s="52"/>
      <c r="CV727" s="52"/>
      <c r="CW727" s="52"/>
      <c r="CX727" s="52"/>
      <c r="CY727" s="52"/>
      <c r="CZ727" s="52"/>
      <c r="DA727" s="52"/>
      <c r="DB727" s="52"/>
      <c r="DC727" s="52"/>
      <c r="DD727" s="52"/>
      <c r="DE727" s="52"/>
      <c r="DF727" s="52"/>
      <c r="DG727" s="52"/>
      <c r="DH727" s="52"/>
      <c r="DI727" s="52"/>
      <c r="DJ727" s="52"/>
      <c r="DK727" s="52"/>
      <c r="DL727" s="52"/>
      <c r="DM727" s="52"/>
      <c r="DN727" s="52"/>
      <c r="DO727" s="52"/>
      <c r="DP727" s="52"/>
      <c r="DQ727" s="52"/>
      <c r="DR727" s="52"/>
      <c r="DS727" s="52"/>
      <c r="DT727" s="52"/>
      <c r="DU727" s="52"/>
      <c r="DV727" s="52"/>
      <c r="DW727" s="52"/>
      <c r="DX727" s="52"/>
      <c r="DY727" s="52"/>
      <c r="DZ727" s="52"/>
      <c r="EA727" s="52"/>
      <c r="EB727" s="52"/>
      <c r="EC727" s="52"/>
      <c r="ED727" s="52"/>
      <c r="EE727" s="52"/>
      <c r="EF727" s="52"/>
      <c r="EG727" s="52"/>
      <c r="EH727" s="52"/>
      <c r="EI727" s="52"/>
      <c r="EJ727" s="52"/>
      <c r="EK727" s="52"/>
      <c r="EL727" s="52"/>
      <c r="EM727" s="52"/>
      <c r="EN727" s="52"/>
      <c r="EO727" s="52"/>
      <c r="EP727" s="52"/>
      <c r="EQ727" s="52"/>
      <c r="ER727" s="52"/>
      <c r="ES727" s="52"/>
    </row>
    <row r="728" spans="1:149" ht="18.75" customHeight="1">
      <c r="A728" s="176" t="s">
        <v>443</v>
      </c>
      <c r="B728" s="176"/>
      <c r="C728" s="106"/>
      <c r="D728" s="107"/>
      <c r="E728" s="101"/>
      <c r="F728" s="103"/>
      <c r="G728" s="101"/>
      <c r="H728" s="101"/>
      <c r="I728" s="101"/>
      <c r="J728" s="108"/>
      <c r="K728" s="108"/>
      <c r="L728" s="108"/>
      <c r="M728" s="108"/>
      <c r="N728" s="108"/>
      <c r="O728" s="108"/>
      <c r="P728" s="108"/>
      <c r="Q728" s="109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  <c r="AC728" s="52"/>
      <c r="AD728" s="52"/>
      <c r="AE728" s="52"/>
      <c r="AF728" s="52"/>
      <c r="AG728" s="52"/>
      <c r="AH728" s="52"/>
      <c r="AI728" s="52"/>
      <c r="AJ728" s="52"/>
      <c r="AK728" s="52"/>
      <c r="AL728" s="52"/>
      <c r="AM728" s="52"/>
      <c r="AN728" s="52"/>
      <c r="AO728" s="52"/>
      <c r="AP728" s="52"/>
      <c r="AQ728" s="52"/>
      <c r="AR728" s="52"/>
      <c r="AS728" s="52"/>
      <c r="AT728" s="52"/>
      <c r="AU728" s="52"/>
      <c r="AV728" s="52"/>
      <c r="AW728" s="52"/>
      <c r="AX728" s="52"/>
      <c r="AY728" s="52"/>
      <c r="AZ728" s="52"/>
      <c r="BA728" s="52"/>
      <c r="BB728" s="52"/>
      <c r="BC728" s="52"/>
      <c r="BD728" s="52"/>
      <c r="BE728" s="52"/>
      <c r="BF728" s="52"/>
      <c r="BG728" s="52"/>
      <c r="BH728" s="52"/>
      <c r="BI728" s="52"/>
      <c r="BJ728" s="52"/>
      <c r="BK728" s="52"/>
      <c r="BL728" s="52"/>
      <c r="BM728" s="52"/>
      <c r="BN728" s="52"/>
      <c r="BO728" s="52"/>
      <c r="BP728" s="52"/>
      <c r="BQ728" s="52"/>
      <c r="BR728" s="52"/>
      <c r="BS728" s="52"/>
      <c r="BT728" s="52"/>
      <c r="BU728" s="52"/>
      <c r="BV728" s="52"/>
      <c r="BW728" s="52"/>
      <c r="BX728" s="52"/>
      <c r="BY728" s="52"/>
      <c r="BZ728" s="52"/>
      <c r="CA728" s="52"/>
      <c r="CB728" s="52"/>
      <c r="CC728" s="52"/>
      <c r="CD728" s="52"/>
      <c r="CE728" s="52"/>
      <c r="CF728" s="52"/>
      <c r="CG728" s="52"/>
      <c r="CH728" s="52"/>
      <c r="CI728" s="52"/>
      <c r="CJ728" s="52"/>
      <c r="CK728" s="52"/>
      <c r="CL728" s="52"/>
      <c r="CM728" s="52"/>
      <c r="CN728" s="52"/>
      <c r="CO728" s="52"/>
      <c r="CP728" s="52"/>
      <c r="CQ728" s="52"/>
      <c r="CR728" s="52"/>
      <c r="CS728" s="52"/>
      <c r="CT728" s="52"/>
      <c r="CU728" s="52"/>
      <c r="CV728" s="52"/>
      <c r="CW728" s="52"/>
      <c r="CX728" s="52"/>
      <c r="CY728" s="52"/>
      <c r="CZ728" s="52"/>
      <c r="DA728" s="52"/>
      <c r="DB728" s="52"/>
      <c r="DC728" s="52"/>
      <c r="DD728" s="52"/>
      <c r="DE728" s="52"/>
      <c r="DF728" s="52"/>
      <c r="DG728" s="52"/>
      <c r="DH728" s="52"/>
      <c r="DI728" s="52"/>
      <c r="DJ728" s="52"/>
      <c r="DK728" s="52"/>
      <c r="DL728" s="52"/>
      <c r="DM728" s="52"/>
      <c r="DN728" s="52"/>
      <c r="DO728" s="52"/>
      <c r="DP728" s="52"/>
      <c r="DQ728" s="52"/>
      <c r="DR728" s="52"/>
      <c r="DS728" s="52"/>
      <c r="DT728" s="52"/>
      <c r="DU728" s="52"/>
      <c r="DV728" s="52"/>
      <c r="DW728" s="52"/>
      <c r="DX728" s="52"/>
      <c r="DY728" s="52"/>
      <c r="DZ728" s="52"/>
      <c r="EA728" s="52"/>
      <c r="EB728" s="52"/>
      <c r="EC728" s="52"/>
      <c r="ED728" s="52"/>
      <c r="EE728" s="52"/>
      <c r="EF728" s="52"/>
      <c r="EG728" s="52"/>
      <c r="EH728" s="52"/>
      <c r="EI728" s="52"/>
      <c r="EJ728" s="52"/>
      <c r="EK728" s="52"/>
      <c r="EL728" s="52"/>
      <c r="EM728" s="52"/>
      <c r="EN728" s="52"/>
      <c r="EO728" s="52"/>
      <c r="EP728" s="52"/>
      <c r="EQ728" s="52"/>
      <c r="ER728" s="52"/>
      <c r="ES728" s="52"/>
    </row>
    <row r="729" spans="1:149" ht="0.75" customHeight="1">
      <c r="A729" s="27" t="s">
        <v>149</v>
      </c>
      <c r="B729" s="27"/>
      <c r="C729" s="110"/>
      <c r="D729" s="103"/>
      <c r="E729" s="103"/>
      <c r="F729" s="103"/>
      <c r="G729" s="103"/>
      <c r="H729" s="103"/>
      <c r="I729" s="103"/>
      <c r="J729" s="103"/>
      <c r="K729" s="103"/>
      <c r="L729" s="103"/>
      <c r="M729" s="103"/>
      <c r="N729" s="103"/>
      <c r="O729" s="103"/>
      <c r="P729" s="103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  <c r="AC729" s="52"/>
      <c r="AD729" s="52"/>
      <c r="AE729" s="52"/>
      <c r="AF729" s="52"/>
      <c r="AG729" s="52"/>
      <c r="AH729" s="52"/>
      <c r="AI729" s="52"/>
      <c r="AJ729" s="52"/>
      <c r="AK729" s="52"/>
      <c r="AL729" s="52"/>
      <c r="AM729" s="52"/>
      <c r="AN729" s="52"/>
      <c r="AO729" s="52"/>
      <c r="AP729" s="52"/>
      <c r="AQ729" s="52"/>
      <c r="AR729" s="52"/>
      <c r="AS729" s="52"/>
      <c r="AT729" s="52"/>
      <c r="AU729" s="52"/>
      <c r="AV729" s="52"/>
      <c r="AW729" s="52"/>
      <c r="AX729" s="52"/>
      <c r="AY729" s="52"/>
      <c r="AZ729" s="52"/>
      <c r="BA729" s="52"/>
      <c r="BB729" s="52"/>
      <c r="BC729" s="52"/>
      <c r="BD729" s="52"/>
      <c r="BE729" s="52"/>
      <c r="BF729" s="52"/>
      <c r="BG729" s="52"/>
      <c r="BH729" s="52"/>
      <c r="BI729" s="52"/>
      <c r="BJ729" s="52"/>
      <c r="BK729" s="52"/>
      <c r="BL729" s="52"/>
      <c r="BM729" s="52"/>
      <c r="BN729" s="52"/>
      <c r="BO729" s="52"/>
      <c r="BP729" s="52"/>
      <c r="BQ729" s="52"/>
      <c r="BR729" s="52"/>
      <c r="BS729" s="52"/>
      <c r="BT729" s="52"/>
      <c r="BU729" s="52"/>
      <c r="BV729" s="52"/>
      <c r="BW729" s="52"/>
      <c r="BX729" s="52"/>
      <c r="BY729" s="52"/>
      <c r="BZ729" s="52"/>
      <c r="CA729" s="52"/>
      <c r="CB729" s="52"/>
      <c r="CC729" s="52"/>
      <c r="CD729" s="52"/>
      <c r="CE729" s="52"/>
      <c r="CF729" s="52"/>
      <c r="CG729" s="52"/>
      <c r="CH729" s="52"/>
      <c r="CI729" s="52"/>
      <c r="CJ729" s="52"/>
      <c r="CK729" s="52"/>
      <c r="CL729" s="52"/>
      <c r="CM729" s="52"/>
      <c r="CN729" s="52"/>
      <c r="CO729" s="52"/>
      <c r="CP729" s="52"/>
      <c r="CQ729" s="52"/>
      <c r="CR729" s="52"/>
      <c r="CS729" s="52"/>
      <c r="CT729" s="52"/>
      <c r="CU729" s="52"/>
      <c r="CV729" s="52"/>
      <c r="CW729" s="52"/>
      <c r="CX729" s="52"/>
      <c r="CY729" s="52"/>
      <c r="CZ729" s="52"/>
      <c r="DA729" s="52"/>
      <c r="DB729" s="52"/>
      <c r="DC729" s="52"/>
      <c r="DD729" s="52"/>
      <c r="DE729" s="52"/>
      <c r="DF729" s="52"/>
      <c r="DG729" s="52"/>
      <c r="DH729" s="52"/>
      <c r="DI729" s="52"/>
      <c r="DJ729" s="52"/>
      <c r="DK729" s="52"/>
      <c r="DL729" s="52"/>
      <c r="DM729" s="52"/>
      <c r="DN729" s="52"/>
      <c r="DO729" s="52"/>
      <c r="DP729" s="52"/>
      <c r="DQ729" s="52"/>
      <c r="DR729" s="52"/>
      <c r="DS729" s="52"/>
      <c r="DT729" s="52"/>
      <c r="DU729" s="52"/>
      <c r="DV729" s="52"/>
      <c r="DW729" s="52"/>
      <c r="DX729" s="52"/>
      <c r="DY729" s="52"/>
      <c r="DZ729" s="52"/>
      <c r="EA729" s="52"/>
      <c r="EB729" s="52"/>
      <c r="EC729" s="52"/>
      <c r="ED729" s="52"/>
      <c r="EE729" s="52"/>
      <c r="EF729" s="52"/>
      <c r="EG729" s="52"/>
      <c r="EH729" s="52"/>
      <c r="EI729" s="52"/>
      <c r="EJ729" s="52"/>
      <c r="EK729" s="52"/>
      <c r="EL729" s="52"/>
      <c r="EM729" s="52"/>
      <c r="EN729" s="52"/>
      <c r="EO729" s="52"/>
      <c r="EP729" s="52"/>
      <c r="EQ729" s="52"/>
      <c r="ER729" s="52"/>
      <c r="ES729" s="52"/>
    </row>
    <row r="730" spans="1:149" ht="28.5" customHeight="1">
      <c r="A730" s="111"/>
      <c r="B730" s="112"/>
      <c r="C730" s="113"/>
      <c r="D730" s="114"/>
      <c r="E730" s="114"/>
      <c r="F730" s="103"/>
      <c r="G730" s="103"/>
      <c r="H730" s="103"/>
      <c r="I730" s="103"/>
      <c r="J730" s="103"/>
      <c r="K730" s="103"/>
      <c r="L730" s="103"/>
      <c r="M730" s="103"/>
      <c r="N730" s="103"/>
      <c r="O730" s="103"/>
      <c r="P730" s="103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  <c r="AC730" s="52"/>
      <c r="AD730" s="52"/>
      <c r="AE730" s="52"/>
      <c r="AF730" s="52"/>
      <c r="AG730" s="52"/>
      <c r="AH730" s="52"/>
      <c r="AI730" s="52"/>
      <c r="AJ730" s="52"/>
      <c r="AK730" s="52"/>
      <c r="AL730" s="52"/>
      <c r="AM730" s="52"/>
      <c r="AN730" s="52"/>
      <c r="AO730" s="52"/>
      <c r="AP730" s="52"/>
      <c r="AQ730" s="52"/>
      <c r="AR730" s="52"/>
      <c r="AS730" s="52"/>
      <c r="AT730" s="52"/>
      <c r="AU730" s="52"/>
      <c r="AV730" s="52"/>
      <c r="AW730" s="52"/>
      <c r="AX730" s="52"/>
      <c r="AY730" s="52"/>
      <c r="AZ730" s="52"/>
      <c r="BA730" s="52"/>
      <c r="BB730" s="52"/>
      <c r="BC730" s="52"/>
      <c r="BD730" s="52"/>
      <c r="BE730" s="52"/>
      <c r="BF730" s="52"/>
      <c r="BG730" s="52"/>
      <c r="BH730" s="52"/>
      <c r="BI730" s="52"/>
      <c r="BJ730" s="52"/>
      <c r="BK730" s="52"/>
      <c r="BL730" s="52"/>
      <c r="BM730" s="52"/>
      <c r="BN730" s="52"/>
      <c r="BO730" s="52"/>
      <c r="BP730" s="52"/>
      <c r="BQ730" s="52"/>
      <c r="BR730" s="52"/>
      <c r="BS730" s="52"/>
      <c r="BT730" s="52"/>
      <c r="BU730" s="52"/>
      <c r="BV730" s="52"/>
      <c r="BW730" s="52"/>
      <c r="BX730" s="52"/>
      <c r="BY730" s="52"/>
      <c r="BZ730" s="52"/>
      <c r="CA730" s="52"/>
      <c r="CB730" s="52"/>
      <c r="CC730" s="52"/>
      <c r="CD730" s="52"/>
      <c r="CE730" s="52"/>
      <c r="CF730" s="52"/>
      <c r="CG730" s="52"/>
      <c r="CH730" s="52"/>
      <c r="CI730" s="52"/>
      <c r="CJ730" s="52"/>
      <c r="CK730" s="52"/>
      <c r="CL730" s="52"/>
      <c r="CM730" s="52"/>
      <c r="CN730" s="52"/>
      <c r="CO730" s="52"/>
      <c r="CP730" s="52"/>
      <c r="CQ730" s="52"/>
      <c r="CR730" s="52"/>
      <c r="CS730" s="52"/>
      <c r="CT730" s="52"/>
      <c r="CU730" s="52"/>
      <c r="CV730" s="52"/>
      <c r="CW730" s="52"/>
      <c r="CX730" s="52"/>
      <c r="CY730" s="52"/>
      <c r="CZ730" s="52"/>
      <c r="DA730" s="52"/>
      <c r="DB730" s="52"/>
      <c r="DC730" s="52"/>
      <c r="DD730" s="52"/>
      <c r="DE730" s="52"/>
      <c r="DF730" s="52"/>
      <c r="DG730" s="52"/>
      <c r="DH730" s="52"/>
      <c r="DI730" s="52"/>
      <c r="DJ730" s="52"/>
      <c r="DK730" s="52"/>
      <c r="DL730" s="52"/>
      <c r="DM730" s="52"/>
      <c r="DN730" s="52"/>
      <c r="DO730" s="52"/>
      <c r="DP730" s="52"/>
      <c r="DQ730" s="52"/>
      <c r="DR730" s="52"/>
      <c r="DS730" s="52"/>
      <c r="DT730" s="52"/>
      <c r="DU730" s="52"/>
      <c r="DV730" s="52"/>
      <c r="DW730" s="52"/>
      <c r="DX730" s="52"/>
      <c r="DY730" s="52"/>
      <c r="DZ730" s="52"/>
      <c r="EA730" s="52"/>
      <c r="EB730" s="52"/>
      <c r="EC730" s="52"/>
      <c r="ED730" s="52"/>
      <c r="EE730" s="52"/>
      <c r="EF730" s="52"/>
      <c r="EG730" s="52"/>
      <c r="EH730" s="52"/>
      <c r="EI730" s="52"/>
      <c r="EJ730" s="52"/>
      <c r="EK730" s="52"/>
      <c r="EL730" s="52"/>
      <c r="EM730" s="52"/>
      <c r="EN730" s="52"/>
      <c r="EO730" s="52"/>
      <c r="EP730" s="52"/>
      <c r="EQ730" s="52"/>
      <c r="ER730" s="52"/>
      <c r="ES730" s="52"/>
    </row>
    <row r="731" spans="1:149" ht="11.25">
      <c r="A731" s="1"/>
      <c r="B731" s="1"/>
      <c r="C731" s="1"/>
      <c r="D731" s="3"/>
      <c r="E731" s="3"/>
      <c r="F731" s="3"/>
      <c r="G731" s="3"/>
      <c r="H731" s="3"/>
      <c r="I731" s="3"/>
      <c r="J731" s="3"/>
      <c r="K731" s="3"/>
      <c r="L731" s="3"/>
      <c r="M731" s="3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  <c r="AC731" s="52"/>
      <c r="AD731" s="52"/>
      <c r="AE731" s="52"/>
      <c r="AF731" s="52"/>
      <c r="AG731" s="52"/>
      <c r="AH731" s="52"/>
      <c r="AI731" s="52"/>
      <c r="AJ731" s="52"/>
      <c r="AK731" s="52"/>
      <c r="AL731" s="52"/>
      <c r="AM731" s="52"/>
      <c r="AN731" s="52"/>
      <c r="AO731" s="52"/>
      <c r="AP731" s="52"/>
      <c r="AQ731" s="52"/>
      <c r="AR731" s="52"/>
      <c r="AS731" s="52"/>
      <c r="AT731" s="52"/>
      <c r="AU731" s="52"/>
      <c r="AV731" s="52"/>
      <c r="AW731" s="52"/>
      <c r="AX731" s="52"/>
      <c r="AY731" s="52"/>
      <c r="AZ731" s="52"/>
      <c r="BA731" s="52"/>
      <c r="BB731" s="52"/>
      <c r="BC731" s="52"/>
      <c r="BD731" s="52"/>
      <c r="BE731" s="52"/>
      <c r="BF731" s="52"/>
      <c r="BG731" s="52"/>
      <c r="BH731" s="52"/>
      <c r="BI731" s="52"/>
      <c r="BJ731" s="52"/>
      <c r="BK731" s="52"/>
      <c r="BL731" s="52"/>
      <c r="BM731" s="52"/>
      <c r="BN731" s="52"/>
      <c r="BO731" s="52"/>
      <c r="BP731" s="52"/>
      <c r="BQ731" s="52"/>
      <c r="BR731" s="52"/>
      <c r="BS731" s="52"/>
      <c r="BT731" s="52"/>
      <c r="BU731" s="52"/>
      <c r="BV731" s="52"/>
      <c r="BW731" s="52"/>
      <c r="BX731" s="52"/>
      <c r="BY731" s="52"/>
      <c r="BZ731" s="52"/>
      <c r="CA731" s="52"/>
      <c r="CB731" s="52"/>
      <c r="CC731" s="52"/>
      <c r="CD731" s="52"/>
      <c r="CE731" s="52"/>
      <c r="CF731" s="52"/>
      <c r="CG731" s="52"/>
      <c r="CH731" s="52"/>
      <c r="CI731" s="52"/>
      <c r="CJ731" s="52"/>
      <c r="CK731" s="52"/>
      <c r="CL731" s="52"/>
      <c r="CM731" s="52"/>
      <c r="CN731" s="52"/>
      <c r="CO731" s="52"/>
      <c r="CP731" s="52"/>
      <c r="CQ731" s="52"/>
      <c r="CR731" s="52"/>
      <c r="CS731" s="52"/>
      <c r="CT731" s="52"/>
      <c r="CU731" s="52"/>
      <c r="CV731" s="52"/>
      <c r="CW731" s="52"/>
      <c r="CX731" s="52"/>
      <c r="CY731" s="52"/>
      <c r="CZ731" s="52"/>
      <c r="DA731" s="52"/>
      <c r="DB731" s="52"/>
      <c r="DC731" s="52"/>
      <c r="DD731" s="52"/>
      <c r="DE731" s="52"/>
      <c r="DF731" s="52"/>
      <c r="DG731" s="52"/>
      <c r="DH731" s="52"/>
      <c r="DI731" s="52"/>
      <c r="DJ731" s="52"/>
      <c r="DK731" s="52"/>
      <c r="DL731" s="52"/>
      <c r="DM731" s="52"/>
      <c r="DN731" s="52"/>
      <c r="DO731" s="52"/>
      <c r="DP731" s="52"/>
      <c r="DQ731" s="52"/>
      <c r="DR731" s="52"/>
      <c r="DS731" s="52"/>
      <c r="DT731" s="52"/>
      <c r="DU731" s="52"/>
      <c r="DV731" s="52"/>
      <c r="DW731" s="52"/>
      <c r="DX731" s="52"/>
      <c r="DY731" s="52"/>
      <c r="DZ731" s="52"/>
      <c r="EA731" s="52"/>
      <c r="EB731" s="52"/>
      <c r="EC731" s="52"/>
      <c r="ED731" s="52"/>
      <c r="EE731" s="52"/>
      <c r="EF731" s="52"/>
      <c r="EG731" s="52"/>
      <c r="EH731" s="52"/>
      <c r="EI731" s="52"/>
      <c r="EJ731" s="52"/>
      <c r="EK731" s="52"/>
      <c r="EL731" s="52"/>
      <c r="EM731" s="52"/>
      <c r="EN731" s="52"/>
      <c r="EO731" s="52"/>
      <c r="EP731" s="52"/>
      <c r="EQ731" s="52"/>
      <c r="ER731" s="52"/>
      <c r="ES731" s="52"/>
    </row>
    <row r="732" spans="1:149" ht="11.25">
      <c r="A732" s="1"/>
      <c r="B732" s="1"/>
      <c r="C732" s="1"/>
      <c r="D732" s="3"/>
      <c r="E732" s="3"/>
      <c r="F732" s="3"/>
      <c r="G732" s="3"/>
      <c r="H732" s="3"/>
      <c r="I732" s="3"/>
      <c r="J732" s="3"/>
      <c r="K732" s="3"/>
      <c r="L732" s="3"/>
      <c r="M732" s="3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  <c r="AC732" s="52"/>
      <c r="AD732" s="52"/>
      <c r="AE732" s="52"/>
      <c r="AF732" s="52"/>
      <c r="AG732" s="52"/>
      <c r="AH732" s="52"/>
      <c r="AI732" s="52"/>
      <c r="AJ732" s="52"/>
      <c r="AK732" s="52"/>
      <c r="AL732" s="52"/>
      <c r="AM732" s="52"/>
      <c r="AN732" s="52"/>
      <c r="AO732" s="52"/>
      <c r="AP732" s="52"/>
      <c r="AQ732" s="52"/>
      <c r="AR732" s="52"/>
      <c r="AS732" s="52"/>
      <c r="AT732" s="52"/>
      <c r="AU732" s="52"/>
      <c r="AV732" s="52"/>
      <c r="AW732" s="52"/>
      <c r="AX732" s="52"/>
      <c r="AY732" s="52"/>
      <c r="AZ732" s="52"/>
      <c r="BA732" s="52"/>
      <c r="BB732" s="52"/>
      <c r="BC732" s="52"/>
      <c r="BD732" s="52"/>
      <c r="BE732" s="52"/>
      <c r="BF732" s="52"/>
      <c r="BG732" s="52"/>
      <c r="BH732" s="52"/>
      <c r="BI732" s="52"/>
      <c r="BJ732" s="52"/>
      <c r="BK732" s="52"/>
      <c r="BL732" s="52"/>
      <c r="BM732" s="52"/>
      <c r="BN732" s="52"/>
      <c r="BO732" s="52"/>
      <c r="BP732" s="52"/>
      <c r="BQ732" s="52"/>
      <c r="BR732" s="52"/>
      <c r="BS732" s="52"/>
      <c r="BT732" s="52"/>
      <c r="BU732" s="52"/>
      <c r="BV732" s="52"/>
      <c r="BW732" s="52"/>
      <c r="BX732" s="52"/>
      <c r="BY732" s="52"/>
      <c r="BZ732" s="52"/>
      <c r="CA732" s="52"/>
      <c r="CB732" s="52"/>
      <c r="CC732" s="52"/>
      <c r="CD732" s="52"/>
      <c r="CE732" s="52"/>
      <c r="CF732" s="52"/>
      <c r="CG732" s="52"/>
      <c r="CH732" s="52"/>
      <c r="CI732" s="52"/>
      <c r="CJ732" s="52"/>
      <c r="CK732" s="52"/>
      <c r="CL732" s="52"/>
      <c r="CM732" s="52"/>
      <c r="CN732" s="52"/>
      <c r="CO732" s="52"/>
      <c r="CP732" s="52"/>
      <c r="CQ732" s="52"/>
      <c r="CR732" s="52"/>
      <c r="CS732" s="52"/>
      <c r="CT732" s="52"/>
      <c r="CU732" s="52"/>
      <c r="CV732" s="52"/>
      <c r="CW732" s="52"/>
      <c r="CX732" s="52"/>
      <c r="CY732" s="52"/>
      <c r="CZ732" s="52"/>
      <c r="DA732" s="52"/>
      <c r="DB732" s="52"/>
      <c r="DC732" s="52"/>
      <c r="DD732" s="52"/>
      <c r="DE732" s="52"/>
      <c r="DF732" s="52"/>
      <c r="DG732" s="52"/>
      <c r="DH732" s="52"/>
      <c r="DI732" s="52"/>
      <c r="DJ732" s="52"/>
      <c r="DK732" s="52"/>
      <c r="DL732" s="52"/>
      <c r="DM732" s="52"/>
      <c r="DN732" s="52"/>
      <c r="DO732" s="52"/>
      <c r="DP732" s="52"/>
      <c r="DQ732" s="52"/>
      <c r="DR732" s="52"/>
      <c r="DS732" s="52"/>
      <c r="DT732" s="52"/>
      <c r="DU732" s="52"/>
      <c r="DV732" s="52"/>
      <c r="DW732" s="52"/>
      <c r="DX732" s="52"/>
      <c r="DY732" s="52"/>
      <c r="DZ732" s="52"/>
      <c r="EA732" s="52"/>
      <c r="EB732" s="52"/>
      <c r="EC732" s="52"/>
      <c r="ED732" s="52"/>
      <c r="EE732" s="52"/>
      <c r="EF732" s="52"/>
      <c r="EG732" s="52"/>
      <c r="EH732" s="52"/>
      <c r="EI732" s="52"/>
      <c r="EJ732" s="52"/>
      <c r="EK732" s="52"/>
      <c r="EL732" s="52"/>
      <c r="EM732" s="52"/>
      <c r="EN732" s="52"/>
      <c r="EO732" s="52"/>
      <c r="EP732" s="52"/>
      <c r="EQ732" s="52"/>
      <c r="ER732" s="52"/>
      <c r="ES732" s="52"/>
    </row>
    <row r="733" spans="1:149" ht="11.25">
      <c r="A733" s="1"/>
      <c r="B733" s="1"/>
      <c r="C733" s="1"/>
      <c r="D733" s="3"/>
      <c r="E733" s="3"/>
      <c r="F733" s="3"/>
      <c r="G733" s="3"/>
      <c r="H733" s="3"/>
      <c r="I733" s="3"/>
      <c r="J733" s="3"/>
      <c r="K733" s="3"/>
      <c r="L733" s="3"/>
      <c r="M733" s="3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  <c r="AC733" s="52"/>
      <c r="AD733" s="52"/>
      <c r="AE733" s="52"/>
      <c r="AF733" s="52"/>
      <c r="AG733" s="52"/>
      <c r="AH733" s="52"/>
      <c r="AI733" s="52"/>
      <c r="AJ733" s="52"/>
      <c r="AK733" s="52"/>
      <c r="AL733" s="52"/>
      <c r="AM733" s="52"/>
      <c r="AN733" s="52"/>
      <c r="AO733" s="52"/>
      <c r="AP733" s="52"/>
      <c r="AQ733" s="52"/>
      <c r="AR733" s="52"/>
      <c r="AS733" s="52"/>
      <c r="AT733" s="52"/>
      <c r="AU733" s="52"/>
      <c r="AV733" s="52"/>
      <c r="AW733" s="52"/>
      <c r="AX733" s="52"/>
      <c r="AY733" s="52"/>
      <c r="AZ733" s="52"/>
      <c r="BA733" s="52"/>
      <c r="BB733" s="52"/>
      <c r="BC733" s="52"/>
      <c r="BD733" s="52"/>
      <c r="BE733" s="52"/>
      <c r="BF733" s="52"/>
      <c r="BG733" s="52"/>
      <c r="BH733" s="52"/>
      <c r="BI733" s="52"/>
      <c r="BJ733" s="52"/>
      <c r="BK733" s="52"/>
      <c r="BL733" s="52"/>
      <c r="BM733" s="52"/>
      <c r="BN733" s="52"/>
      <c r="BO733" s="52"/>
      <c r="BP733" s="52"/>
      <c r="BQ733" s="52"/>
      <c r="BR733" s="52"/>
      <c r="BS733" s="52"/>
      <c r="BT733" s="52"/>
      <c r="BU733" s="52"/>
      <c r="BV733" s="52"/>
      <c r="BW733" s="52"/>
      <c r="BX733" s="52"/>
      <c r="BY733" s="52"/>
      <c r="BZ733" s="52"/>
      <c r="CA733" s="52"/>
      <c r="CB733" s="52"/>
      <c r="CC733" s="52"/>
      <c r="CD733" s="52"/>
      <c r="CE733" s="52"/>
      <c r="CF733" s="52"/>
      <c r="CG733" s="52"/>
      <c r="CH733" s="52"/>
      <c r="CI733" s="52"/>
      <c r="CJ733" s="52"/>
      <c r="CK733" s="52"/>
      <c r="CL733" s="52"/>
      <c r="CM733" s="52"/>
      <c r="CN733" s="52"/>
      <c r="CO733" s="52"/>
      <c r="CP733" s="52"/>
      <c r="CQ733" s="52"/>
      <c r="CR733" s="52"/>
      <c r="CS733" s="52"/>
      <c r="CT733" s="52"/>
      <c r="CU733" s="52"/>
      <c r="CV733" s="52"/>
      <c r="CW733" s="52"/>
      <c r="CX733" s="52"/>
      <c r="CY733" s="52"/>
      <c r="CZ733" s="52"/>
      <c r="DA733" s="52"/>
      <c r="DB733" s="52"/>
      <c r="DC733" s="52"/>
      <c r="DD733" s="52"/>
      <c r="DE733" s="52"/>
      <c r="DF733" s="52"/>
      <c r="DG733" s="52"/>
      <c r="DH733" s="52"/>
      <c r="DI733" s="52"/>
      <c r="DJ733" s="52"/>
      <c r="DK733" s="52"/>
      <c r="DL733" s="52"/>
      <c r="DM733" s="52"/>
      <c r="DN733" s="52"/>
      <c r="DO733" s="52"/>
      <c r="DP733" s="52"/>
      <c r="DQ733" s="52"/>
      <c r="DR733" s="52"/>
      <c r="DS733" s="52"/>
      <c r="DT733" s="52"/>
      <c r="DU733" s="52"/>
      <c r="DV733" s="52"/>
      <c r="DW733" s="52"/>
      <c r="DX733" s="52"/>
      <c r="DY733" s="52"/>
      <c r="DZ733" s="52"/>
      <c r="EA733" s="52"/>
      <c r="EB733" s="52"/>
      <c r="EC733" s="52"/>
      <c r="ED733" s="52"/>
      <c r="EE733" s="52"/>
      <c r="EF733" s="52"/>
      <c r="EG733" s="52"/>
      <c r="EH733" s="52"/>
      <c r="EI733" s="52"/>
      <c r="EJ733" s="52"/>
      <c r="EK733" s="52"/>
      <c r="EL733" s="52"/>
      <c r="EM733" s="52"/>
      <c r="EN733" s="52"/>
      <c r="EO733" s="52"/>
      <c r="EP733" s="52"/>
      <c r="EQ733" s="52"/>
      <c r="ER733" s="52"/>
      <c r="ES733" s="52"/>
    </row>
    <row r="734" spans="1:149" ht="11.25">
      <c r="A734" s="1"/>
      <c r="B734" s="1"/>
      <c r="C734" s="1"/>
      <c r="D734" s="3"/>
      <c r="E734" s="3"/>
      <c r="F734" s="3"/>
      <c r="G734" s="3"/>
      <c r="H734" s="3"/>
      <c r="I734" s="3"/>
      <c r="J734" s="3"/>
      <c r="K734" s="3"/>
      <c r="L734" s="3"/>
      <c r="M734" s="3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  <c r="AC734" s="52"/>
      <c r="AD734" s="52"/>
      <c r="AE734" s="52"/>
      <c r="AF734" s="52"/>
      <c r="AG734" s="52"/>
      <c r="AH734" s="52"/>
      <c r="AI734" s="52"/>
      <c r="AJ734" s="52"/>
      <c r="AK734" s="52"/>
      <c r="AL734" s="52"/>
      <c r="AM734" s="52"/>
      <c r="AN734" s="52"/>
      <c r="AO734" s="52"/>
      <c r="AP734" s="52"/>
      <c r="AQ734" s="52"/>
      <c r="AR734" s="52"/>
      <c r="AS734" s="52"/>
      <c r="AT734" s="52"/>
      <c r="AU734" s="52"/>
      <c r="AV734" s="52"/>
      <c r="AW734" s="52"/>
      <c r="AX734" s="52"/>
      <c r="AY734" s="52"/>
      <c r="AZ734" s="52"/>
      <c r="BA734" s="52"/>
      <c r="BB734" s="52"/>
      <c r="BC734" s="52"/>
      <c r="BD734" s="52"/>
      <c r="BE734" s="52"/>
      <c r="BF734" s="52"/>
      <c r="BG734" s="52"/>
      <c r="BH734" s="52"/>
      <c r="BI734" s="52"/>
      <c r="BJ734" s="52"/>
      <c r="BK734" s="52"/>
      <c r="BL734" s="52"/>
      <c r="BM734" s="52"/>
      <c r="BN734" s="52"/>
      <c r="BO734" s="52"/>
      <c r="BP734" s="52"/>
      <c r="BQ734" s="52"/>
      <c r="BR734" s="52"/>
      <c r="BS734" s="52"/>
      <c r="BT734" s="52"/>
      <c r="BU734" s="52"/>
      <c r="BV734" s="52"/>
      <c r="BW734" s="52"/>
      <c r="BX734" s="52"/>
      <c r="BY734" s="52"/>
      <c r="BZ734" s="52"/>
      <c r="CA734" s="52"/>
      <c r="CB734" s="52"/>
      <c r="CC734" s="52"/>
      <c r="CD734" s="52"/>
      <c r="CE734" s="52"/>
      <c r="CF734" s="52"/>
      <c r="CG734" s="52"/>
      <c r="CH734" s="52"/>
      <c r="CI734" s="52"/>
      <c r="CJ734" s="52"/>
      <c r="CK734" s="52"/>
      <c r="CL734" s="52"/>
      <c r="CM734" s="52"/>
      <c r="CN734" s="52"/>
      <c r="CO734" s="52"/>
      <c r="CP734" s="52"/>
      <c r="CQ734" s="52"/>
      <c r="CR734" s="52"/>
      <c r="CS734" s="52"/>
      <c r="CT734" s="52"/>
      <c r="CU734" s="52"/>
      <c r="CV734" s="52"/>
      <c r="CW734" s="52"/>
      <c r="CX734" s="52"/>
      <c r="CY734" s="52"/>
      <c r="CZ734" s="52"/>
      <c r="DA734" s="52"/>
      <c r="DB734" s="52"/>
      <c r="DC734" s="52"/>
      <c r="DD734" s="52"/>
      <c r="DE734" s="52"/>
      <c r="DF734" s="52"/>
      <c r="DG734" s="52"/>
      <c r="DH734" s="52"/>
      <c r="DI734" s="52"/>
      <c r="DJ734" s="52"/>
      <c r="DK734" s="52"/>
      <c r="DL734" s="52"/>
      <c r="DM734" s="52"/>
      <c r="DN734" s="52"/>
      <c r="DO734" s="52"/>
      <c r="DP734" s="52"/>
      <c r="DQ734" s="52"/>
      <c r="DR734" s="52"/>
      <c r="DS734" s="52"/>
      <c r="DT734" s="52"/>
      <c r="DU734" s="52"/>
      <c r="DV734" s="52"/>
      <c r="DW734" s="52"/>
      <c r="DX734" s="52"/>
      <c r="DY734" s="52"/>
      <c r="DZ734" s="52"/>
      <c r="EA734" s="52"/>
      <c r="EB734" s="52"/>
      <c r="EC734" s="52"/>
      <c r="ED734" s="52"/>
      <c r="EE734" s="52"/>
      <c r="EF734" s="52"/>
      <c r="EG734" s="52"/>
      <c r="EH734" s="52"/>
      <c r="EI734" s="52"/>
      <c r="EJ734" s="52"/>
      <c r="EK734" s="52"/>
      <c r="EL734" s="52"/>
      <c r="EM734" s="52"/>
      <c r="EN734" s="52"/>
      <c r="EO734" s="52"/>
      <c r="EP734" s="52"/>
      <c r="EQ734" s="52"/>
      <c r="ER734" s="52"/>
      <c r="ES734" s="52"/>
    </row>
    <row r="735" spans="1:149" ht="11.25">
      <c r="A735" s="1"/>
      <c r="B735" s="1"/>
      <c r="C735" s="1"/>
      <c r="D735" s="3"/>
      <c r="E735" s="3"/>
      <c r="F735" s="3"/>
      <c r="G735" s="3"/>
      <c r="H735" s="3"/>
      <c r="I735" s="3"/>
      <c r="J735" s="3"/>
      <c r="K735" s="3"/>
      <c r="L735" s="3"/>
      <c r="M735" s="3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  <c r="AC735" s="52"/>
      <c r="AD735" s="52"/>
      <c r="AE735" s="52"/>
      <c r="AF735" s="52"/>
      <c r="AG735" s="52"/>
      <c r="AH735" s="52"/>
      <c r="AI735" s="52"/>
      <c r="AJ735" s="52"/>
      <c r="AK735" s="52"/>
      <c r="AL735" s="52"/>
      <c r="AM735" s="52"/>
      <c r="AN735" s="52"/>
      <c r="AO735" s="52"/>
      <c r="AP735" s="52"/>
      <c r="AQ735" s="52"/>
      <c r="AR735" s="52"/>
      <c r="AS735" s="52"/>
      <c r="AT735" s="52"/>
      <c r="AU735" s="52"/>
      <c r="AV735" s="52"/>
      <c r="AW735" s="52"/>
      <c r="AX735" s="52"/>
      <c r="AY735" s="52"/>
      <c r="AZ735" s="52"/>
      <c r="BA735" s="52"/>
      <c r="BB735" s="52"/>
      <c r="BC735" s="52"/>
      <c r="BD735" s="52"/>
      <c r="BE735" s="52"/>
      <c r="BF735" s="52"/>
      <c r="BG735" s="52"/>
      <c r="BH735" s="52"/>
      <c r="BI735" s="52"/>
      <c r="BJ735" s="52"/>
      <c r="BK735" s="52"/>
      <c r="BL735" s="52"/>
      <c r="BM735" s="52"/>
      <c r="BN735" s="52"/>
      <c r="BO735" s="52"/>
      <c r="BP735" s="52"/>
      <c r="BQ735" s="52"/>
      <c r="BR735" s="52"/>
      <c r="BS735" s="52"/>
      <c r="BT735" s="52"/>
      <c r="BU735" s="52"/>
      <c r="BV735" s="52"/>
      <c r="BW735" s="52"/>
      <c r="BX735" s="52"/>
      <c r="BY735" s="52"/>
      <c r="BZ735" s="52"/>
      <c r="CA735" s="52"/>
      <c r="CB735" s="52"/>
      <c r="CC735" s="52"/>
      <c r="CD735" s="52"/>
      <c r="CE735" s="52"/>
      <c r="CF735" s="52"/>
      <c r="CG735" s="52"/>
      <c r="CH735" s="52"/>
      <c r="CI735" s="52"/>
      <c r="CJ735" s="52"/>
      <c r="CK735" s="52"/>
      <c r="CL735" s="52"/>
      <c r="CM735" s="52"/>
      <c r="CN735" s="52"/>
      <c r="CO735" s="52"/>
      <c r="CP735" s="52"/>
      <c r="CQ735" s="52"/>
      <c r="CR735" s="52"/>
      <c r="CS735" s="52"/>
      <c r="CT735" s="52"/>
      <c r="CU735" s="52"/>
      <c r="CV735" s="52"/>
      <c r="CW735" s="52"/>
      <c r="CX735" s="52"/>
      <c r="CY735" s="52"/>
      <c r="CZ735" s="52"/>
      <c r="DA735" s="52"/>
      <c r="DB735" s="52"/>
      <c r="DC735" s="52"/>
      <c r="DD735" s="52"/>
      <c r="DE735" s="52"/>
      <c r="DF735" s="52"/>
      <c r="DG735" s="52"/>
      <c r="DH735" s="52"/>
      <c r="DI735" s="52"/>
      <c r="DJ735" s="52"/>
      <c r="DK735" s="52"/>
      <c r="DL735" s="52"/>
      <c r="DM735" s="52"/>
      <c r="DN735" s="52"/>
      <c r="DO735" s="52"/>
      <c r="DP735" s="52"/>
      <c r="DQ735" s="52"/>
      <c r="DR735" s="52"/>
      <c r="DS735" s="52"/>
      <c r="DT735" s="52"/>
      <c r="DU735" s="52"/>
      <c r="DV735" s="52"/>
      <c r="DW735" s="52"/>
      <c r="DX735" s="52"/>
      <c r="DY735" s="52"/>
      <c r="DZ735" s="52"/>
      <c r="EA735" s="52"/>
      <c r="EB735" s="52"/>
      <c r="EC735" s="52"/>
      <c r="ED735" s="52"/>
      <c r="EE735" s="52"/>
      <c r="EF735" s="52"/>
      <c r="EG735" s="52"/>
      <c r="EH735" s="52"/>
      <c r="EI735" s="52"/>
      <c r="EJ735" s="52"/>
      <c r="EK735" s="52"/>
      <c r="EL735" s="52"/>
      <c r="EM735" s="52"/>
      <c r="EN735" s="52"/>
      <c r="EO735" s="52"/>
      <c r="EP735" s="52"/>
      <c r="EQ735" s="52"/>
      <c r="ER735" s="52"/>
      <c r="ES735" s="52"/>
    </row>
    <row r="736" spans="1:149" ht="11.25">
      <c r="A736" s="1"/>
      <c r="B736" s="1"/>
      <c r="C736" s="1"/>
      <c r="D736" s="3"/>
      <c r="E736" s="3"/>
      <c r="F736" s="3"/>
      <c r="G736" s="3"/>
      <c r="H736" s="3"/>
      <c r="I736" s="3"/>
      <c r="J736" s="3"/>
      <c r="K736" s="3"/>
      <c r="L736" s="3"/>
      <c r="M736" s="3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  <c r="AC736" s="52"/>
      <c r="AD736" s="52"/>
      <c r="AE736" s="52"/>
      <c r="AF736" s="52"/>
      <c r="AG736" s="52"/>
      <c r="AH736" s="52"/>
      <c r="AI736" s="52"/>
      <c r="AJ736" s="52"/>
      <c r="AK736" s="52"/>
      <c r="AL736" s="52"/>
      <c r="AM736" s="52"/>
      <c r="AN736" s="52"/>
      <c r="AO736" s="52"/>
      <c r="AP736" s="52"/>
      <c r="AQ736" s="52"/>
      <c r="AR736" s="52"/>
      <c r="AS736" s="52"/>
      <c r="AT736" s="52"/>
      <c r="AU736" s="52"/>
      <c r="AV736" s="52"/>
      <c r="AW736" s="52"/>
      <c r="AX736" s="52"/>
      <c r="AY736" s="52"/>
      <c r="AZ736" s="52"/>
      <c r="BA736" s="52"/>
      <c r="BB736" s="52"/>
      <c r="BC736" s="52"/>
      <c r="BD736" s="52"/>
      <c r="BE736" s="52"/>
      <c r="BF736" s="52"/>
      <c r="BG736" s="52"/>
      <c r="BH736" s="52"/>
      <c r="BI736" s="52"/>
      <c r="BJ736" s="52"/>
      <c r="BK736" s="52"/>
      <c r="BL736" s="52"/>
      <c r="BM736" s="52"/>
      <c r="BN736" s="52"/>
      <c r="BO736" s="52"/>
      <c r="BP736" s="52"/>
      <c r="BQ736" s="52"/>
      <c r="BR736" s="52"/>
      <c r="BS736" s="52"/>
      <c r="BT736" s="52"/>
      <c r="BU736" s="52"/>
      <c r="BV736" s="52"/>
      <c r="BW736" s="52"/>
      <c r="BX736" s="52"/>
      <c r="BY736" s="52"/>
      <c r="BZ736" s="52"/>
      <c r="CA736" s="52"/>
      <c r="CB736" s="52"/>
      <c r="CC736" s="52"/>
      <c r="CD736" s="52"/>
      <c r="CE736" s="52"/>
      <c r="CF736" s="52"/>
      <c r="CG736" s="52"/>
      <c r="CH736" s="52"/>
      <c r="CI736" s="52"/>
      <c r="CJ736" s="52"/>
      <c r="CK736" s="52"/>
      <c r="CL736" s="52"/>
      <c r="CM736" s="52"/>
      <c r="CN736" s="52"/>
      <c r="CO736" s="52"/>
      <c r="CP736" s="52"/>
      <c r="CQ736" s="52"/>
      <c r="CR736" s="52"/>
      <c r="CS736" s="52"/>
      <c r="CT736" s="52"/>
      <c r="CU736" s="52"/>
      <c r="CV736" s="52"/>
      <c r="CW736" s="52"/>
      <c r="CX736" s="52"/>
      <c r="CY736" s="52"/>
      <c r="CZ736" s="52"/>
      <c r="DA736" s="52"/>
      <c r="DB736" s="52"/>
      <c r="DC736" s="52"/>
      <c r="DD736" s="52"/>
      <c r="DE736" s="52"/>
      <c r="DF736" s="52"/>
      <c r="DG736" s="52"/>
      <c r="DH736" s="52"/>
      <c r="DI736" s="52"/>
      <c r="DJ736" s="52"/>
      <c r="DK736" s="52"/>
      <c r="DL736" s="52"/>
      <c r="DM736" s="52"/>
      <c r="DN736" s="52"/>
      <c r="DO736" s="52"/>
      <c r="DP736" s="52"/>
      <c r="DQ736" s="52"/>
      <c r="DR736" s="52"/>
      <c r="DS736" s="52"/>
      <c r="DT736" s="52"/>
      <c r="DU736" s="52"/>
      <c r="DV736" s="52"/>
      <c r="DW736" s="52"/>
      <c r="DX736" s="52"/>
      <c r="DY736" s="52"/>
      <c r="DZ736" s="52"/>
      <c r="EA736" s="52"/>
      <c r="EB736" s="52"/>
      <c r="EC736" s="52"/>
      <c r="ED736" s="52"/>
      <c r="EE736" s="52"/>
      <c r="EF736" s="52"/>
      <c r="EG736" s="52"/>
      <c r="EH736" s="52"/>
      <c r="EI736" s="52"/>
      <c r="EJ736" s="52"/>
      <c r="EK736" s="52"/>
      <c r="EL736" s="52"/>
      <c r="EM736" s="52"/>
      <c r="EN736" s="52"/>
      <c r="EO736" s="52"/>
      <c r="EP736" s="52"/>
      <c r="EQ736" s="52"/>
      <c r="ER736" s="52"/>
      <c r="ES736" s="52"/>
    </row>
    <row r="737" spans="1:149" ht="11.25">
      <c r="A737" s="1"/>
      <c r="B737" s="1"/>
      <c r="C737" s="1"/>
      <c r="D737" s="3"/>
      <c r="E737" s="3"/>
      <c r="F737" s="3"/>
      <c r="G737" s="3"/>
      <c r="H737" s="3"/>
      <c r="I737" s="3"/>
      <c r="J737" s="3"/>
      <c r="K737" s="3"/>
      <c r="L737" s="3"/>
      <c r="M737" s="3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  <c r="AC737" s="52"/>
      <c r="AD737" s="52"/>
      <c r="AE737" s="52"/>
      <c r="AF737" s="52"/>
      <c r="AG737" s="52"/>
      <c r="AH737" s="52"/>
      <c r="AI737" s="52"/>
      <c r="AJ737" s="52"/>
      <c r="AK737" s="52"/>
      <c r="AL737" s="52"/>
      <c r="AM737" s="52"/>
      <c r="AN737" s="52"/>
      <c r="AO737" s="52"/>
      <c r="AP737" s="52"/>
      <c r="AQ737" s="52"/>
      <c r="AR737" s="52"/>
      <c r="AS737" s="52"/>
      <c r="AT737" s="52"/>
      <c r="AU737" s="52"/>
      <c r="AV737" s="52"/>
      <c r="AW737" s="52"/>
      <c r="AX737" s="52"/>
      <c r="AY737" s="52"/>
      <c r="AZ737" s="52"/>
      <c r="BA737" s="52"/>
      <c r="BB737" s="52"/>
      <c r="BC737" s="52"/>
      <c r="BD737" s="52"/>
      <c r="BE737" s="52"/>
      <c r="BF737" s="52"/>
      <c r="BG737" s="52"/>
      <c r="BH737" s="52"/>
      <c r="BI737" s="52"/>
      <c r="BJ737" s="52"/>
      <c r="BK737" s="52"/>
      <c r="BL737" s="52"/>
      <c r="BM737" s="52"/>
      <c r="BN737" s="52"/>
      <c r="BO737" s="52"/>
      <c r="BP737" s="52"/>
      <c r="BQ737" s="52"/>
      <c r="BR737" s="52"/>
      <c r="BS737" s="52"/>
      <c r="BT737" s="52"/>
      <c r="BU737" s="52"/>
      <c r="BV737" s="52"/>
      <c r="BW737" s="52"/>
      <c r="BX737" s="52"/>
      <c r="BY737" s="52"/>
      <c r="BZ737" s="52"/>
      <c r="CA737" s="52"/>
      <c r="CB737" s="52"/>
      <c r="CC737" s="52"/>
      <c r="CD737" s="52"/>
      <c r="CE737" s="52"/>
      <c r="CF737" s="52"/>
      <c r="CG737" s="52"/>
      <c r="CH737" s="52"/>
      <c r="CI737" s="52"/>
      <c r="CJ737" s="52"/>
      <c r="CK737" s="52"/>
      <c r="CL737" s="52"/>
      <c r="CM737" s="52"/>
      <c r="CN737" s="52"/>
      <c r="CO737" s="52"/>
      <c r="CP737" s="52"/>
      <c r="CQ737" s="52"/>
      <c r="CR737" s="52"/>
      <c r="CS737" s="52"/>
      <c r="CT737" s="52"/>
      <c r="CU737" s="52"/>
      <c r="CV737" s="52"/>
      <c r="CW737" s="52"/>
      <c r="CX737" s="52"/>
      <c r="CY737" s="52"/>
      <c r="CZ737" s="52"/>
      <c r="DA737" s="52"/>
      <c r="DB737" s="52"/>
      <c r="DC737" s="52"/>
      <c r="DD737" s="52"/>
      <c r="DE737" s="52"/>
      <c r="DF737" s="52"/>
      <c r="DG737" s="52"/>
      <c r="DH737" s="52"/>
      <c r="DI737" s="52"/>
      <c r="DJ737" s="52"/>
      <c r="DK737" s="52"/>
      <c r="DL737" s="52"/>
      <c r="DM737" s="52"/>
      <c r="DN737" s="52"/>
      <c r="DO737" s="52"/>
      <c r="DP737" s="52"/>
      <c r="DQ737" s="52"/>
      <c r="DR737" s="52"/>
      <c r="DS737" s="52"/>
      <c r="DT737" s="52"/>
      <c r="DU737" s="52"/>
      <c r="DV737" s="52"/>
      <c r="DW737" s="52"/>
      <c r="DX737" s="52"/>
      <c r="DY737" s="52"/>
      <c r="DZ737" s="52"/>
      <c r="EA737" s="52"/>
      <c r="EB737" s="52"/>
      <c r="EC737" s="52"/>
      <c r="ED737" s="52"/>
      <c r="EE737" s="52"/>
      <c r="EF737" s="52"/>
      <c r="EG737" s="52"/>
      <c r="EH737" s="52"/>
      <c r="EI737" s="52"/>
      <c r="EJ737" s="52"/>
      <c r="EK737" s="52"/>
      <c r="EL737" s="52"/>
      <c r="EM737" s="52"/>
      <c r="EN737" s="52"/>
      <c r="EO737" s="52"/>
      <c r="EP737" s="52"/>
      <c r="EQ737" s="52"/>
      <c r="ER737" s="52"/>
      <c r="ES737" s="52"/>
    </row>
    <row r="738" spans="1:149" ht="11.25">
      <c r="A738" s="1"/>
      <c r="B738" s="1"/>
      <c r="C738" s="1"/>
      <c r="D738" s="3"/>
      <c r="E738" s="3"/>
      <c r="F738" s="3"/>
      <c r="G738" s="3"/>
      <c r="H738" s="3"/>
      <c r="I738" s="3"/>
      <c r="J738" s="3"/>
      <c r="K738" s="3"/>
      <c r="L738" s="3"/>
      <c r="M738" s="3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  <c r="AC738" s="52"/>
      <c r="AD738" s="52"/>
      <c r="AE738" s="52"/>
      <c r="AF738" s="52"/>
      <c r="AG738" s="52"/>
      <c r="AH738" s="52"/>
      <c r="AI738" s="52"/>
      <c r="AJ738" s="52"/>
      <c r="AK738" s="52"/>
      <c r="AL738" s="52"/>
      <c r="AM738" s="52"/>
      <c r="AN738" s="52"/>
      <c r="AO738" s="52"/>
      <c r="AP738" s="52"/>
      <c r="AQ738" s="52"/>
      <c r="AR738" s="52"/>
      <c r="AS738" s="52"/>
      <c r="AT738" s="52"/>
      <c r="AU738" s="52"/>
      <c r="AV738" s="52"/>
      <c r="AW738" s="52"/>
      <c r="AX738" s="52"/>
      <c r="AY738" s="52"/>
      <c r="AZ738" s="52"/>
      <c r="BA738" s="52"/>
      <c r="BB738" s="52"/>
      <c r="BC738" s="52"/>
      <c r="BD738" s="52"/>
      <c r="BE738" s="52"/>
      <c r="BF738" s="52"/>
      <c r="BG738" s="52"/>
      <c r="BH738" s="52"/>
      <c r="BI738" s="52"/>
      <c r="BJ738" s="52"/>
      <c r="BK738" s="52"/>
      <c r="BL738" s="52"/>
      <c r="BM738" s="52"/>
      <c r="BN738" s="52"/>
      <c r="BO738" s="52"/>
      <c r="BP738" s="52"/>
      <c r="BQ738" s="52"/>
      <c r="BR738" s="52"/>
      <c r="BS738" s="52"/>
      <c r="BT738" s="52"/>
      <c r="BU738" s="52"/>
      <c r="BV738" s="52"/>
      <c r="BW738" s="52"/>
      <c r="BX738" s="52"/>
      <c r="BY738" s="52"/>
      <c r="BZ738" s="52"/>
      <c r="CA738" s="52"/>
      <c r="CB738" s="52"/>
      <c r="CC738" s="52"/>
      <c r="CD738" s="52"/>
      <c r="CE738" s="52"/>
      <c r="CF738" s="52"/>
      <c r="CG738" s="52"/>
      <c r="CH738" s="52"/>
      <c r="CI738" s="52"/>
      <c r="CJ738" s="52"/>
      <c r="CK738" s="52"/>
      <c r="CL738" s="52"/>
      <c r="CM738" s="52"/>
      <c r="CN738" s="52"/>
      <c r="CO738" s="52"/>
      <c r="CP738" s="52"/>
      <c r="CQ738" s="52"/>
      <c r="CR738" s="52"/>
      <c r="CS738" s="52"/>
      <c r="CT738" s="52"/>
      <c r="CU738" s="52"/>
      <c r="CV738" s="52"/>
      <c r="CW738" s="52"/>
      <c r="CX738" s="52"/>
      <c r="CY738" s="52"/>
      <c r="CZ738" s="52"/>
      <c r="DA738" s="52"/>
      <c r="DB738" s="52"/>
      <c r="DC738" s="52"/>
      <c r="DD738" s="52"/>
      <c r="DE738" s="52"/>
      <c r="DF738" s="52"/>
      <c r="DG738" s="52"/>
      <c r="DH738" s="52"/>
      <c r="DI738" s="52"/>
      <c r="DJ738" s="52"/>
      <c r="DK738" s="52"/>
      <c r="DL738" s="52"/>
      <c r="DM738" s="52"/>
      <c r="DN738" s="52"/>
      <c r="DO738" s="52"/>
      <c r="DP738" s="52"/>
      <c r="DQ738" s="52"/>
      <c r="DR738" s="52"/>
      <c r="DS738" s="52"/>
      <c r="DT738" s="52"/>
      <c r="DU738" s="52"/>
      <c r="DV738" s="52"/>
      <c r="DW738" s="52"/>
      <c r="DX738" s="52"/>
      <c r="DY738" s="52"/>
      <c r="DZ738" s="52"/>
      <c r="EA738" s="52"/>
      <c r="EB738" s="52"/>
      <c r="EC738" s="52"/>
      <c r="ED738" s="52"/>
      <c r="EE738" s="52"/>
      <c r="EF738" s="52"/>
      <c r="EG738" s="52"/>
      <c r="EH738" s="52"/>
      <c r="EI738" s="52"/>
      <c r="EJ738" s="52"/>
      <c r="EK738" s="52"/>
      <c r="EL738" s="52"/>
      <c r="EM738" s="52"/>
      <c r="EN738" s="52"/>
      <c r="EO738" s="52"/>
      <c r="EP738" s="52"/>
      <c r="EQ738" s="52"/>
      <c r="ER738" s="52"/>
      <c r="ES738" s="52"/>
    </row>
    <row r="739" spans="1:149" ht="11.25">
      <c r="A739" s="1"/>
      <c r="B739" s="1"/>
      <c r="C739" s="1"/>
      <c r="D739" s="3"/>
      <c r="E739" s="3"/>
      <c r="F739" s="3"/>
      <c r="G739" s="3"/>
      <c r="H739" s="3"/>
      <c r="I739" s="3"/>
      <c r="J739" s="3"/>
      <c r="K739" s="3"/>
      <c r="L739" s="3"/>
      <c r="M739" s="3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  <c r="AC739" s="52"/>
      <c r="AD739" s="52"/>
      <c r="AE739" s="52"/>
      <c r="AF739" s="52"/>
      <c r="AG739" s="52"/>
      <c r="AH739" s="52"/>
      <c r="AI739" s="52"/>
      <c r="AJ739" s="52"/>
      <c r="AK739" s="52"/>
      <c r="AL739" s="52"/>
      <c r="AM739" s="52"/>
      <c r="AN739" s="52"/>
      <c r="AO739" s="52"/>
      <c r="AP739" s="52"/>
      <c r="AQ739" s="52"/>
      <c r="AR739" s="52"/>
      <c r="AS739" s="52"/>
      <c r="AT739" s="52"/>
      <c r="AU739" s="52"/>
      <c r="AV739" s="52"/>
      <c r="AW739" s="52"/>
      <c r="AX739" s="52"/>
      <c r="AY739" s="52"/>
      <c r="AZ739" s="52"/>
      <c r="BA739" s="52"/>
      <c r="BB739" s="52"/>
      <c r="BC739" s="52"/>
      <c r="BD739" s="52"/>
      <c r="BE739" s="52"/>
      <c r="BF739" s="52"/>
      <c r="BG739" s="52"/>
      <c r="BH739" s="52"/>
      <c r="BI739" s="52"/>
      <c r="BJ739" s="52"/>
      <c r="BK739" s="52"/>
      <c r="BL739" s="52"/>
      <c r="BM739" s="52"/>
      <c r="BN739" s="52"/>
      <c r="BO739" s="52"/>
      <c r="BP739" s="52"/>
      <c r="BQ739" s="52"/>
      <c r="BR739" s="52"/>
      <c r="BS739" s="52"/>
      <c r="BT739" s="52"/>
      <c r="BU739" s="52"/>
      <c r="BV739" s="52"/>
      <c r="BW739" s="52"/>
      <c r="BX739" s="52"/>
      <c r="BY739" s="52"/>
      <c r="BZ739" s="52"/>
      <c r="CA739" s="52"/>
      <c r="CB739" s="52"/>
      <c r="CC739" s="52"/>
      <c r="CD739" s="52"/>
      <c r="CE739" s="52"/>
      <c r="CF739" s="52"/>
      <c r="CG739" s="52"/>
      <c r="CH739" s="52"/>
      <c r="CI739" s="52"/>
      <c r="CJ739" s="52"/>
      <c r="CK739" s="52"/>
      <c r="CL739" s="52"/>
      <c r="CM739" s="52"/>
      <c r="CN739" s="52"/>
      <c r="CO739" s="52"/>
      <c r="CP739" s="52"/>
      <c r="CQ739" s="52"/>
      <c r="CR739" s="52"/>
      <c r="CS739" s="52"/>
      <c r="CT739" s="52"/>
      <c r="CU739" s="52"/>
      <c r="CV739" s="52"/>
      <c r="CW739" s="52"/>
      <c r="CX739" s="52"/>
      <c r="CY739" s="52"/>
      <c r="CZ739" s="52"/>
      <c r="DA739" s="52"/>
      <c r="DB739" s="52"/>
      <c r="DC739" s="52"/>
      <c r="DD739" s="52"/>
      <c r="DE739" s="52"/>
      <c r="DF739" s="52"/>
      <c r="DG739" s="52"/>
      <c r="DH739" s="52"/>
      <c r="DI739" s="52"/>
      <c r="DJ739" s="52"/>
      <c r="DK739" s="52"/>
      <c r="DL739" s="52"/>
      <c r="DM739" s="52"/>
      <c r="DN739" s="52"/>
      <c r="DO739" s="52"/>
      <c r="DP739" s="52"/>
      <c r="DQ739" s="52"/>
      <c r="DR739" s="52"/>
      <c r="DS739" s="52"/>
      <c r="DT739" s="52"/>
      <c r="DU739" s="52"/>
      <c r="DV739" s="52"/>
      <c r="DW739" s="52"/>
      <c r="DX739" s="52"/>
      <c r="DY739" s="52"/>
      <c r="DZ739" s="52"/>
      <c r="EA739" s="52"/>
      <c r="EB739" s="52"/>
      <c r="EC739" s="52"/>
      <c r="ED739" s="52"/>
      <c r="EE739" s="52"/>
      <c r="EF739" s="52"/>
      <c r="EG739" s="52"/>
      <c r="EH739" s="52"/>
      <c r="EI739" s="52"/>
      <c r="EJ739" s="52"/>
      <c r="EK739" s="52"/>
      <c r="EL739" s="52"/>
      <c r="EM739" s="52"/>
      <c r="EN739" s="52"/>
      <c r="EO739" s="52"/>
      <c r="EP739" s="52"/>
      <c r="EQ739" s="52"/>
      <c r="ER739" s="52"/>
      <c r="ES739" s="52"/>
    </row>
    <row r="740" spans="1:149" ht="11.25">
      <c r="A740" s="1"/>
      <c r="B740" s="1"/>
      <c r="C740" s="1"/>
      <c r="D740" s="3"/>
      <c r="E740" s="3"/>
      <c r="F740" s="3"/>
      <c r="G740" s="3"/>
      <c r="H740" s="3"/>
      <c r="I740" s="3"/>
      <c r="J740" s="3"/>
      <c r="K740" s="3"/>
      <c r="L740" s="3"/>
      <c r="M740" s="3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  <c r="AC740" s="52"/>
      <c r="AD740" s="52"/>
      <c r="AE740" s="52"/>
      <c r="AF740" s="52"/>
      <c r="AG740" s="52"/>
      <c r="AH740" s="52"/>
      <c r="AI740" s="52"/>
      <c r="AJ740" s="52"/>
      <c r="AK740" s="52"/>
      <c r="AL740" s="52"/>
      <c r="AM740" s="52"/>
      <c r="AN740" s="52"/>
      <c r="AO740" s="52"/>
      <c r="AP740" s="52"/>
      <c r="AQ740" s="52"/>
      <c r="AR740" s="52"/>
      <c r="AS740" s="52"/>
      <c r="AT740" s="52"/>
      <c r="AU740" s="52"/>
      <c r="AV740" s="52"/>
      <c r="AW740" s="52"/>
      <c r="AX740" s="52"/>
      <c r="AY740" s="52"/>
      <c r="AZ740" s="52"/>
      <c r="BA740" s="52"/>
      <c r="BB740" s="52"/>
      <c r="BC740" s="52"/>
      <c r="BD740" s="52"/>
      <c r="BE740" s="52"/>
      <c r="BF740" s="52"/>
      <c r="BG740" s="52"/>
      <c r="BH740" s="52"/>
      <c r="BI740" s="52"/>
      <c r="BJ740" s="52"/>
      <c r="BK740" s="52"/>
      <c r="BL740" s="52"/>
      <c r="BM740" s="52"/>
      <c r="BN740" s="52"/>
      <c r="BO740" s="52"/>
      <c r="BP740" s="52"/>
      <c r="BQ740" s="52"/>
      <c r="BR740" s="52"/>
      <c r="BS740" s="52"/>
      <c r="BT740" s="52"/>
      <c r="BU740" s="52"/>
      <c r="BV740" s="52"/>
      <c r="BW740" s="52"/>
      <c r="BX740" s="52"/>
      <c r="BY740" s="52"/>
      <c r="BZ740" s="52"/>
      <c r="CA740" s="52"/>
      <c r="CB740" s="52"/>
      <c r="CC740" s="52"/>
      <c r="CD740" s="52"/>
      <c r="CE740" s="52"/>
      <c r="CF740" s="52"/>
      <c r="CG740" s="52"/>
      <c r="CH740" s="52"/>
      <c r="CI740" s="52"/>
      <c r="CJ740" s="52"/>
      <c r="CK740" s="52"/>
      <c r="CL740" s="52"/>
      <c r="CM740" s="52"/>
      <c r="CN740" s="52"/>
      <c r="CO740" s="52"/>
      <c r="CP740" s="52"/>
      <c r="CQ740" s="52"/>
      <c r="CR740" s="52"/>
      <c r="CS740" s="52"/>
      <c r="CT740" s="52"/>
      <c r="CU740" s="52"/>
      <c r="CV740" s="52"/>
      <c r="CW740" s="52"/>
      <c r="CX740" s="52"/>
      <c r="CY740" s="52"/>
      <c r="CZ740" s="52"/>
      <c r="DA740" s="52"/>
      <c r="DB740" s="52"/>
      <c r="DC740" s="52"/>
      <c r="DD740" s="52"/>
      <c r="DE740" s="52"/>
      <c r="DF740" s="52"/>
      <c r="DG740" s="52"/>
      <c r="DH740" s="52"/>
      <c r="DI740" s="52"/>
      <c r="DJ740" s="52"/>
      <c r="DK740" s="52"/>
      <c r="DL740" s="52"/>
      <c r="DM740" s="52"/>
      <c r="DN740" s="52"/>
      <c r="DO740" s="52"/>
      <c r="DP740" s="52"/>
      <c r="DQ740" s="52"/>
      <c r="DR740" s="52"/>
      <c r="DS740" s="52"/>
      <c r="DT740" s="52"/>
      <c r="DU740" s="52"/>
      <c r="DV740" s="52"/>
      <c r="DW740" s="52"/>
      <c r="DX740" s="52"/>
      <c r="DY740" s="52"/>
      <c r="DZ740" s="52"/>
      <c r="EA740" s="52"/>
      <c r="EB740" s="52"/>
      <c r="EC740" s="52"/>
      <c r="ED740" s="52"/>
      <c r="EE740" s="52"/>
      <c r="EF740" s="52"/>
      <c r="EG740" s="52"/>
      <c r="EH740" s="52"/>
      <c r="EI740" s="52"/>
      <c r="EJ740" s="52"/>
      <c r="EK740" s="52"/>
      <c r="EL740" s="52"/>
      <c r="EM740" s="52"/>
      <c r="EN740" s="52"/>
      <c r="EO740" s="52"/>
      <c r="EP740" s="52"/>
      <c r="EQ740" s="52"/>
      <c r="ER740" s="52"/>
      <c r="ES740" s="52"/>
    </row>
    <row r="741" spans="1:149" ht="11.25">
      <c r="A741" s="1"/>
      <c r="B741" s="1"/>
      <c r="C741" s="1"/>
      <c r="D741" s="3"/>
      <c r="E741" s="3"/>
      <c r="F741" s="3"/>
      <c r="G741" s="3"/>
      <c r="H741" s="3"/>
      <c r="I741" s="3"/>
      <c r="J741" s="3"/>
      <c r="K741" s="3"/>
      <c r="L741" s="3"/>
      <c r="M741" s="3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  <c r="AC741" s="52"/>
      <c r="AD741" s="52"/>
      <c r="AE741" s="52"/>
      <c r="AF741" s="52"/>
      <c r="AG741" s="52"/>
      <c r="AH741" s="52"/>
      <c r="AI741" s="52"/>
      <c r="AJ741" s="52"/>
      <c r="AK741" s="52"/>
      <c r="AL741" s="52"/>
      <c r="AM741" s="52"/>
      <c r="AN741" s="52"/>
      <c r="AO741" s="52"/>
      <c r="AP741" s="52"/>
      <c r="AQ741" s="52"/>
      <c r="AR741" s="52"/>
      <c r="AS741" s="52"/>
      <c r="AT741" s="52"/>
      <c r="AU741" s="52"/>
      <c r="AV741" s="52"/>
      <c r="AW741" s="52"/>
      <c r="AX741" s="52"/>
      <c r="AY741" s="52"/>
      <c r="AZ741" s="52"/>
      <c r="BA741" s="52"/>
      <c r="BB741" s="52"/>
      <c r="BC741" s="52"/>
      <c r="BD741" s="52"/>
      <c r="BE741" s="52"/>
      <c r="BF741" s="52"/>
      <c r="BG741" s="52"/>
      <c r="BH741" s="52"/>
      <c r="BI741" s="52"/>
      <c r="BJ741" s="52"/>
      <c r="BK741" s="52"/>
      <c r="BL741" s="52"/>
      <c r="BM741" s="52"/>
      <c r="BN741" s="52"/>
      <c r="BO741" s="52"/>
      <c r="BP741" s="52"/>
      <c r="BQ741" s="52"/>
      <c r="BR741" s="52"/>
      <c r="BS741" s="52"/>
      <c r="BT741" s="52"/>
      <c r="BU741" s="52"/>
      <c r="BV741" s="52"/>
      <c r="BW741" s="52"/>
      <c r="BX741" s="52"/>
      <c r="BY741" s="52"/>
      <c r="BZ741" s="52"/>
      <c r="CA741" s="52"/>
      <c r="CB741" s="52"/>
      <c r="CC741" s="52"/>
      <c r="CD741" s="52"/>
      <c r="CE741" s="52"/>
      <c r="CF741" s="52"/>
      <c r="CG741" s="52"/>
      <c r="CH741" s="52"/>
      <c r="CI741" s="52"/>
      <c r="CJ741" s="52"/>
      <c r="CK741" s="52"/>
      <c r="CL741" s="52"/>
      <c r="CM741" s="52"/>
      <c r="CN741" s="52"/>
      <c r="CO741" s="52"/>
      <c r="CP741" s="52"/>
      <c r="CQ741" s="52"/>
      <c r="CR741" s="52"/>
      <c r="CS741" s="52"/>
      <c r="CT741" s="52"/>
      <c r="CU741" s="52"/>
      <c r="CV741" s="52"/>
      <c r="CW741" s="52"/>
      <c r="CX741" s="52"/>
      <c r="CY741" s="52"/>
      <c r="CZ741" s="52"/>
      <c r="DA741" s="52"/>
      <c r="DB741" s="52"/>
      <c r="DC741" s="52"/>
      <c r="DD741" s="52"/>
      <c r="DE741" s="52"/>
      <c r="DF741" s="52"/>
      <c r="DG741" s="52"/>
      <c r="DH741" s="52"/>
      <c r="DI741" s="52"/>
      <c r="DJ741" s="52"/>
      <c r="DK741" s="52"/>
      <c r="DL741" s="52"/>
      <c r="DM741" s="52"/>
      <c r="DN741" s="52"/>
      <c r="DO741" s="52"/>
      <c r="DP741" s="52"/>
      <c r="DQ741" s="52"/>
      <c r="DR741" s="52"/>
      <c r="DS741" s="52"/>
      <c r="DT741" s="52"/>
      <c r="DU741" s="52"/>
      <c r="DV741" s="52"/>
      <c r="DW741" s="52"/>
      <c r="DX741" s="52"/>
      <c r="DY741" s="52"/>
      <c r="DZ741" s="52"/>
      <c r="EA741" s="52"/>
      <c r="EB741" s="52"/>
      <c r="EC741" s="52"/>
      <c r="ED741" s="52"/>
      <c r="EE741" s="52"/>
      <c r="EF741" s="52"/>
      <c r="EG741" s="52"/>
      <c r="EH741" s="52"/>
      <c r="EI741" s="52"/>
      <c r="EJ741" s="52"/>
      <c r="EK741" s="52"/>
      <c r="EL741" s="52"/>
      <c r="EM741" s="52"/>
      <c r="EN741" s="52"/>
      <c r="EO741" s="52"/>
      <c r="EP741" s="52"/>
      <c r="EQ741" s="52"/>
      <c r="ER741" s="52"/>
      <c r="ES741" s="52"/>
    </row>
    <row r="742" spans="1:149" ht="11.25">
      <c r="A742" s="1"/>
      <c r="B742" s="1"/>
      <c r="C742" s="1"/>
      <c r="D742" s="3"/>
      <c r="E742" s="3"/>
      <c r="F742" s="3"/>
      <c r="G742" s="3"/>
      <c r="H742" s="3"/>
      <c r="I742" s="3"/>
      <c r="J742" s="3"/>
      <c r="K742" s="3"/>
      <c r="L742" s="3"/>
      <c r="M742" s="3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  <c r="AC742" s="52"/>
      <c r="AD742" s="52"/>
      <c r="AE742" s="52"/>
      <c r="AF742" s="52"/>
      <c r="AG742" s="52"/>
      <c r="AH742" s="52"/>
      <c r="AI742" s="52"/>
      <c r="AJ742" s="52"/>
      <c r="AK742" s="52"/>
      <c r="AL742" s="52"/>
      <c r="AM742" s="52"/>
      <c r="AN742" s="52"/>
      <c r="AO742" s="52"/>
      <c r="AP742" s="52"/>
      <c r="AQ742" s="52"/>
      <c r="AR742" s="52"/>
      <c r="AS742" s="52"/>
      <c r="AT742" s="52"/>
      <c r="AU742" s="52"/>
      <c r="AV742" s="52"/>
      <c r="AW742" s="52"/>
      <c r="AX742" s="52"/>
      <c r="AY742" s="52"/>
      <c r="AZ742" s="52"/>
      <c r="BA742" s="52"/>
      <c r="BB742" s="52"/>
      <c r="BC742" s="52"/>
      <c r="BD742" s="52"/>
      <c r="BE742" s="52"/>
      <c r="BF742" s="52"/>
      <c r="BG742" s="52"/>
      <c r="BH742" s="52"/>
      <c r="BI742" s="52"/>
      <c r="BJ742" s="52"/>
      <c r="BK742" s="52"/>
      <c r="BL742" s="52"/>
      <c r="BM742" s="52"/>
      <c r="BN742" s="52"/>
      <c r="BO742" s="52"/>
      <c r="BP742" s="52"/>
      <c r="BQ742" s="52"/>
      <c r="BR742" s="52"/>
      <c r="BS742" s="52"/>
      <c r="BT742" s="52"/>
      <c r="BU742" s="52"/>
      <c r="BV742" s="52"/>
      <c r="BW742" s="52"/>
      <c r="BX742" s="52"/>
      <c r="BY742" s="52"/>
      <c r="BZ742" s="52"/>
      <c r="CA742" s="52"/>
      <c r="CB742" s="52"/>
      <c r="CC742" s="52"/>
      <c r="CD742" s="52"/>
      <c r="CE742" s="52"/>
      <c r="CF742" s="52"/>
      <c r="CG742" s="52"/>
      <c r="CH742" s="52"/>
      <c r="CI742" s="52"/>
      <c r="CJ742" s="52"/>
      <c r="CK742" s="52"/>
      <c r="CL742" s="52"/>
      <c r="CM742" s="52"/>
      <c r="CN742" s="52"/>
      <c r="CO742" s="52"/>
      <c r="CP742" s="52"/>
      <c r="CQ742" s="52"/>
      <c r="CR742" s="52"/>
      <c r="CS742" s="52"/>
      <c r="CT742" s="52"/>
      <c r="CU742" s="52"/>
      <c r="CV742" s="52"/>
      <c r="CW742" s="52"/>
      <c r="CX742" s="52"/>
      <c r="CY742" s="52"/>
      <c r="CZ742" s="52"/>
      <c r="DA742" s="52"/>
      <c r="DB742" s="52"/>
      <c r="DC742" s="52"/>
      <c r="DD742" s="52"/>
      <c r="DE742" s="52"/>
      <c r="DF742" s="52"/>
      <c r="DG742" s="52"/>
      <c r="DH742" s="52"/>
      <c r="DI742" s="52"/>
      <c r="DJ742" s="52"/>
      <c r="DK742" s="52"/>
      <c r="DL742" s="52"/>
      <c r="DM742" s="52"/>
      <c r="DN742" s="52"/>
      <c r="DO742" s="52"/>
      <c r="DP742" s="52"/>
      <c r="DQ742" s="52"/>
      <c r="DR742" s="52"/>
      <c r="DS742" s="52"/>
      <c r="DT742" s="52"/>
      <c r="DU742" s="52"/>
      <c r="DV742" s="52"/>
      <c r="DW742" s="52"/>
      <c r="DX742" s="52"/>
      <c r="DY742" s="52"/>
      <c r="DZ742" s="52"/>
      <c r="EA742" s="52"/>
      <c r="EB742" s="52"/>
      <c r="EC742" s="52"/>
      <c r="ED742" s="52"/>
      <c r="EE742" s="52"/>
      <c r="EF742" s="52"/>
      <c r="EG742" s="52"/>
      <c r="EH742" s="52"/>
      <c r="EI742" s="52"/>
      <c r="EJ742" s="52"/>
      <c r="EK742" s="52"/>
      <c r="EL742" s="52"/>
      <c r="EM742" s="52"/>
      <c r="EN742" s="52"/>
      <c r="EO742" s="52"/>
      <c r="EP742" s="52"/>
      <c r="EQ742" s="52"/>
      <c r="ER742" s="52"/>
      <c r="ES742" s="52"/>
    </row>
    <row r="743" spans="1:149" ht="11.25">
      <c r="A743" s="1"/>
      <c r="B743" s="1"/>
      <c r="C743" s="1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103"/>
      <c r="O743" s="103"/>
      <c r="P743" s="103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  <c r="AC743" s="52"/>
      <c r="AD743" s="52"/>
      <c r="AE743" s="52"/>
      <c r="AF743" s="52"/>
      <c r="AG743" s="52"/>
      <c r="AH743" s="52"/>
      <c r="AI743" s="52"/>
      <c r="AJ743" s="52"/>
      <c r="AK743" s="52"/>
      <c r="AL743" s="52"/>
      <c r="AM743" s="52"/>
      <c r="AN743" s="52"/>
      <c r="AO743" s="52"/>
      <c r="AP743" s="52"/>
      <c r="AQ743" s="52"/>
      <c r="AR743" s="52"/>
      <c r="AS743" s="52"/>
      <c r="AT743" s="52"/>
      <c r="AU743" s="52"/>
      <c r="AV743" s="52"/>
      <c r="AW743" s="52"/>
      <c r="AX743" s="52"/>
      <c r="AY743" s="52"/>
      <c r="AZ743" s="52"/>
      <c r="BA743" s="52"/>
      <c r="BB743" s="52"/>
      <c r="BC743" s="52"/>
      <c r="BD743" s="52"/>
      <c r="BE743" s="52"/>
      <c r="BF743" s="52"/>
      <c r="BG743" s="52"/>
      <c r="BH743" s="52"/>
      <c r="BI743" s="52"/>
      <c r="BJ743" s="52"/>
      <c r="BK743" s="52"/>
      <c r="BL743" s="52"/>
      <c r="BM743" s="52"/>
      <c r="BN743" s="52"/>
      <c r="BO743" s="52"/>
      <c r="BP743" s="52"/>
      <c r="BQ743" s="52"/>
      <c r="BR743" s="52"/>
      <c r="BS743" s="52"/>
      <c r="BT743" s="52"/>
      <c r="BU743" s="52"/>
      <c r="BV743" s="52"/>
      <c r="BW743" s="52"/>
      <c r="BX743" s="52"/>
      <c r="BY743" s="52"/>
      <c r="BZ743" s="52"/>
      <c r="CA743" s="52"/>
      <c r="CB743" s="52"/>
      <c r="CC743" s="52"/>
      <c r="CD743" s="52"/>
      <c r="CE743" s="52"/>
      <c r="CF743" s="52"/>
      <c r="CG743" s="52"/>
      <c r="CH743" s="52"/>
      <c r="CI743" s="52"/>
      <c r="CJ743" s="52"/>
      <c r="CK743" s="52"/>
      <c r="CL743" s="52"/>
      <c r="CM743" s="52"/>
      <c r="CN743" s="52"/>
      <c r="CO743" s="52"/>
      <c r="CP743" s="52"/>
      <c r="CQ743" s="52"/>
      <c r="CR743" s="52"/>
      <c r="CS743" s="52"/>
      <c r="CT743" s="52"/>
      <c r="CU743" s="52"/>
      <c r="CV743" s="52"/>
      <c r="CW743" s="52"/>
      <c r="CX743" s="52"/>
      <c r="CY743" s="52"/>
      <c r="CZ743" s="52"/>
      <c r="DA743" s="52"/>
      <c r="DB743" s="52"/>
      <c r="DC743" s="52"/>
      <c r="DD743" s="52"/>
      <c r="DE743" s="52"/>
      <c r="DF743" s="52"/>
      <c r="DG743" s="52"/>
      <c r="DH743" s="52"/>
      <c r="DI743" s="52"/>
      <c r="DJ743" s="52"/>
      <c r="DK743" s="52"/>
      <c r="DL743" s="52"/>
      <c r="DM743" s="52"/>
      <c r="DN743" s="52"/>
      <c r="DO743" s="52"/>
      <c r="DP743" s="52"/>
      <c r="DQ743" s="52"/>
      <c r="DR743" s="52"/>
      <c r="DS743" s="52"/>
      <c r="DT743" s="52"/>
      <c r="DU743" s="52"/>
      <c r="DV743" s="52"/>
      <c r="DW743" s="52"/>
      <c r="DX743" s="52"/>
      <c r="DY743" s="52"/>
      <c r="DZ743" s="52"/>
      <c r="EA743" s="52"/>
      <c r="EB743" s="52"/>
      <c r="EC743" s="52"/>
      <c r="ED743" s="52"/>
      <c r="EE743" s="52"/>
      <c r="EF743" s="52"/>
      <c r="EG743" s="52"/>
      <c r="EH743" s="52"/>
      <c r="EI743" s="52"/>
      <c r="EJ743" s="52"/>
      <c r="EK743" s="52"/>
      <c r="EL743" s="52"/>
      <c r="EM743" s="52"/>
      <c r="EN743" s="52"/>
      <c r="EO743" s="52"/>
      <c r="EP743" s="52"/>
      <c r="EQ743" s="52"/>
      <c r="ER743" s="52"/>
      <c r="ES743" s="52"/>
    </row>
    <row r="744" spans="1:149" ht="11.25">
      <c r="A744" s="1"/>
      <c r="B744" s="1"/>
      <c r="C744" s="1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103"/>
      <c r="O744" s="103"/>
      <c r="P744" s="103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  <c r="AC744" s="52"/>
      <c r="AD744" s="52"/>
      <c r="AE744" s="52"/>
      <c r="AF744" s="52"/>
      <c r="AG744" s="52"/>
      <c r="AH744" s="52"/>
      <c r="AI744" s="52"/>
      <c r="AJ744" s="52"/>
      <c r="AK744" s="52"/>
      <c r="AL744" s="52"/>
      <c r="AM744" s="52"/>
      <c r="AN744" s="52"/>
      <c r="AO744" s="52"/>
      <c r="AP744" s="52"/>
      <c r="AQ744" s="52"/>
      <c r="AR744" s="52"/>
      <c r="AS744" s="52"/>
      <c r="AT744" s="52"/>
      <c r="AU744" s="52"/>
      <c r="AV744" s="52"/>
      <c r="AW744" s="52"/>
      <c r="AX744" s="52"/>
      <c r="AY744" s="52"/>
      <c r="AZ744" s="52"/>
      <c r="BA744" s="52"/>
      <c r="BB744" s="52"/>
      <c r="BC744" s="52"/>
      <c r="BD744" s="52"/>
      <c r="BE744" s="52"/>
      <c r="BF744" s="52"/>
      <c r="BG744" s="52"/>
      <c r="BH744" s="52"/>
      <c r="BI744" s="52"/>
      <c r="BJ744" s="52"/>
      <c r="BK744" s="52"/>
      <c r="BL744" s="52"/>
      <c r="BM744" s="52"/>
      <c r="BN744" s="52"/>
      <c r="BO744" s="52"/>
      <c r="BP744" s="52"/>
      <c r="BQ744" s="52"/>
      <c r="BR744" s="52"/>
      <c r="BS744" s="52"/>
      <c r="BT744" s="52"/>
      <c r="BU744" s="52"/>
      <c r="BV744" s="52"/>
      <c r="BW744" s="52"/>
      <c r="BX744" s="52"/>
      <c r="BY744" s="52"/>
      <c r="BZ744" s="52"/>
      <c r="CA744" s="52"/>
      <c r="CB744" s="52"/>
      <c r="CC744" s="52"/>
      <c r="CD744" s="52"/>
      <c r="CE744" s="52"/>
      <c r="CF744" s="52"/>
      <c r="CG744" s="52"/>
      <c r="CH744" s="52"/>
      <c r="CI744" s="52"/>
      <c r="CJ744" s="52"/>
      <c r="CK744" s="52"/>
      <c r="CL744" s="52"/>
      <c r="CM744" s="52"/>
      <c r="CN744" s="52"/>
      <c r="CO744" s="52"/>
      <c r="CP744" s="52"/>
      <c r="CQ744" s="52"/>
      <c r="CR744" s="52"/>
      <c r="CS744" s="52"/>
      <c r="CT744" s="52"/>
      <c r="CU744" s="52"/>
      <c r="CV744" s="52"/>
      <c r="CW744" s="52"/>
      <c r="CX744" s="52"/>
      <c r="CY744" s="52"/>
      <c r="CZ744" s="52"/>
      <c r="DA744" s="52"/>
      <c r="DB744" s="52"/>
      <c r="DC744" s="52"/>
      <c r="DD744" s="52"/>
      <c r="DE744" s="52"/>
      <c r="DF744" s="52"/>
      <c r="DG744" s="52"/>
      <c r="DH744" s="52"/>
      <c r="DI744" s="52"/>
      <c r="DJ744" s="52"/>
      <c r="DK744" s="52"/>
      <c r="DL744" s="52"/>
      <c r="DM744" s="52"/>
      <c r="DN744" s="52"/>
      <c r="DO744" s="52"/>
      <c r="DP744" s="52"/>
      <c r="DQ744" s="52"/>
      <c r="DR744" s="52"/>
      <c r="DS744" s="52"/>
      <c r="DT744" s="52"/>
      <c r="DU744" s="52"/>
      <c r="DV744" s="52"/>
      <c r="DW744" s="52"/>
      <c r="DX744" s="52"/>
      <c r="DY744" s="52"/>
      <c r="DZ744" s="52"/>
      <c r="EA744" s="52"/>
      <c r="EB744" s="52"/>
      <c r="EC744" s="52"/>
      <c r="ED744" s="52"/>
      <c r="EE744" s="52"/>
      <c r="EF744" s="52"/>
      <c r="EG744" s="52"/>
      <c r="EH744" s="52"/>
      <c r="EI744" s="52"/>
      <c r="EJ744" s="52"/>
      <c r="EK744" s="52"/>
      <c r="EL744" s="52"/>
      <c r="EM744" s="52"/>
      <c r="EN744" s="52"/>
      <c r="EO744" s="52"/>
      <c r="EP744" s="52"/>
      <c r="EQ744" s="52"/>
      <c r="ER744" s="52"/>
      <c r="ES744" s="52"/>
    </row>
    <row r="745" spans="1:149" ht="11.25">
      <c r="A745" s="1"/>
      <c r="B745" s="1"/>
      <c r="C745" s="1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103"/>
      <c r="O745" s="103"/>
      <c r="P745" s="103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  <c r="AC745" s="52"/>
      <c r="AD745" s="52"/>
      <c r="AE745" s="52"/>
      <c r="AF745" s="52"/>
      <c r="AG745" s="52"/>
      <c r="AH745" s="52"/>
      <c r="AI745" s="52"/>
      <c r="AJ745" s="52"/>
      <c r="AK745" s="52"/>
      <c r="AL745" s="52"/>
      <c r="AM745" s="52"/>
      <c r="AN745" s="52"/>
      <c r="AO745" s="52"/>
      <c r="AP745" s="52"/>
      <c r="AQ745" s="52"/>
      <c r="AR745" s="52"/>
      <c r="AS745" s="52"/>
      <c r="AT745" s="52"/>
      <c r="AU745" s="52"/>
      <c r="AV745" s="52"/>
      <c r="AW745" s="52"/>
      <c r="AX745" s="52"/>
      <c r="AY745" s="52"/>
      <c r="AZ745" s="52"/>
      <c r="BA745" s="52"/>
      <c r="BB745" s="52"/>
      <c r="BC745" s="52"/>
      <c r="BD745" s="52"/>
      <c r="BE745" s="52"/>
      <c r="BF745" s="52"/>
      <c r="BG745" s="52"/>
      <c r="BH745" s="52"/>
      <c r="BI745" s="52"/>
      <c r="BJ745" s="52"/>
      <c r="BK745" s="52"/>
      <c r="BL745" s="52"/>
      <c r="BM745" s="52"/>
      <c r="BN745" s="52"/>
      <c r="BO745" s="52"/>
      <c r="BP745" s="52"/>
      <c r="BQ745" s="52"/>
      <c r="BR745" s="52"/>
      <c r="BS745" s="52"/>
      <c r="BT745" s="52"/>
      <c r="BU745" s="52"/>
      <c r="BV745" s="52"/>
      <c r="BW745" s="52"/>
      <c r="BX745" s="52"/>
      <c r="BY745" s="52"/>
      <c r="BZ745" s="52"/>
      <c r="CA745" s="52"/>
      <c r="CB745" s="52"/>
      <c r="CC745" s="52"/>
      <c r="CD745" s="52"/>
      <c r="CE745" s="52"/>
      <c r="CF745" s="52"/>
      <c r="CG745" s="52"/>
      <c r="CH745" s="52"/>
      <c r="CI745" s="52"/>
      <c r="CJ745" s="52"/>
      <c r="CK745" s="52"/>
      <c r="CL745" s="52"/>
      <c r="CM745" s="52"/>
      <c r="CN745" s="52"/>
      <c r="CO745" s="52"/>
      <c r="CP745" s="52"/>
      <c r="CQ745" s="52"/>
      <c r="CR745" s="52"/>
      <c r="CS745" s="52"/>
      <c r="CT745" s="52"/>
      <c r="CU745" s="52"/>
      <c r="CV745" s="52"/>
      <c r="CW745" s="52"/>
      <c r="CX745" s="52"/>
      <c r="CY745" s="52"/>
      <c r="CZ745" s="52"/>
      <c r="DA745" s="52"/>
      <c r="DB745" s="52"/>
      <c r="DC745" s="52"/>
      <c r="DD745" s="52"/>
      <c r="DE745" s="52"/>
      <c r="DF745" s="52"/>
      <c r="DG745" s="52"/>
      <c r="DH745" s="52"/>
      <c r="DI745" s="52"/>
      <c r="DJ745" s="52"/>
      <c r="DK745" s="52"/>
      <c r="DL745" s="52"/>
      <c r="DM745" s="52"/>
      <c r="DN745" s="52"/>
      <c r="DO745" s="52"/>
      <c r="DP745" s="52"/>
      <c r="DQ745" s="52"/>
      <c r="DR745" s="52"/>
      <c r="DS745" s="52"/>
      <c r="DT745" s="52"/>
      <c r="DU745" s="52"/>
      <c r="DV745" s="52"/>
      <c r="DW745" s="52"/>
      <c r="DX745" s="52"/>
      <c r="DY745" s="52"/>
      <c r="DZ745" s="52"/>
      <c r="EA745" s="52"/>
      <c r="EB745" s="52"/>
      <c r="EC745" s="52"/>
      <c r="ED745" s="52"/>
      <c r="EE745" s="52"/>
      <c r="EF745" s="52"/>
      <c r="EG745" s="52"/>
      <c r="EH745" s="52"/>
      <c r="EI745" s="52"/>
      <c r="EJ745" s="52"/>
      <c r="EK745" s="52"/>
      <c r="EL745" s="52"/>
      <c r="EM745" s="52"/>
      <c r="EN745" s="52"/>
      <c r="EO745" s="52"/>
      <c r="EP745" s="52"/>
      <c r="EQ745" s="52"/>
      <c r="ER745" s="52"/>
      <c r="ES745" s="52"/>
    </row>
    <row r="746" spans="1:149" ht="11.25">
      <c r="A746" s="1"/>
      <c r="B746" s="1"/>
      <c r="C746" s="1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103"/>
      <c r="O746" s="103"/>
      <c r="P746" s="103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  <c r="AC746" s="52"/>
      <c r="AD746" s="52"/>
      <c r="AE746" s="52"/>
      <c r="AF746" s="52"/>
      <c r="AG746" s="52"/>
      <c r="AH746" s="52"/>
      <c r="AI746" s="52"/>
      <c r="AJ746" s="52"/>
      <c r="AK746" s="52"/>
      <c r="AL746" s="52"/>
      <c r="AM746" s="52"/>
      <c r="AN746" s="52"/>
      <c r="AO746" s="52"/>
      <c r="AP746" s="52"/>
      <c r="AQ746" s="52"/>
      <c r="AR746" s="52"/>
      <c r="AS746" s="52"/>
      <c r="AT746" s="52"/>
      <c r="AU746" s="52"/>
      <c r="AV746" s="52"/>
      <c r="AW746" s="52"/>
      <c r="AX746" s="52"/>
      <c r="AY746" s="52"/>
      <c r="AZ746" s="52"/>
      <c r="BA746" s="52"/>
      <c r="BB746" s="52"/>
      <c r="BC746" s="52"/>
      <c r="BD746" s="52"/>
      <c r="BE746" s="52"/>
      <c r="BF746" s="52"/>
      <c r="BG746" s="52"/>
      <c r="BH746" s="52"/>
      <c r="BI746" s="52"/>
      <c r="BJ746" s="52"/>
      <c r="BK746" s="52"/>
      <c r="BL746" s="52"/>
      <c r="BM746" s="52"/>
      <c r="BN746" s="52"/>
      <c r="BO746" s="52"/>
      <c r="BP746" s="52"/>
      <c r="BQ746" s="52"/>
      <c r="BR746" s="52"/>
      <c r="BS746" s="52"/>
      <c r="BT746" s="52"/>
      <c r="BU746" s="52"/>
      <c r="BV746" s="52"/>
      <c r="BW746" s="52"/>
      <c r="BX746" s="52"/>
      <c r="BY746" s="52"/>
      <c r="BZ746" s="52"/>
      <c r="CA746" s="52"/>
      <c r="CB746" s="52"/>
      <c r="CC746" s="52"/>
      <c r="CD746" s="52"/>
      <c r="CE746" s="52"/>
      <c r="CF746" s="52"/>
      <c r="CG746" s="52"/>
      <c r="CH746" s="52"/>
      <c r="CI746" s="52"/>
      <c r="CJ746" s="52"/>
      <c r="CK746" s="52"/>
      <c r="CL746" s="52"/>
      <c r="CM746" s="52"/>
      <c r="CN746" s="52"/>
      <c r="CO746" s="52"/>
      <c r="CP746" s="52"/>
      <c r="CQ746" s="52"/>
      <c r="CR746" s="52"/>
      <c r="CS746" s="52"/>
      <c r="CT746" s="52"/>
      <c r="CU746" s="52"/>
      <c r="CV746" s="52"/>
      <c r="CW746" s="52"/>
      <c r="CX746" s="52"/>
      <c r="CY746" s="52"/>
      <c r="CZ746" s="52"/>
      <c r="DA746" s="52"/>
      <c r="DB746" s="52"/>
      <c r="DC746" s="52"/>
      <c r="DD746" s="52"/>
      <c r="DE746" s="52"/>
      <c r="DF746" s="52"/>
      <c r="DG746" s="52"/>
      <c r="DH746" s="52"/>
      <c r="DI746" s="52"/>
      <c r="DJ746" s="52"/>
      <c r="DK746" s="52"/>
      <c r="DL746" s="52"/>
      <c r="DM746" s="52"/>
      <c r="DN746" s="52"/>
      <c r="DO746" s="52"/>
      <c r="DP746" s="52"/>
      <c r="DQ746" s="52"/>
      <c r="DR746" s="52"/>
      <c r="DS746" s="52"/>
      <c r="DT746" s="52"/>
      <c r="DU746" s="52"/>
      <c r="DV746" s="52"/>
      <c r="DW746" s="52"/>
      <c r="DX746" s="52"/>
      <c r="DY746" s="52"/>
      <c r="DZ746" s="52"/>
      <c r="EA746" s="52"/>
      <c r="EB746" s="52"/>
      <c r="EC746" s="52"/>
      <c r="ED746" s="52"/>
      <c r="EE746" s="52"/>
      <c r="EF746" s="52"/>
      <c r="EG746" s="52"/>
      <c r="EH746" s="52"/>
      <c r="EI746" s="52"/>
      <c r="EJ746" s="52"/>
      <c r="EK746" s="52"/>
      <c r="EL746" s="52"/>
      <c r="EM746" s="52"/>
      <c r="EN746" s="52"/>
      <c r="EO746" s="52"/>
      <c r="EP746" s="52"/>
      <c r="EQ746" s="52"/>
      <c r="ER746" s="52"/>
      <c r="ES746" s="52"/>
    </row>
    <row r="747" spans="1:149" ht="11.25">
      <c r="A747" s="1"/>
      <c r="B747" s="1"/>
      <c r="C747" s="1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103"/>
      <c r="O747" s="103"/>
      <c r="P747" s="103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  <c r="AC747" s="52"/>
      <c r="AD747" s="52"/>
      <c r="AE747" s="52"/>
      <c r="AF747" s="52"/>
      <c r="AG747" s="52"/>
      <c r="AH747" s="52"/>
      <c r="AI747" s="52"/>
      <c r="AJ747" s="52"/>
      <c r="AK747" s="52"/>
      <c r="AL747" s="52"/>
      <c r="AM747" s="52"/>
      <c r="AN747" s="52"/>
      <c r="AO747" s="52"/>
      <c r="AP747" s="52"/>
      <c r="AQ747" s="52"/>
      <c r="AR747" s="52"/>
      <c r="AS747" s="52"/>
      <c r="AT747" s="52"/>
      <c r="AU747" s="52"/>
      <c r="AV747" s="52"/>
      <c r="AW747" s="52"/>
      <c r="AX747" s="52"/>
      <c r="AY747" s="52"/>
      <c r="AZ747" s="52"/>
      <c r="BA747" s="52"/>
      <c r="BB747" s="52"/>
      <c r="BC747" s="52"/>
      <c r="BD747" s="52"/>
      <c r="BE747" s="52"/>
      <c r="BF747" s="52"/>
      <c r="BG747" s="52"/>
      <c r="BH747" s="52"/>
      <c r="BI747" s="52"/>
      <c r="BJ747" s="52"/>
      <c r="BK747" s="52"/>
      <c r="BL747" s="52"/>
      <c r="BM747" s="52"/>
      <c r="BN747" s="52"/>
      <c r="BO747" s="52"/>
      <c r="BP747" s="52"/>
      <c r="BQ747" s="52"/>
      <c r="BR747" s="52"/>
      <c r="BS747" s="52"/>
      <c r="BT747" s="52"/>
      <c r="BU747" s="52"/>
      <c r="BV747" s="52"/>
      <c r="BW747" s="52"/>
      <c r="BX747" s="52"/>
      <c r="BY747" s="52"/>
      <c r="BZ747" s="52"/>
      <c r="CA747" s="52"/>
      <c r="CB747" s="52"/>
      <c r="CC747" s="52"/>
      <c r="CD747" s="52"/>
      <c r="CE747" s="52"/>
      <c r="CF747" s="52"/>
      <c r="CG747" s="52"/>
      <c r="CH747" s="52"/>
      <c r="CI747" s="52"/>
      <c r="CJ747" s="52"/>
      <c r="CK747" s="52"/>
      <c r="CL747" s="52"/>
      <c r="CM747" s="52"/>
      <c r="CN747" s="52"/>
      <c r="CO747" s="52"/>
      <c r="CP747" s="52"/>
      <c r="CQ747" s="52"/>
      <c r="CR747" s="52"/>
      <c r="CS747" s="52"/>
      <c r="CT747" s="52"/>
      <c r="CU747" s="52"/>
      <c r="CV747" s="52"/>
      <c r="CW747" s="52"/>
      <c r="CX747" s="52"/>
      <c r="CY747" s="52"/>
      <c r="CZ747" s="52"/>
      <c r="DA747" s="52"/>
      <c r="DB747" s="52"/>
      <c r="DC747" s="52"/>
      <c r="DD747" s="52"/>
      <c r="DE747" s="52"/>
      <c r="DF747" s="52"/>
      <c r="DG747" s="52"/>
      <c r="DH747" s="52"/>
      <c r="DI747" s="52"/>
      <c r="DJ747" s="52"/>
      <c r="DK747" s="52"/>
      <c r="DL747" s="52"/>
      <c r="DM747" s="52"/>
      <c r="DN747" s="52"/>
      <c r="DO747" s="52"/>
      <c r="DP747" s="52"/>
      <c r="DQ747" s="52"/>
      <c r="DR747" s="52"/>
      <c r="DS747" s="52"/>
      <c r="DT747" s="52"/>
      <c r="DU747" s="52"/>
      <c r="DV747" s="52"/>
      <c r="DW747" s="52"/>
      <c r="DX747" s="52"/>
      <c r="DY747" s="52"/>
      <c r="DZ747" s="52"/>
      <c r="EA747" s="52"/>
      <c r="EB747" s="52"/>
      <c r="EC747" s="52"/>
      <c r="ED747" s="52"/>
      <c r="EE747" s="52"/>
      <c r="EF747" s="52"/>
      <c r="EG747" s="52"/>
      <c r="EH747" s="52"/>
      <c r="EI747" s="52"/>
      <c r="EJ747" s="52"/>
      <c r="EK747" s="52"/>
      <c r="EL747" s="52"/>
      <c r="EM747" s="52"/>
      <c r="EN747" s="52"/>
      <c r="EO747" s="52"/>
      <c r="EP747" s="52"/>
      <c r="EQ747" s="52"/>
      <c r="ER747" s="52"/>
      <c r="ES747" s="52"/>
    </row>
    <row r="748" spans="1:149" ht="11.25">
      <c r="A748" s="1"/>
      <c r="B748" s="1"/>
      <c r="C748" s="1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103"/>
      <c r="O748" s="103"/>
      <c r="P748" s="103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  <c r="AC748" s="52"/>
      <c r="AD748" s="52"/>
      <c r="AE748" s="52"/>
      <c r="AF748" s="52"/>
      <c r="AG748" s="52"/>
      <c r="AH748" s="52"/>
      <c r="AI748" s="52"/>
      <c r="AJ748" s="52"/>
      <c r="AK748" s="52"/>
      <c r="AL748" s="52"/>
      <c r="AM748" s="52"/>
      <c r="AN748" s="52"/>
      <c r="AO748" s="52"/>
      <c r="AP748" s="52"/>
      <c r="AQ748" s="52"/>
      <c r="AR748" s="52"/>
      <c r="AS748" s="52"/>
      <c r="AT748" s="52"/>
      <c r="AU748" s="52"/>
      <c r="AV748" s="52"/>
      <c r="AW748" s="52"/>
      <c r="AX748" s="52"/>
      <c r="AY748" s="52"/>
      <c r="AZ748" s="52"/>
      <c r="BA748" s="52"/>
      <c r="BB748" s="52"/>
      <c r="BC748" s="52"/>
      <c r="BD748" s="52"/>
      <c r="BE748" s="52"/>
      <c r="BF748" s="52"/>
      <c r="BG748" s="52"/>
      <c r="BH748" s="52"/>
      <c r="BI748" s="52"/>
      <c r="BJ748" s="52"/>
      <c r="BK748" s="52"/>
      <c r="BL748" s="52"/>
      <c r="BM748" s="52"/>
      <c r="BN748" s="52"/>
      <c r="BO748" s="52"/>
      <c r="BP748" s="52"/>
      <c r="BQ748" s="52"/>
      <c r="BR748" s="52"/>
      <c r="BS748" s="52"/>
      <c r="BT748" s="52"/>
      <c r="BU748" s="52"/>
      <c r="BV748" s="52"/>
      <c r="BW748" s="52"/>
      <c r="BX748" s="52"/>
      <c r="BY748" s="52"/>
      <c r="BZ748" s="52"/>
      <c r="CA748" s="52"/>
      <c r="CB748" s="52"/>
      <c r="CC748" s="52"/>
      <c r="CD748" s="52"/>
      <c r="CE748" s="52"/>
      <c r="CF748" s="52"/>
      <c r="CG748" s="52"/>
      <c r="CH748" s="52"/>
      <c r="CI748" s="52"/>
      <c r="CJ748" s="52"/>
      <c r="CK748" s="52"/>
      <c r="CL748" s="52"/>
      <c r="CM748" s="52"/>
      <c r="CN748" s="52"/>
      <c r="CO748" s="52"/>
      <c r="CP748" s="52"/>
      <c r="CQ748" s="52"/>
      <c r="CR748" s="52"/>
      <c r="CS748" s="52"/>
      <c r="CT748" s="52"/>
      <c r="CU748" s="52"/>
      <c r="CV748" s="52"/>
      <c r="CW748" s="52"/>
      <c r="CX748" s="52"/>
      <c r="CY748" s="52"/>
      <c r="CZ748" s="52"/>
      <c r="DA748" s="52"/>
      <c r="DB748" s="52"/>
      <c r="DC748" s="52"/>
      <c r="DD748" s="52"/>
      <c r="DE748" s="52"/>
      <c r="DF748" s="52"/>
      <c r="DG748" s="52"/>
      <c r="DH748" s="52"/>
      <c r="DI748" s="52"/>
      <c r="DJ748" s="52"/>
      <c r="DK748" s="52"/>
      <c r="DL748" s="52"/>
      <c r="DM748" s="52"/>
      <c r="DN748" s="52"/>
      <c r="DO748" s="52"/>
      <c r="DP748" s="52"/>
      <c r="DQ748" s="52"/>
      <c r="DR748" s="52"/>
      <c r="DS748" s="52"/>
      <c r="DT748" s="52"/>
      <c r="DU748" s="52"/>
      <c r="DV748" s="52"/>
      <c r="DW748" s="52"/>
      <c r="DX748" s="52"/>
      <c r="DY748" s="52"/>
      <c r="DZ748" s="52"/>
      <c r="EA748" s="52"/>
      <c r="EB748" s="52"/>
      <c r="EC748" s="52"/>
      <c r="ED748" s="52"/>
      <c r="EE748" s="52"/>
      <c r="EF748" s="52"/>
      <c r="EG748" s="52"/>
      <c r="EH748" s="52"/>
      <c r="EI748" s="52"/>
      <c r="EJ748" s="52"/>
      <c r="EK748" s="52"/>
      <c r="EL748" s="52"/>
      <c r="EM748" s="52"/>
      <c r="EN748" s="52"/>
      <c r="EO748" s="52"/>
      <c r="EP748" s="52"/>
      <c r="EQ748" s="52"/>
      <c r="ER748" s="52"/>
      <c r="ES748" s="52"/>
    </row>
    <row r="749" spans="1:149" ht="11.25">
      <c r="A749" s="1"/>
      <c r="B749" s="1"/>
      <c r="C749" s="1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103"/>
      <c r="O749" s="103"/>
      <c r="P749" s="103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  <c r="AC749" s="52"/>
      <c r="AD749" s="52"/>
      <c r="AE749" s="52"/>
      <c r="AF749" s="52"/>
      <c r="AG749" s="52"/>
      <c r="AH749" s="52"/>
      <c r="AI749" s="52"/>
      <c r="AJ749" s="52"/>
      <c r="AK749" s="52"/>
      <c r="AL749" s="52"/>
      <c r="AM749" s="52"/>
      <c r="AN749" s="52"/>
      <c r="AO749" s="52"/>
      <c r="AP749" s="52"/>
      <c r="AQ749" s="52"/>
      <c r="AR749" s="52"/>
      <c r="AS749" s="52"/>
      <c r="AT749" s="52"/>
      <c r="AU749" s="52"/>
      <c r="AV749" s="52"/>
      <c r="AW749" s="52"/>
      <c r="AX749" s="52"/>
      <c r="AY749" s="52"/>
      <c r="AZ749" s="52"/>
      <c r="BA749" s="52"/>
      <c r="BB749" s="52"/>
      <c r="BC749" s="52"/>
      <c r="BD749" s="52"/>
      <c r="BE749" s="52"/>
      <c r="BF749" s="52"/>
      <c r="BG749" s="52"/>
      <c r="BH749" s="52"/>
      <c r="BI749" s="52"/>
      <c r="BJ749" s="52"/>
      <c r="BK749" s="52"/>
      <c r="BL749" s="52"/>
      <c r="BM749" s="52"/>
      <c r="BN749" s="52"/>
      <c r="BO749" s="52"/>
      <c r="BP749" s="52"/>
      <c r="BQ749" s="52"/>
      <c r="BR749" s="52"/>
      <c r="BS749" s="52"/>
      <c r="BT749" s="52"/>
      <c r="BU749" s="52"/>
      <c r="BV749" s="52"/>
      <c r="BW749" s="52"/>
      <c r="BX749" s="52"/>
      <c r="BY749" s="52"/>
      <c r="BZ749" s="52"/>
      <c r="CA749" s="52"/>
      <c r="CB749" s="52"/>
      <c r="CC749" s="52"/>
      <c r="CD749" s="52"/>
      <c r="CE749" s="52"/>
      <c r="CF749" s="52"/>
      <c r="CG749" s="52"/>
      <c r="CH749" s="52"/>
      <c r="CI749" s="52"/>
      <c r="CJ749" s="52"/>
      <c r="CK749" s="52"/>
      <c r="CL749" s="52"/>
      <c r="CM749" s="52"/>
      <c r="CN749" s="52"/>
      <c r="CO749" s="52"/>
      <c r="CP749" s="52"/>
      <c r="CQ749" s="52"/>
      <c r="CR749" s="52"/>
      <c r="CS749" s="52"/>
      <c r="CT749" s="52"/>
      <c r="CU749" s="52"/>
      <c r="CV749" s="52"/>
      <c r="CW749" s="52"/>
      <c r="CX749" s="52"/>
      <c r="CY749" s="52"/>
      <c r="CZ749" s="52"/>
      <c r="DA749" s="52"/>
      <c r="DB749" s="52"/>
      <c r="DC749" s="52"/>
      <c r="DD749" s="52"/>
      <c r="DE749" s="52"/>
      <c r="DF749" s="52"/>
      <c r="DG749" s="52"/>
      <c r="DH749" s="52"/>
      <c r="DI749" s="52"/>
      <c r="DJ749" s="52"/>
      <c r="DK749" s="52"/>
      <c r="DL749" s="52"/>
      <c r="DM749" s="52"/>
      <c r="DN749" s="52"/>
      <c r="DO749" s="52"/>
      <c r="DP749" s="52"/>
      <c r="DQ749" s="52"/>
      <c r="DR749" s="52"/>
      <c r="DS749" s="52"/>
      <c r="DT749" s="52"/>
      <c r="DU749" s="52"/>
      <c r="DV749" s="52"/>
      <c r="DW749" s="52"/>
      <c r="DX749" s="52"/>
      <c r="DY749" s="52"/>
      <c r="DZ749" s="52"/>
      <c r="EA749" s="52"/>
      <c r="EB749" s="52"/>
      <c r="EC749" s="52"/>
      <c r="ED749" s="52"/>
      <c r="EE749" s="52"/>
      <c r="EF749" s="52"/>
      <c r="EG749" s="52"/>
      <c r="EH749" s="52"/>
      <c r="EI749" s="52"/>
      <c r="EJ749" s="52"/>
      <c r="EK749" s="52"/>
      <c r="EL749" s="52"/>
      <c r="EM749" s="52"/>
      <c r="EN749" s="52"/>
      <c r="EO749" s="52"/>
      <c r="EP749" s="52"/>
      <c r="EQ749" s="52"/>
      <c r="ER749" s="52"/>
      <c r="ES749" s="52"/>
    </row>
    <row r="750" spans="1:149" ht="11.25">
      <c r="A750" s="1"/>
      <c r="B750" s="1"/>
      <c r="C750" s="1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103"/>
      <c r="O750" s="103"/>
      <c r="P750" s="103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  <c r="AC750" s="52"/>
      <c r="AD750" s="52"/>
      <c r="AE750" s="52"/>
      <c r="AF750" s="52"/>
      <c r="AG750" s="52"/>
      <c r="AH750" s="52"/>
      <c r="AI750" s="52"/>
      <c r="AJ750" s="52"/>
      <c r="AK750" s="52"/>
      <c r="AL750" s="52"/>
      <c r="AM750" s="52"/>
      <c r="AN750" s="52"/>
      <c r="AO750" s="52"/>
      <c r="AP750" s="52"/>
      <c r="AQ750" s="52"/>
      <c r="AR750" s="52"/>
      <c r="AS750" s="52"/>
      <c r="AT750" s="52"/>
      <c r="AU750" s="52"/>
      <c r="AV750" s="52"/>
      <c r="AW750" s="52"/>
      <c r="AX750" s="52"/>
      <c r="AY750" s="52"/>
      <c r="AZ750" s="52"/>
      <c r="BA750" s="52"/>
      <c r="BB750" s="52"/>
      <c r="BC750" s="52"/>
      <c r="BD750" s="52"/>
      <c r="BE750" s="52"/>
      <c r="BF750" s="52"/>
      <c r="BG750" s="52"/>
      <c r="BH750" s="52"/>
      <c r="BI750" s="52"/>
      <c r="BJ750" s="52"/>
      <c r="BK750" s="52"/>
      <c r="BL750" s="52"/>
      <c r="BM750" s="52"/>
      <c r="BN750" s="52"/>
      <c r="BO750" s="52"/>
      <c r="BP750" s="52"/>
      <c r="BQ750" s="52"/>
      <c r="BR750" s="52"/>
      <c r="BS750" s="52"/>
      <c r="BT750" s="52"/>
      <c r="BU750" s="52"/>
      <c r="BV750" s="52"/>
      <c r="BW750" s="52"/>
      <c r="BX750" s="52"/>
      <c r="BY750" s="52"/>
      <c r="BZ750" s="52"/>
      <c r="CA750" s="52"/>
      <c r="CB750" s="52"/>
      <c r="CC750" s="52"/>
      <c r="CD750" s="52"/>
      <c r="CE750" s="52"/>
      <c r="CF750" s="52"/>
      <c r="CG750" s="52"/>
      <c r="CH750" s="52"/>
      <c r="CI750" s="52"/>
      <c r="CJ750" s="52"/>
      <c r="CK750" s="52"/>
      <c r="CL750" s="52"/>
      <c r="CM750" s="52"/>
      <c r="CN750" s="52"/>
      <c r="CO750" s="52"/>
      <c r="CP750" s="52"/>
      <c r="CQ750" s="52"/>
      <c r="CR750" s="52"/>
      <c r="CS750" s="52"/>
      <c r="CT750" s="52"/>
      <c r="CU750" s="52"/>
      <c r="CV750" s="52"/>
      <c r="CW750" s="52"/>
      <c r="CX750" s="52"/>
      <c r="CY750" s="52"/>
      <c r="CZ750" s="52"/>
      <c r="DA750" s="52"/>
      <c r="DB750" s="52"/>
      <c r="DC750" s="52"/>
      <c r="DD750" s="52"/>
      <c r="DE750" s="52"/>
      <c r="DF750" s="52"/>
      <c r="DG750" s="52"/>
      <c r="DH750" s="52"/>
      <c r="DI750" s="52"/>
      <c r="DJ750" s="52"/>
      <c r="DK750" s="52"/>
      <c r="DL750" s="52"/>
      <c r="DM750" s="52"/>
      <c r="DN750" s="52"/>
      <c r="DO750" s="52"/>
      <c r="DP750" s="52"/>
      <c r="DQ750" s="52"/>
      <c r="DR750" s="52"/>
      <c r="DS750" s="52"/>
      <c r="DT750" s="52"/>
      <c r="DU750" s="52"/>
      <c r="DV750" s="52"/>
      <c r="DW750" s="52"/>
      <c r="DX750" s="52"/>
      <c r="DY750" s="52"/>
      <c r="DZ750" s="52"/>
      <c r="EA750" s="52"/>
      <c r="EB750" s="52"/>
      <c r="EC750" s="52"/>
      <c r="ED750" s="52"/>
      <c r="EE750" s="52"/>
      <c r="EF750" s="52"/>
      <c r="EG750" s="52"/>
      <c r="EH750" s="52"/>
      <c r="EI750" s="52"/>
      <c r="EJ750" s="52"/>
      <c r="EK750" s="52"/>
      <c r="EL750" s="52"/>
      <c r="EM750" s="52"/>
      <c r="EN750" s="52"/>
      <c r="EO750" s="52"/>
      <c r="EP750" s="52"/>
      <c r="EQ750" s="52"/>
      <c r="ER750" s="52"/>
      <c r="ES750" s="52"/>
    </row>
    <row r="751" spans="1:149" ht="11.25">
      <c r="A751" s="1"/>
      <c r="B751" s="1"/>
      <c r="C751" s="1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103"/>
      <c r="O751" s="103"/>
      <c r="P751" s="103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  <c r="AC751" s="52"/>
      <c r="AD751" s="52"/>
      <c r="AE751" s="52"/>
      <c r="AF751" s="52"/>
      <c r="AG751" s="52"/>
      <c r="AH751" s="52"/>
      <c r="AI751" s="52"/>
      <c r="AJ751" s="52"/>
      <c r="AK751" s="52"/>
      <c r="AL751" s="52"/>
      <c r="AM751" s="52"/>
      <c r="AN751" s="52"/>
      <c r="AO751" s="52"/>
      <c r="AP751" s="52"/>
      <c r="AQ751" s="52"/>
      <c r="AR751" s="52"/>
      <c r="AS751" s="52"/>
      <c r="AT751" s="52"/>
      <c r="AU751" s="52"/>
      <c r="AV751" s="52"/>
      <c r="AW751" s="52"/>
      <c r="AX751" s="52"/>
      <c r="AY751" s="52"/>
      <c r="AZ751" s="52"/>
      <c r="BA751" s="52"/>
      <c r="BB751" s="52"/>
      <c r="BC751" s="52"/>
      <c r="BD751" s="52"/>
      <c r="BE751" s="52"/>
      <c r="BF751" s="52"/>
      <c r="BG751" s="52"/>
      <c r="BH751" s="52"/>
      <c r="BI751" s="52"/>
      <c r="BJ751" s="52"/>
      <c r="BK751" s="52"/>
      <c r="BL751" s="52"/>
      <c r="BM751" s="52"/>
      <c r="BN751" s="52"/>
      <c r="BO751" s="52"/>
      <c r="BP751" s="52"/>
      <c r="BQ751" s="52"/>
      <c r="BR751" s="52"/>
      <c r="BS751" s="52"/>
      <c r="BT751" s="52"/>
      <c r="BU751" s="52"/>
      <c r="BV751" s="52"/>
      <c r="BW751" s="52"/>
      <c r="BX751" s="52"/>
      <c r="BY751" s="52"/>
      <c r="BZ751" s="52"/>
      <c r="CA751" s="52"/>
      <c r="CB751" s="52"/>
      <c r="CC751" s="52"/>
      <c r="CD751" s="52"/>
      <c r="CE751" s="52"/>
      <c r="CF751" s="52"/>
      <c r="CG751" s="52"/>
      <c r="CH751" s="52"/>
      <c r="CI751" s="52"/>
      <c r="CJ751" s="52"/>
      <c r="CK751" s="52"/>
      <c r="CL751" s="52"/>
      <c r="CM751" s="52"/>
      <c r="CN751" s="52"/>
      <c r="CO751" s="52"/>
      <c r="CP751" s="52"/>
      <c r="CQ751" s="52"/>
      <c r="CR751" s="52"/>
      <c r="CS751" s="52"/>
      <c r="CT751" s="52"/>
      <c r="CU751" s="52"/>
      <c r="CV751" s="52"/>
      <c r="CW751" s="52"/>
      <c r="CX751" s="52"/>
      <c r="CY751" s="52"/>
      <c r="CZ751" s="52"/>
      <c r="DA751" s="52"/>
      <c r="DB751" s="52"/>
      <c r="DC751" s="52"/>
      <c r="DD751" s="52"/>
      <c r="DE751" s="52"/>
      <c r="DF751" s="52"/>
      <c r="DG751" s="52"/>
      <c r="DH751" s="52"/>
      <c r="DI751" s="52"/>
      <c r="DJ751" s="52"/>
      <c r="DK751" s="52"/>
      <c r="DL751" s="52"/>
      <c r="DM751" s="52"/>
      <c r="DN751" s="52"/>
      <c r="DO751" s="52"/>
      <c r="DP751" s="52"/>
      <c r="DQ751" s="52"/>
      <c r="DR751" s="52"/>
      <c r="DS751" s="52"/>
      <c r="DT751" s="52"/>
      <c r="DU751" s="52"/>
      <c r="DV751" s="52"/>
      <c r="DW751" s="52"/>
      <c r="DX751" s="52"/>
      <c r="DY751" s="52"/>
      <c r="DZ751" s="52"/>
      <c r="EA751" s="52"/>
      <c r="EB751" s="52"/>
      <c r="EC751" s="52"/>
      <c r="ED751" s="52"/>
      <c r="EE751" s="52"/>
      <c r="EF751" s="52"/>
      <c r="EG751" s="52"/>
      <c r="EH751" s="52"/>
      <c r="EI751" s="52"/>
      <c r="EJ751" s="52"/>
      <c r="EK751" s="52"/>
      <c r="EL751" s="52"/>
      <c r="EM751" s="52"/>
      <c r="EN751" s="52"/>
      <c r="EO751" s="52"/>
      <c r="EP751" s="52"/>
      <c r="EQ751" s="52"/>
      <c r="ER751" s="52"/>
      <c r="ES751" s="52"/>
    </row>
    <row r="752" spans="1:149" ht="11.25">
      <c r="A752" s="1"/>
      <c r="B752" s="1"/>
      <c r="C752" s="1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103"/>
      <c r="O752" s="103"/>
      <c r="P752" s="103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  <c r="AC752" s="52"/>
      <c r="AD752" s="52"/>
      <c r="AE752" s="52"/>
      <c r="AF752" s="52"/>
      <c r="AG752" s="52"/>
      <c r="AH752" s="52"/>
      <c r="AI752" s="52"/>
      <c r="AJ752" s="52"/>
      <c r="AK752" s="52"/>
      <c r="AL752" s="52"/>
      <c r="AM752" s="52"/>
      <c r="AN752" s="52"/>
      <c r="AO752" s="52"/>
      <c r="AP752" s="52"/>
      <c r="AQ752" s="52"/>
      <c r="AR752" s="52"/>
      <c r="AS752" s="52"/>
      <c r="AT752" s="52"/>
      <c r="AU752" s="52"/>
      <c r="AV752" s="52"/>
      <c r="AW752" s="52"/>
      <c r="AX752" s="52"/>
      <c r="AY752" s="52"/>
      <c r="AZ752" s="52"/>
      <c r="BA752" s="52"/>
      <c r="BB752" s="52"/>
      <c r="BC752" s="52"/>
      <c r="BD752" s="52"/>
      <c r="BE752" s="52"/>
      <c r="BF752" s="52"/>
      <c r="BG752" s="52"/>
      <c r="BH752" s="52"/>
      <c r="BI752" s="52"/>
      <c r="BJ752" s="52"/>
      <c r="BK752" s="52"/>
      <c r="BL752" s="52"/>
      <c r="BM752" s="52"/>
      <c r="BN752" s="52"/>
      <c r="BO752" s="52"/>
      <c r="BP752" s="52"/>
      <c r="BQ752" s="52"/>
      <c r="BR752" s="52"/>
      <c r="BS752" s="52"/>
      <c r="BT752" s="52"/>
      <c r="BU752" s="52"/>
      <c r="BV752" s="52"/>
      <c r="BW752" s="52"/>
      <c r="BX752" s="52"/>
      <c r="BY752" s="52"/>
      <c r="BZ752" s="52"/>
      <c r="CA752" s="52"/>
      <c r="CB752" s="52"/>
      <c r="CC752" s="52"/>
      <c r="CD752" s="52"/>
      <c r="CE752" s="52"/>
      <c r="CF752" s="52"/>
      <c r="CG752" s="52"/>
      <c r="CH752" s="52"/>
      <c r="CI752" s="52"/>
      <c r="CJ752" s="52"/>
      <c r="CK752" s="52"/>
      <c r="CL752" s="52"/>
      <c r="CM752" s="52"/>
      <c r="CN752" s="52"/>
      <c r="CO752" s="52"/>
      <c r="CP752" s="52"/>
      <c r="CQ752" s="52"/>
      <c r="CR752" s="52"/>
      <c r="CS752" s="52"/>
      <c r="CT752" s="52"/>
      <c r="CU752" s="52"/>
      <c r="CV752" s="52"/>
      <c r="CW752" s="52"/>
      <c r="CX752" s="52"/>
      <c r="CY752" s="52"/>
      <c r="CZ752" s="52"/>
      <c r="DA752" s="52"/>
      <c r="DB752" s="52"/>
      <c r="DC752" s="52"/>
      <c r="DD752" s="52"/>
      <c r="DE752" s="52"/>
      <c r="DF752" s="52"/>
      <c r="DG752" s="52"/>
      <c r="DH752" s="52"/>
      <c r="DI752" s="52"/>
      <c r="DJ752" s="52"/>
      <c r="DK752" s="52"/>
      <c r="DL752" s="52"/>
      <c r="DM752" s="52"/>
      <c r="DN752" s="52"/>
      <c r="DO752" s="52"/>
      <c r="DP752" s="52"/>
      <c r="DQ752" s="52"/>
      <c r="DR752" s="52"/>
      <c r="DS752" s="52"/>
      <c r="DT752" s="52"/>
      <c r="DU752" s="52"/>
      <c r="DV752" s="52"/>
      <c r="DW752" s="52"/>
      <c r="DX752" s="52"/>
      <c r="DY752" s="52"/>
      <c r="DZ752" s="52"/>
      <c r="EA752" s="52"/>
      <c r="EB752" s="52"/>
      <c r="EC752" s="52"/>
      <c r="ED752" s="52"/>
      <c r="EE752" s="52"/>
      <c r="EF752" s="52"/>
      <c r="EG752" s="52"/>
      <c r="EH752" s="52"/>
      <c r="EI752" s="52"/>
      <c r="EJ752" s="52"/>
      <c r="EK752" s="52"/>
      <c r="EL752" s="52"/>
      <c r="EM752" s="52"/>
      <c r="EN752" s="52"/>
      <c r="EO752" s="52"/>
      <c r="EP752" s="52"/>
      <c r="EQ752" s="52"/>
      <c r="ER752" s="52"/>
      <c r="ES752" s="52"/>
    </row>
    <row r="753" spans="1:149" ht="11.25">
      <c r="A753" s="1"/>
      <c r="B753" s="1"/>
      <c r="C753" s="1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103"/>
      <c r="O753" s="103"/>
      <c r="P753" s="103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  <c r="AC753" s="52"/>
      <c r="AD753" s="52"/>
      <c r="AE753" s="52"/>
      <c r="AF753" s="52"/>
      <c r="AG753" s="52"/>
      <c r="AH753" s="52"/>
      <c r="AI753" s="52"/>
      <c r="AJ753" s="52"/>
      <c r="AK753" s="52"/>
      <c r="AL753" s="52"/>
      <c r="AM753" s="52"/>
      <c r="AN753" s="52"/>
      <c r="AO753" s="52"/>
      <c r="AP753" s="52"/>
      <c r="AQ753" s="52"/>
      <c r="AR753" s="52"/>
      <c r="AS753" s="52"/>
      <c r="AT753" s="52"/>
      <c r="AU753" s="52"/>
      <c r="AV753" s="52"/>
      <c r="AW753" s="52"/>
      <c r="AX753" s="52"/>
      <c r="AY753" s="52"/>
      <c r="AZ753" s="52"/>
      <c r="BA753" s="52"/>
      <c r="BB753" s="52"/>
      <c r="BC753" s="52"/>
      <c r="BD753" s="52"/>
      <c r="BE753" s="52"/>
      <c r="BF753" s="52"/>
      <c r="BG753" s="52"/>
      <c r="BH753" s="52"/>
      <c r="BI753" s="52"/>
      <c r="BJ753" s="52"/>
      <c r="BK753" s="52"/>
      <c r="BL753" s="52"/>
      <c r="BM753" s="52"/>
      <c r="BN753" s="52"/>
      <c r="BO753" s="52"/>
      <c r="BP753" s="52"/>
      <c r="BQ753" s="52"/>
      <c r="BR753" s="52"/>
      <c r="BS753" s="52"/>
      <c r="BT753" s="52"/>
      <c r="BU753" s="52"/>
      <c r="BV753" s="52"/>
      <c r="BW753" s="52"/>
      <c r="BX753" s="52"/>
      <c r="BY753" s="52"/>
      <c r="BZ753" s="52"/>
      <c r="CA753" s="52"/>
      <c r="CB753" s="52"/>
      <c r="CC753" s="52"/>
      <c r="CD753" s="52"/>
      <c r="CE753" s="52"/>
      <c r="CF753" s="52"/>
      <c r="CG753" s="52"/>
      <c r="CH753" s="52"/>
      <c r="CI753" s="52"/>
      <c r="CJ753" s="52"/>
      <c r="CK753" s="52"/>
      <c r="CL753" s="52"/>
      <c r="CM753" s="52"/>
      <c r="CN753" s="52"/>
      <c r="CO753" s="52"/>
      <c r="CP753" s="52"/>
      <c r="CQ753" s="52"/>
      <c r="CR753" s="52"/>
      <c r="CS753" s="52"/>
      <c r="CT753" s="52"/>
      <c r="CU753" s="52"/>
      <c r="CV753" s="52"/>
      <c r="CW753" s="52"/>
      <c r="CX753" s="52"/>
      <c r="CY753" s="52"/>
      <c r="CZ753" s="52"/>
      <c r="DA753" s="52"/>
      <c r="DB753" s="52"/>
      <c r="DC753" s="52"/>
      <c r="DD753" s="52"/>
      <c r="DE753" s="52"/>
      <c r="DF753" s="52"/>
      <c r="DG753" s="52"/>
      <c r="DH753" s="52"/>
      <c r="DI753" s="52"/>
      <c r="DJ753" s="52"/>
      <c r="DK753" s="52"/>
      <c r="DL753" s="52"/>
      <c r="DM753" s="52"/>
      <c r="DN753" s="52"/>
      <c r="DO753" s="52"/>
      <c r="DP753" s="52"/>
      <c r="DQ753" s="52"/>
      <c r="DR753" s="52"/>
      <c r="DS753" s="52"/>
      <c r="DT753" s="52"/>
      <c r="DU753" s="52"/>
      <c r="DV753" s="52"/>
      <c r="DW753" s="52"/>
      <c r="DX753" s="52"/>
      <c r="DY753" s="52"/>
      <c r="DZ753" s="52"/>
      <c r="EA753" s="52"/>
      <c r="EB753" s="52"/>
      <c r="EC753" s="52"/>
      <c r="ED753" s="52"/>
      <c r="EE753" s="52"/>
      <c r="EF753" s="52"/>
      <c r="EG753" s="52"/>
      <c r="EH753" s="52"/>
      <c r="EI753" s="52"/>
      <c r="EJ753" s="52"/>
      <c r="EK753" s="52"/>
      <c r="EL753" s="52"/>
      <c r="EM753" s="52"/>
      <c r="EN753" s="52"/>
      <c r="EO753" s="52"/>
      <c r="EP753" s="52"/>
      <c r="EQ753" s="52"/>
      <c r="ER753" s="52"/>
      <c r="ES753" s="52"/>
    </row>
    <row r="754" spans="1:149" ht="11.25">
      <c r="A754" s="1"/>
      <c r="B754" s="1"/>
      <c r="C754" s="1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103"/>
      <c r="O754" s="103"/>
      <c r="P754" s="103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  <c r="AC754" s="52"/>
      <c r="AD754" s="52"/>
      <c r="AE754" s="52"/>
      <c r="AF754" s="52"/>
      <c r="AG754" s="52"/>
      <c r="AH754" s="52"/>
      <c r="AI754" s="52"/>
      <c r="AJ754" s="52"/>
      <c r="AK754" s="52"/>
      <c r="AL754" s="52"/>
      <c r="AM754" s="52"/>
      <c r="AN754" s="52"/>
      <c r="AO754" s="52"/>
      <c r="AP754" s="52"/>
      <c r="AQ754" s="52"/>
      <c r="AR754" s="52"/>
      <c r="AS754" s="52"/>
      <c r="AT754" s="52"/>
      <c r="AU754" s="52"/>
      <c r="AV754" s="52"/>
      <c r="AW754" s="52"/>
      <c r="AX754" s="52"/>
      <c r="AY754" s="52"/>
      <c r="AZ754" s="52"/>
      <c r="BA754" s="52"/>
      <c r="BB754" s="52"/>
      <c r="BC754" s="52"/>
      <c r="BD754" s="52"/>
      <c r="BE754" s="52"/>
      <c r="BF754" s="52"/>
      <c r="BG754" s="52"/>
      <c r="BH754" s="52"/>
      <c r="BI754" s="52"/>
      <c r="BJ754" s="52"/>
      <c r="BK754" s="52"/>
      <c r="BL754" s="52"/>
      <c r="BM754" s="52"/>
      <c r="BN754" s="52"/>
      <c r="BO754" s="52"/>
      <c r="BP754" s="52"/>
      <c r="BQ754" s="52"/>
      <c r="BR754" s="52"/>
      <c r="BS754" s="52"/>
      <c r="BT754" s="52"/>
      <c r="BU754" s="52"/>
      <c r="BV754" s="52"/>
      <c r="BW754" s="52"/>
      <c r="BX754" s="52"/>
      <c r="BY754" s="52"/>
      <c r="BZ754" s="52"/>
      <c r="CA754" s="52"/>
      <c r="CB754" s="52"/>
      <c r="CC754" s="52"/>
      <c r="CD754" s="52"/>
      <c r="CE754" s="52"/>
      <c r="CF754" s="52"/>
      <c r="CG754" s="52"/>
      <c r="CH754" s="52"/>
      <c r="CI754" s="52"/>
      <c r="CJ754" s="52"/>
      <c r="CK754" s="52"/>
      <c r="CL754" s="52"/>
      <c r="CM754" s="52"/>
      <c r="CN754" s="52"/>
      <c r="CO754" s="52"/>
      <c r="CP754" s="52"/>
      <c r="CQ754" s="52"/>
      <c r="CR754" s="52"/>
      <c r="CS754" s="52"/>
      <c r="CT754" s="52"/>
      <c r="CU754" s="52"/>
      <c r="CV754" s="52"/>
      <c r="CW754" s="52"/>
      <c r="CX754" s="52"/>
      <c r="CY754" s="52"/>
      <c r="CZ754" s="52"/>
      <c r="DA754" s="52"/>
      <c r="DB754" s="52"/>
      <c r="DC754" s="52"/>
      <c r="DD754" s="52"/>
      <c r="DE754" s="52"/>
      <c r="DF754" s="52"/>
      <c r="DG754" s="52"/>
      <c r="DH754" s="52"/>
      <c r="DI754" s="52"/>
      <c r="DJ754" s="52"/>
      <c r="DK754" s="52"/>
      <c r="DL754" s="52"/>
      <c r="DM754" s="52"/>
      <c r="DN754" s="52"/>
      <c r="DO754" s="52"/>
      <c r="DP754" s="52"/>
      <c r="DQ754" s="52"/>
      <c r="DR754" s="52"/>
      <c r="DS754" s="52"/>
      <c r="DT754" s="52"/>
      <c r="DU754" s="52"/>
      <c r="DV754" s="52"/>
      <c r="DW754" s="52"/>
      <c r="DX754" s="52"/>
      <c r="DY754" s="52"/>
      <c r="DZ754" s="52"/>
      <c r="EA754" s="52"/>
      <c r="EB754" s="52"/>
      <c r="EC754" s="52"/>
      <c r="ED754" s="52"/>
      <c r="EE754" s="52"/>
      <c r="EF754" s="52"/>
      <c r="EG754" s="52"/>
      <c r="EH754" s="52"/>
      <c r="EI754" s="52"/>
      <c r="EJ754" s="52"/>
      <c r="EK754" s="52"/>
      <c r="EL754" s="52"/>
      <c r="EM754" s="52"/>
      <c r="EN754" s="52"/>
      <c r="EO754" s="52"/>
      <c r="EP754" s="52"/>
      <c r="EQ754" s="52"/>
      <c r="ER754" s="52"/>
      <c r="ES754" s="52"/>
    </row>
    <row r="755" spans="1:149" ht="11.25">
      <c r="A755" s="1"/>
      <c r="B755" s="1"/>
      <c r="C755" s="1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103"/>
      <c r="O755" s="103"/>
      <c r="P755" s="103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  <c r="AC755" s="52"/>
      <c r="AD755" s="52"/>
      <c r="AE755" s="52"/>
      <c r="AF755" s="52"/>
      <c r="AG755" s="52"/>
      <c r="AH755" s="52"/>
      <c r="AI755" s="52"/>
      <c r="AJ755" s="52"/>
      <c r="AK755" s="52"/>
      <c r="AL755" s="52"/>
      <c r="AM755" s="52"/>
      <c r="AN755" s="52"/>
      <c r="AO755" s="52"/>
      <c r="AP755" s="52"/>
      <c r="AQ755" s="52"/>
      <c r="AR755" s="52"/>
      <c r="AS755" s="52"/>
      <c r="AT755" s="52"/>
      <c r="AU755" s="52"/>
      <c r="AV755" s="52"/>
      <c r="AW755" s="52"/>
      <c r="AX755" s="52"/>
      <c r="AY755" s="52"/>
      <c r="AZ755" s="52"/>
      <c r="BA755" s="52"/>
      <c r="BB755" s="52"/>
      <c r="BC755" s="52"/>
      <c r="BD755" s="52"/>
      <c r="BE755" s="52"/>
      <c r="BF755" s="52"/>
      <c r="BG755" s="52"/>
      <c r="BH755" s="52"/>
      <c r="BI755" s="52"/>
      <c r="BJ755" s="52"/>
      <c r="BK755" s="52"/>
      <c r="BL755" s="52"/>
      <c r="BM755" s="52"/>
      <c r="BN755" s="52"/>
      <c r="BO755" s="52"/>
      <c r="BP755" s="52"/>
      <c r="BQ755" s="52"/>
      <c r="BR755" s="52"/>
      <c r="BS755" s="52"/>
      <c r="BT755" s="52"/>
      <c r="BU755" s="52"/>
      <c r="BV755" s="52"/>
      <c r="BW755" s="52"/>
      <c r="BX755" s="52"/>
      <c r="BY755" s="52"/>
      <c r="BZ755" s="52"/>
      <c r="CA755" s="52"/>
      <c r="CB755" s="52"/>
      <c r="CC755" s="52"/>
      <c r="CD755" s="52"/>
      <c r="CE755" s="52"/>
      <c r="CF755" s="52"/>
      <c r="CG755" s="52"/>
      <c r="CH755" s="52"/>
      <c r="CI755" s="52"/>
      <c r="CJ755" s="52"/>
      <c r="CK755" s="52"/>
      <c r="CL755" s="52"/>
      <c r="CM755" s="52"/>
      <c r="CN755" s="52"/>
      <c r="CO755" s="52"/>
      <c r="CP755" s="52"/>
      <c r="CQ755" s="52"/>
      <c r="CR755" s="52"/>
      <c r="CS755" s="52"/>
      <c r="CT755" s="52"/>
      <c r="CU755" s="52"/>
      <c r="CV755" s="52"/>
      <c r="CW755" s="52"/>
      <c r="CX755" s="52"/>
      <c r="CY755" s="52"/>
      <c r="CZ755" s="52"/>
      <c r="DA755" s="52"/>
      <c r="DB755" s="52"/>
      <c r="DC755" s="52"/>
      <c r="DD755" s="52"/>
      <c r="DE755" s="52"/>
      <c r="DF755" s="52"/>
      <c r="DG755" s="52"/>
      <c r="DH755" s="52"/>
      <c r="DI755" s="52"/>
      <c r="DJ755" s="52"/>
      <c r="DK755" s="52"/>
      <c r="DL755" s="52"/>
      <c r="DM755" s="52"/>
      <c r="DN755" s="52"/>
      <c r="DO755" s="52"/>
      <c r="DP755" s="52"/>
      <c r="DQ755" s="52"/>
      <c r="DR755" s="52"/>
      <c r="DS755" s="52"/>
      <c r="DT755" s="52"/>
      <c r="DU755" s="52"/>
      <c r="DV755" s="52"/>
      <c r="DW755" s="52"/>
      <c r="DX755" s="52"/>
      <c r="DY755" s="52"/>
      <c r="DZ755" s="52"/>
      <c r="EA755" s="52"/>
      <c r="EB755" s="52"/>
      <c r="EC755" s="52"/>
      <c r="ED755" s="52"/>
      <c r="EE755" s="52"/>
      <c r="EF755" s="52"/>
      <c r="EG755" s="52"/>
      <c r="EH755" s="52"/>
      <c r="EI755" s="52"/>
      <c r="EJ755" s="52"/>
      <c r="EK755" s="52"/>
      <c r="EL755" s="52"/>
      <c r="EM755" s="52"/>
      <c r="EN755" s="52"/>
      <c r="EO755" s="52"/>
      <c r="EP755" s="52"/>
      <c r="EQ755" s="52"/>
      <c r="ER755" s="52"/>
      <c r="ES755" s="52"/>
    </row>
    <row r="756" spans="1:149" ht="11.25">
      <c r="A756" s="1"/>
      <c r="B756" s="1"/>
      <c r="C756" s="1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103"/>
      <c r="O756" s="103"/>
      <c r="P756" s="103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  <c r="AC756" s="52"/>
      <c r="AD756" s="52"/>
      <c r="AE756" s="52"/>
      <c r="AF756" s="52"/>
      <c r="AG756" s="52"/>
      <c r="AH756" s="52"/>
      <c r="AI756" s="52"/>
      <c r="AJ756" s="52"/>
      <c r="AK756" s="52"/>
      <c r="AL756" s="52"/>
      <c r="AM756" s="52"/>
      <c r="AN756" s="52"/>
      <c r="AO756" s="52"/>
      <c r="AP756" s="52"/>
      <c r="AQ756" s="52"/>
      <c r="AR756" s="52"/>
      <c r="AS756" s="52"/>
      <c r="AT756" s="52"/>
      <c r="AU756" s="52"/>
      <c r="AV756" s="52"/>
      <c r="AW756" s="52"/>
      <c r="AX756" s="52"/>
      <c r="AY756" s="52"/>
      <c r="AZ756" s="52"/>
      <c r="BA756" s="52"/>
      <c r="BB756" s="52"/>
      <c r="BC756" s="52"/>
      <c r="BD756" s="52"/>
      <c r="BE756" s="52"/>
      <c r="BF756" s="52"/>
      <c r="BG756" s="52"/>
      <c r="BH756" s="52"/>
      <c r="BI756" s="52"/>
      <c r="BJ756" s="52"/>
      <c r="BK756" s="52"/>
      <c r="BL756" s="52"/>
      <c r="BM756" s="52"/>
      <c r="BN756" s="52"/>
      <c r="BO756" s="52"/>
      <c r="BP756" s="52"/>
      <c r="BQ756" s="52"/>
      <c r="BR756" s="52"/>
      <c r="BS756" s="52"/>
      <c r="BT756" s="52"/>
      <c r="BU756" s="52"/>
      <c r="BV756" s="52"/>
      <c r="BW756" s="52"/>
      <c r="BX756" s="52"/>
      <c r="BY756" s="52"/>
      <c r="BZ756" s="52"/>
      <c r="CA756" s="52"/>
      <c r="CB756" s="52"/>
      <c r="CC756" s="52"/>
      <c r="CD756" s="52"/>
      <c r="CE756" s="52"/>
      <c r="CF756" s="52"/>
      <c r="CG756" s="52"/>
      <c r="CH756" s="52"/>
      <c r="CI756" s="52"/>
      <c r="CJ756" s="52"/>
      <c r="CK756" s="52"/>
      <c r="CL756" s="52"/>
      <c r="CM756" s="52"/>
      <c r="CN756" s="52"/>
      <c r="CO756" s="52"/>
      <c r="CP756" s="52"/>
      <c r="CQ756" s="52"/>
      <c r="CR756" s="52"/>
      <c r="CS756" s="52"/>
      <c r="CT756" s="52"/>
      <c r="CU756" s="52"/>
      <c r="CV756" s="52"/>
      <c r="CW756" s="52"/>
      <c r="CX756" s="52"/>
      <c r="CY756" s="52"/>
      <c r="CZ756" s="52"/>
      <c r="DA756" s="52"/>
      <c r="DB756" s="52"/>
      <c r="DC756" s="52"/>
      <c r="DD756" s="52"/>
      <c r="DE756" s="52"/>
      <c r="DF756" s="52"/>
      <c r="DG756" s="52"/>
      <c r="DH756" s="52"/>
      <c r="DI756" s="52"/>
      <c r="DJ756" s="52"/>
      <c r="DK756" s="52"/>
      <c r="DL756" s="52"/>
      <c r="DM756" s="52"/>
      <c r="DN756" s="52"/>
      <c r="DO756" s="52"/>
      <c r="DP756" s="52"/>
      <c r="DQ756" s="52"/>
      <c r="DR756" s="52"/>
      <c r="DS756" s="52"/>
      <c r="DT756" s="52"/>
      <c r="DU756" s="52"/>
      <c r="DV756" s="52"/>
      <c r="DW756" s="52"/>
      <c r="DX756" s="52"/>
      <c r="DY756" s="52"/>
      <c r="DZ756" s="52"/>
      <c r="EA756" s="52"/>
      <c r="EB756" s="52"/>
      <c r="EC756" s="52"/>
      <c r="ED756" s="52"/>
      <c r="EE756" s="52"/>
      <c r="EF756" s="52"/>
      <c r="EG756" s="52"/>
      <c r="EH756" s="52"/>
      <c r="EI756" s="52"/>
      <c r="EJ756" s="52"/>
      <c r="EK756" s="52"/>
      <c r="EL756" s="52"/>
      <c r="EM756" s="52"/>
      <c r="EN756" s="52"/>
      <c r="EO756" s="52"/>
      <c r="EP756" s="52"/>
      <c r="EQ756" s="52"/>
      <c r="ER756" s="52"/>
      <c r="ES756" s="52"/>
    </row>
    <row r="757" spans="1:149" ht="11.25">
      <c r="A757" s="1"/>
      <c r="B757" s="1"/>
      <c r="C757" s="1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103"/>
      <c r="O757" s="103"/>
      <c r="P757" s="103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  <c r="AC757" s="52"/>
      <c r="AD757" s="52"/>
      <c r="AE757" s="52"/>
      <c r="AF757" s="52"/>
      <c r="AG757" s="52"/>
      <c r="AH757" s="52"/>
      <c r="AI757" s="52"/>
      <c r="AJ757" s="52"/>
      <c r="AK757" s="52"/>
      <c r="AL757" s="52"/>
      <c r="AM757" s="52"/>
      <c r="AN757" s="52"/>
      <c r="AO757" s="52"/>
      <c r="AP757" s="52"/>
      <c r="AQ757" s="52"/>
      <c r="AR757" s="52"/>
      <c r="AS757" s="52"/>
      <c r="AT757" s="52"/>
      <c r="AU757" s="52"/>
      <c r="AV757" s="52"/>
      <c r="AW757" s="52"/>
      <c r="AX757" s="52"/>
      <c r="AY757" s="52"/>
      <c r="AZ757" s="52"/>
      <c r="BA757" s="52"/>
      <c r="BB757" s="52"/>
      <c r="BC757" s="52"/>
      <c r="BD757" s="52"/>
      <c r="BE757" s="52"/>
      <c r="BF757" s="52"/>
      <c r="BG757" s="52"/>
      <c r="BH757" s="52"/>
      <c r="BI757" s="52"/>
      <c r="BJ757" s="52"/>
      <c r="BK757" s="52"/>
      <c r="BL757" s="52"/>
      <c r="BM757" s="52"/>
      <c r="BN757" s="52"/>
      <c r="BO757" s="52"/>
      <c r="BP757" s="52"/>
      <c r="BQ757" s="52"/>
      <c r="BR757" s="52"/>
      <c r="BS757" s="52"/>
      <c r="BT757" s="52"/>
      <c r="BU757" s="52"/>
      <c r="BV757" s="52"/>
      <c r="BW757" s="52"/>
      <c r="BX757" s="52"/>
      <c r="BY757" s="52"/>
      <c r="BZ757" s="52"/>
      <c r="CA757" s="52"/>
      <c r="CB757" s="52"/>
      <c r="CC757" s="52"/>
      <c r="CD757" s="52"/>
      <c r="CE757" s="52"/>
      <c r="CF757" s="52"/>
      <c r="CG757" s="52"/>
      <c r="CH757" s="52"/>
      <c r="CI757" s="52"/>
      <c r="CJ757" s="52"/>
      <c r="CK757" s="52"/>
      <c r="CL757" s="52"/>
      <c r="CM757" s="52"/>
      <c r="CN757" s="52"/>
      <c r="CO757" s="52"/>
      <c r="CP757" s="52"/>
      <c r="CQ757" s="52"/>
      <c r="CR757" s="52"/>
      <c r="CS757" s="52"/>
      <c r="CT757" s="52"/>
      <c r="CU757" s="52"/>
      <c r="CV757" s="52"/>
      <c r="CW757" s="52"/>
      <c r="CX757" s="52"/>
      <c r="CY757" s="52"/>
      <c r="CZ757" s="52"/>
      <c r="DA757" s="52"/>
      <c r="DB757" s="52"/>
      <c r="DC757" s="52"/>
      <c r="DD757" s="52"/>
      <c r="DE757" s="52"/>
      <c r="DF757" s="52"/>
      <c r="DG757" s="52"/>
      <c r="DH757" s="52"/>
      <c r="DI757" s="52"/>
      <c r="DJ757" s="52"/>
      <c r="DK757" s="52"/>
      <c r="DL757" s="52"/>
      <c r="DM757" s="52"/>
      <c r="DN757" s="52"/>
      <c r="DO757" s="52"/>
      <c r="DP757" s="52"/>
      <c r="DQ757" s="52"/>
      <c r="DR757" s="52"/>
      <c r="DS757" s="52"/>
      <c r="DT757" s="52"/>
      <c r="DU757" s="52"/>
      <c r="DV757" s="52"/>
      <c r="DW757" s="52"/>
      <c r="DX757" s="52"/>
      <c r="DY757" s="52"/>
      <c r="DZ757" s="52"/>
      <c r="EA757" s="52"/>
      <c r="EB757" s="52"/>
      <c r="EC757" s="52"/>
      <c r="ED757" s="52"/>
      <c r="EE757" s="52"/>
      <c r="EF757" s="52"/>
      <c r="EG757" s="52"/>
      <c r="EH757" s="52"/>
      <c r="EI757" s="52"/>
      <c r="EJ757" s="52"/>
      <c r="EK757" s="52"/>
      <c r="EL757" s="52"/>
      <c r="EM757" s="52"/>
      <c r="EN757" s="52"/>
      <c r="EO757" s="52"/>
      <c r="EP757" s="52"/>
      <c r="EQ757" s="52"/>
      <c r="ER757" s="52"/>
      <c r="ES757" s="52"/>
    </row>
    <row r="758" spans="1:149" ht="11.25">
      <c r="A758" s="1"/>
      <c r="B758" s="1"/>
      <c r="C758" s="1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103"/>
      <c r="O758" s="103"/>
      <c r="P758" s="103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  <c r="AC758" s="52"/>
      <c r="AD758" s="52"/>
      <c r="AE758" s="52"/>
      <c r="AF758" s="52"/>
      <c r="AG758" s="52"/>
      <c r="AH758" s="52"/>
      <c r="AI758" s="52"/>
      <c r="AJ758" s="52"/>
      <c r="AK758" s="52"/>
      <c r="AL758" s="52"/>
      <c r="AM758" s="52"/>
      <c r="AN758" s="52"/>
      <c r="AO758" s="52"/>
      <c r="AP758" s="52"/>
      <c r="AQ758" s="52"/>
      <c r="AR758" s="52"/>
      <c r="AS758" s="52"/>
      <c r="AT758" s="52"/>
      <c r="AU758" s="52"/>
      <c r="AV758" s="52"/>
      <c r="AW758" s="52"/>
      <c r="AX758" s="52"/>
      <c r="AY758" s="52"/>
      <c r="AZ758" s="52"/>
      <c r="BA758" s="52"/>
      <c r="BB758" s="52"/>
      <c r="BC758" s="52"/>
      <c r="BD758" s="52"/>
      <c r="BE758" s="52"/>
      <c r="BF758" s="52"/>
      <c r="BG758" s="52"/>
      <c r="BH758" s="52"/>
      <c r="BI758" s="52"/>
      <c r="BJ758" s="52"/>
      <c r="BK758" s="52"/>
      <c r="BL758" s="52"/>
      <c r="BM758" s="52"/>
      <c r="BN758" s="52"/>
      <c r="BO758" s="52"/>
      <c r="BP758" s="52"/>
      <c r="BQ758" s="52"/>
      <c r="BR758" s="52"/>
      <c r="BS758" s="52"/>
      <c r="BT758" s="52"/>
      <c r="BU758" s="52"/>
      <c r="BV758" s="52"/>
      <c r="BW758" s="52"/>
      <c r="BX758" s="52"/>
      <c r="BY758" s="52"/>
      <c r="BZ758" s="52"/>
      <c r="CA758" s="52"/>
      <c r="CB758" s="52"/>
      <c r="CC758" s="52"/>
      <c r="CD758" s="52"/>
      <c r="CE758" s="52"/>
      <c r="CF758" s="52"/>
      <c r="CG758" s="52"/>
      <c r="CH758" s="52"/>
      <c r="CI758" s="52"/>
      <c r="CJ758" s="52"/>
      <c r="CK758" s="52"/>
      <c r="CL758" s="52"/>
      <c r="CM758" s="52"/>
      <c r="CN758" s="52"/>
      <c r="CO758" s="52"/>
      <c r="CP758" s="52"/>
      <c r="CQ758" s="52"/>
      <c r="CR758" s="52"/>
      <c r="CS758" s="52"/>
      <c r="CT758" s="52"/>
      <c r="CU758" s="52"/>
      <c r="CV758" s="52"/>
      <c r="CW758" s="52"/>
      <c r="CX758" s="52"/>
      <c r="CY758" s="52"/>
      <c r="CZ758" s="52"/>
      <c r="DA758" s="52"/>
      <c r="DB758" s="52"/>
      <c r="DC758" s="52"/>
      <c r="DD758" s="52"/>
      <c r="DE758" s="52"/>
      <c r="DF758" s="52"/>
      <c r="DG758" s="52"/>
      <c r="DH758" s="52"/>
      <c r="DI758" s="52"/>
      <c r="DJ758" s="52"/>
      <c r="DK758" s="52"/>
      <c r="DL758" s="52"/>
      <c r="DM758" s="52"/>
      <c r="DN758" s="52"/>
      <c r="DO758" s="52"/>
      <c r="DP758" s="52"/>
      <c r="DQ758" s="52"/>
      <c r="DR758" s="52"/>
      <c r="DS758" s="52"/>
      <c r="DT758" s="52"/>
      <c r="DU758" s="52"/>
      <c r="DV758" s="52"/>
      <c r="DW758" s="52"/>
      <c r="DX758" s="52"/>
      <c r="DY758" s="52"/>
      <c r="DZ758" s="52"/>
      <c r="EA758" s="52"/>
      <c r="EB758" s="52"/>
      <c r="EC758" s="52"/>
      <c r="ED758" s="52"/>
      <c r="EE758" s="52"/>
      <c r="EF758" s="52"/>
      <c r="EG758" s="52"/>
      <c r="EH758" s="52"/>
      <c r="EI758" s="52"/>
      <c r="EJ758" s="52"/>
      <c r="EK758" s="52"/>
      <c r="EL758" s="52"/>
      <c r="EM758" s="52"/>
      <c r="EN758" s="52"/>
      <c r="EO758" s="52"/>
      <c r="EP758" s="52"/>
      <c r="EQ758" s="52"/>
      <c r="ER758" s="52"/>
      <c r="ES758" s="52"/>
    </row>
    <row r="759" spans="1:149" ht="11.25">
      <c r="A759" s="1"/>
      <c r="B759" s="1"/>
      <c r="C759" s="1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103"/>
      <c r="O759" s="103"/>
      <c r="P759" s="103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  <c r="AC759" s="52"/>
      <c r="AD759" s="52"/>
      <c r="AE759" s="52"/>
      <c r="AF759" s="52"/>
      <c r="AG759" s="52"/>
      <c r="AH759" s="52"/>
      <c r="AI759" s="52"/>
      <c r="AJ759" s="52"/>
      <c r="AK759" s="52"/>
      <c r="AL759" s="52"/>
      <c r="AM759" s="52"/>
      <c r="AN759" s="52"/>
      <c r="AO759" s="52"/>
      <c r="AP759" s="52"/>
      <c r="AQ759" s="52"/>
      <c r="AR759" s="52"/>
      <c r="AS759" s="52"/>
      <c r="AT759" s="52"/>
      <c r="AU759" s="52"/>
      <c r="AV759" s="52"/>
      <c r="AW759" s="52"/>
      <c r="AX759" s="52"/>
      <c r="AY759" s="52"/>
      <c r="AZ759" s="52"/>
      <c r="BA759" s="52"/>
      <c r="BB759" s="52"/>
      <c r="BC759" s="52"/>
      <c r="BD759" s="52"/>
      <c r="BE759" s="52"/>
      <c r="BF759" s="52"/>
      <c r="BG759" s="52"/>
      <c r="BH759" s="52"/>
      <c r="BI759" s="52"/>
      <c r="BJ759" s="52"/>
      <c r="BK759" s="52"/>
      <c r="BL759" s="52"/>
      <c r="BM759" s="52"/>
      <c r="BN759" s="52"/>
      <c r="BO759" s="52"/>
      <c r="BP759" s="52"/>
      <c r="BQ759" s="52"/>
      <c r="BR759" s="52"/>
      <c r="BS759" s="52"/>
      <c r="BT759" s="52"/>
      <c r="BU759" s="52"/>
      <c r="BV759" s="52"/>
      <c r="BW759" s="52"/>
      <c r="BX759" s="52"/>
      <c r="BY759" s="52"/>
      <c r="BZ759" s="52"/>
      <c r="CA759" s="52"/>
      <c r="CB759" s="52"/>
      <c r="CC759" s="52"/>
      <c r="CD759" s="52"/>
      <c r="CE759" s="52"/>
      <c r="CF759" s="52"/>
      <c r="CG759" s="52"/>
      <c r="CH759" s="52"/>
      <c r="CI759" s="52"/>
      <c r="CJ759" s="52"/>
      <c r="CK759" s="52"/>
      <c r="CL759" s="52"/>
      <c r="CM759" s="52"/>
      <c r="CN759" s="52"/>
      <c r="CO759" s="52"/>
      <c r="CP759" s="52"/>
      <c r="CQ759" s="52"/>
      <c r="CR759" s="52"/>
      <c r="CS759" s="52"/>
      <c r="CT759" s="52"/>
      <c r="CU759" s="52"/>
      <c r="CV759" s="52"/>
      <c r="CW759" s="52"/>
      <c r="CX759" s="52"/>
      <c r="CY759" s="52"/>
      <c r="CZ759" s="52"/>
      <c r="DA759" s="52"/>
      <c r="DB759" s="52"/>
      <c r="DC759" s="52"/>
      <c r="DD759" s="52"/>
      <c r="DE759" s="52"/>
      <c r="DF759" s="52"/>
      <c r="DG759" s="52"/>
      <c r="DH759" s="52"/>
      <c r="DI759" s="52"/>
      <c r="DJ759" s="52"/>
      <c r="DK759" s="52"/>
      <c r="DL759" s="52"/>
      <c r="DM759" s="52"/>
      <c r="DN759" s="52"/>
      <c r="DO759" s="52"/>
      <c r="DP759" s="52"/>
      <c r="DQ759" s="52"/>
      <c r="DR759" s="52"/>
      <c r="DS759" s="52"/>
      <c r="DT759" s="52"/>
      <c r="DU759" s="52"/>
      <c r="DV759" s="52"/>
      <c r="DW759" s="52"/>
      <c r="DX759" s="52"/>
      <c r="DY759" s="52"/>
      <c r="DZ759" s="52"/>
      <c r="EA759" s="52"/>
      <c r="EB759" s="52"/>
      <c r="EC759" s="52"/>
      <c r="ED759" s="52"/>
      <c r="EE759" s="52"/>
      <c r="EF759" s="52"/>
      <c r="EG759" s="52"/>
      <c r="EH759" s="52"/>
      <c r="EI759" s="52"/>
      <c r="EJ759" s="52"/>
      <c r="EK759" s="52"/>
      <c r="EL759" s="52"/>
      <c r="EM759" s="52"/>
      <c r="EN759" s="52"/>
      <c r="EO759" s="52"/>
      <c r="EP759" s="52"/>
      <c r="EQ759" s="52"/>
      <c r="ER759" s="52"/>
      <c r="ES759" s="52"/>
    </row>
    <row r="760" spans="1:149" ht="11.25">
      <c r="A760" s="1"/>
      <c r="B760" s="1"/>
      <c r="C760" s="1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103"/>
      <c r="O760" s="103"/>
      <c r="P760" s="103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  <c r="AC760" s="52"/>
      <c r="AD760" s="52"/>
      <c r="AE760" s="52"/>
      <c r="AF760" s="52"/>
      <c r="AG760" s="52"/>
      <c r="AH760" s="52"/>
      <c r="AI760" s="52"/>
      <c r="AJ760" s="52"/>
      <c r="AK760" s="52"/>
      <c r="AL760" s="52"/>
      <c r="AM760" s="52"/>
      <c r="AN760" s="52"/>
      <c r="AO760" s="52"/>
      <c r="AP760" s="52"/>
      <c r="AQ760" s="52"/>
      <c r="AR760" s="52"/>
      <c r="AS760" s="52"/>
      <c r="AT760" s="52"/>
      <c r="AU760" s="52"/>
      <c r="AV760" s="52"/>
      <c r="AW760" s="52"/>
      <c r="AX760" s="52"/>
      <c r="AY760" s="52"/>
      <c r="AZ760" s="52"/>
      <c r="BA760" s="52"/>
      <c r="BB760" s="52"/>
      <c r="BC760" s="52"/>
      <c r="BD760" s="52"/>
      <c r="BE760" s="52"/>
      <c r="BF760" s="52"/>
      <c r="BG760" s="52"/>
      <c r="BH760" s="52"/>
      <c r="BI760" s="52"/>
      <c r="BJ760" s="52"/>
      <c r="BK760" s="52"/>
      <c r="BL760" s="52"/>
      <c r="BM760" s="52"/>
      <c r="BN760" s="52"/>
      <c r="BO760" s="52"/>
      <c r="BP760" s="52"/>
      <c r="BQ760" s="52"/>
      <c r="BR760" s="52"/>
      <c r="BS760" s="52"/>
      <c r="BT760" s="52"/>
      <c r="BU760" s="52"/>
      <c r="BV760" s="52"/>
      <c r="BW760" s="52"/>
      <c r="BX760" s="52"/>
      <c r="BY760" s="52"/>
      <c r="BZ760" s="52"/>
      <c r="CA760" s="52"/>
      <c r="CB760" s="52"/>
      <c r="CC760" s="52"/>
      <c r="CD760" s="52"/>
      <c r="CE760" s="52"/>
      <c r="CF760" s="52"/>
      <c r="CG760" s="52"/>
      <c r="CH760" s="52"/>
      <c r="CI760" s="52"/>
      <c r="CJ760" s="52"/>
      <c r="CK760" s="52"/>
      <c r="CL760" s="52"/>
      <c r="CM760" s="52"/>
      <c r="CN760" s="52"/>
      <c r="CO760" s="52"/>
      <c r="CP760" s="52"/>
      <c r="CQ760" s="52"/>
      <c r="CR760" s="52"/>
      <c r="CS760" s="52"/>
      <c r="CT760" s="52"/>
      <c r="CU760" s="52"/>
      <c r="CV760" s="52"/>
      <c r="CW760" s="52"/>
      <c r="CX760" s="52"/>
      <c r="CY760" s="52"/>
      <c r="CZ760" s="52"/>
      <c r="DA760" s="52"/>
      <c r="DB760" s="52"/>
      <c r="DC760" s="52"/>
      <c r="DD760" s="52"/>
      <c r="DE760" s="52"/>
      <c r="DF760" s="52"/>
      <c r="DG760" s="52"/>
      <c r="DH760" s="52"/>
      <c r="DI760" s="52"/>
      <c r="DJ760" s="52"/>
      <c r="DK760" s="52"/>
      <c r="DL760" s="52"/>
      <c r="DM760" s="52"/>
      <c r="DN760" s="52"/>
      <c r="DO760" s="52"/>
      <c r="DP760" s="52"/>
      <c r="DQ760" s="52"/>
      <c r="DR760" s="52"/>
      <c r="DS760" s="52"/>
      <c r="DT760" s="52"/>
      <c r="DU760" s="52"/>
      <c r="DV760" s="52"/>
      <c r="DW760" s="52"/>
      <c r="DX760" s="52"/>
      <c r="DY760" s="52"/>
      <c r="DZ760" s="52"/>
      <c r="EA760" s="52"/>
      <c r="EB760" s="52"/>
      <c r="EC760" s="52"/>
      <c r="ED760" s="52"/>
      <c r="EE760" s="52"/>
      <c r="EF760" s="52"/>
      <c r="EG760" s="52"/>
      <c r="EH760" s="52"/>
      <c r="EI760" s="52"/>
      <c r="EJ760" s="52"/>
      <c r="EK760" s="52"/>
      <c r="EL760" s="52"/>
      <c r="EM760" s="52"/>
      <c r="EN760" s="52"/>
      <c r="EO760" s="52"/>
      <c r="EP760" s="52"/>
      <c r="EQ760" s="52"/>
      <c r="ER760" s="52"/>
      <c r="ES760" s="52"/>
    </row>
    <row r="761" spans="1:149" ht="11.25">
      <c r="A761" s="1"/>
      <c r="B761" s="1"/>
      <c r="C761" s="1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103"/>
      <c r="O761" s="103"/>
      <c r="P761" s="103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  <c r="AC761" s="52"/>
      <c r="AD761" s="52"/>
      <c r="AE761" s="52"/>
      <c r="AF761" s="52"/>
      <c r="AG761" s="52"/>
      <c r="AH761" s="52"/>
      <c r="AI761" s="52"/>
      <c r="AJ761" s="52"/>
      <c r="AK761" s="52"/>
      <c r="AL761" s="52"/>
      <c r="AM761" s="52"/>
      <c r="AN761" s="52"/>
      <c r="AO761" s="52"/>
      <c r="AP761" s="52"/>
      <c r="AQ761" s="52"/>
      <c r="AR761" s="52"/>
      <c r="AS761" s="52"/>
      <c r="AT761" s="52"/>
      <c r="AU761" s="52"/>
      <c r="AV761" s="52"/>
      <c r="AW761" s="52"/>
      <c r="AX761" s="52"/>
      <c r="AY761" s="52"/>
      <c r="AZ761" s="52"/>
      <c r="BA761" s="52"/>
      <c r="BB761" s="52"/>
      <c r="BC761" s="52"/>
      <c r="BD761" s="52"/>
      <c r="BE761" s="52"/>
      <c r="BF761" s="52"/>
      <c r="BG761" s="52"/>
      <c r="BH761" s="52"/>
      <c r="BI761" s="52"/>
      <c r="BJ761" s="52"/>
      <c r="BK761" s="52"/>
      <c r="BL761" s="52"/>
      <c r="BM761" s="52"/>
      <c r="BN761" s="52"/>
      <c r="BO761" s="52"/>
      <c r="BP761" s="52"/>
      <c r="BQ761" s="52"/>
      <c r="BR761" s="52"/>
      <c r="BS761" s="52"/>
      <c r="BT761" s="52"/>
      <c r="BU761" s="52"/>
      <c r="BV761" s="52"/>
      <c r="BW761" s="52"/>
      <c r="BX761" s="52"/>
      <c r="BY761" s="52"/>
      <c r="BZ761" s="52"/>
      <c r="CA761" s="52"/>
      <c r="CB761" s="52"/>
      <c r="CC761" s="52"/>
      <c r="CD761" s="52"/>
      <c r="CE761" s="52"/>
      <c r="CF761" s="52"/>
      <c r="CG761" s="52"/>
      <c r="CH761" s="52"/>
      <c r="CI761" s="52"/>
      <c r="CJ761" s="52"/>
      <c r="CK761" s="52"/>
      <c r="CL761" s="52"/>
      <c r="CM761" s="52"/>
      <c r="CN761" s="52"/>
      <c r="CO761" s="52"/>
      <c r="CP761" s="52"/>
      <c r="CQ761" s="52"/>
      <c r="CR761" s="52"/>
      <c r="CS761" s="52"/>
      <c r="CT761" s="52"/>
      <c r="CU761" s="52"/>
      <c r="CV761" s="52"/>
      <c r="CW761" s="52"/>
      <c r="CX761" s="52"/>
      <c r="CY761" s="52"/>
      <c r="CZ761" s="52"/>
      <c r="DA761" s="52"/>
      <c r="DB761" s="52"/>
      <c r="DC761" s="52"/>
      <c r="DD761" s="52"/>
      <c r="DE761" s="52"/>
      <c r="DF761" s="52"/>
      <c r="DG761" s="52"/>
      <c r="DH761" s="52"/>
      <c r="DI761" s="52"/>
      <c r="DJ761" s="52"/>
      <c r="DK761" s="52"/>
      <c r="DL761" s="52"/>
      <c r="DM761" s="52"/>
      <c r="DN761" s="52"/>
      <c r="DO761" s="52"/>
      <c r="DP761" s="52"/>
      <c r="DQ761" s="52"/>
      <c r="DR761" s="52"/>
      <c r="DS761" s="52"/>
      <c r="DT761" s="52"/>
      <c r="DU761" s="52"/>
      <c r="DV761" s="52"/>
      <c r="DW761" s="52"/>
      <c r="DX761" s="52"/>
      <c r="DY761" s="52"/>
      <c r="DZ761" s="52"/>
      <c r="EA761" s="52"/>
      <c r="EB761" s="52"/>
      <c r="EC761" s="52"/>
      <c r="ED761" s="52"/>
      <c r="EE761" s="52"/>
      <c r="EF761" s="52"/>
      <c r="EG761" s="52"/>
      <c r="EH761" s="52"/>
      <c r="EI761" s="52"/>
      <c r="EJ761" s="52"/>
      <c r="EK761" s="52"/>
      <c r="EL761" s="52"/>
      <c r="EM761" s="52"/>
      <c r="EN761" s="52"/>
      <c r="EO761" s="52"/>
      <c r="EP761" s="52"/>
      <c r="EQ761" s="52"/>
      <c r="ER761" s="52"/>
      <c r="ES761" s="52"/>
    </row>
    <row r="762" spans="1:149" ht="11.25">
      <c r="A762" s="1"/>
      <c r="B762" s="1"/>
      <c r="C762" s="1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103"/>
      <c r="O762" s="103"/>
      <c r="P762" s="103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  <c r="AC762" s="52"/>
      <c r="AD762" s="52"/>
      <c r="AE762" s="52"/>
      <c r="AF762" s="52"/>
      <c r="AG762" s="52"/>
      <c r="AH762" s="52"/>
      <c r="AI762" s="52"/>
      <c r="AJ762" s="52"/>
      <c r="AK762" s="52"/>
      <c r="AL762" s="52"/>
      <c r="AM762" s="52"/>
      <c r="AN762" s="52"/>
      <c r="AO762" s="52"/>
      <c r="AP762" s="52"/>
      <c r="AQ762" s="52"/>
      <c r="AR762" s="52"/>
      <c r="AS762" s="52"/>
      <c r="AT762" s="52"/>
      <c r="AU762" s="52"/>
      <c r="AV762" s="52"/>
      <c r="AW762" s="52"/>
      <c r="AX762" s="52"/>
      <c r="AY762" s="52"/>
      <c r="AZ762" s="52"/>
      <c r="BA762" s="52"/>
      <c r="BB762" s="52"/>
      <c r="BC762" s="52"/>
      <c r="BD762" s="52"/>
      <c r="BE762" s="52"/>
      <c r="BF762" s="52"/>
      <c r="BG762" s="52"/>
      <c r="BH762" s="52"/>
      <c r="BI762" s="52"/>
      <c r="BJ762" s="52"/>
      <c r="BK762" s="52"/>
      <c r="BL762" s="52"/>
      <c r="BM762" s="52"/>
      <c r="BN762" s="52"/>
      <c r="BO762" s="52"/>
      <c r="BP762" s="52"/>
      <c r="BQ762" s="52"/>
      <c r="BR762" s="52"/>
      <c r="BS762" s="52"/>
      <c r="BT762" s="52"/>
      <c r="BU762" s="52"/>
      <c r="BV762" s="52"/>
      <c r="BW762" s="52"/>
      <c r="BX762" s="52"/>
      <c r="BY762" s="52"/>
      <c r="BZ762" s="52"/>
      <c r="CA762" s="52"/>
      <c r="CB762" s="52"/>
      <c r="CC762" s="52"/>
      <c r="CD762" s="52"/>
      <c r="CE762" s="52"/>
      <c r="CF762" s="52"/>
      <c r="CG762" s="52"/>
      <c r="CH762" s="52"/>
      <c r="CI762" s="52"/>
      <c r="CJ762" s="52"/>
      <c r="CK762" s="52"/>
      <c r="CL762" s="52"/>
      <c r="CM762" s="52"/>
      <c r="CN762" s="52"/>
      <c r="CO762" s="52"/>
      <c r="CP762" s="52"/>
      <c r="CQ762" s="52"/>
      <c r="CR762" s="52"/>
      <c r="CS762" s="52"/>
      <c r="CT762" s="52"/>
      <c r="CU762" s="52"/>
      <c r="CV762" s="52"/>
      <c r="CW762" s="52"/>
      <c r="CX762" s="52"/>
      <c r="CY762" s="52"/>
      <c r="CZ762" s="52"/>
      <c r="DA762" s="52"/>
      <c r="DB762" s="52"/>
      <c r="DC762" s="52"/>
      <c r="DD762" s="52"/>
      <c r="DE762" s="52"/>
      <c r="DF762" s="52"/>
      <c r="DG762" s="52"/>
      <c r="DH762" s="52"/>
      <c r="DI762" s="52"/>
      <c r="DJ762" s="52"/>
      <c r="DK762" s="52"/>
      <c r="DL762" s="52"/>
      <c r="DM762" s="52"/>
      <c r="DN762" s="52"/>
      <c r="DO762" s="52"/>
      <c r="DP762" s="52"/>
      <c r="DQ762" s="52"/>
      <c r="DR762" s="52"/>
      <c r="DS762" s="52"/>
      <c r="DT762" s="52"/>
      <c r="DU762" s="52"/>
      <c r="DV762" s="52"/>
      <c r="DW762" s="52"/>
      <c r="DX762" s="52"/>
      <c r="DY762" s="52"/>
      <c r="DZ762" s="52"/>
      <c r="EA762" s="52"/>
      <c r="EB762" s="52"/>
      <c r="EC762" s="52"/>
      <c r="ED762" s="52"/>
      <c r="EE762" s="52"/>
      <c r="EF762" s="52"/>
      <c r="EG762" s="52"/>
      <c r="EH762" s="52"/>
      <c r="EI762" s="52"/>
      <c r="EJ762" s="52"/>
      <c r="EK762" s="52"/>
      <c r="EL762" s="52"/>
      <c r="EM762" s="52"/>
      <c r="EN762" s="52"/>
      <c r="EO762" s="52"/>
      <c r="EP762" s="52"/>
      <c r="EQ762" s="52"/>
      <c r="ER762" s="52"/>
      <c r="ES762" s="52"/>
    </row>
    <row r="763" spans="1:149" ht="11.25">
      <c r="A763" s="1"/>
      <c r="B763" s="1"/>
      <c r="C763" s="1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103"/>
      <c r="O763" s="103"/>
      <c r="P763" s="103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  <c r="AC763" s="52"/>
      <c r="AD763" s="52"/>
      <c r="AE763" s="52"/>
      <c r="AF763" s="52"/>
      <c r="AG763" s="52"/>
      <c r="AH763" s="52"/>
      <c r="AI763" s="52"/>
      <c r="AJ763" s="52"/>
      <c r="AK763" s="52"/>
      <c r="AL763" s="52"/>
      <c r="AM763" s="52"/>
      <c r="AN763" s="52"/>
      <c r="AO763" s="52"/>
      <c r="AP763" s="52"/>
      <c r="AQ763" s="52"/>
      <c r="AR763" s="52"/>
      <c r="AS763" s="52"/>
      <c r="AT763" s="52"/>
      <c r="AU763" s="52"/>
      <c r="AV763" s="52"/>
      <c r="AW763" s="52"/>
      <c r="AX763" s="52"/>
      <c r="AY763" s="52"/>
      <c r="AZ763" s="52"/>
      <c r="BA763" s="52"/>
      <c r="BB763" s="52"/>
      <c r="BC763" s="52"/>
      <c r="BD763" s="52"/>
      <c r="BE763" s="52"/>
      <c r="BF763" s="52"/>
      <c r="BG763" s="52"/>
      <c r="BH763" s="52"/>
      <c r="BI763" s="52"/>
      <c r="BJ763" s="52"/>
      <c r="BK763" s="52"/>
      <c r="BL763" s="52"/>
      <c r="BM763" s="52"/>
      <c r="BN763" s="52"/>
      <c r="BO763" s="52"/>
      <c r="BP763" s="52"/>
      <c r="BQ763" s="52"/>
      <c r="BR763" s="52"/>
      <c r="BS763" s="52"/>
      <c r="BT763" s="52"/>
      <c r="BU763" s="52"/>
      <c r="BV763" s="52"/>
      <c r="BW763" s="52"/>
      <c r="BX763" s="52"/>
      <c r="BY763" s="52"/>
      <c r="BZ763" s="52"/>
      <c r="CA763" s="52"/>
      <c r="CB763" s="52"/>
      <c r="CC763" s="52"/>
      <c r="CD763" s="52"/>
      <c r="CE763" s="52"/>
      <c r="CF763" s="52"/>
      <c r="CG763" s="52"/>
      <c r="CH763" s="52"/>
      <c r="CI763" s="52"/>
      <c r="CJ763" s="52"/>
      <c r="CK763" s="52"/>
      <c r="CL763" s="52"/>
      <c r="CM763" s="52"/>
      <c r="CN763" s="52"/>
      <c r="CO763" s="52"/>
      <c r="CP763" s="52"/>
      <c r="CQ763" s="52"/>
      <c r="CR763" s="52"/>
      <c r="CS763" s="52"/>
      <c r="CT763" s="52"/>
      <c r="CU763" s="52"/>
      <c r="CV763" s="52"/>
      <c r="CW763" s="52"/>
      <c r="CX763" s="52"/>
      <c r="CY763" s="52"/>
      <c r="CZ763" s="52"/>
      <c r="DA763" s="52"/>
      <c r="DB763" s="52"/>
      <c r="DC763" s="52"/>
      <c r="DD763" s="52"/>
      <c r="DE763" s="52"/>
      <c r="DF763" s="52"/>
      <c r="DG763" s="52"/>
      <c r="DH763" s="52"/>
      <c r="DI763" s="52"/>
      <c r="DJ763" s="52"/>
      <c r="DK763" s="52"/>
      <c r="DL763" s="52"/>
      <c r="DM763" s="52"/>
      <c r="DN763" s="52"/>
      <c r="DO763" s="52"/>
      <c r="DP763" s="52"/>
      <c r="DQ763" s="52"/>
      <c r="DR763" s="52"/>
      <c r="DS763" s="52"/>
      <c r="DT763" s="52"/>
      <c r="DU763" s="52"/>
      <c r="DV763" s="52"/>
      <c r="DW763" s="52"/>
      <c r="DX763" s="52"/>
      <c r="DY763" s="52"/>
      <c r="DZ763" s="52"/>
      <c r="EA763" s="52"/>
      <c r="EB763" s="52"/>
      <c r="EC763" s="52"/>
      <c r="ED763" s="52"/>
      <c r="EE763" s="52"/>
      <c r="EF763" s="52"/>
      <c r="EG763" s="52"/>
      <c r="EH763" s="52"/>
      <c r="EI763" s="52"/>
      <c r="EJ763" s="52"/>
      <c r="EK763" s="52"/>
      <c r="EL763" s="52"/>
      <c r="EM763" s="52"/>
      <c r="EN763" s="52"/>
      <c r="EO763" s="52"/>
      <c r="EP763" s="52"/>
      <c r="EQ763" s="52"/>
      <c r="ER763" s="52"/>
      <c r="ES763" s="52"/>
    </row>
    <row r="764" spans="1:149" ht="11.25">
      <c r="A764" s="1"/>
      <c r="B764" s="1"/>
      <c r="C764" s="1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103"/>
      <c r="O764" s="103"/>
      <c r="P764" s="103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  <c r="AC764" s="52"/>
      <c r="AD764" s="52"/>
      <c r="AE764" s="52"/>
      <c r="AF764" s="52"/>
      <c r="AG764" s="52"/>
      <c r="AH764" s="52"/>
      <c r="AI764" s="52"/>
      <c r="AJ764" s="52"/>
      <c r="AK764" s="52"/>
      <c r="AL764" s="52"/>
      <c r="AM764" s="52"/>
      <c r="AN764" s="52"/>
      <c r="AO764" s="52"/>
      <c r="AP764" s="52"/>
      <c r="AQ764" s="52"/>
      <c r="AR764" s="52"/>
      <c r="AS764" s="52"/>
      <c r="AT764" s="52"/>
      <c r="AU764" s="52"/>
      <c r="AV764" s="52"/>
      <c r="AW764" s="52"/>
      <c r="AX764" s="52"/>
      <c r="AY764" s="52"/>
      <c r="AZ764" s="52"/>
      <c r="BA764" s="52"/>
      <c r="BB764" s="52"/>
      <c r="BC764" s="52"/>
      <c r="BD764" s="52"/>
      <c r="BE764" s="52"/>
      <c r="BF764" s="52"/>
      <c r="BG764" s="52"/>
      <c r="BH764" s="52"/>
      <c r="BI764" s="52"/>
      <c r="BJ764" s="52"/>
      <c r="BK764" s="52"/>
      <c r="BL764" s="52"/>
      <c r="BM764" s="52"/>
      <c r="BN764" s="52"/>
      <c r="BO764" s="52"/>
      <c r="BP764" s="52"/>
      <c r="BQ764" s="52"/>
      <c r="BR764" s="52"/>
      <c r="BS764" s="52"/>
      <c r="BT764" s="52"/>
      <c r="BU764" s="52"/>
      <c r="BV764" s="52"/>
      <c r="BW764" s="52"/>
      <c r="BX764" s="52"/>
      <c r="BY764" s="52"/>
      <c r="BZ764" s="52"/>
      <c r="CA764" s="52"/>
      <c r="CB764" s="52"/>
      <c r="CC764" s="52"/>
      <c r="CD764" s="52"/>
      <c r="CE764" s="52"/>
      <c r="CF764" s="52"/>
      <c r="CG764" s="52"/>
      <c r="CH764" s="52"/>
      <c r="CI764" s="52"/>
      <c r="CJ764" s="52"/>
      <c r="CK764" s="52"/>
      <c r="CL764" s="52"/>
      <c r="CM764" s="52"/>
      <c r="CN764" s="52"/>
      <c r="CO764" s="52"/>
      <c r="CP764" s="52"/>
      <c r="CQ764" s="52"/>
      <c r="CR764" s="52"/>
      <c r="CS764" s="52"/>
      <c r="CT764" s="52"/>
      <c r="CU764" s="52"/>
      <c r="CV764" s="52"/>
      <c r="CW764" s="52"/>
      <c r="CX764" s="52"/>
      <c r="CY764" s="52"/>
      <c r="CZ764" s="52"/>
      <c r="DA764" s="52"/>
      <c r="DB764" s="52"/>
      <c r="DC764" s="52"/>
      <c r="DD764" s="52"/>
      <c r="DE764" s="52"/>
      <c r="DF764" s="52"/>
      <c r="DG764" s="52"/>
      <c r="DH764" s="52"/>
      <c r="DI764" s="52"/>
      <c r="DJ764" s="52"/>
      <c r="DK764" s="52"/>
      <c r="DL764" s="52"/>
      <c r="DM764" s="52"/>
      <c r="DN764" s="52"/>
      <c r="DO764" s="52"/>
      <c r="DP764" s="52"/>
      <c r="DQ764" s="52"/>
      <c r="DR764" s="52"/>
      <c r="DS764" s="52"/>
      <c r="DT764" s="52"/>
      <c r="DU764" s="52"/>
      <c r="DV764" s="52"/>
      <c r="DW764" s="52"/>
      <c r="DX764" s="52"/>
      <c r="DY764" s="52"/>
      <c r="DZ764" s="52"/>
      <c r="EA764" s="52"/>
      <c r="EB764" s="52"/>
      <c r="EC764" s="52"/>
      <c r="ED764" s="52"/>
      <c r="EE764" s="52"/>
      <c r="EF764" s="52"/>
      <c r="EG764" s="52"/>
      <c r="EH764" s="52"/>
      <c r="EI764" s="52"/>
      <c r="EJ764" s="52"/>
      <c r="EK764" s="52"/>
      <c r="EL764" s="52"/>
      <c r="EM764" s="52"/>
      <c r="EN764" s="52"/>
      <c r="EO764" s="52"/>
      <c r="EP764" s="52"/>
      <c r="EQ764" s="52"/>
      <c r="ER764" s="52"/>
      <c r="ES764" s="52"/>
    </row>
    <row r="765" spans="1:149" ht="11.25">
      <c r="A765" s="1"/>
      <c r="B765" s="1"/>
      <c r="C765" s="1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103"/>
      <c r="O765" s="103"/>
      <c r="P765" s="103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  <c r="AC765" s="52"/>
      <c r="AD765" s="52"/>
      <c r="AE765" s="52"/>
      <c r="AF765" s="52"/>
      <c r="AG765" s="52"/>
      <c r="AH765" s="52"/>
      <c r="AI765" s="52"/>
      <c r="AJ765" s="52"/>
      <c r="AK765" s="52"/>
      <c r="AL765" s="52"/>
      <c r="AM765" s="52"/>
      <c r="AN765" s="52"/>
      <c r="AO765" s="52"/>
      <c r="AP765" s="52"/>
      <c r="AQ765" s="52"/>
      <c r="AR765" s="52"/>
      <c r="AS765" s="52"/>
      <c r="AT765" s="52"/>
      <c r="AU765" s="52"/>
      <c r="AV765" s="52"/>
      <c r="AW765" s="52"/>
      <c r="AX765" s="52"/>
      <c r="AY765" s="52"/>
      <c r="AZ765" s="52"/>
      <c r="BA765" s="52"/>
      <c r="BB765" s="52"/>
      <c r="BC765" s="52"/>
      <c r="BD765" s="52"/>
      <c r="BE765" s="52"/>
      <c r="BF765" s="52"/>
      <c r="BG765" s="52"/>
      <c r="BH765" s="52"/>
      <c r="BI765" s="52"/>
      <c r="BJ765" s="52"/>
      <c r="BK765" s="52"/>
      <c r="BL765" s="52"/>
      <c r="BM765" s="52"/>
      <c r="BN765" s="52"/>
      <c r="BO765" s="52"/>
      <c r="BP765" s="52"/>
      <c r="BQ765" s="52"/>
      <c r="BR765" s="52"/>
      <c r="BS765" s="52"/>
      <c r="BT765" s="52"/>
      <c r="BU765" s="52"/>
      <c r="BV765" s="52"/>
      <c r="BW765" s="52"/>
      <c r="BX765" s="52"/>
      <c r="BY765" s="52"/>
      <c r="BZ765" s="52"/>
      <c r="CA765" s="52"/>
      <c r="CB765" s="52"/>
      <c r="CC765" s="52"/>
      <c r="CD765" s="52"/>
      <c r="CE765" s="52"/>
      <c r="CF765" s="52"/>
      <c r="CG765" s="52"/>
      <c r="CH765" s="52"/>
      <c r="CI765" s="52"/>
      <c r="CJ765" s="52"/>
      <c r="CK765" s="52"/>
      <c r="CL765" s="52"/>
      <c r="CM765" s="52"/>
      <c r="CN765" s="52"/>
      <c r="CO765" s="52"/>
      <c r="CP765" s="52"/>
      <c r="CQ765" s="52"/>
      <c r="CR765" s="52"/>
      <c r="CS765" s="52"/>
      <c r="CT765" s="52"/>
      <c r="CU765" s="52"/>
      <c r="CV765" s="52"/>
      <c r="CW765" s="52"/>
      <c r="CX765" s="52"/>
      <c r="CY765" s="52"/>
      <c r="CZ765" s="52"/>
      <c r="DA765" s="52"/>
      <c r="DB765" s="52"/>
      <c r="DC765" s="52"/>
      <c r="DD765" s="52"/>
      <c r="DE765" s="52"/>
      <c r="DF765" s="52"/>
      <c r="DG765" s="52"/>
      <c r="DH765" s="52"/>
      <c r="DI765" s="52"/>
      <c r="DJ765" s="52"/>
      <c r="DK765" s="52"/>
      <c r="DL765" s="52"/>
      <c r="DM765" s="52"/>
      <c r="DN765" s="52"/>
      <c r="DO765" s="52"/>
      <c r="DP765" s="52"/>
      <c r="DQ765" s="52"/>
      <c r="DR765" s="52"/>
      <c r="DS765" s="52"/>
      <c r="DT765" s="52"/>
      <c r="DU765" s="52"/>
      <c r="DV765" s="52"/>
      <c r="DW765" s="52"/>
      <c r="DX765" s="52"/>
      <c r="DY765" s="52"/>
      <c r="DZ765" s="52"/>
      <c r="EA765" s="52"/>
      <c r="EB765" s="52"/>
      <c r="EC765" s="52"/>
      <c r="ED765" s="52"/>
      <c r="EE765" s="52"/>
      <c r="EF765" s="52"/>
      <c r="EG765" s="52"/>
      <c r="EH765" s="52"/>
      <c r="EI765" s="52"/>
      <c r="EJ765" s="52"/>
      <c r="EK765" s="52"/>
      <c r="EL765" s="52"/>
      <c r="EM765" s="52"/>
      <c r="EN765" s="52"/>
      <c r="EO765" s="52"/>
      <c r="EP765" s="52"/>
      <c r="EQ765" s="52"/>
      <c r="ER765" s="52"/>
      <c r="ES765" s="52"/>
    </row>
    <row r="766" spans="1:149" ht="11.25">
      <c r="A766" s="1"/>
      <c r="B766" s="1"/>
      <c r="C766" s="1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103"/>
      <c r="O766" s="103"/>
      <c r="P766" s="103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  <c r="AC766" s="52"/>
      <c r="AD766" s="52"/>
      <c r="AE766" s="52"/>
      <c r="AF766" s="52"/>
      <c r="AG766" s="52"/>
      <c r="AH766" s="52"/>
      <c r="AI766" s="52"/>
      <c r="AJ766" s="52"/>
      <c r="AK766" s="52"/>
      <c r="AL766" s="52"/>
      <c r="AM766" s="52"/>
      <c r="AN766" s="52"/>
      <c r="AO766" s="52"/>
      <c r="AP766" s="52"/>
      <c r="AQ766" s="52"/>
      <c r="AR766" s="52"/>
      <c r="AS766" s="52"/>
      <c r="AT766" s="52"/>
      <c r="AU766" s="52"/>
      <c r="AV766" s="52"/>
      <c r="AW766" s="52"/>
      <c r="AX766" s="52"/>
      <c r="AY766" s="52"/>
      <c r="AZ766" s="52"/>
      <c r="BA766" s="52"/>
      <c r="BB766" s="52"/>
      <c r="BC766" s="52"/>
      <c r="BD766" s="52"/>
      <c r="BE766" s="52"/>
      <c r="BF766" s="52"/>
      <c r="BG766" s="52"/>
      <c r="BH766" s="52"/>
      <c r="BI766" s="52"/>
      <c r="BJ766" s="52"/>
      <c r="BK766" s="52"/>
      <c r="BL766" s="52"/>
      <c r="BM766" s="52"/>
      <c r="BN766" s="52"/>
      <c r="BO766" s="52"/>
      <c r="BP766" s="52"/>
      <c r="BQ766" s="52"/>
      <c r="BR766" s="52"/>
      <c r="BS766" s="52"/>
      <c r="BT766" s="52"/>
      <c r="BU766" s="52"/>
      <c r="BV766" s="52"/>
      <c r="BW766" s="52"/>
      <c r="BX766" s="52"/>
      <c r="BY766" s="52"/>
      <c r="BZ766" s="52"/>
      <c r="CA766" s="52"/>
      <c r="CB766" s="52"/>
      <c r="CC766" s="52"/>
      <c r="CD766" s="52"/>
      <c r="CE766" s="52"/>
      <c r="CF766" s="52"/>
      <c r="CG766" s="52"/>
      <c r="CH766" s="52"/>
      <c r="CI766" s="52"/>
      <c r="CJ766" s="52"/>
      <c r="CK766" s="52"/>
      <c r="CL766" s="52"/>
      <c r="CM766" s="52"/>
      <c r="CN766" s="52"/>
      <c r="CO766" s="52"/>
      <c r="CP766" s="52"/>
      <c r="CQ766" s="52"/>
      <c r="CR766" s="52"/>
      <c r="CS766" s="52"/>
      <c r="CT766" s="52"/>
      <c r="CU766" s="52"/>
      <c r="CV766" s="52"/>
      <c r="CW766" s="52"/>
      <c r="CX766" s="52"/>
      <c r="CY766" s="52"/>
      <c r="CZ766" s="52"/>
      <c r="DA766" s="52"/>
      <c r="DB766" s="52"/>
      <c r="DC766" s="52"/>
      <c r="DD766" s="52"/>
      <c r="DE766" s="52"/>
      <c r="DF766" s="52"/>
      <c r="DG766" s="52"/>
      <c r="DH766" s="52"/>
      <c r="DI766" s="52"/>
      <c r="DJ766" s="52"/>
      <c r="DK766" s="52"/>
      <c r="DL766" s="52"/>
      <c r="DM766" s="52"/>
      <c r="DN766" s="52"/>
      <c r="DO766" s="52"/>
      <c r="DP766" s="52"/>
      <c r="DQ766" s="52"/>
      <c r="DR766" s="52"/>
      <c r="DS766" s="52"/>
      <c r="DT766" s="52"/>
      <c r="DU766" s="52"/>
      <c r="DV766" s="52"/>
      <c r="DW766" s="52"/>
      <c r="DX766" s="52"/>
      <c r="DY766" s="52"/>
      <c r="DZ766" s="52"/>
      <c r="EA766" s="52"/>
      <c r="EB766" s="52"/>
      <c r="EC766" s="52"/>
      <c r="ED766" s="52"/>
      <c r="EE766" s="52"/>
      <c r="EF766" s="52"/>
      <c r="EG766" s="52"/>
      <c r="EH766" s="52"/>
      <c r="EI766" s="52"/>
      <c r="EJ766" s="52"/>
      <c r="EK766" s="52"/>
      <c r="EL766" s="52"/>
      <c r="EM766" s="52"/>
      <c r="EN766" s="52"/>
      <c r="EO766" s="52"/>
      <c r="EP766" s="52"/>
      <c r="EQ766" s="52"/>
      <c r="ER766" s="52"/>
      <c r="ES766" s="52"/>
    </row>
    <row r="767" spans="1:149" ht="11.25">
      <c r="A767" s="1"/>
      <c r="B767" s="1"/>
      <c r="C767" s="1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103"/>
      <c r="O767" s="103"/>
      <c r="P767" s="103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  <c r="AC767" s="52"/>
      <c r="AD767" s="52"/>
      <c r="AE767" s="52"/>
      <c r="AF767" s="52"/>
      <c r="AG767" s="52"/>
      <c r="AH767" s="52"/>
      <c r="AI767" s="52"/>
      <c r="AJ767" s="52"/>
      <c r="AK767" s="52"/>
      <c r="AL767" s="52"/>
      <c r="AM767" s="52"/>
      <c r="AN767" s="52"/>
      <c r="AO767" s="52"/>
      <c r="AP767" s="52"/>
      <c r="AQ767" s="52"/>
      <c r="AR767" s="52"/>
      <c r="AS767" s="52"/>
      <c r="AT767" s="52"/>
      <c r="AU767" s="52"/>
      <c r="AV767" s="52"/>
      <c r="AW767" s="52"/>
      <c r="AX767" s="52"/>
      <c r="AY767" s="52"/>
      <c r="AZ767" s="52"/>
      <c r="BA767" s="52"/>
      <c r="BB767" s="52"/>
      <c r="BC767" s="52"/>
      <c r="BD767" s="52"/>
      <c r="BE767" s="52"/>
      <c r="BF767" s="52"/>
      <c r="BG767" s="52"/>
      <c r="BH767" s="52"/>
      <c r="BI767" s="52"/>
      <c r="BJ767" s="52"/>
      <c r="BK767" s="52"/>
      <c r="BL767" s="52"/>
      <c r="BM767" s="52"/>
      <c r="BN767" s="52"/>
      <c r="BO767" s="52"/>
      <c r="BP767" s="52"/>
      <c r="BQ767" s="52"/>
      <c r="BR767" s="52"/>
      <c r="BS767" s="52"/>
      <c r="BT767" s="52"/>
      <c r="BU767" s="52"/>
      <c r="BV767" s="52"/>
      <c r="BW767" s="52"/>
      <c r="BX767" s="52"/>
      <c r="BY767" s="52"/>
      <c r="BZ767" s="52"/>
      <c r="CA767" s="52"/>
      <c r="CB767" s="52"/>
      <c r="CC767" s="52"/>
      <c r="CD767" s="52"/>
      <c r="CE767" s="52"/>
      <c r="CF767" s="52"/>
      <c r="CG767" s="52"/>
      <c r="CH767" s="52"/>
      <c r="CI767" s="52"/>
      <c r="CJ767" s="52"/>
      <c r="CK767" s="52"/>
      <c r="CL767" s="52"/>
      <c r="CM767" s="52"/>
      <c r="CN767" s="52"/>
      <c r="CO767" s="52"/>
      <c r="CP767" s="52"/>
      <c r="CQ767" s="52"/>
      <c r="CR767" s="52"/>
      <c r="CS767" s="52"/>
      <c r="CT767" s="52"/>
      <c r="CU767" s="52"/>
      <c r="CV767" s="52"/>
      <c r="CW767" s="52"/>
      <c r="CX767" s="52"/>
      <c r="CY767" s="52"/>
      <c r="CZ767" s="52"/>
      <c r="DA767" s="52"/>
      <c r="DB767" s="52"/>
      <c r="DC767" s="52"/>
      <c r="DD767" s="52"/>
      <c r="DE767" s="52"/>
      <c r="DF767" s="52"/>
      <c r="DG767" s="52"/>
      <c r="DH767" s="52"/>
      <c r="DI767" s="52"/>
      <c r="DJ767" s="52"/>
      <c r="DK767" s="52"/>
      <c r="DL767" s="52"/>
      <c r="DM767" s="52"/>
      <c r="DN767" s="52"/>
      <c r="DO767" s="52"/>
      <c r="DP767" s="52"/>
      <c r="DQ767" s="52"/>
      <c r="DR767" s="52"/>
      <c r="DS767" s="52"/>
      <c r="DT767" s="52"/>
      <c r="DU767" s="52"/>
      <c r="DV767" s="52"/>
      <c r="DW767" s="52"/>
      <c r="DX767" s="52"/>
      <c r="DY767" s="52"/>
      <c r="DZ767" s="52"/>
      <c r="EA767" s="52"/>
      <c r="EB767" s="52"/>
      <c r="EC767" s="52"/>
      <c r="ED767" s="52"/>
      <c r="EE767" s="52"/>
      <c r="EF767" s="52"/>
      <c r="EG767" s="52"/>
      <c r="EH767" s="52"/>
      <c r="EI767" s="52"/>
      <c r="EJ767" s="52"/>
      <c r="EK767" s="52"/>
      <c r="EL767" s="52"/>
      <c r="EM767" s="52"/>
      <c r="EN767" s="52"/>
      <c r="EO767" s="52"/>
      <c r="EP767" s="52"/>
      <c r="EQ767" s="52"/>
      <c r="ER767" s="52"/>
      <c r="ES767" s="52"/>
    </row>
    <row r="768" spans="1:149" ht="11.25">
      <c r="A768" s="1"/>
      <c r="B768" s="1"/>
      <c r="C768" s="1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103"/>
      <c r="O768" s="103"/>
      <c r="P768" s="103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  <c r="AC768" s="52"/>
      <c r="AD768" s="52"/>
      <c r="AE768" s="52"/>
      <c r="AF768" s="52"/>
      <c r="AG768" s="52"/>
      <c r="AH768" s="52"/>
      <c r="AI768" s="52"/>
      <c r="AJ768" s="52"/>
      <c r="AK768" s="52"/>
      <c r="AL768" s="52"/>
      <c r="AM768" s="52"/>
      <c r="AN768" s="52"/>
      <c r="AO768" s="52"/>
      <c r="AP768" s="52"/>
      <c r="AQ768" s="52"/>
      <c r="AR768" s="52"/>
      <c r="AS768" s="52"/>
      <c r="AT768" s="52"/>
      <c r="AU768" s="52"/>
      <c r="AV768" s="52"/>
      <c r="AW768" s="52"/>
      <c r="AX768" s="52"/>
      <c r="AY768" s="52"/>
      <c r="AZ768" s="52"/>
      <c r="BA768" s="52"/>
      <c r="BB768" s="52"/>
      <c r="BC768" s="52"/>
      <c r="BD768" s="52"/>
      <c r="BE768" s="52"/>
      <c r="BF768" s="52"/>
      <c r="BG768" s="52"/>
      <c r="BH768" s="52"/>
      <c r="BI768" s="52"/>
      <c r="BJ768" s="52"/>
      <c r="BK768" s="52"/>
      <c r="BL768" s="52"/>
      <c r="BM768" s="52"/>
      <c r="BN768" s="52"/>
      <c r="BO768" s="52"/>
      <c r="BP768" s="52"/>
      <c r="BQ768" s="52"/>
      <c r="BR768" s="52"/>
      <c r="BS768" s="52"/>
      <c r="BT768" s="52"/>
      <c r="BU768" s="52"/>
      <c r="BV768" s="52"/>
      <c r="BW768" s="52"/>
      <c r="BX768" s="52"/>
      <c r="BY768" s="52"/>
      <c r="BZ768" s="52"/>
      <c r="CA768" s="52"/>
      <c r="CB768" s="52"/>
      <c r="CC768" s="52"/>
      <c r="CD768" s="52"/>
      <c r="CE768" s="52"/>
      <c r="CF768" s="52"/>
      <c r="CG768" s="52"/>
      <c r="CH768" s="52"/>
      <c r="CI768" s="52"/>
      <c r="CJ768" s="52"/>
      <c r="CK768" s="52"/>
      <c r="CL768" s="52"/>
      <c r="CM768" s="52"/>
      <c r="CN768" s="52"/>
      <c r="CO768" s="52"/>
      <c r="CP768" s="52"/>
      <c r="CQ768" s="52"/>
      <c r="CR768" s="52"/>
      <c r="CS768" s="52"/>
      <c r="CT768" s="52"/>
      <c r="CU768" s="52"/>
      <c r="CV768" s="52"/>
      <c r="CW768" s="52"/>
      <c r="CX768" s="52"/>
      <c r="CY768" s="52"/>
      <c r="CZ768" s="52"/>
      <c r="DA768" s="52"/>
      <c r="DB768" s="52"/>
      <c r="DC768" s="52"/>
      <c r="DD768" s="52"/>
      <c r="DE768" s="52"/>
      <c r="DF768" s="52"/>
      <c r="DG768" s="52"/>
      <c r="DH768" s="52"/>
      <c r="DI768" s="52"/>
      <c r="DJ768" s="52"/>
      <c r="DK768" s="52"/>
      <c r="DL768" s="52"/>
      <c r="DM768" s="52"/>
      <c r="DN768" s="52"/>
      <c r="DO768" s="52"/>
      <c r="DP768" s="52"/>
      <c r="DQ768" s="52"/>
      <c r="DR768" s="52"/>
      <c r="DS768" s="52"/>
      <c r="DT768" s="52"/>
      <c r="DU768" s="52"/>
      <c r="DV768" s="52"/>
      <c r="DW768" s="52"/>
      <c r="DX768" s="52"/>
      <c r="DY768" s="52"/>
      <c r="DZ768" s="52"/>
      <c r="EA768" s="52"/>
      <c r="EB768" s="52"/>
      <c r="EC768" s="52"/>
      <c r="ED768" s="52"/>
      <c r="EE768" s="52"/>
      <c r="EF768" s="52"/>
      <c r="EG768" s="52"/>
      <c r="EH768" s="52"/>
      <c r="EI768" s="52"/>
      <c r="EJ768" s="52"/>
      <c r="EK768" s="52"/>
      <c r="EL768" s="52"/>
      <c r="EM768" s="52"/>
      <c r="EN768" s="52"/>
      <c r="EO768" s="52"/>
      <c r="EP768" s="52"/>
      <c r="EQ768" s="52"/>
      <c r="ER768" s="52"/>
      <c r="ES768" s="52"/>
    </row>
    <row r="769" spans="1:149" ht="11.25">
      <c r="A769" s="1"/>
      <c r="B769" s="1"/>
      <c r="C769" s="1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103"/>
      <c r="O769" s="103"/>
      <c r="P769" s="103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  <c r="AC769" s="52"/>
      <c r="AD769" s="52"/>
      <c r="AE769" s="52"/>
      <c r="AF769" s="52"/>
      <c r="AG769" s="52"/>
      <c r="AH769" s="52"/>
      <c r="AI769" s="52"/>
      <c r="AJ769" s="52"/>
      <c r="AK769" s="52"/>
      <c r="AL769" s="52"/>
      <c r="AM769" s="52"/>
      <c r="AN769" s="52"/>
      <c r="AO769" s="52"/>
      <c r="AP769" s="52"/>
      <c r="AQ769" s="52"/>
      <c r="AR769" s="52"/>
      <c r="AS769" s="52"/>
      <c r="AT769" s="52"/>
      <c r="AU769" s="52"/>
      <c r="AV769" s="52"/>
      <c r="AW769" s="52"/>
      <c r="AX769" s="52"/>
      <c r="AY769" s="52"/>
      <c r="AZ769" s="52"/>
      <c r="BA769" s="52"/>
      <c r="BB769" s="52"/>
      <c r="BC769" s="52"/>
      <c r="BD769" s="52"/>
      <c r="BE769" s="52"/>
      <c r="BF769" s="52"/>
      <c r="BG769" s="52"/>
      <c r="BH769" s="52"/>
      <c r="BI769" s="52"/>
      <c r="BJ769" s="52"/>
      <c r="BK769" s="52"/>
      <c r="BL769" s="52"/>
      <c r="BM769" s="52"/>
      <c r="BN769" s="52"/>
      <c r="BO769" s="52"/>
      <c r="BP769" s="52"/>
      <c r="BQ769" s="52"/>
      <c r="BR769" s="52"/>
      <c r="BS769" s="52"/>
      <c r="BT769" s="52"/>
      <c r="BU769" s="52"/>
      <c r="BV769" s="52"/>
      <c r="BW769" s="52"/>
      <c r="BX769" s="52"/>
      <c r="BY769" s="52"/>
      <c r="BZ769" s="52"/>
      <c r="CA769" s="52"/>
      <c r="CB769" s="52"/>
      <c r="CC769" s="52"/>
      <c r="CD769" s="52"/>
      <c r="CE769" s="52"/>
      <c r="CF769" s="52"/>
      <c r="CG769" s="52"/>
      <c r="CH769" s="52"/>
      <c r="CI769" s="52"/>
      <c r="CJ769" s="52"/>
      <c r="CK769" s="52"/>
      <c r="CL769" s="52"/>
      <c r="CM769" s="52"/>
      <c r="CN769" s="52"/>
      <c r="CO769" s="52"/>
      <c r="CP769" s="52"/>
      <c r="CQ769" s="52"/>
      <c r="CR769" s="52"/>
      <c r="CS769" s="52"/>
      <c r="CT769" s="52"/>
      <c r="CU769" s="52"/>
      <c r="CV769" s="52"/>
      <c r="CW769" s="52"/>
      <c r="CX769" s="52"/>
      <c r="CY769" s="52"/>
      <c r="CZ769" s="52"/>
      <c r="DA769" s="52"/>
      <c r="DB769" s="52"/>
      <c r="DC769" s="52"/>
      <c r="DD769" s="52"/>
      <c r="DE769" s="52"/>
      <c r="DF769" s="52"/>
      <c r="DG769" s="52"/>
      <c r="DH769" s="52"/>
      <c r="DI769" s="52"/>
      <c r="DJ769" s="52"/>
      <c r="DK769" s="52"/>
      <c r="DL769" s="52"/>
      <c r="DM769" s="52"/>
      <c r="DN769" s="52"/>
      <c r="DO769" s="52"/>
      <c r="DP769" s="52"/>
      <c r="DQ769" s="52"/>
      <c r="DR769" s="52"/>
      <c r="DS769" s="52"/>
      <c r="DT769" s="52"/>
      <c r="DU769" s="52"/>
      <c r="DV769" s="52"/>
      <c r="DW769" s="52"/>
      <c r="DX769" s="52"/>
      <c r="DY769" s="52"/>
      <c r="DZ769" s="52"/>
      <c r="EA769" s="52"/>
      <c r="EB769" s="52"/>
      <c r="EC769" s="52"/>
      <c r="ED769" s="52"/>
      <c r="EE769" s="52"/>
      <c r="EF769" s="52"/>
      <c r="EG769" s="52"/>
      <c r="EH769" s="52"/>
      <c r="EI769" s="52"/>
      <c r="EJ769" s="52"/>
      <c r="EK769" s="52"/>
      <c r="EL769" s="52"/>
      <c r="EM769" s="52"/>
      <c r="EN769" s="52"/>
      <c r="EO769" s="52"/>
      <c r="EP769" s="52"/>
      <c r="EQ769" s="52"/>
      <c r="ER769" s="52"/>
      <c r="ES769" s="52"/>
    </row>
    <row r="770" spans="1:149" ht="11.25">
      <c r="A770" s="1"/>
      <c r="B770" s="1"/>
      <c r="C770" s="1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103"/>
      <c r="O770" s="103"/>
      <c r="P770" s="103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  <c r="AC770" s="52"/>
      <c r="AD770" s="52"/>
      <c r="AE770" s="52"/>
      <c r="AF770" s="52"/>
      <c r="AG770" s="52"/>
      <c r="AH770" s="52"/>
      <c r="AI770" s="52"/>
      <c r="AJ770" s="52"/>
      <c r="AK770" s="52"/>
      <c r="AL770" s="52"/>
      <c r="AM770" s="52"/>
      <c r="AN770" s="52"/>
      <c r="AO770" s="52"/>
      <c r="AP770" s="52"/>
      <c r="AQ770" s="52"/>
      <c r="AR770" s="52"/>
      <c r="AS770" s="52"/>
      <c r="AT770" s="52"/>
      <c r="AU770" s="52"/>
      <c r="AV770" s="52"/>
      <c r="AW770" s="52"/>
      <c r="AX770" s="52"/>
      <c r="AY770" s="52"/>
      <c r="AZ770" s="52"/>
      <c r="BA770" s="52"/>
      <c r="BB770" s="52"/>
      <c r="BC770" s="52"/>
      <c r="BD770" s="52"/>
      <c r="BE770" s="52"/>
      <c r="BF770" s="52"/>
      <c r="BG770" s="52"/>
      <c r="BH770" s="52"/>
      <c r="BI770" s="52"/>
      <c r="BJ770" s="52"/>
      <c r="BK770" s="52"/>
      <c r="BL770" s="52"/>
      <c r="BM770" s="52"/>
      <c r="BN770" s="52"/>
      <c r="BO770" s="52"/>
      <c r="BP770" s="52"/>
      <c r="BQ770" s="52"/>
      <c r="BR770" s="52"/>
      <c r="BS770" s="52"/>
      <c r="BT770" s="52"/>
      <c r="BU770" s="52"/>
      <c r="BV770" s="52"/>
      <c r="BW770" s="52"/>
      <c r="BX770" s="52"/>
      <c r="BY770" s="52"/>
      <c r="BZ770" s="52"/>
      <c r="CA770" s="52"/>
      <c r="CB770" s="52"/>
      <c r="CC770" s="52"/>
      <c r="CD770" s="52"/>
      <c r="CE770" s="52"/>
      <c r="CF770" s="52"/>
      <c r="CG770" s="52"/>
      <c r="CH770" s="52"/>
      <c r="CI770" s="52"/>
      <c r="CJ770" s="52"/>
      <c r="CK770" s="52"/>
      <c r="CL770" s="52"/>
      <c r="CM770" s="52"/>
      <c r="CN770" s="52"/>
      <c r="CO770" s="52"/>
      <c r="CP770" s="52"/>
      <c r="CQ770" s="52"/>
      <c r="CR770" s="52"/>
      <c r="CS770" s="52"/>
      <c r="CT770" s="52"/>
      <c r="CU770" s="52"/>
      <c r="CV770" s="52"/>
      <c r="CW770" s="52"/>
      <c r="CX770" s="52"/>
      <c r="CY770" s="52"/>
      <c r="CZ770" s="52"/>
      <c r="DA770" s="52"/>
      <c r="DB770" s="52"/>
      <c r="DC770" s="52"/>
      <c r="DD770" s="52"/>
      <c r="DE770" s="52"/>
      <c r="DF770" s="52"/>
      <c r="DG770" s="52"/>
      <c r="DH770" s="52"/>
      <c r="DI770" s="52"/>
      <c r="DJ770" s="52"/>
      <c r="DK770" s="52"/>
      <c r="DL770" s="52"/>
      <c r="DM770" s="52"/>
      <c r="DN770" s="52"/>
      <c r="DO770" s="52"/>
      <c r="DP770" s="52"/>
      <c r="DQ770" s="52"/>
      <c r="DR770" s="52"/>
      <c r="DS770" s="52"/>
      <c r="DT770" s="52"/>
      <c r="DU770" s="52"/>
      <c r="DV770" s="52"/>
      <c r="DW770" s="52"/>
      <c r="DX770" s="52"/>
      <c r="DY770" s="52"/>
      <c r="DZ770" s="52"/>
      <c r="EA770" s="52"/>
      <c r="EB770" s="52"/>
      <c r="EC770" s="52"/>
      <c r="ED770" s="52"/>
      <c r="EE770" s="52"/>
      <c r="EF770" s="52"/>
      <c r="EG770" s="52"/>
      <c r="EH770" s="52"/>
      <c r="EI770" s="52"/>
      <c r="EJ770" s="52"/>
      <c r="EK770" s="52"/>
      <c r="EL770" s="52"/>
      <c r="EM770" s="52"/>
      <c r="EN770" s="52"/>
      <c r="EO770" s="52"/>
      <c r="EP770" s="52"/>
      <c r="EQ770" s="52"/>
      <c r="ER770" s="52"/>
      <c r="ES770" s="52"/>
    </row>
    <row r="771" spans="1:149" ht="11.25">
      <c r="A771" s="1"/>
      <c r="B771" s="1"/>
      <c r="C771" s="1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103"/>
      <c r="O771" s="103"/>
      <c r="P771" s="103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  <c r="AC771" s="52"/>
      <c r="AD771" s="52"/>
      <c r="AE771" s="52"/>
      <c r="AF771" s="52"/>
      <c r="AG771" s="52"/>
      <c r="AH771" s="52"/>
      <c r="AI771" s="52"/>
      <c r="AJ771" s="52"/>
      <c r="AK771" s="52"/>
      <c r="AL771" s="52"/>
      <c r="AM771" s="52"/>
      <c r="AN771" s="52"/>
      <c r="AO771" s="52"/>
      <c r="AP771" s="52"/>
      <c r="AQ771" s="52"/>
      <c r="AR771" s="52"/>
      <c r="AS771" s="52"/>
      <c r="AT771" s="52"/>
      <c r="AU771" s="52"/>
      <c r="AV771" s="52"/>
      <c r="AW771" s="52"/>
      <c r="AX771" s="52"/>
      <c r="AY771" s="52"/>
      <c r="AZ771" s="52"/>
      <c r="BA771" s="52"/>
      <c r="BB771" s="52"/>
      <c r="BC771" s="52"/>
      <c r="BD771" s="52"/>
      <c r="BE771" s="52"/>
      <c r="BF771" s="52"/>
      <c r="BG771" s="52"/>
      <c r="BH771" s="52"/>
      <c r="BI771" s="52"/>
      <c r="BJ771" s="52"/>
      <c r="BK771" s="52"/>
      <c r="BL771" s="52"/>
      <c r="BM771" s="52"/>
      <c r="BN771" s="52"/>
      <c r="BO771" s="52"/>
      <c r="BP771" s="52"/>
      <c r="BQ771" s="52"/>
      <c r="BR771" s="52"/>
      <c r="BS771" s="52"/>
      <c r="BT771" s="52"/>
      <c r="BU771" s="52"/>
      <c r="BV771" s="52"/>
      <c r="BW771" s="52"/>
      <c r="BX771" s="52"/>
      <c r="BY771" s="52"/>
      <c r="BZ771" s="52"/>
      <c r="CA771" s="52"/>
      <c r="CB771" s="52"/>
      <c r="CC771" s="52"/>
      <c r="CD771" s="52"/>
      <c r="CE771" s="52"/>
      <c r="CF771" s="52"/>
      <c r="CG771" s="52"/>
      <c r="CH771" s="52"/>
      <c r="CI771" s="52"/>
      <c r="CJ771" s="52"/>
      <c r="CK771" s="52"/>
      <c r="CL771" s="52"/>
      <c r="CM771" s="52"/>
      <c r="CN771" s="52"/>
      <c r="CO771" s="52"/>
      <c r="CP771" s="52"/>
      <c r="CQ771" s="52"/>
      <c r="CR771" s="52"/>
      <c r="CS771" s="52"/>
      <c r="CT771" s="52"/>
      <c r="CU771" s="52"/>
      <c r="CV771" s="52"/>
      <c r="CW771" s="52"/>
      <c r="CX771" s="52"/>
      <c r="CY771" s="52"/>
      <c r="CZ771" s="52"/>
      <c r="DA771" s="52"/>
      <c r="DB771" s="52"/>
      <c r="DC771" s="52"/>
      <c r="DD771" s="52"/>
      <c r="DE771" s="52"/>
      <c r="DF771" s="52"/>
      <c r="DG771" s="52"/>
      <c r="DH771" s="52"/>
      <c r="DI771" s="52"/>
      <c r="DJ771" s="52"/>
      <c r="DK771" s="52"/>
      <c r="DL771" s="52"/>
      <c r="DM771" s="52"/>
      <c r="DN771" s="52"/>
      <c r="DO771" s="52"/>
      <c r="DP771" s="52"/>
      <c r="DQ771" s="52"/>
      <c r="DR771" s="52"/>
      <c r="DS771" s="52"/>
      <c r="DT771" s="52"/>
      <c r="DU771" s="52"/>
      <c r="DV771" s="52"/>
      <c r="DW771" s="52"/>
      <c r="DX771" s="52"/>
      <c r="DY771" s="52"/>
      <c r="DZ771" s="52"/>
      <c r="EA771" s="52"/>
      <c r="EB771" s="52"/>
      <c r="EC771" s="52"/>
      <c r="ED771" s="52"/>
      <c r="EE771" s="52"/>
      <c r="EF771" s="52"/>
      <c r="EG771" s="52"/>
      <c r="EH771" s="52"/>
      <c r="EI771" s="52"/>
      <c r="EJ771" s="52"/>
      <c r="EK771" s="52"/>
      <c r="EL771" s="52"/>
      <c r="EM771" s="52"/>
      <c r="EN771" s="52"/>
      <c r="EO771" s="52"/>
      <c r="EP771" s="52"/>
      <c r="EQ771" s="52"/>
      <c r="ER771" s="52"/>
      <c r="ES771" s="52"/>
    </row>
    <row r="772" spans="1:149" ht="11.25">
      <c r="A772" s="1"/>
      <c r="B772" s="1"/>
      <c r="C772" s="1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103"/>
      <c r="O772" s="103"/>
      <c r="P772" s="103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  <c r="AC772" s="52"/>
      <c r="AD772" s="52"/>
      <c r="AE772" s="52"/>
      <c r="AF772" s="52"/>
      <c r="AG772" s="52"/>
      <c r="AH772" s="52"/>
      <c r="AI772" s="52"/>
      <c r="AJ772" s="52"/>
      <c r="AK772" s="52"/>
      <c r="AL772" s="52"/>
      <c r="AM772" s="52"/>
      <c r="AN772" s="52"/>
      <c r="AO772" s="52"/>
      <c r="AP772" s="52"/>
      <c r="AQ772" s="52"/>
      <c r="AR772" s="52"/>
      <c r="AS772" s="52"/>
      <c r="AT772" s="52"/>
      <c r="AU772" s="52"/>
      <c r="AV772" s="52"/>
      <c r="AW772" s="52"/>
      <c r="AX772" s="52"/>
      <c r="AY772" s="52"/>
      <c r="AZ772" s="52"/>
      <c r="BA772" s="52"/>
      <c r="BB772" s="52"/>
      <c r="BC772" s="52"/>
      <c r="BD772" s="52"/>
      <c r="BE772" s="52"/>
      <c r="BF772" s="52"/>
      <c r="BG772" s="52"/>
      <c r="BH772" s="52"/>
      <c r="BI772" s="52"/>
      <c r="BJ772" s="52"/>
      <c r="BK772" s="52"/>
      <c r="BL772" s="52"/>
      <c r="BM772" s="52"/>
      <c r="BN772" s="52"/>
      <c r="BO772" s="52"/>
      <c r="BP772" s="52"/>
      <c r="BQ772" s="52"/>
      <c r="BR772" s="52"/>
      <c r="BS772" s="52"/>
      <c r="BT772" s="52"/>
      <c r="BU772" s="52"/>
      <c r="BV772" s="52"/>
      <c r="BW772" s="52"/>
      <c r="BX772" s="52"/>
      <c r="BY772" s="52"/>
      <c r="BZ772" s="52"/>
      <c r="CA772" s="52"/>
      <c r="CB772" s="52"/>
      <c r="CC772" s="52"/>
      <c r="CD772" s="52"/>
      <c r="CE772" s="52"/>
      <c r="CF772" s="52"/>
      <c r="CG772" s="52"/>
      <c r="CH772" s="52"/>
      <c r="CI772" s="52"/>
      <c r="CJ772" s="52"/>
      <c r="CK772" s="52"/>
      <c r="CL772" s="52"/>
      <c r="CM772" s="52"/>
      <c r="CN772" s="52"/>
      <c r="CO772" s="52"/>
      <c r="CP772" s="52"/>
      <c r="CQ772" s="52"/>
      <c r="CR772" s="52"/>
      <c r="CS772" s="52"/>
      <c r="CT772" s="52"/>
      <c r="CU772" s="52"/>
      <c r="CV772" s="52"/>
      <c r="CW772" s="52"/>
      <c r="CX772" s="52"/>
      <c r="CY772" s="52"/>
      <c r="CZ772" s="52"/>
      <c r="DA772" s="52"/>
      <c r="DB772" s="52"/>
      <c r="DC772" s="52"/>
      <c r="DD772" s="52"/>
      <c r="DE772" s="52"/>
      <c r="DF772" s="52"/>
      <c r="DG772" s="52"/>
      <c r="DH772" s="52"/>
      <c r="DI772" s="52"/>
      <c r="DJ772" s="52"/>
      <c r="DK772" s="52"/>
      <c r="DL772" s="52"/>
      <c r="DM772" s="52"/>
      <c r="DN772" s="52"/>
      <c r="DO772" s="52"/>
      <c r="DP772" s="52"/>
      <c r="DQ772" s="52"/>
      <c r="DR772" s="52"/>
      <c r="DS772" s="52"/>
      <c r="DT772" s="52"/>
      <c r="DU772" s="52"/>
      <c r="DV772" s="52"/>
      <c r="DW772" s="52"/>
      <c r="DX772" s="52"/>
      <c r="DY772" s="52"/>
      <c r="DZ772" s="52"/>
      <c r="EA772" s="52"/>
      <c r="EB772" s="52"/>
      <c r="EC772" s="52"/>
      <c r="ED772" s="52"/>
      <c r="EE772" s="52"/>
      <c r="EF772" s="52"/>
      <c r="EG772" s="52"/>
      <c r="EH772" s="52"/>
      <c r="EI772" s="52"/>
      <c r="EJ772" s="52"/>
      <c r="EK772" s="52"/>
      <c r="EL772" s="52"/>
      <c r="EM772" s="52"/>
      <c r="EN772" s="52"/>
      <c r="EO772" s="52"/>
      <c r="EP772" s="52"/>
      <c r="EQ772" s="52"/>
      <c r="ER772" s="52"/>
      <c r="ES772" s="52"/>
    </row>
    <row r="773" spans="1:149" ht="11.25">
      <c r="A773" s="1"/>
      <c r="B773" s="1"/>
      <c r="C773" s="1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103"/>
      <c r="O773" s="103"/>
      <c r="P773" s="103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  <c r="AC773" s="52"/>
      <c r="AD773" s="52"/>
      <c r="AE773" s="52"/>
      <c r="AF773" s="52"/>
      <c r="AG773" s="52"/>
      <c r="AH773" s="52"/>
      <c r="AI773" s="52"/>
      <c r="AJ773" s="52"/>
      <c r="AK773" s="52"/>
      <c r="AL773" s="52"/>
      <c r="AM773" s="52"/>
      <c r="AN773" s="52"/>
      <c r="AO773" s="52"/>
      <c r="AP773" s="52"/>
      <c r="AQ773" s="52"/>
      <c r="AR773" s="52"/>
      <c r="AS773" s="52"/>
      <c r="AT773" s="52"/>
      <c r="AU773" s="52"/>
      <c r="AV773" s="52"/>
      <c r="AW773" s="52"/>
      <c r="AX773" s="52"/>
      <c r="AY773" s="52"/>
      <c r="AZ773" s="52"/>
      <c r="BA773" s="52"/>
      <c r="BB773" s="52"/>
      <c r="BC773" s="52"/>
      <c r="BD773" s="52"/>
      <c r="BE773" s="52"/>
      <c r="BF773" s="52"/>
      <c r="BG773" s="52"/>
      <c r="BH773" s="52"/>
      <c r="BI773" s="52"/>
      <c r="BJ773" s="52"/>
      <c r="BK773" s="52"/>
      <c r="BL773" s="52"/>
      <c r="BM773" s="52"/>
      <c r="BN773" s="52"/>
      <c r="BO773" s="52"/>
      <c r="BP773" s="52"/>
      <c r="BQ773" s="52"/>
      <c r="BR773" s="52"/>
      <c r="BS773" s="52"/>
      <c r="BT773" s="52"/>
      <c r="BU773" s="52"/>
      <c r="BV773" s="52"/>
      <c r="BW773" s="52"/>
      <c r="BX773" s="52"/>
      <c r="BY773" s="52"/>
      <c r="BZ773" s="52"/>
      <c r="CA773" s="52"/>
      <c r="CB773" s="52"/>
      <c r="CC773" s="52"/>
      <c r="CD773" s="52"/>
      <c r="CE773" s="52"/>
      <c r="CF773" s="52"/>
      <c r="CG773" s="52"/>
      <c r="CH773" s="52"/>
      <c r="CI773" s="52"/>
      <c r="CJ773" s="52"/>
      <c r="CK773" s="52"/>
      <c r="CL773" s="52"/>
      <c r="CM773" s="52"/>
      <c r="CN773" s="52"/>
      <c r="CO773" s="52"/>
      <c r="CP773" s="52"/>
      <c r="CQ773" s="52"/>
      <c r="CR773" s="52"/>
      <c r="CS773" s="52"/>
      <c r="CT773" s="52"/>
      <c r="CU773" s="52"/>
      <c r="CV773" s="52"/>
      <c r="CW773" s="52"/>
      <c r="CX773" s="52"/>
      <c r="CY773" s="52"/>
      <c r="CZ773" s="52"/>
      <c r="DA773" s="52"/>
      <c r="DB773" s="52"/>
      <c r="DC773" s="52"/>
      <c r="DD773" s="52"/>
      <c r="DE773" s="52"/>
      <c r="DF773" s="52"/>
      <c r="DG773" s="52"/>
      <c r="DH773" s="52"/>
      <c r="DI773" s="52"/>
      <c r="DJ773" s="52"/>
      <c r="DK773" s="52"/>
      <c r="DL773" s="52"/>
      <c r="DM773" s="52"/>
      <c r="DN773" s="52"/>
      <c r="DO773" s="52"/>
      <c r="DP773" s="52"/>
      <c r="DQ773" s="52"/>
      <c r="DR773" s="52"/>
      <c r="DS773" s="52"/>
      <c r="DT773" s="52"/>
      <c r="DU773" s="52"/>
      <c r="DV773" s="52"/>
      <c r="DW773" s="52"/>
      <c r="DX773" s="52"/>
      <c r="DY773" s="52"/>
      <c r="DZ773" s="52"/>
      <c r="EA773" s="52"/>
      <c r="EB773" s="52"/>
      <c r="EC773" s="52"/>
      <c r="ED773" s="52"/>
      <c r="EE773" s="52"/>
      <c r="EF773" s="52"/>
      <c r="EG773" s="52"/>
      <c r="EH773" s="52"/>
      <c r="EI773" s="52"/>
      <c r="EJ773" s="52"/>
      <c r="EK773" s="52"/>
      <c r="EL773" s="52"/>
      <c r="EM773" s="52"/>
      <c r="EN773" s="52"/>
      <c r="EO773" s="52"/>
      <c r="EP773" s="52"/>
      <c r="EQ773" s="52"/>
      <c r="ER773" s="52"/>
      <c r="ES773" s="52"/>
    </row>
    <row r="774" spans="1:149" ht="11.25">
      <c r="A774" s="1"/>
      <c r="B774" s="1"/>
      <c r="C774" s="1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103"/>
      <c r="O774" s="103"/>
      <c r="P774" s="103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  <c r="AC774" s="52"/>
      <c r="AD774" s="52"/>
      <c r="AE774" s="52"/>
      <c r="AF774" s="52"/>
      <c r="AG774" s="52"/>
      <c r="AH774" s="52"/>
      <c r="AI774" s="52"/>
      <c r="AJ774" s="52"/>
      <c r="AK774" s="52"/>
      <c r="AL774" s="52"/>
      <c r="AM774" s="52"/>
      <c r="AN774" s="52"/>
      <c r="AO774" s="52"/>
      <c r="AP774" s="52"/>
      <c r="AQ774" s="52"/>
      <c r="AR774" s="52"/>
      <c r="AS774" s="52"/>
      <c r="AT774" s="52"/>
      <c r="AU774" s="52"/>
      <c r="AV774" s="52"/>
      <c r="AW774" s="52"/>
      <c r="AX774" s="52"/>
      <c r="AY774" s="52"/>
      <c r="AZ774" s="52"/>
      <c r="BA774" s="52"/>
      <c r="BB774" s="52"/>
      <c r="BC774" s="52"/>
      <c r="BD774" s="52"/>
      <c r="BE774" s="52"/>
      <c r="BF774" s="52"/>
      <c r="BG774" s="52"/>
      <c r="BH774" s="52"/>
      <c r="BI774" s="52"/>
      <c r="BJ774" s="52"/>
      <c r="BK774" s="52"/>
      <c r="BL774" s="52"/>
      <c r="BM774" s="52"/>
      <c r="BN774" s="52"/>
      <c r="BO774" s="52"/>
      <c r="BP774" s="52"/>
      <c r="BQ774" s="52"/>
      <c r="BR774" s="52"/>
      <c r="BS774" s="52"/>
      <c r="BT774" s="52"/>
      <c r="BU774" s="52"/>
      <c r="BV774" s="52"/>
      <c r="BW774" s="52"/>
      <c r="BX774" s="52"/>
      <c r="BY774" s="52"/>
      <c r="BZ774" s="52"/>
      <c r="CA774" s="52"/>
      <c r="CB774" s="52"/>
      <c r="CC774" s="52"/>
      <c r="CD774" s="52"/>
      <c r="CE774" s="52"/>
      <c r="CF774" s="52"/>
      <c r="CG774" s="52"/>
      <c r="CH774" s="52"/>
      <c r="CI774" s="52"/>
      <c r="CJ774" s="52"/>
      <c r="CK774" s="52"/>
      <c r="CL774" s="52"/>
      <c r="CM774" s="52"/>
      <c r="CN774" s="52"/>
      <c r="CO774" s="52"/>
      <c r="CP774" s="52"/>
      <c r="CQ774" s="52"/>
      <c r="CR774" s="52"/>
      <c r="CS774" s="52"/>
      <c r="CT774" s="52"/>
      <c r="CU774" s="52"/>
      <c r="CV774" s="52"/>
      <c r="CW774" s="52"/>
      <c r="CX774" s="52"/>
      <c r="CY774" s="52"/>
      <c r="CZ774" s="52"/>
      <c r="DA774" s="52"/>
      <c r="DB774" s="52"/>
      <c r="DC774" s="52"/>
      <c r="DD774" s="52"/>
      <c r="DE774" s="52"/>
      <c r="DF774" s="52"/>
      <c r="DG774" s="52"/>
      <c r="DH774" s="52"/>
      <c r="DI774" s="52"/>
      <c r="DJ774" s="52"/>
      <c r="DK774" s="52"/>
      <c r="DL774" s="52"/>
      <c r="DM774" s="52"/>
      <c r="DN774" s="52"/>
      <c r="DO774" s="52"/>
      <c r="DP774" s="52"/>
      <c r="DQ774" s="52"/>
      <c r="DR774" s="52"/>
      <c r="DS774" s="52"/>
      <c r="DT774" s="52"/>
      <c r="DU774" s="52"/>
      <c r="DV774" s="52"/>
      <c r="DW774" s="52"/>
      <c r="DX774" s="52"/>
      <c r="DY774" s="52"/>
      <c r="DZ774" s="52"/>
      <c r="EA774" s="52"/>
      <c r="EB774" s="52"/>
      <c r="EC774" s="52"/>
      <c r="ED774" s="52"/>
      <c r="EE774" s="52"/>
      <c r="EF774" s="52"/>
      <c r="EG774" s="52"/>
      <c r="EH774" s="52"/>
      <c r="EI774" s="52"/>
      <c r="EJ774" s="52"/>
      <c r="EK774" s="52"/>
      <c r="EL774" s="52"/>
      <c r="EM774" s="52"/>
      <c r="EN774" s="52"/>
      <c r="EO774" s="52"/>
      <c r="EP774" s="52"/>
      <c r="EQ774" s="52"/>
      <c r="ER774" s="52"/>
      <c r="ES774" s="52"/>
    </row>
    <row r="775" spans="1:149" ht="11.25">
      <c r="A775" s="1"/>
      <c r="B775" s="1"/>
      <c r="C775" s="1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103"/>
      <c r="O775" s="103"/>
      <c r="P775" s="103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  <c r="AC775" s="52"/>
      <c r="AD775" s="52"/>
      <c r="AE775" s="52"/>
      <c r="AF775" s="52"/>
      <c r="AG775" s="52"/>
      <c r="AH775" s="52"/>
      <c r="AI775" s="52"/>
      <c r="AJ775" s="52"/>
      <c r="AK775" s="52"/>
      <c r="AL775" s="52"/>
      <c r="AM775" s="52"/>
      <c r="AN775" s="52"/>
      <c r="AO775" s="52"/>
      <c r="AP775" s="52"/>
      <c r="AQ775" s="52"/>
      <c r="AR775" s="52"/>
      <c r="AS775" s="52"/>
      <c r="AT775" s="52"/>
      <c r="AU775" s="52"/>
      <c r="AV775" s="52"/>
      <c r="AW775" s="52"/>
      <c r="AX775" s="52"/>
      <c r="AY775" s="52"/>
      <c r="AZ775" s="52"/>
      <c r="BA775" s="52"/>
      <c r="BB775" s="52"/>
      <c r="BC775" s="52"/>
      <c r="BD775" s="52"/>
      <c r="BE775" s="52"/>
      <c r="BF775" s="52"/>
      <c r="BG775" s="52"/>
      <c r="BH775" s="52"/>
      <c r="BI775" s="52"/>
      <c r="BJ775" s="52"/>
      <c r="BK775" s="52"/>
      <c r="BL775" s="52"/>
      <c r="BM775" s="52"/>
      <c r="BN775" s="52"/>
      <c r="BO775" s="52"/>
      <c r="BP775" s="52"/>
      <c r="BQ775" s="52"/>
      <c r="BR775" s="52"/>
      <c r="BS775" s="52"/>
      <c r="BT775" s="52"/>
      <c r="BU775" s="52"/>
      <c r="BV775" s="52"/>
      <c r="BW775" s="52"/>
      <c r="BX775" s="52"/>
      <c r="BY775" s="52"/>
      <c r="BZ775" s="52"/>
      <c r="CA775" s="52"/>
      <c r="CB775" s="52"/>
      <c r="CC775" s="52"/>
      <c r="CD775" s="52"/>
      <c r="CE775" s="52"/>
      <c r="CF775" s="52"/>
      <c r="CG775" s="52"/>
      <c r="CH775" s="52"/>
      <c r="CI775" s="52"/>
      <c r="CJ775" s="52"/>
      <c r="CK775" s="52"/>
      <c r="CL775" s="52"/>
      <c r="CM775" s="52"/>
      <c r="CN775" s="52"/>
      <c r="CO775" s="52"/>
      <c r="CP775" s="52"/>
      <c r="CQ775" s="52"/>
      <c r="CR775" s="52"/>
      <c r="CS775" s="52"/>
      <c r="CT775" s="52"/>
      <c r="CU775" s="52"/>
      <c r="CV775" s="52"/>
      <c r="CW775" s="52"/>
      <c r="CX775" s="52"/>
      <c r="CY775" s="52"/>
      <c r="CZ775" s="52"/>
      <c r="DA775" s="52"/>
      <c r="DB775" s="52"/>
      <c r="DC775" s="52"/>
      <c r="DD775" s="52"/>
      <c r="DE775" s="52"/>
      <c r="DF775" s="52"/>
      <c r="DG775" s="52"/>
      <c r="DH775" s="52"/>
      <c r="DI775" s="52"/>
      <c r="DJ775" s="52"/>
      <c r="DK775" s="52"/>
      <c r="DL775" s="52"/>
      <c r="DM775" s="52"/>
      <c r="DN775" s="52"/>
      <c r="DO775" s="52"/>
      <c r="DP775" s="52"/>
      <c r="DQ775" s="52"/>
      <c r="DR775" s="52"/>
      <c r="DS775" s="52"/>
      <c r="DT775" s="52"/>
      <c r="DU775" s="52"/>
      <c r="DV775" s="52"/>
      <c r="DW775" s="52"/>
      <c r="DX775" s="52"/>
      <c r="DY775" s="52"/>
      <c r="DZ775" s="52"/>
      <c r="EA775" s="52"/>
      <c r="EB775" s="52"/>
      <c r="EC775" s="52"/>
      <c r="ED775" s="52"/>
      <c r="EE775" s="52"/>
      <c r="EF775" s="52"/>
      <c r="EG775" s="52"/>
      <c r="EH775" s="52"/>
      <c r="EI775" s="52"/>
      <c r="EJ775" s="52"/>
      <c r="EK775" s="52"/>
      <c r="EL775" s="52"/>
      <c r="EM775" s="52"/>
      <c r="EN775" s="52"/>
      <c r="EO775" s="52"/>
      <c r="EP775" s="52"/>
      <c r="EQ775" s="52"/>
      <c r="ER775" s="52"/>
      <c r="ES775" s="52"/>
    </row>
    <row r="776" spans="1:149" ht="11.25">
      <c r="A776" s="1"/>
      <c r="B776" s="1"/>
      <c r="C776" s="1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103"/>
      <c r="O776" s="103"/>
      <c r="P776" s="103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  <c r="AC776" s="52"/>
      <c r="AD776" s="52"/>
      <c r="AE776" s="52"/>
      <c r="AF776" s="52"/>
      <c r="AG776" s="52"/>
      <c r="AH776" s="52"/>
      <c r="AI776" s="52"/>
      <c r="AJ776" s="52"/>
      <c r="AK776" s="52"/>
      <c r="AL776" s="52"/>
      <c r="AM776" s="52"/>
      <c r="AN776" s="52"/>
      <c r="AO776" s="52"/>
      <c r="AP776" s="52"/>
      <c r="AQ776" s="52"/>
      <c r="AR776" s="52"/>
      <c r="AS776" s="52"/>
      <c r="AT776" s="52"/>
      <c r="AU776" s="52"/>
      <c r="AV776" s="52"/>
      <c r="AW776" s="52"/>
      <c r="AX776" s="52"/>
      <c r="AY776" s="52"/>
      <c r="AZ776" s="52"/>
      <c r="BA776" s="52"/>
      <c r="BB776" s="52"/>
      <c r="BC776" s="52"/>
      <c r="BD776" s="52"/>
      <c r="BE776" s="52"/>
      <c r="BF776" s="52"/>
      <c r="BG776" s="52"/>
      <c r="BH776" s="52"/>
      <c r="BI776" s="52"/>
      <c r="BJ776" s="52"/>
      <c r="BK776" s="52"/>
      <c r="BL776" s="52"/>
      <c r="BM776" s="52"/>
      <c r="BN776" s="52"/>
      <c r="BO776" s="52"/>
      <c r="BP776" s="52"/>
      <c r="BQ776" s="52"/>
      <c r="BR776" s="52"/>
      <c r="BS776" s="52"/>
      <c r="BT776" s="52"/>
      <c r="BU776" s="52"/>
      <c r="BV776" s="52"/>
      <c r="BW776" s="52"/>
      <c r="BX776" s="52"/>
      <c r="BY776" s="52"/>
      <c r="BZ776" s="52"/>
      <c r="CA776" s="52"/>
      <c r="CB776" s="52"/>
      <c r="CC776" s="52"/>
      <c r="CD776" s="52"/>
      <c r="CE776" s="52"/>
      <c r="CF776" s="52"/>
      <c r="CG776" s="52"/>
      <c r="CH776" s="52"/>
      <c r="CI776" s="52"/>
      <c r="CJ776" s="52"/>
      <c r="CK776" s="52"/>
      <c r="CL776" s="52"/>
      <c r="CM776" s="52"/>
      <c r="CN776" s="52"/>
      <c r="CO776" s="52"/>
      <c r="CP776" s="52"/>
      <c r="CQ776" s="52"/>
      <c r="CR776" s="52"/>
      <c r="CS776" s="52"/>
      <c r="CT776" s="52"/>
      <c r="CU776" s="52"/>
      <c r="CV776" s="52"/>
      <c r="CW776" s="52"/>
      <c r="CX776" s="52"/>
      <c r="CY776" s="52"/>
      <c r="CZ776" s="52"/>
      <c r="DA776" s="52"/>
      <c r="DB776" s="52"/>
      <c r="DC776" s="52"/>
      <c r="DD776" s="52"/>
      <c r="DE776" s="52"/>
      <c r="DF776" s="52"/>
      <c r="DG776" s="52"/>
      <c r="DH776" s="52"/>
      <c r="DI776" s="52"/>
      <c r="DJ776" s="52"/>
      <c r="DK776" s="52"/>
      <c r="DL776" s="52"/>
      <c r="DM776" s="52"/>
      <c r="DN776" s="52"/>
      <c r="DO776" s="52"/>
      <c r="DP776" s="52"/>
      <c r="DQ776" s="52"/>
      <c r="DR776" s="52"/>
      <c r="DS776" s="52"/>
      <c r="DT776" s="52"/>
      <c r="DU776" s="52"/>
      <c r="DV776" s="52"/>
      <c r="DW776" s="52"/>
      <c r="DX776" s="52"/>
      <c r="DY776" s="52"/>
      <c r="DZ776" s="52"/>
      <c r="EA776" s="52"/>
      <c r="EB776" s="52"/>
      <c r="EC776" s="52"/>
      <c r="ED776" s="52"/>
      <c r="EE776" s="52"/>
      <c r="EF776" s="52"/>
      <c r="EG776" s="52"/>
      <c r="EH776" s="52"/>
      <c r="EI776" s="52"/>
      <c r="EJ776" s="52"/>
      <c r="EK776" s="52"/>
      <c r="EL776" s="52"/>
      <c r="EM776" s="52"/>
      <c r="EN776" s="52"/>
      <c r="EO776" s="52"/>
      <c r="EP776" s="52"/>
      <c r="EQ776" s="52"/>
      <c r="ER776" s="52"/>
      <c r="ES776" s="52"/>
    </row>
    <row r="777" spans="1:149" ht="11.25">
      <c r="A777" s="1"/>
      <c r="B777" s="1"/>
      <c r="C777" s="1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103"/>
      <c r="O777" s="103"/>
      <c r="P777" s="103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  <c r="AC777" s="52"/>
      <c r="AD777" s="52"/>
      <c r="AE777" s="52"/>
      <c r="AF777" s="52"/>
      <c r="AG777" s="52"/>
      <c r="AH777" s="52"/>
      <c r="AI777" s="52"/>
      <c r="AJ777" s="52"/>
      <c r="AK777" s="52"/>
      <c r="AL777" s="52"/>
      <c r="AM777" s="52"/>
      <c r="AN777" s="52"/>
      <c r="AO777" s="52"/>
      <c r="AP777" s="52"/>
      <c r="AQ777" s="52"/>
      <c r="AR777" s="52"/>
      <c r="AS777" s="52"/>
      <c r="AT777" s="52"/>
      <c r="AU777" s="52"/>
      <c r="AV777" s="52"/>
      <c r="AW777" s="52"/>
      <c r="AX777" s="52"/>
      <c r="AY777" s="52"/>
      <c r="AZ777" s="52"/>
      <c r="BA777" s="52"/>
      <c r="BB777" s="52"/>
      <c r="BC777" s="52"/>
      <c r="BD777" s="52"/>
      <c r="BE777" s="52"/>
      <c r="BF777" s="52"/>
      <c r="BG777" s="52"/>
      <c r="BH777" s="52"/>
      <c r="BI777" s="52"/>
      <c r="BJ777" s="52"/>
      <c r="BK777" s="52"/>
      <c r="BL777" s="52"/>
      <c r="BM777" s="52"/>
      <c r="BN777" s="52"/>
      <c r="BO777" s="52"/>
      <c r="BP777" s="52"/>
      <c r="BQ777" s="52"/>
      <c r="BR777" s="52"/>
      <c r="BS777" s="52"/>
      <c r="BT777" s="52"/>
      <c r="BU777" s="52"/>
      <c r="BV777" s="52"/>
      <c r="BW777" s="52"/>
      <c r="BX777" s="52"/>
      <c r="BY777" s="52"/>
      <c r="BZ777" s="52"/>
      <c r="CA777" s="52"/>
      <c r="CB777" s="52"/>
      <c r="CC777" s="52"/>
      <c r="CD777" s="52"/>
      <c r="CE777" s="52"/>
      <c r="CF777" s="52"/>
      <c r="CG777" s="52"/>
      <c r="CH777" s="52"/>
      <c r="CI777" s="52"/>
      <c r="CJ777" s="52"/>
      <c r="CK777" s="52"/>
      <c r="CL777" s="52"/>
      <c r="CM777" s="52"/>
      <c r="CN777" s="52"/>
      <c r="CO777" s="52"/>
      <c r="CP777" s="52"/>
      <c r="CQ777" s="52"/>
      <c r="CR777" s="52"/>
      <c r="CS777" s="52"/>
      <c r="CT777" s="52"/>
      <c r="CU777" s="52"/>
      <c r="CV777" s="52"/>
      <c r="CW777" s="52"/>
      <c r="CX777" s="52"/>
      <c r="CY777" s="52"/>
      <c r="CZ777" s="52"/>
      <c r="DA777" s="52"/>
      <c r="DB777" s="52"/>
      <c r="DC777" s="52"/>
      <c r="DD777" s="52"/>
      <c r="DE777" s="52"/>
      <c r="DF777" s="52"/>
      <c r="DG777" s="52"/>
      <c r="DH777" s="52"/>
      <c r="DI777" s="52"/>
      <c r="DJ777" s="52"/>
      <c r="DK777" s="52"/>
      <c r="DL777" s="52"/>
      <c r="DM777" s="52"/>
      <c r="DN777" s="52"/>
      <c r="DO777" s="52"/>
      <c r="DP777" s="52"/>
      <c r="DQ777" s="52"/>
      <c r="DR777" s="52"/>
      <c r="DS777" s="52"/>
      <c r="DT777" s="52"/>
      <c r="DU777" s="52"/>
      <c r="DV777" s="52"/>
      <c r="DW777" s="52"/>
      <c r="DX777" s="52"/>
      <c r="DY777" s="52"/>
      <c r="DZ777" s="52"/>
      <c r="EA777" s="52"/>
      <c r="EB777" s="52"/>
      <c r="EC777" s="52"/>
      <c r="ED777" s="52"/>
      <c r="EE777" s="52"/>
      <c r="EF777" s="52"/>
      <c r="EG777" s="52"/>
      <c r="EH777" s="52"/>
      <c r="EI777" s="52"/>
      <c r="EJ777" s="52"/>
      <c r="EK777" s="52"/>
      <c r="EL777" s="52"/>
      <c r="EM777" s="52"/>
      <c r="EN777" s="52"/>
      <c r="EO777" s="52"/>
      <c r="EP777" s="52"/>
      <c r="EQ777" s="52"/>
      <c r="ER777" s="52"/>
      <c r="ES777" s="52"/>
    </row>
    <row r="778" spans="1:149" ht="11.25">
      <c r="A778" s="1"/>
      <c r="B778" s="1"/>
      <c r="C778" s="1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103"/>
      <c r="O778" s="103"/>
      <c r="P778" s="103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  <c r="AC778" s="52"/>
      <c r="AD778" s="52"/>
      <c r="AE778" s="52"/>
      <c r="AF778" s="52"/>
      <c r="AG778" s="52"/>
      <c r="AH778" s="52"/>
      <c r="AI778" s="52"/>
      <c r="AJ778" s="52"/>
      <c r="AK778" s="52"/>
      <c r="AL778" s="52"/>
      <c r="AM778" s="52"/>
      <c r="AN778" s="52"/>
      <c r="AO778" s="52"/>
      <c r="AP778" s="52"/>
      <c r="AQ778" s="52"/>
      <c r="AR778" s="52"/>
      <c r="AS778" s="52"/>
      <c r="AT778" s="52"/>
      <c r="AU778" s="52"/>
      <c r="AV778" s="52"/>
      <c r="AW778" s="52"/>
      <c r="AX778" s="52"/>
      <c r="AY778" s="52"/>
      <c r="AZ778" s="52"/>
      <c r="BA778" s="52"/>
      <c r="BB778" s="52"/>
      <c r="BC778" s="52"/>
      <c r="BD778" s="52"/>
      <c r="BE778" s="52"/>
      <c r="BF778" s="52"/>
      <c r="BG778" s="52"/>
      <c r="BH778" s="52"/>
      <c r="BI778" s="52"/>
      <c r="BJ778" s="52"/>
      <c r="BK778" s="52"/>
      <c r="BL778" s="52"/>
      <c r="BM778" s="52"/>
      <c r="BN778" s="52"/>
      <c r="BO778" s="52"/>
      <c r="BP778" s="52"/>
      <c r="BQ778" s="52"/>
      <c r="BR778" s="52"/>
      <c r="BS778" s="52"/>
      <c r="BT778" s="52"/>
      <c r="BU778" s="52"/>
      <c r="BV778" s="52"/>
      <c r="BW778" s="52"/>
      <c r="BX778" s="52"/>
      <c r="BY778" s="52"/>
      <c r="BZ778" s="52"/>
      <c r="CA778" s="52"/>
      <c r="CB778" s="52"/>
      <c r="CC778" s="52"/>
      <c r="CD778" s="52"/>
      <c r="CE778" s="52"/>
      <c r="CF778" s="52"/>
      <c r="CG778" s="52"/>
      <c r="CH778" s="52"/>
      <c r="CI778" s="52"/>
      <c r="CJ778" s="52"/>
      <c r="CK778" s="52"/>
      <c r="CL778" s="52"/>
      <c r="CM778" s="52"/>
      <c r="CN778" s="52"/>
      <c r="CO778" s="52"/>
      <c r="CP778" s="52"/>
      <c r="CQ778" s="52"/>
      <c r="CR778" s="52"/>
      <c r="CS778" s="52"/>
      <c r="CT778" s="52"/>
      <c r="CU778" s="52"/>
      <c r="CV778" s="52"/>
      <c r="CW778" s="52"/>
      <c r="CX778" s="52"/>
      <c r="CY778" s="52"/>
      <c r="CZ778" s="52"/>
      <c r="DA778" s="52"/>
      <c r="DB778" s="52"/>
      <c r="DC778" s="52"/>
      <c r="DD778" s="52"/>
      <c r="DE778" s="52"/>
      <c r="DF778" s="52"/>
      <c r="DG778" s="52"/>
      <c r="DH778" s="52"/>
      <c r="DI778" s="52"/>
      <c r="DJ778" s="52"/>
      <c r="DK778" s="52"/>
      <c r="DL778" s="52"/>
      <c r="DM778" s="52"/>
      <c r="DN778" s="52"/>
      <c r="DO778" s="52"/>
      <c r="DP778" s="52"/>
      <c r="DQ778" s="52"/>
      <c r="DR778" s="52"/>
      <c r="DS778" s="52"/>
      <c r="DT778" s="52"/>
      <c r="DU778" s="52"/>
      <c r="DV778" s="52"/>
      <c r="DW778" s="52"/>
      <c r="DX778" s="52"/>
      <c r="DY778" s="52"/>
      <c r="DZ778" s="52"/>
      <c r="EA778" s="52"/>
      <c r="EB778" s="52"/>
      <c r="EC778" s="52"/>
      <c r="ED778" s="52"/>
      <c r="EE778" s="52"/>
      <c r="EF778" s="52"/>
      <c r="EG778" s="52"/>
      <c r="EH778" s="52"/>
      <c r="EI778" s="52"/>
      <c r="EJ778" s="52"/>
      <c r="EK778" s="52"/>
      <c r="EL778" s="52"/>
      <c r="EM778" s="52"/>
      <c r="EN778" s="52"/>
      <c r="EO778" s="52"/>
      <c r="EP778" s="52"/>
      <c r="EQ778" s="52"/>
      <c r="ER778" s="52"/>
      <c r="ES778" s="52"/>
    </row>
    <row r="779" spans="1:149" ht="11.25">
      <c r="A779" s="1"/>
      <c r="B779" s="1"/>
      <c r="C779" s="1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103"/>
      <c r="O779" s="103"/>
      <c r="P779" s="103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  <c r="AC779" s="52"/>
      <c r="AD779" s="52"/>
      <c r="AE779" s="52"/>
      <c r="AF779" s="52"/>
      <c r="AG779" s="52"/>
      <c r="AH779" s="52"/>
      <c r="AI779" s="52"/>
      <c r="AJ779" s="52"/>
      <c r="AK779" s="52"/>
      <c r="AL779" s="52"/>
      <c r="AM779" s="52"/>
      <c r="AN779" s="52"/>
      <c r="AO779" s="52"/>
      <c r="AP779" s="52"/>
      <c r="AQ779" s="52"/>
      <c r="AR779" s="52"/>
      <c r="AS779" s="52"/>
      <c r="AT779" s="52"/>
      <c r="AU779" s="52"/>
      <c r="AV779" s="52"/>
      <c r="AW779" s="52"/>
      <c r="AX779" s="52"/>
      <c r="AY779" s="52"/>
      <c r="AZ779" s="52"/>
      <c r="BA779" s="52"/>
      <c r="BB779" s="52"/>
      <c r="BC779" s="52"/>
      <c r="BD779" s="52"/>
      <c r="BE779" s="52"/>
      <c r="BF779" s="52"/>
      <c r="BG779" s="52"/>
      <c r="BH779" s="52"/>
      <c r="BI779" s="52"/>
      <c r="BJ779" s="52"/>
      <c r="BK779" s="52"/>
      <c r="BL779" s="52"/>
      <c r="BM779" s="52"/>
      <c r="BN779" s="52"/>
      <c r="BO779" s="52"/>
      <c r="BP779" s="52"/>
      <c r="BQ779" s="52"/>
      <c r="BR779" s="52"/>
      <c r="BS779" s="52"/>
      <c r="BT779" s="52"/>
      <c r="BU779" s="52"/>
      <c r="BV779" s="52"/>
      <c r="BW779" s="52"/>
      <c r="BX779" s="52"/>
      <c r="BY779" s="52"/>
      <c r="BZ779" s="52"/>
      <c r="CA779" s="52"/>
      <c r="CB779" s="52"/>
      <c r="CC779" s="52"/>
      <c r="CD779" s="52"/>
      <c r="CE779" s="52"/>
      <c r="CF779" s="52"/>
      <c r="CG779" s="52"/>
      <c r="CH779" s="52"/>
      <c r="CI779" s="52"/>
      <c r="CJ779" s="52"/>
      <c r="CK779" s="52"/>
      <c r="CL779" s="52"/>
      <c r="CM779" s="52"/>
      <c r="CN779" s="52"/>
      <c r="CO779" s="52"/>
      <c r="CP779" s="52"/>
      <c r="CQ779" s="52"/>
      <c r="CR779" s="52"/>
      <c r="CS779" s="52"/>
      <c r="CT779" s="52"/>
      <c r="CU779" s="52"/>
      <c r="CV779" s="52"/>
      <c r="CW779" s="52"/>
      <c r="CX779" s="52"/>
      <c r="CY779" s="52"/>
      <c r="CZ779" s="52"/>
      <c r="DA779" s="52"/>
      <c r="DB779" s="52"/>
      <c r="DC779" s="52"/>
      <c r="DD779" s="52"/>
      <c r="DE779" s="52"/>
      <c r="DF779" s="52"/>
      <c r="DG779" s="52"/>
      <c r="DH779" s="52"/>
      <c r="DI779" s="52"/>
      <c r="DJ779" s="52"/>
      <c r="DK779" s="52"/>
      <c r="DL779" s="52"/>
      <c r="DM779" s="52"/>
      <c r="DN779" s="52"/>
      <c r="DO779" s="52"/>
      <c r="DP779" s="52"/>
      <c r="DQ779" s="52"/>
      <c r="DR779" s="52"/>
      <c r="DS779" s="52"/>
      <c r="DT779" s="52"/>
      <c r="DU779" s="52"/>
      <c r="DV779" s="52"/>
      <c r="DW779" s="52"/>
      <c r="DX779" s="52"/>
      <c r="DY779" s="52"/>
      <c r="DZ779" s="52"/>
      <c r="EA779" s="52"/>
      <c r="EB779" s="52"/>
      <c r="EC779" s="52"/>
      <c r="ED779" s="52"/>
      <c r="EE779" s="52"/>
      <c r="EF779" s="52"/>
      <c r="EG779" s="52"/>
      <c r="EH779" s="52"/>
      <c r="EI779" s="52"/>
      <c r="EJ779" s="52"/>
      <c r="EK779" s="52"/>
      <c r="EL779" s="52"/>
      <c r="EM779" s="52"/>
      <c r="EN779" s="52"/>
      <c r="EO779" s="52"/>
      <c r="EP779" s="52"/>
      <c r="EQ779" s="52"/>
      <c r="ER779" s="52"/>
      <c r="ES779" s="52"/>
    </row>
    <row r="780" spans="1:149" ht="11.25">
      <c r="A780" s="1"/>
      <c r="B780" s="1"/>
      <c r="C780" s="1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103"/>
      <c r="O780" s="103"/>
      <c r="P780" s="103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  <c r="AC780" s="52"/>
      <c r="AD780" s="52"/>
      <c r="AE780" s="52"/>
      <c r="AF780" s="52"/>
      <c r="AG780" s="52"/>
      <c r="AH780" s="52"/>
      <c r="AI780" s="52"/>
      <c r="AJ780" s="52"/>
      <c r="AK780" s="52"/>
      <c r="AL780" s="52"/>
      <c r="AM780" s="52"/>
      <c r="AN780" s="52"/>
      <c r="AO780" s="52"/>
      <c r="AP780" s="52"/>
      <c r="AQ780" s="52"/>
      <c r="AR780" s="52"/>
      <c r="AS780" s="52"/>
      <c r="AT780" s="52"/>
      <c r="AU780" s="52"/>
      <c r="AV780" s="52"/>
      <c r="AW780" s="52"/>
      <c r="AX780" s="52"/>
      <c r="AY780" s="52"/>
      <c r="AZ780" s="52"/>
      <c r="BA780" s="52"/>
      <c r="BB780" s="52"/>
      <c r="BC780" s="52"/>
      <c r="BD780" s="52"/>
      <c r="BE780" s="52"/>
      <c r="BF780" s="52"/>
      <c r="BG780" s="52"/>
      <c r="BH780" s="52"/>
      <c r="BI780" s="52"/>
      <c r="BJ780" s="52"/>
      <c r="BK780" s="52"/>
      <c r="BL780" s="52"/>
      <c r="BM780" s="52"/>
      <c r="BN780" s="52"/>
      <c r="BO780" s="52"/>
      <c r="BP780" s="52"/>
      <c r="BQ780" s="52"/>
      <c r="BR780" s="52"/>
      <c r="BS780" s="52"/>
      <c r="BT780" s="52"/>
      <c r="BU780" s="52"/>
      <c r="BV780" s="52"/>
      <c r="BW780" s="52"/>
      <c r="BX780" s="52"/>
      <c r="BY780" s="52"/>
      <c r="BZ780" s="52"/>
      <c r="CA780" s="52"/>
      <c r="CB780" s="52"/>
      <c r="CC780" s="52"/>
      <c r="CD780" s="52"/>
      <c r="CE780" s="52"/>
      <c r="CF780" s="52"/>
      <c r="CG780" s="52"/>
      <c r="CH780" s="52"/>
      <c r="CI780" s="52"/>
      <c r="CJ780" s="52"/>
      <c r="CK780" s="52"/>
      <c r="CL780" s="52"/>
      <c r="CM780" s="52"/>
      <c r="CN780" s="52"/>
      <c r="CO780" s="52"/>
      <c r="CP780" s="52"/>
      <c r="CQ780" s="52"/>
      <c r="CR780" s="52"/>
      <c r="CS780" s="52"/>
      <c r="CT780" s="52"/>
      <c r="CU780" s="52"/>
      <c r="CV780" s="52"/>
      <c r="CW780" s="52"/>
      <c r="CX780" s="52"/>
      <c r="CY780" s="52"/>
      <c r="CZ780" s="52"/>
      <c r="DA780" s="52"/>
      <c r="DB780" s="52"/>
      <c r="DC780" s="52"/>
      <c r="DD780" s="52"/>
      <c r="DE780" s="52"/>
      <c r="DF780" s="52"/>
      <c r="DG780" s="52"/>
      <c r="DH780" s="52"/>
      <c r="DI780" s="52"/>
      <c r="DJ780" s="52"/>
      <c r="DK780" s="52"/>
      <c r="DL780" s="52"/>
      <c r="DM780" s="52"/>
      <c r="DN780" s="52"/>
      <c r="DO780" s="52"/>
      <c r="DP780" s="52"/>
      <c r="DQ780" s="52"/>
      <c r="DR780" s="52"/>
      <c r="DS780" s="52"/>
      <c r="DT780" s="52"/>
      <c r="DU780" s="52"/>
      <c r="DV780" s="52"/>
      <c r="DW780" s="52"/>
      <c r="DX780" s="52"/>
      <c r="DY780" s="52"/>
      <c r="DZ780" s="52"/>
      <c r="EA780" s="52"/>
      <c r="EB780" s="52"/>
      <c r="EC780" s="52"/>
      <c r="ED780" s="52"/>
      <c r="EE780" s="52"/>
      <c r="EF780" s="52"/>
      <c r="EG780" s="52"/>
      <c r="EH780" s="52"/>
      <c r="EI780" s="52"/>
      <c r="EJ780" s="52"/>
      <c r="EK780" s="52"/>
      <c r="EL780" s="52"/>
      <c r="EM780" s="52"/>
      <c r="EN780" s="52"/>
      <c r="EO780" s="52"/>
      <c r="EP780" s="52"/>
      <c r="EQ780" s="52"/>
      <c r="ER780" s="52"/>
      <c r="ES780" s="52"/>
    </row>
    <row r="781" spans="1:149" ht="11.25">
      <c r="A781" s="1"/>
      <c r="B781" s="1"/>
      <c r="C781" s="1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103"/>
      <c r="O781" s="103"/>
      <c r="P781" s="103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  <c r="AC781" s="52"/>
      <c r="AD781" s="52"/>
      <c r="AE781" s="52"/>
      <c r="AF781" s="52"/>
      <c r="AG781" s="52"/>
      <c r="AH781" s="52"/>
      <c r="AI781" s="52"/>
      <c r="AJ781" s="52"/>
      <c r="AK781" s="52"/>
      <c r="AL781" s="52"/>
      <c r="AM781" s="52"/>
      <c r="AN781" s="52"/>
      <c r="AO781" s="52"/>
      <c r="AP781" s="52"/>
      <c r="AQ781" s="52"/>
      <c r="AR781" s="52"/>
      <c r="AS781" s="52"/>
      <c r="AT781" s="52"/>
      <c r="AU781" s="52"/>
      <c r="AV781" s="52"/>
      <c r="AW781" s="52"/>
      <c r="AX781" s="52"/>
      <c r="AY781" s="52"/>
      <c r="AZ781" s="52"/>
      <c r="BA781" s="52"/>
      <c r="BB781" s="52"/>
      <c r="BC781" s="52"/>
      <c r="BD781" s="52"/>
      <c r="BE781" s="52"/>
      <c r="BF781" s="52"/>
      <c r="BG781" s="52"/>
      <c r="BH781" s="52"/>
      <c r="BI781" s="52"/>
      <c r="BJ781" s="52"/>
      <c r="BK781" s="52"/>
      <c r="BL781" s="52"/>
      <c r="BM781" s="52"/>
      <c r="BN781" s="52"/>
      <c r="BO781" s="52"/>
      <c r="BP781" s="52"/>
      <c r="BQ781" s="52"/>
      <c r="BR781" s="52"/>
      <c r="BS781" s="52"/>
      <c r="BT781" s="52"/>
      <c r="BU781" s="52"/>
      <c r="BV781" s="52"/>
      <c r="BW781" s="52"/>
      <c r="BX781" s="52"/>
      <c r="BY781" s="52"/>
      <c r="BZ781" s="52"/>
      <c r="CA781" s="52"/>
      <c r="CB781" s="52"/>
      <c r="CC781" s="52"/>
      <c r="CD781" s="52"/>
      <c r="CE781" s="52"/>
      <c r="CF781" s="52"/>
      <c r="CG781" s="52"/>
      <c r="CH781" s="52"/>
      <c r="CI781" s="52"/>
      <c r="CJ781" s="52"/>
      <c r="CK781" s="52"/>
      <c r="CL781" s="52"/>
      <c r="CM781" s="52"/>
      <c r="CN781" s="52"/>
      <c r="CO781" s="52"/>
      <c r="CP781" s="52"/>
      <c r="CQ781" s="52"/>
      <c r="CR781" s="52"/>
      <c r="CS781" s="52"/>
      <c r="CT781" s="52"/>
      <c r="CU781" s="52"/>
      <c r="CV781" s="52"/>
      <c r="CW781" s="52"/>
      <c r="CX781" s="52"/>
      <c r="CY781" s="52"/>
      <c r="CZ781" s="52"/>
      <c r="DA781" s="52"/>
      <c r="DB781" s="52"/>
      <c r="DC781" s="52"/>
      <c r="DD781" s="52"/>
      <c r="DE781" s="52"/>
      <c r="DF781" s="52"/>
      <c r="DG781" s="52"/>
      <c r="DH781" s="52"/>
      <c r="DI781" s="52"/>
      <c r="DJ781" s="52"/>
      <c r="DK781" s="52"/>
      <c r="DL781" s="52"/>
      <c r="DM781" s="52"/>
      <c r="DN781" s="52"/>
      <c r="DO781" s="52"/>
      <c r="DP781" s="52"/>
      <c r="DQ781" s="52"/>
      <c r="DR781" s="52"/>
      <c r="DS781" s="52"/>
      <c r="DT781" s="52"/>
      <c r="DU781" s="52"/>
      <c r="DV781" s="52"/>
      <c r="DW781" s="52"/>
      <c r="DX781" s="52"/>
      <c r="DY781" s="52"/>
      <c r="DZ781" s="52"/>
      <c r="EA781" s="52"/>
      <c r="EB781" s="52"/>
      <c r="EC781" s="52"/>
      <c r="ED781" s="52"/>
      <c r="EE781" s="52"/>
      <c r="EF781" s="52"/>
      <c r="EG781" s="52"/>
      <c r="EH781" s="52"/>
      <c r="EI781" s="52"/>
      <c r="EJ781" s="52"/>
      <c r="EK781" s="52"/>
      <c r="EL781" s="52"/>
      <c r="EM781" s="52"/>
      <c r="EN781" s="52"/>
      <c r="EO781" s="52"/>
      <c r="EP781" s="52"/>
      <c r="EQ781" s="52"/>
      <c r="ER781" s="52"/>
      <c r="ES781" s="52"/>
    </row>
    <row r="782" spans="1:149" ht="11.25">
      <c r="A782" s="1"/>
      <c r="B782" s="1"/>
      <c r="C782" s="1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103"/>
      <c r="O782" s="103"/>
      <c r="P782" s="103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  <c r="AC782" s="52"/>
      <c r="AD782" s="52"/>
      <c r="AE782" s="52"/>
      <c r="AF782" s="52"/>
      <c r="AG782" s="52"/>
      <c r="AH782" s="52"/>
      <c r="AI782" s="52"/>
      <c r="AJ782" s="52"/>
      <c r="AK782" s="52"/>
      <c r="AL782" s="52"/>
      <c r="AM782" s="52"/>
      <c r="AN782" s="52"/>
      <c r="AO782" s="52"/>
      <c r="AP782" s="52"/>
      <c r="AQ782" s="52"/>
      <c r="AR782" s="52"/>
      <c r="AS782" s="52"/>
      <c r="AT782" s="52"/>
      <c r="AU782" s="52"/>
      <c r="AV782" s="52"/>
      <c r="AW782" s="52"/>
      <c r="AX782" s="52"/>
      <c r="AY782" s="52"/>
      <c r="AZ782" s="52"/>
      <c r="BA782" s="52"/>
      <c r="BB782" s="52"/>
      <c r="BC782" s="52"/>
      <c r="BD782" s="52"/>
      <c r="BE782" s="52"/>
      <c r="BF782" s="52"/>
      <c r="BG782" s="52"/>
      <c r="BH782" s="52"/>
      <c r="BI782" s="52"/>
      <c r="BJ782" s="52"/>
      <c r="BK782" s="52"/>
      <c r="BL782" s="52"/>
      <c r="BM782" s="52"/>
      <c r="BN782" s="52"/>
      <c r="BO782" s="52"/>
      <c r="BP782" s="52"/>
      <c r="BQ782" s="52"/>
      <c r="BR782" s="52"/>
      <c r="BS782" s="52"/>
      <c r="BT782" s="52"/>
      <c r="BU782" s="52"/>
      <c r="BV782" s="52"/>
      <c r="BW782" s="52"/>
      <c r="BX782" s="52"/>
      <c r="BY782" s="52"/>
      <c r="BZ782" s="52"/>
      <c r="CA782" s="52"/>
      <c r="CB782" s="52"/>
      <c r="CC782" s="52"/>
      <c r="CD782" s="52"/>
      <c r="CE782" s="52"/>
      <c r="CF782" s="52"/>
      <c r="CG782" s="52"/>
      <c r="CH782" s="52"/>
      <c r="CI782" s="52"/>
      <c r="CJ782" s="52"/>
      <c r="CK782" s="52"/>
      <c r="CL782" s="52"/>
      <c r="CM782" s="52"/>
      <c r="CN782" s="52"/>
      <c r="CO782" s="52"/>
      <c r="CP782" s="52"/>
      <c r="CQ782" s="52"/>
      <c r="CR782" s="52"/>
      <c r="CS782" s="52"/>
      <c r="CT782" s="52"/>
      <c r="CU782" s="52"/>
      <c r="CV782" s="52"/>
      <c r="CW782" s="52"/>
      <c r="CX782" s="52"/>
      <c r="CY782" s="52"/>
      <c r="CZ782" s="52"/>
      <c r="DA782" s="52"/>
      <c r="DB782" s="52"/>
      <c r="DC782" s="52"/>
      <c r="DD782" s="52"/>
      <c r="DE782" s="52"/>
      <c r="DF782" s="52"/>
      <c r="DG782" s="52"/>
      <c r="DH782" s="52"/>
      <c r="DI782" s="52"/>
      <c r="DJ782" s="52"/>
      <c r="DK782" s="52"/>
      <c r="DL782" s="52"/>
      <c r="DM782" s="52"/>
      <c r="DN782" s="52"/>
      <c r="DO782" s="52"/>
      <c r="DP782" s="52"/>
      <c r="DQ782" s="52"/>
      <c r="DR782" s="52"/>
      <c r="DS782" s="52"/>
      <c r="DT782" s="52"/>
      <c r="DU782" s="52"/>
      <c r="DV782" s="52"/>
      <c r="DW782" s="52"/>
      <c r="DX782" s="52"/>
      <c r="DY782" s="52"/>
      <c r="DZ782" s="52"/>
      <c r="EA782" s="52"/>
      <c r="EB782" s="52"/>
      <c r="EC782" s="52"/>
      <c r="ED782" s="52"/>
      <c r="EE782" s="52"/>
      <c r="EF782" s="52"/>
      <c r="EG782" s="52"/>
      <c r="EH782" s="52"/>
      <c r="EI782" s="52"/>
      <c r="EJ782" s="52"/>
      <c r="EK782" s="52"/>
      <c r="EL782" s="52"/>
      <c r="EM782" s="52"/>
      <c r="EN782" s="52"/>
      <c r="EO782" s="52"/>
      <c r="EP782" s="52"/>
      <c r="EQ782" s="52"/>
      <c r="ER782" s="52"/>
      <c r="ES782" s="52"/>
    </row>
    <row r="783" spans="1:149" ht="11.25">
      <c r="A783" s="1"/>
      <c r="B783" s="1"/>
      <c r="C783" s="1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103"/>
      <c r="O783" s="103"/>
      <c r="P783" s="103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  <c r="AC783" s="52"/>
      <c r="AD783" s="52"/>
      <c r="AE783" s="52"/>
      <c r="AF783" s="52"/>
      <c r="AG783" s="52"/>
      <c r="AH783" s="52"/>
      <c r="AI783" s="52"/>
      <c r="AJ783" s="52"/>
      <c r="AK783" s="52"/>
      <c r="AL783" s="52"/>
      <c r="AM783" s="52"/>
      <c r="AN783" s="52"/>
      <c r="AO783" s="52"/>
      <c r="AP783" s="52"/>
      <c r="AQ783" s="52"/>
      <c r="AR783" s="52"/>
      <c r="AS783" s="52"/>
      <c r="AT783" s="52"/>
      <c r="AU783" s="52"/>
      <c r="AV783" s="52"/>
      <c r="AW783" s="52"/>
      <c r="AX783" s="52"/>
      <c r="AY783" s="52"/>
      <c r="AZ783" s="52"/>
      <c r="BA783" s="52"/>
      <c r="BB783" s="52"/>
      <c r="BC783" s="52"/>
      <c r="BD783" s="52"/>
      <c r="BE783" s="52"/>
      <c r="BF783" s="52"/>
      <c r="BG783" s="52"/>
      <c r="BH783" s="52"/>
      <c r="BI783" s="52"/>
      <c r="BJ783" s="52"/>
      <c r="BK783" s="52"/>
      <c r="BL783" s="52"/>
      <c r="BM783" s="52"/>
      <c r="BN783" s="52"/>
      <c r="BO783" s="52"/>
      <c r="BP783" s="52"/>
      <c r="BQ783" s="52"/>
      <c r="BR783" s="52"/>
      <c r="BS783" s="52"/>
      <c r="BT783" s="52"/>
      <c r="BU783" s="52"/>
      <c r="BV783" s="52"/>
      <c r="BW783" s="52"/>
      <c r="BX783" s="52"/>
      <c r="BY783" s="52"/>
      <c r="BZ783" s="52"/>
      <c r="CA783" s="52"/>
      <c r="CB783" s="52"/>
      <c r="CC783" s="52"/>
      <c r="CD783" s="52"/>
      <c r="CE783" s="52"/>
      <c r="CF783" s="52"/>
      <c r="CG783" s="52"/>
      <c r="CH783" s="52"/>
      <c r="CI783" s="52"/>
      <c r="CJ783" s="52"/>
      <c r="CK783" s="52"/>
      <c r="CL783" s="52"/>
      <c r="CM783" s="52"/>
      <c r="CN783" s="52"/>
      <c r="CO783" s="52"/>
      <c r="CP783" s="52"/>
      <c r="CQ783" s="52"/>
      <c r="CR783" s="52"/>
      <c r="CS783" s="52"/>
      <c r="CT783" s="52"/>
      <c r="CU783" s="52"/>
      <c r="CV783" s="52"/>
      <c r="CW783" s="52"/>
      <c r="CX783" s="52"/>
      <c r="CY783" s="52"/>
      <c r="CZ783" s="52"/>
      <c r="DA783" s="52"/>
      <c r="DB783" s="52"/>
      <c r="DC783" s="52"/>
      <c r="DD783" s="52"/>
      <c r="DE783" s="52"/>
      <c r="DF783" s="52"/>
      <c r="DG783" s="52"/>
      <c r="DH783" s="52"/>
      <c r="DI783" s="52"/>
      <c r="DJ783" s="52"/>
      <c r="DK783" s="52"/>
      <c r="DL783" s="52"/>
      <c r="DM783" s="52"/>
      <c r="DN783" s="52"/>
      <c r="DO783" s="52"/>
      <c r="DP783" s="52"/>
      <c r="DQ783" s="52"/>
      <c r="DR783" s="52"/>
      <c r="DS783" s="52"/>
      <c r="DT783" s="52"/>
      <c r="DU783" s="52"/>
      <c r="DV783" s="52"/>
      <c r="DW783" s="52"/>
      <c r="DX783" s="52"/>
      <c r="DY783" s="52"/>
      <c r="DZ783" s="52"/>
      <c r="EA783" s="52"/>
      <c r="EB783" s="52"/>
      <c r="EC783" s="52"/>
      <c r="ED783" s="52"/>
      <c r="EE783" s="52"/>
      <c r="EF783" s="52"/>
      <c r="EG783" s="52"/>
      <c r="EH783" s="52"/>
      <c r="EI783" s="52"/>
      <c r="EJ783" s="52"/>
      <c r="EK783" s="52"/>
      <c r="EL783" s="52"/>
      <c r="EM783" s="52"/>
      <c r="EN783" s="52"/>
      <c r="EO783" s="52"/>
      <c r="EP783" s="52"/>
      <c r="EQ783" s="52"/>
      <c r="ER783" s="52"/>
      <c r="ES783" s="52"/>
    </row>
    <row r="784" spans="1:149" ht="11.25">
      <c r="A784" s="1"/>
      <c r="B784" s="1"/>
      <c r="C784" s="1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103"/>
      <c r="O784" s="103"/>
      <c r="P784" s="103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  <c r="AC784" s="52"/>
      <c r="AD784" s="52"/>
      <c r="AE784" s="52"/>
      <c r="AF784" s="52"/>
      <c r="AG784" s="52"/>
      <c r="AH784" s="52"/>
      <c r="AI784" s="52"/>
      <c r="AJ784" s="52"/>
      <c r="AK784" s="52"/>
      <c r="AL784" s="52"/>
      <c r="AM784" s="52"/>
      <c r="AN784" s="52"/>
      <c r="AO784" s="52"/>
      <c r="AP784" s="52"/>
      <c r="AQ784" s="52"/>
      <c r="AR784" s="52"/>
      <c r="AS784" s="52"/>
      <c r="AT784" s="52"/>
      <c r="AU784" s="52"/>
      <c r="AV784" s="52"/>
      <c r="AW784" s="52"/>
      <c r="AX784" s="52"/>
      <c r="AY784" s="52"/>
      <c r="AZ784" s="52"/>
      <c r="BA784" s="52"/>
      <c r="BB784" s="52"/>
      <c r="BC784" s="52"/>
      <c r="BD784" s="52"/>
      <c r="BE784" s="52"/>
      <c r="BF784" s="52"/>
      <c r="BG784" s="52"/>
      <c r="BH784" s="52"/>
      <c r="BI784" s="52"/>
      <c r="BJ784" s="52"/>
      <c r="BK784" s="52"/>
      <c r="BL784" s="52"/>
      <c r="BM784" s="52"/>
      <c r="BN784" s="52"/>
      <c r="BO784" s="52"/>
      <c r="BP784" s="52"/>
      <c r="BQ784" s="52"/>
      <c r="BR784" s="52"/>
      <c r="BS784" s="52"/>
      <c r="BT784" s="52"/>
      <c r="BU784" s="52"/>
      <c r="BV784" s="52"/>
      <c r="BW784" s="52"/>
      <c r="BX784" s="52"/>
      <c r="BY784" s="52"/>
      <c r="BZ784" s="52"/>
      <c r="CA784" s="52"/>
      <c r="CB784" s="52"/>
      <c r="CC784" s="52"/>
      <c r="CD784" s="52"/>
      <c r="CE784" s="52"/>
      <c r="CF784" s="52"/>
      <c r="CG784" s="52"/>
      <c r="CH784" s="52"/>
      <c r="CI784" s="52"/>
      <c r="CJ784" s="52"/>
      <c r="CK784" s="52"/>
      <c r="CL784" s="52"/>
      <c r="CM784" s="52"/>
      <c r="CN784" s="52"/>
      <c r="CO784" s="52"/>
      <c r="CP784" s="52"/>
      <c r="CQ784" s="52"/>
      <c r="CR784" s="52"/>
      <c r="CS784" s="52"/>
      <c r="CT784" s="52"/>
      <c r="CU784" s="52"/>
      <c r="CV784" s="52"/>
      <c r="CW784" s="52"/>
      <c r="CX784" s="52"/>
      <c r="CY784" s="52"/>
      <c r="CZ784" s="52"/>
      <c r="DA784" s="52"/>
      <c r="DB784" s="52"/>
      <c r="DC784" s="52"/>
      <c r="DD784" s="52"/>
      <c r="DE784" s="52"/>
      <c r="DF784" s="52"/>
      <c r="DG784" s="52"/>
      <c r="DH784" s="52"/>
      <c r="DI784" s="52"/>
      <c r="DJ784" s="52"/>
      <c r="DK784" s="52"/>
      <c r="DL784" s="52"/>
      <c r="DM784" s="52"/>
      <c r="DN784" s="52"/>
      <c r="DO784" s="52"/>
      <c r="DP784" s="52"/>
      <c r="DQ784" s="52"/>
      <c r="DR784" s="52"/>
      <c r="DS784" s="52"/>
      <c r="DT784" s="52"/>
      <c r="DU784" s="52"/>
      <c r="DV784" s="52"/>
      <c r="DW784" s="52"/>
      <c r="DX784" s="52"/>
      <c r="DY784" s="52"/>
      <c r="DZ784" s="52"/>
      <c r="EA784" s="52"/>
      <c r="EB784" s="52"/>
      <c r="EC784" s="52"/>
      <c r="ED784" s="52"/>
      <c r="EE784" s="52"/>
      <c r="EF784" s="52"/>
      <c r="EG784" s="52"/>
      <c r="EH784" s="52"/>
      <c r="EI784" s="52"/>
      <c r="EJ784" s="52"/>
      <c r="EK784" s="52"/>
      <c r="EL784" s="52"/>
      <c r="EM784" s="52"/>
      <c r="EN784" s="52"/>
      <c r="EO784" s="52"/>
      <c r="EP784" s="52"/>
      <c r="EQ784" s="52"/>
      <c r="ER784" s="52"/>
      <c r="ES784" s="52"/>
    </row>
    <row r="785" spans="1:149" ht="11.25">
      <c r="A785" s="1"/>
      <c r="B785" s="1"/>
      <c r="C785" s="1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103"/>
      <c r="O785" s="103"/>
      <c r="P785" s="103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  <c r="AC785" s="52"/>
      <c r="AD785" s="52"/>
      <c r="AE785" s="52"/>
      <c r="AF785" s="52"/>
      <c r="AG785" s="52"/>
      <c r="AH785" s="52"/>
      <c r="AI785" s="52"/>
      <c r="AJ785" s="52"/>
      <c r="AK785" s="52"/>
      <c r="AL785" s="52"/>
      <c r="AM785" s="52"/>
      <c r="AN785" s="52"/>
      <c r="AO785" s="52"/>
      <c r="AP785" s="52"/>
      <c r="AQ785" s="52"/>
      <c r="AR785" s="52"/>
      <c r="AS785" s="52"/>
      <c r="AT785" s="52"/>
      <c r="AU785" s="52"/>
      <c r="AV785" s="52"/>
      <c r="AW785" s="52"/>
      <c r="AX785" s="52"/>
      <c r="AY785" s="52"/>
      <c r="AZ785" s="52"/>
      <c r="BA785" s="52"/>
      <c r="BB785" s="52"/>
      <c r="BC785" s="52"/>
      <c r="BD785" s="52"/>
      <c r="BE785" s="52"/>
      <c r="BF785" s="52"/>
      <c r="BG785" s="52"/>
      <c r="BH785" s="52"/>
      <c r="BI785" s="52"/>
      <c r="BJ785" s="52"/>
      <c r="BK785" s="52"/>
      <c r="BL785" s="52"/>
      <c r="BM785" s="52"/>
      <c r="BN785" s="52"/>
      <c r="BO785" s="52"/>
      <c r="BP785" s="52"/>
      <c r="BQ785" s="52"/>
      <c r="BR785" s="52"/>
      <c r="BS785" s="52"/>
      <c r="BT785" s="52"/>
      <c r="BU785" s="52"/>
      <c r="BV785" s="52"/>
      <c r="BW785" s="52"/>
      <c r="BX785" s="52"/>
      <c r="BY785" s="52"/>
      <c r="BZ785" s="52"/>
      <c r="CA785" s="52"/>
      <c r="CB785" s="52"/>
      <c r="CC785" s="52"/>
      <c r="CD785" s="52"/>
      <c r="CE785" s="52"/>
      <c r="CF785" s="52"/>
      <c r="CG785" s="52"/>
      <c r="CH785" s="52"/>
      <c r="CI785" s="52"/>
      <c r="CJ785" s="52"/>
      <c r="CK785" s="52"/>
      <c r="CL785" s="52"/>
      <c r="CM785" s="52"/>
      <c r="CN785" s="52"/>
      <c r="CO785" s="52"/>
      <c r="CP785" s="52"/>
      <c r="CQ785" s="52"/>
      <c r="CR785" s="52"/>
      <c r="CS785" s="52"/>
      <c r="CT785" s="52"/>
      <c r="CU785" s="52"/>
      <c r="CV785" s="52"/>
      <c r="CW785" s="52"/>
      <c r="CX785" s="52"/>
      <c r="CY785" s="52"/>
      <c r="CZ785" s="52"/>
      <c r="DA785" s="52"/>
      <c r="DB785" s="52"/>
      <c r="DC785" s="52"/>
      <c r="DD785" s="52"/>
      <c r="DE785" s="52"/>
      <c r="DF785" s="52"/>
      <c r="DG785" s="52"/>
      <c r="DH785" s="52"/>
      <c r="DI785" s="52"/>
      <c r="DJ785" s="52"/>
      <c r="DK785" s="52"/>
      <c r="DL785" s="52"/>
      <c r="DM785" s="52"/>
      <c r="DN785" s="52"/>
      <c r="DO785" s="52"/>
      <c r="DP785" s="52"/>
      <c r="DQ785" s="52"/>
      <c r="DR785" s="52"/>
      <c r="DS785" s="52"/>
      <c r="DT785" s="52"/>
      <c r="DU785" s="52"/>
      <c r="DV785" s="52"/>
      <c r="DW785" s="52"/>
      <c r="DX785" s="52"/>
      <c r="DY785" s="52"/>
      <c r="DZ785" s="52"/>
      <c r="EA785" s="52"/>
      <c r="EB785" s="52"/>
      <c r="EC785" s="52"/>
      <c r="ED785" s="52"/>
      <c r="EE785" s="52"/>
      <c r="EF785" s="52"/>
      <c r="EG785" s="52"/>
      <c r="EH785" s="52"/>
      <c r="EI785" s="52"/>
      <c r="EJ785" s="52"/>
      <c r="EK785" s="52"/>
      <c r="EL785" s="52"/>
      <c r="EM785" s="52"/>
      <c r="EN785" s="52"/>
      <c r="EO785" s="52"/>
      <c r="EP785" s="52"/>
      <c r="EQ785" s="52"/>
      <c r="ER785" s="52"/>
      <c r="ES785" s="52"/>
    </row>
    <row r="786" spans="1:149" ht="11.25">
      <c r="A786" s="1"/>
      <c r="B786" s="1"/>
      <c r="C786" s="1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103"/>
      <c r="O786" s="103"/>
      <c r="P786" s="103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  <c r="AC786" s="52"/>
      <c r="AD786" s="52"/>
      <c r="AE786" s="52"/>
      <c r="AF786" s="52"/>
      <c r="AG786" s="52"/>
      <c r="AH786" s="52"/>
      <c r="AI786" s="52"/>
      <c r="AJ786" s="52"/>
      <c r="AK786" s="52"/>
      <c r="AL786" s="52"/>
      <c r="AM786" s="52"/>
      <c r="AN786" s="52"/>
      <c r="AO786" s="52"/>
      <c r="AP786" s="52"/>
      <c r="AQ786" s="52"/>
      <c r="AR786" s="52"/>
      <c r="AS786" s="52"/>
      <c r="AT786" s="52"/>
      <c r="AU786" s="52"/>
      <c r="AV786" s="52"/>
      <c r="AW786" s="52"/>
      <c r="AX786" s="52"/>
      <c r="AY786" s="52"/>
      <c r="AZ786" s="52"/>
      <c r="BA786" s="52"/>
      <c r="BB786" s="52"/>
      <c r="BC786" s="52"/>
      <c r="BD786" s="52"/>
      <c r="BE786" s="52"/>
      <c r="BF786" s="52"/>
      <c r="BG786" s="52"/>
      <c r="BH786" s="52"/>
      <c r="BI786" s="52"/>
      <c r="BJ786" s="52"/>
      <c r="BK786" s="52"/>
      <c r="BL786" s="52"/>
      <c r="BM786" s="52"/>
      <c r="BN786" s="52"/>
      <c r="BO786" s="52"/>
      <c r="BP786" s="52"/>
      <c r="BQ786" s="52"/>
      <c r="BR786" s="52"/>
      <c r="BS786" s="52"/>
      <c r="BT786" s="52"/>
      <c r="BU786" s="52"/>
      <c r="BV786" s="52"/>
      <c r="BW786" s="52"/>
      <c r="BX786" s="52"/>
      <c r="BY786" s="52"/>
      <c r="BZ786" s="52"/>
      <c r="CA786" s="52"/>
      <c r="CB786" s="52"/>
      <c r="CC786" s="52"/>
      <c r="CD786" s="52"/>
      <c r="CE786" s="52"/>
      <c r="CF786" s="52"/>
      <c r="CG786" s="52"/>
      <c r="CH786" s="52"/>
      <c r="CI786" s="52"/>
      <c r="CJ786" s="52"/>
      <c r="CK786" s="52"/>
      <c r="CL786" s="52"/>
      <c r="CM786" s="52"/>
      <c r="CN786" s="52"/>
      <c r="CO786" s="52"/>
      <c r="CP786" s="52"/>
      <c r="CQ786" s="52"/>
      <c r="CR786" s="52"/>
      <c r="CS786" s="52"/>
      <c r="CT786" s="52"/>
      <c r="CU786" s="52"/>
      <c r="CV786" s="52"/>
      <c r="CW786" s="52"/>
      <c r="CX786" s="52"/>
      <c r="CY786" s="52"/>
      <c r="CZ786" s="52"/>
      <c r="DA786" s="52"/>
      <c r="DB786" s="52"/>
      <c r="DC786" s="52"/>
      <c r="DD786" s="52"/>
      <c r="DE786" s="52"/>
      <c r="DF786" s="52"/>
      <c r="DG786" s="52"/>
      <c r="DH786" s="52"/>
      <c r="DI786" s="52"/>
      <c r="DJ786" s="52"/>
      <c r="DK786" s="52"/>
      <c r="DL786" s="52"/>
      <c r="DM786" s="52"/>
      <c r="DN786" s="52"/>
      <c r="DO786" s="52"/>
      <c r="DP786" s="52"/>
      <c r="DQ786" s="52"/>
      <c r="DR786" s="52"/>
      <c r="DS786" s="52"/>
      <c r="DT786" s="52"/>
      <c r="DU786" s="52"/>
      <c r="DV786" s="52"/>
      <c r="DW786" s="52"/>
      <c r="DX786" s="52"/>
      <c r="DY786" s="52"/>
      <c r="DZ786" s="52"/>
      <c r="EA786" s="52"/>
      <c r="EB786" s="52"/>
      <c r="EC786" s="52"/>
      <c r="ED786" s="52"/>
      <c r="EE786" s="52"/>
      <c r="EF786" s="52"/>
      <c r="EG786" s="52"/>
      <c r="EH786" s="52"/>
      <c r="EI786" s="52"/>
      <c r="EJ786" s="52"/>
      <c r="EK786" s="52"/>
      <c r="EL786" s="52"/>
      <c r="EM786" s="52"/>
      <c r="EN786" s="52"/>
      <c r="EO786" s="52"/>
      <c r="EP786" s="52"/>
      <c r="EQ786" s="52"/>
      <c r="ER786" s="52"/>
      <c r="ES786" s="52"/>
    </row>
    <row r="787" spans="1:149" ht="11.25">
      <c r="A787" s="1"/>
      <c r="B787" s="1"/>
      <c r="C787" s="1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103"/>
      <c r="O787" s="103"/>
      <c r="P787" s="103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  <c r="AC787" s="52"/>
      <c r="AD787" s="52"/>
      <c r="AE787" s="52"/>
      <c r="AF787" s="52"/>
      <c r="AG787" s="52"/>
      <c r="AH787" s="52"/>
      <c r="AI787" s="52"/>
      <c r="AJ787" s="52"/>
      <c r="AK787" s="52"/>
      <c r="AL787" s="52"/>
      <c r="AM787" s="52"/>
      <c r="AN787" s="52"/>
      <c r="AO787" s="52"/>
      <c r="AP787" s="52"/>
      <c r="AQ787" s="52"/>
      <c r="AR787" s="52"/>
      <c r="AS787" s="52"/>
      <c r="AT787" s="52"/>
      <c r="AU787" s="52"/>
      <c r="AV787" s="52"/>
      <c r="AW787" s="52"/>
      <c r="AX787" s="52"/>
      <c r="AY787" s="52"/>
      <c r="AZ787" s="52"/>
      <c r="BA787" s="52"/>
      <c r="BB787" s="52"/>
      <c r="BC787" s="52"/>
      <c r="BD787" s="52"/>
      <c r="BE787" s="52"/>
      <c r="BF787" s="52"/>
      <c r="BG787" s="52"/>
      <c r="BH787" s="52"/>
      <c r="BI787" s="52"/>
      <c r="BJ787" s="52"/>
      <c r="BK787" s="52"/>
      <c r="BL787" s="52"/>
      <c r="BM787" s="52"/>
      <c r="BN787" s="52"/>
      <c r="BO787" s="52"/>
      <c r="BP787" s="52"/>
      <c r="BQ787" s="52"/>
      <c r="BR787" s="52"/>
      <c r="BS787" s="52"/>
      <c r="BT787" s="52"/>
      <c r="BU787" s="52"/>
      <c r="BV787" s="52"/>
      <c r="BW787" s="52"/>
      <c r="BX787" s="52"/>
      <c r="BY787" s="52"/>
      <c r="BZ787" s="52"/>
      <c r="CA787" s="52"/>
      <c r="CB787" s="52"/>
      <c r="CC787" s="52"/>
      <c r="CD787" s="52"/>
      <c r="CE787" s="52"/>
      <c r="CF787" s="52"/>
      <c r="CG787" s="52"/>
      <c r="CH787" s="52"/>
      <c r="CI787" s="52"/>
      <c r="CJ787" s="52"/>
      <c r="CK787" s="52"/>
      <c r="CL787" s="52"/>
      <c r="CM787" s="52"/>
      <c r="CN787" s="52"/>
      <c r="CO787" s="52"/>
      <c r="CP787" s="52"/>
      <c r="CQ787" s="52"/>
      <c r="CR787" s="52"/>
      <c r="CS787" s="52"/>
      <c r="CT787" s="52"/>
      <c r="CU787" s="52"/>
      <c r="CV787" s="52"/>
      <c r="CW787" s="52"/>
      <c r="CX787" s="52"/>
      <c r="CY787" s="52"/>
      <c r="CZ787" s="52"/>
      <c r="DA787" s="52"/>
      <c r="DB787" s="52"/>
      <c r="DC787" s="52"/>
      <c r="DD787" s="52"/>
      <c r="DE787" s="52"/>
      <c r="DF787" s="52"/>
      <c r="DG787" s="52"/>
      <c r="DH787" s="52"/>
      <c r="DI787" s="52"/>
      <c r="DJ787" s="52"/>
      <c r="DK787" s="52"/>
      <c r="DL787" s="52"/>
      <c r="DM787" s="52"/>
      <c r="DN787" s="52"/>
      <c r="DO787" s="52"/>
      <c r="DP787" s="52"/>
      <c r="DQ787" s="52"/>
      <c r="DR787" s="52"/>
      <c r="DS787" s="52"/>
      <c r="DT787" s="52"/>
      <c r="DU787" s="52"/>
      <c r="DV787" s="52"/>
      <c r="DW787" s="52"/>
      <c r="DX787" s="52"/>
      <c r="DY787" s="52"/>
      <c r="DZ787" s="52"/>
      <c r="EA787" s="52"/>
      <c r="EB787" s="52"/>
      <c r="EC787" s="52"/>
      <c r="ED787" s="52"/>
      <c r="EE787" s="52"/>
      <c r="EF787" s="52"/>
      <c r="EG787" s="52"/>
      <c r="EH787" s="52"/>
      <c r="EI787" s="52"/>
      <c r="EJ787" s="52"/>
      <c r="EK787" s="52"/>
      <c r="EL787" s="52"/>
      <c r="EM787" s="52"/>
      <c r="EN787" s="52"/>
      <c r="EO787" s="52"/>
      <c r="EP787" s="52"/>
      <c r="EQ787" s="52"/>
      <c r="ER787" s="52"/>
      <c r="ES787" s="52"/>
    </row>
    <row r="788" spans="1:149" ht="11.25">
      <c r="A788" s="1"/>
      <c r="B788" s="1"/>
      <c r="C788" s="1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103"/>
      <c r="O788" s="103"/>
      <c r="P788" s="103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  <c r="AC788" s="52"/>
      <c r="AD788" s="52"/>
      <c r="AE788" s="52"/>
      <c r="AF788" s="52"/>
      <c r="AG788" s="52"/>
      <c r="AH788" s="52"/>
      <c r="AI788" s="52"/>
      <c r="AJ788" s="52"/>
      <c r="AK788" s="52"/>
      <c r="AL788" s="52"/>
      <c r="AM788" s="52"/>
      <c r="AN788" s="52"/>
      <c r="AO788" s="52"/>
      <c r="AP788" s="52"/>
      <c r="AQ788" s="52"/>
      <c r="AR788" s="52"/>
      <c r="AS788" s="52"/>
      <c r="AT788" s="52"/>
      <c r="AU788" s="52"/>
      <c r="AV788" s="52"/>
      <c r="AW788" s="52"/>
      <c r="AX788" s="52"/>
      <c r="AY788" s="52"/>
      <c r="AZ788" s="52"/>
      <c r="BA788" s="52"/>
      <c r="BB788" s="52"/>
      <c r="BC788" s="52"/>
      <c r="BD788" s="52"/>
      <c r="BE788" s="52"/>
      <c r="BF788" s="52"/>
      <c r="BG788" s="52"/>
      <c r="BH788" s="52"/>
      <c r="BI788" s="52"/>
      <c r="BJ788" s="52"/>
      <c r="BK788" s="52"/>
      <c r="BL788" s="52"/>
      <c r="BM788" s="52"/>
      <c r="BN788" s="52"/>
      <c r="BO788" s="52"/>
      <c r="BP788" s="52"/>
      <c r="BQ788" s="52"/>
      <c r="BR788" s="52"/>
      <c r="BS788" s="52"/>
      <c r="BT788" s="52"/>
      <c r="BU788" s="52"/>
      <c r="BV788" s="52"/>
      <c r="BW788" s="52"/>
      <c r="BX788" s="52"/>
      <c r="BY788" s="52"/>
      <c r="BZ788" s="52"/>
      <c r="CA788" s="52"/>
      <c r="CB788" s="52"/>
      <c r="CC788" s="52"/>
      <c r="CD788" s="52"/>
      <c r="CE788" s="52"/>
      <c r="CF788" s="52"/>
      <c r="CG788" s="52"/>
      <c r="CH788" s="52"/>
      <c r="CI788" s="52"/>
      <c r="CJ788" s="52"/>
      <c r="CK788" s="52"/>
      <c r="CL788" s="52"/>
      <c r="CM788" s="52"/>
      <c r="CN788" s="52"/>
      <c r="CO788" s="52"/>
      <c r="CP788" s="52"/>
      <c r="CQ788" s="52"/>
      <c r="CR788" s="52"/>
      <c r="CS788" s="52"/>
      <c r="CT788" s="52"/>
      <c r="CU788" s="52"/>
      <c r="CV788" s="52"/>
      <c r="CW788" s="52"/>
      <c r="CX788" s="52"/>
      <c r="CY788" s="52"/>
      <c r="CZ788" s="52"/>
      <c r="DA788" s="52"/>
      <c r="DB788" s="52"/>
      <c r="DC788" s="52"/>
      <c r="DD788" s="52"/>
      <c r="DE788" s="52"/>
      <c r="DF788" s="52"/>
      <c r="DG788" s="52"/>
      <c r="DH788" s="52"/>
      <c r="DI788" s="52"/>
      <c r="DJ788" s="52"/>
      <c r="DK788" s="52"/>
      <c r="DL788" s="52"/>
      <c r="DM788" s="52"/>
      <c r="DN788" s="52"/>
      <c r="DO788" s="52"/>
      <c r="DP788" s="52"/>
      <c r="DQ788" s="52"/>
      <c r="DR788" s="52"/>
      <c r="DS788" s="52"/>
      <c r="DT788" s="52"/>
      <c r="DU788" s="52"/>
      <c r="DV788" s="52"/>
      <c r="DW788" s="52"/>
      <c r="DX788" s="52"/>
      <c r="DY788" s="52"/>
      <c r="DZ788" s="52"/>
      <c r="EA788" s="52"/>
      <c r="EB788" s="52"/>
      <c r="EC788" s="52"/>
      <c r="ED788" s="52"/>
      <c r="EE788" s="52"/>
      <c r="EF788" s="52"/>
      <c r="EG788" s="52"/>
      <c r="EH788" s="52"/>
      <c r="EI788" s="52"/>
      <c r="EJ788" s="52"/>
      <c r="EK788" s="52"/>
      <c r="EL788" s="52"/>
      <c r="EM788" s="52"/>
      <c r="EN788" s="52"/>
      <c r="EO788" s="52"/>
      <c r="EP788" s="52"/>
      <c r="EQ788" s="52"/>
      <c r="ER788" s="52"/>
      <c r="ES788" s="52"/>
    </row>
    <row r="789" spans="1:149" ht="11.25">
      <c r="A789" s="1"/>
      <c r="B789" s="1"/>
      <c r="C789" s="1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103"/>
      <c r="O789" s="103"/>
      <c r="P789" s="103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  <c r="AC789" s="52"/>
      <c r="AD789" s="52"/>
      <c r="AE789" s="52"/>
      <c r="AF789" s="52"/>
      <c r="AG789" s="52"/>
      <c r="AH789" s="52"/>
      <c r="AI789" s="52"/>
      <c r="AJ789" s="52"/>
      <c r="AK789" s="52"/>
      <c r="AL789" s="52"/>
      <c r="AM789" s="52"/>
      <c r="AN789" s="52"/>
      <c r="AO789" s="52"/>
      <c r="AP789" s="52"/>
      <c r="AQ789" s="52"/>
      <c r="AR789" s="52"/>
      <c r="AS789" s="52"/>
      <c r="AT789" s="52"/>
      <c r="AU789" s="52"/>
      <c r="AV789" s="52"/>
      <c r="AW789" s="52"/>
      <c r="AX789" s="52"/>
      <c r="AY789" s="52"/>
      <c r="AZ789" s="52"/>
      <c r="BA789" s="52"/>
      <c r="BB789" s="52"/>
      <c r="BC789" s="52"/>
      <c r="BD789" s="52"/>
      <c r="BE789" s="52"/>
      <c r="BF789" s="52"/>
      <c r="BG789" s="52"/>
      <c r="BH789" s="52"/>
      <c r="BI789" s="52"/>
      <c r="BJ789" s="52"/>
      <c r="BK789" s="52"/>
      <c r="BL789" s="52"/>
      <c r="BM789" s="52"/>
      <c r="BN789" s="52"/>
      <c r="BO789" s="52"/>
      <c r="BP789" s="52"/>
      <c r="BQ789" s="52"/>
      <c r="BR789" s="52"/>
      <c r="BS789" s="52"/>
      <c r="BT789" s="52"/>
      <c r="BU789" s="52"/>
      <c r="BV789" s="52"/>
      <c r="BW789" s="52"/>
      <c r="BX789" s="52"/>
      <c r="BY789" s="52"/>
      <c r="BZ789" s="52"/>
      <c r="CA789" s="52"/>
      <c r="CB789" s="52"/>
      <c r="CC789" s="52"/>
      <c r="CD789" s="52"/>
      <c r="CE789" s="52"/>
      <c r="CF789" s="52"/>
      <c r="CG789" s="52"/>
      <c r="CH789" s="52"/>
      <c r="CI789" s="52"/>
      <c r="CJ789" s="52"/>
      <c r="CK789" s="52"/>
      <c r="CL789" s="52"/>
      <c r="CM789" s="52"/>
      <c r="CN789" s="52"/>
      <c r="CO789" s="52"/>
      <c r="CP789" s="52"/>
      <c r="CQ789" s="52"/>
      <c r="CR789" s="52"/>
      <c r="CS789" s="52"/>
      <c r="CT789" s="52"/>
      <c r="CU789" s="52"/>
      <c r="CV789" s="52"/>
      <c r="CW789" s="52"/>
      <c r="CX789" s="52"/>
      <c r="CY789" s="52"/>
      <c r="CZ789" s="52"/>
      <c r="DA789" s="52"/>
      <c r="DB789" s="52"/>
      <c r="DC789" s="52"/>
      <c r="DD789" s="52"/>
      <c r="DE789" s="52"/>
      <c r="DF789" s="52"/>
      <c r="DG789" s="52"/>
      <c r="DH789" s="52"/>
      <c r="DI789" s="52"/>
      <c r="DJ789" s="52"/>
      <c r="DK789" s="52"/>
      <c r="DL789" s="52"/>
      <c r="DM789" s="52"/>
      <c r="DN789" s="52"/>
      <c r="DO789" s="52"/>
      <c r="DP789" s="52"/>
      <c r="DQ789" s="52"/>
      <c r="DR789" s="52"/>
      <c r="DS789" s="52"/>
      <c r="DT789" s="52"/>
      <c r="DU789" s="52"/>
      <c r="DV789" s="52"/>
      <c r="DW789" s="52"/>
      <c r="DX789" s="52"/>
      <c r="DY789" s="52"/>
      <c r="DZ789" s="52"/>
      <c r="EA789" s="52"/>
      <c r="EB789" s="52"/>
      <c r="EC789" s="52"/>
      <c r="ED789" s="52"/>
      <c r="EE789" s="52"/>
      <c r="EF789" s="52"/>
      <c r="EG789" s="52"/>
      <c r="EH789" s="52"/>
      <c r="EI789" s="52"/>
      <c r="EJ789" s="52"/>
      <c r="EK789" s="52"/>
      <c r="EL789" s="52"/>
      <c r="EM789" s="52"/>
      <c r="EN789" s="52"/>
      <c r="EO789" s="52"/>
      <c r="EP789" s="52"/>
      <c r="EQ789" s="52"/>
      <c r="ER789" s="52"/>
      <c r="ES789" s="52"/>
    </row>
    <row r="790" spans="1:149" ht="11.25">
      <c r="A790" s="1"/>
      <c r="B790" s="1"/>
      <c r="C790" s="1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103"/>
      <c r="O790" s="103"/>
      <c r="P790" s="103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  <c r="AC790" s="52"/>
      <c r="AD790" s="52"/>
      <c r="AE790" s="52"/>
      <c r="AF790" s="52"/>
      <c r="AG790" s="52"/>
      <c r="AH790" s="52"/>
      <c r="AI790" s="52"/>
      <c r="AJ790" s="52"/>
      <c r="AK790" s="52"/>
      <c r="AL790" s="52"/>
      <c r="AM790" s="52"/>
      <c r="AN790" s="52"/>
      <c r="AO790" s="52"/>
      <c r="AP790" s="52"/>
      <c r="AQ790" s="52"/>
      <c r="AR790" s="52"/>
      <c r="AS790" s="52"/>
      <c r="AT790" s="52"/>
      <c r="AU790" s="52"/>
      <c r="AV790" s="52"/>
      <c r="AW790" s="52"/>
      <c r="AX790" s="52"/>
      <c r="AY790" s="52"/>
      <c r="AZ790" s="52"/>
      <c r="BA790" s="52"/>
      <c r="BB790" s="52"/>
      <c r="BC790" s="52"/>
      <c r="BD790" s="52"/>
      <c r="BE790" s="52"/>
      <c r="BF790" s="52"/>
      <c r="BG790" s="52"/>
      <c r="BH790" s="52"/>
      <c r="BI790" s="52"/>
      <c r="BJ790" s="52"/>
      <c r="BK790" s="52"/>
      <c r="BL790" s="52"/>
      <c r="BM790" s="52"/>
      <c r="BN790" s="52"/>
      <c r="BO790" s="52"/>
      <c r="BP790" s="52"/>
      <c r="BQ790" s="52"/>
      <c r="BR790" s="52"/>
      <c r="BS790" s="52"/>
      <c r="BT790" s="52"/>
      <c r="BU790" s="52"/>
      <c r="BV790" s="52"/>
      <c r="BW790" s="52"/>
      <c r="BX790" s="52"/>
      <c r="BY790" s="52"/>
      <c r="BZ790" s="52"/>
      <c r="CA790" s="52"/>
      <c r="CB790" s="52"/>
      <c r="CC790" s="52"/>
      <c r="CD790" s="52"/>
      <c r="CE790" s="52"/>
      <c r="CF790" s="52"/>
      <c r="CG790" s="52"/>
      <c r="CH790" s="52"/>
      <c r="CI790" s="52"/>
      <c r="CJ790" s="52"/>
      <c r="CK790" s="52"/>
      <c r="CL790" s="52"/>
      <c r="CM790" s="52"/>
      <c r="CN790" s="52"/>
      <c r="CO790" s="52"/>
      <c r="CP790" s="52"/>
      <c r="CQ790" s="52"/>
      <c r="CR790" s="52"/>
      <c r="CS790" s="52"/>
      <c r="CT790" s="52"/>
      <c r="CU790" s="52"/>
      <c r="CV790" s="52"/>
      <c r="CW790" s="52"/>
      <c r="CX790" s="52"/>
      <c r="CY790" s="52"/>
      <c r="CZ790" s="52"/>
      <c r="DA790" s="52"/>
      <c r="DB790" s="52"/>
      <c r="DC790" s="52"/>
      <c r="DD790" s="52"/>
      <c r="DE790" s="52"/>
      <c r="DF790" s="52"/>
      <c r="DG790" s="52"/>
      <c r="DH790" s="52"/>
      <c r="DI790" s="52"/>
      <c r="DJ790" s="52"/>
      <c r="DK790" s="52"/>
      <c r="DL790" s="52"/>
      <c r="DM790" s="52"/>
      <c r="DN790" s="52"/>
      <c r="DO790" s="52"/>
      <c r="DP790" s="52"/>
      <c r="DQ790" s="52"/>
      <c r="DR790" s="52"/>
      <c r="DS790" s="52"/>
      <c r="DT790" s="52"/>
      <c r="DU790" s="52"/>
      <c r="DV790" s="52"/>
      <c r="DW790" s="52"/>
      <c r="DX790" s="52"/>
      <c r="DY790" s="52"/>
      <c r="DZ790" s="52"/>
      <c r="EA790" s="52"/>
      <c r="EB790" s="52"/>
      <c r="EC790" s="52"/>
      <c r="ED790" s="52"/>
      <c r="EE790" s="52"/>
      <c r="EF790" s="52"/>
      <c r="EG790" s="52"/>
      <c r="EH790" s="52"/>
      <c r="EI790" s="52"/>
      <c r="EJ790" s="52"/>
      <c r="EK790" s="52"/>
      <c r="EL790" s="52"/>
      <c r="EM790" s="52"/>
      <c r="EN790" s="52"/>
      <c r="EO790" s="52"/>
      <c r="EP790" s="52"/>
      <c r="EQ790" s="52"/>
      <c r="ER790" s="52"/>
      <c r="ES790" s="52"/>
    </row>
    <row r="791" spans="1:149" ht="11.25">
      <c r="A791" s="1"/>
      <c r="B791" s="1"/>
      <c r="C791" s="1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103"/>
      <c r="O791" s="103"/>
      <c r="P791" s="103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  <c r="AC791" s="52"/>
      <c r="AD791" s="52"/>
      <c r="AE791" s="52"/>
      <c r="AF791" s="52"/>
      <c r="AG791" s="52"/>
      <c r="AH791" s="52"/>
      <c r="AI791" s="52"/>
      <c r="AJ791" s="52"/>
      <c r="AK791" s="52"/>
      <c r="AL791" s="52"/>
      <c r="AM791" s="52"/>
      <c r="AN791" s="52"/>
      <c r="AO791" s="52"/>
      <c r="AP791" s="52"/>
      <c r="AQ791" s="52"/>
      <c r="AR791" s="52"/>
      <c r="AS791" s="52"/>
      <c r="AT791" s="52"/>
      <c r="AU791" s="52"/>
      <c r="AV791" s="52"/>
      <c r="AW791" s="52"/>
      <c r="AX791" s="52"/>
      <c r="AY791" s="52"/>
      <c r="AZ791" s="52"/>
      <c r="BA791" s="52"/>
      <c r="BB791" s="52"/>
      <c r="BC791" s="52"/>
      <c r="BD791" s="52"/>
      <c r="BE791" s="52"/>
      <c r="BF791" s="52"/>
      <c r="BG791" s="52"/>
      <c r="BH791" s="52"/>
      <c r="BI791" s="52"/>
      <c r="BJ791" s="52"/>
      <c r="BK791" s="52"/>
      <c r="BL791" s="52"/>
      <c r="BM791" s="52"/>
      <c r="BN791" s="52"/>
      <c r="BO791" s="52"/>
      <c r="BP791" s="52"/>
      <c r="BQ791" s="52"/>
      <c r="BR791" s="52"/>
      <c r="BS791" s="52"/>
      <c r="BT791" s="52"/>
      <c r="BU791" s="52"/>
      <c r="BV791" s="52"/>
      <c r="BW791" s="52"/>
      <c r="BX791" s="52"/>
      <c r="BY791" s="52"/>
      <c r="BZ791" s="52"/>
      <c r="CA791" s="52"/>
      <c r="CB791" s="52"/>
      <c r="CC791" s="52"/>
      <c r="CD791" s="52"/>
      <c r="CE791" s="52"/>
      <c r="CF791" s="52"/>
      <c r="CG791" s="52"/>
      <c r="CH791" s="52"/>
      <c r="CI791" s="52"/>
      <c r="CJ791" s="52"/>
      <c r="CK791" s="52"/>
      <c r="CL791" s="52"/>
      <c r="CM791" s="52"/>
      <c r="CN791" s="52"/>
      <c r="CO791" s="52"/>
      <c r="CP791" s="52"/>
      <c r="CQ791" s="52"/>
      <c r="CR791" s="52"/>
      <c r="CS791" s="52"/>
      <c r="CT791" s="52"/>
      <c r="CU791" s="52"/>
      <c r="CV791" s="52"/>
      <c r="CW791" s="52"/>
      <c r="CX791" s="52"/>
      <c r="CY791" s="52"/>
      <c r="CZ791" s="52"/>
      <c r="DA791" s="52"/>
      <c r="DB791" s="52"/>
      <c r="DC791" s="52"/>
      <c r="DD791" s="52"/>
      <c r="DE791" s="52"/>
      <c r="DF791" s="52"/>
      <c r="DG791" s="52"/>
      <c r="DH791" s="52"/>
      <c r="DI791" s="52"/>
      <c r="DJ791" s="52"/>
      <c r="DK791" s="52"/>
      <c r="DL791" s="52"/>
      <c r="DM791" s="52"/>
      <c r="DN791" s="52"/>
      <c r="DO791" s="52"/>
      <c r="DP791" s="52"/>
      <c r="DQ791" s="52"/>
      <c r="DR791" s="52"/>
      <c r="DS791" s="52"/>
      <c r="DT791" s="52"/>
      <c r="DU791" s="52"/>
      <c r="DV791" s="52"/>
      <c r="DW791" s="52"/>
      <c r="DX791" s="52"/>
      <c r="DY791" s="52"/>
      <c r="DZ791" s="52"/>
      <c r="EA791" s="52"/>
      <c r="EB791" s="52"/>
      <c r="EC791" s="52"/>
      <c r="ED791" s="52"/>
      <c r="EE791" s="52"/>
      <c r="EF791" s="52"/>
      <c r="EG791" s="52"/>
      <c r="EH791" s="52"/>
      <c r="EI791" s="52"/>
      <c r="EJ791" s="52"/>
      <c r="EK791" s="52"/>
      <c r="EL791" s="52"/>
      <c r="EM791" s="52"/>
      <c r="EN791" s="52"/>
      <c r="EO791" s="52"/>
      <c r="EP791" s="52"/>
      <c r="EQ791" s="52"/>
      <c r="ER791" s="52"/>
      <c r="ES791" s="52"/>
    </row>
    <row r="792" spans="1:149" ht="11.25">
      <c r="A792" s="1"/>
      <c r="B792" s="1"/>
      <c r="C792" s="1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103"/>
      <c r="O792" s="103"/>
      <c r="P792" s="103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  <c r="AC792" s="52"/>
      <c r="AD792" s="52"/>
      <c r="AE792" s="52"/>
      <c r="AF792" s="52"/>
      <c r="AG792" s="52"/>
      <c r="AH792" s="52"/>
      <c r="AI792" s="52"/>
      <c r="AJ792" s="52"/>
      <c r="AK792" s="52"/>
      <c r="AL792" s="52"/>
      <c r="AM792" s="52"/>
      <c r="AN792" s="52"/>
      <c r="AO792" s="52"/>
      <c r="AP792" s="52"/>
      <c r="AQ792" s="52"/>
      <c r="AR792" s="52"/>
      <c r="AS792" s="52"/>
      <c r="AT792" s="52"/>
      <c r="AU792" s="52"/>
      <c r="AV792" s="52"/>
      <c r="AW792" s="52"/>
      <c r="AX792" s="52"/>
      <c r="AY792" s="52"/>
      <c r="AZ792" s="52"/>
      <c r="BA792" s="52"/>
      <c r="BB792" s="52"/>
      <c r="BC792" s="52"/>
      <c r="BD792" s="52"/>
      <c r="BE792" s="52"/>
      <c r="BF792" s="52"/>
      <c r="BG792" s="52"/>
      <c r="BH792" s="52"/>
      <c r="BI792" s="52"/>
      <c r="BJ792" s="52"/>
      <c r="BK792" s="52"/>
      <c r="BL792" s="52"/>
      <c r="BM792" s="52"/>
      <c r="BN792" s="52"/>
      <c r="BO792" s="52"/>
      <c r="BP792" s="52"/>
      <c r="BQ792" s="52"/>
      <c r="BR792" s="52"/>
      <c r="BS792" s="52"/>
      <c r="BT792" s="52"/>
      <c r="BU792" s="52"/>
      <c r="BV792" s="52"/>
      <c r="BW792" s="52"/>
      <c r="BX792" s="52"/>
      <c r="BY792" s="52"/>
      <c r="BZ792" s="52"/>
      <c r="CA792" s="52"/>
      <c r="CB792" s="52"/>
      <c r="CC792" s="52"/>
      <c r="CD792" s="52"/>
      <c r="CE792" s="52"/>
      <c r="CF792" s="52"/>
      <c r="CG792" s="52"/>
      <c r="CH792" s="52"/>
      <c r="CI792" s="52"/>
      <c r="CJ792" s="52"/>
      <c r="CK792" s="52"/>
      <c r="CL792" s="52"/>
      <c r="CM792" s="52"/>
      <c r="CN792" s="52"/>
      <c r="CO792" s="52"/>
      <c r="CP792" s="52"/>
      <c r="CQ792" s="52"/>
      <c r="CR792" s="52"/>
      <c r="CS792" s="52"/>
      <c r="CT792" s="52"/>
      <c r="CU792" s="52"/>
      <c r="CV792" s="52"/>
      <c r="CW792" s="52"/>
      <c r="CX792" s="52"/>
      <c r="CY792" s="52"/>
      <c r="CZ792" s="52"/>
      <c r="DA792" s="52"/>
      <c r="DB792" s="52"/>
      <c r="DC792" s="52"/>
      <c r="DD792" s="52"/>
      <c r="DE792" s="52"/>
      <c r="DF792" s="52"/>
      <c r="DG792" s="52"/>
      <c r="DH792" s="52"/>
      <c r="DI792" s="52"/>
      <c r="DJ792" s="52"/>
      <c r="DK792" s="52"/>
      <c r="DL792" s="52"/>
      <c r="DM792" s="52"/>
      <c r="DN792" s="52"/>
      <c r="DO792" s="52"/>
      <c r="DP792" s="52"/>
      <c r="DQ792" s="52"/>
      <c r="DR792" s="52"/>
      <c r="DS792" s="52"/>
      <c r="DT792" s="52"/>
      <c r="DU792" s="52"/>
      <c r="DV792" s="52"/>
      <c r="DW792" s="52"/>
      <c r="DX792" s="52"/>
      <c r="DY792" s="52"/>
      <c r="DZ792" s="52"/>
      <c r="EA792" s="52"/>
      <c r="EB792" s="52"/>
      <c r="EC792" s="52"/>
      <c r="ED792" s="52"/>
      <c r="EE792" s="52"/>
      <c r="EF792" s="52"/>
      <c r="EG792" s="52"/>
      <c r="EH792" s="52"/>
      <c r="EI792" s="52"/>
      <c r="EJ792" s="52"/>
      <c r="EK792" s="52"/>
      <c r="EL792" s="52"/>
      <c r="EM792" s="52"/>
      <c r="EN792" s="52"/>
      <c r="EO792" s="52"/>
      <c r="EP792" s="52"/>
      <c r="EQ792" s="52"/>
      <c r="ER792" s="52"/>
      <c r="ES792" s="52"/>
    </row>
    <row r="793" spans="1:149" ht="11.25">
      <c r="A793" s="1"/>
      <c r="B793" s="1"/>
      <c r="C793" s="1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103"/>
      <c r="O793" s="103"/>
      <c r="P793" s="103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  <c r="AC793" s="52"/>
      <c r="AD793" s="52"/>
      <c r="AE793" s="52"/>
      <c r="AF793" s="52"/>
      <c r="AG793" s="52"/>
      <c r="AH793" s="52"/>
      <c r="AI793" s="52"/>
      <c r="AJ793" s="52"/>
      <c r="AK793" s="52"/>
      <c r="AL793" s="52"/>
      <c r="AM793" s="52"/>
      <c r="AN793" s="52"/>
      <c r="AO793" s="52"/>
      <c r="AP793" s="52"/>
      <c r="AQ793" s="52"/>
      <c r="AR793" s="52"/>
      <c r="AS793" s="52"/>
      <c r="AT793" s="52"/>
      <c r="AU793" s="52"/>
      <c r="AV793" s="52"/>
      <c r="AW793" s="52"/>
      <c r="AX793" s="52"/>
      <c r="AY793" s="52"/>
      <c r="AZ793" s="52"/>
      <c r="BA793" s="52"/>
      <c r="BB793" s="52"/>
      <c r="BC793" s="52"/>
      <c r="BD793" s="52"/>
      <c r="BE793" s="52"/>
      <c r="BF793" s="52"/>
      <c r="BG793" s="52"/>
      <c r="BH793" s="52"/>
      <c r="BI793" s="52"/>
      <c r="BJ793" s="52"/>
      <c r="BK793" s="52"/>
      <c r="BL793" s="52"/>
      <c r="BM793" s="52"/>
      <c r="BN793" s="52"/>
      <c r="BO793" s="52"/>
      <c r="BP793" s="52"/>
      <c r="BQ793" s="52"/>
      <c r="BR793" s="52"/>
      <c r="BS793" s="52"/>
      <c r="BT793" s="52"/>
      <c r="BU793" s="52"/>
      <c r="BV793" s="52"/>
      <c r="BW793" s="52"/>
      <c r="BX793" s="52"/>
      <c r="BY793" s="52"/>
      <c r="BZ793" s="52"/>
      <c r="CA793" s="52"/>
      <c r="CB793" s="52"/>
      <c r="CC793" s="52"/>
      <c r="CD793" s="52"/>
      <c r="CE793" s="52"/>
      <c r="CF793" s="52"/>
      <c r="CG793" s="52"/>
      <c r="CH793" s="52"/>
      <c r="CI793" s="52"/>
      <c r="CJ793" s="52"/>
      <c r="CK793" s="52"/>
      <c r="CL793" s="52"/>
      <c r="CM793" s="52"/>
      <c r="CN793" s="52"/>
      <c r="CO793" s="52"/>
      <c r="CP793" s="52"/>
      <c r="CQ793" s="52"/>
      <c r="CR793" s="52"/>
      <c r="CS793" s="52"/>
      <c r="CT793" s="52"/>
      <c r="CU793" s="52"/>
      <c r="CV793" s="52"/>
      <c r="CW793" s="52"/>
      <c r="CX793" s="52"/>
      <c r="CY793" s="52"/>
      <c r="CZ793" s="52"/>
      <c r="DA793" s="52"/>
      <c r="DB793" s="52"/>
      <c r="DC793" s="52"/>
      <c r="DD793" s="52"/>
      <c r="DE793" s="52"/>
      <c r="DF793" s="52"/>
      <c r="DG793" s="52"/>
      <c r="DH793" s="52"/>
      <c r="DI793" s="52"/>
      <c r="DJ793" s="52"/>
      <c r="DK793" s="52"/>
      <c r="DL793" s="52"/>
      <c r="DM793" s="52"/>
      <c r="DN793" s="52"/>
      <c r="DO793" s="52"/>
      <c r="DP793" s="52"/>
      <c r="DQ793" s="52"/>
      <c r="DR793" s="52"/>
      <c r="DS793" s="52"/>
      <c r="DT793" s="52"/>
      <c r="DU793" s="52"/>
      <c r="DV793" s="52"/>
      <c r="DW793" s="52"/>
      <c r="DX793" s="52"/>
      <c r="DY793" s="52"/>
      <c r="DZ793" s="52"/>
      <c r="EA793" s="52"/>
      <c r="EB793" s="52"/>
      <c r="EC793" s="52"/>
      <c r="ED793" s="52"/>
      <c r="EE793" s="52"/>
      <c r="EF793" s="52"/>
      <c r="EG793" s="52"/>
      <c r="EH793" s="52"/>
      <c r="EI793" s="52"/>
      <c r="EJ793" s="52"/>
      <c r="EK793" s="52"/>
      <c r="EL793" s="52"/>
      <c r="EM793" s="52"/>
      <c r="EN793" s="52"/>
      <c r="EO793" s="52"/>
      <c r="EP793" s="52"/>
      <c r="EQ793" s="52"/>
      <c r="ER793" s="52"/>
      <c r="ES793" s="52"/>
    </row>
    <row r="794" spans="1:149" ht="11.25">
      <c r="A794" s="1"/>
      <c r="B794" s="1"/>
      <c r="C794" s="1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103"/>
      <c r="O794" s="103"/>
      <c r="P794" s="103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  <c r="AC794" s="52"/>
      <c r="AD794" s="52"/>
      <c r="AE794" s="52"/>
      <c r="AF794" s="52"/>
      <c r="AG794" s="52"/>
      <c r="AH794" s="52"/>
      <c r="AI794" s="52"/>
      <c r="AJ794" s="52"/>
      <c r="AK794" s="52"/>
      <c r="AL794" s="52"/>
      <c r="AM794" s="52"/>
      <c r="AN794" s="52"/>
      <c r="AO794" s="52"/>
      <c r="AP794" s="52"/>
      <c r="AQ794" s="52"/>
      <c r="AR794" s="52"/>
      <c r="AS794" s="52"/>
      <c r="AT794" s="52"/>
      <c r="AU794" s="52"/>
      <c r="AV794" s="52"/>
      <c r="AW794" s="52"/>
      <c r="AX794" s="52"/>
      <c r="AY794" s="52"/>
      <c r="AZ794" s="52"/>
      <c r="BA794" s="52"/>
      <c r="BB794" s="52"/>
      <c r="BC794" s="52"/>
      <c r="BD794" s="52"/>
      <c r="BE794" s="52"/>
      <c r="BF794" s="52"/>
      <c r="BG794" s="52"/>
      <c r="BH794" s="52"/>
      <c r="BI794" s="52"/>
      <c r="BJ794" s="52"/>
      <c r="BK794" s="52"/>
      <c r="BL794" s="52"/>
      <c r="BM794" s="52"/>
      <c r="BN794" s="52"/>
      <c r="BO794" s="52"/>
      <c r="BP794" s="52"/>
      <c r="BQ794" s="52"/>
      <c r="BR794" s="52"/>
      <c r="BS794" s="52"/>
      <c r="BT794" s="52"/>
      <c r="BU794" s="52"/>
      <c r="BV794" s="52"/>
      <c r="BW794" s="52"/>
      <c r="BX794" s="52"/>
      <c r="BY794" s="52"/>
      <c r="BZ794" s="52"/>
      <c r="CA794" s="52"/>
      <c r="CB794" s="52"/>
      <c r="CC794" s="52"/>
      <c r="CD794" s="52"/>
      <c r="CE794" s="52"/>
      <c r="CF794" s="52"/>
      <c r="CG794" s="52"/>
      <c r="CH794" s="52"/>
      <c r="CI794" s="52"/>
      <c r="CJ794" s="52"/>
      <c r="CK794" s="52"/>
      <c r="CL794" s="52"/>
      <c r="CM794" s="52"/>
      <c r="CN794" s="52"/>
      <c r="CO794" s="52"/>
      <c r="CP794" s="52"/>
      <c r="CQ794" s="52"/>
      <c r="CR794" s="52"/>
      <c r="CS794" s="52"/>
      <c r="CT794" s="52"/>
      <c r="CU794" s="52"/>
      <c r="CV794" s="52"/>
      <c r="CW794" s="52"/>
      <c r="CX794" s="52"/>
      <c r="CY794" s="52"/>
      <c r="CZ794" s="52"/>
      <c r="DA794" s="52"/>
      <c r="DB794" s="52"/>
      <c r="DC794" s="52"/>
      <c r="DD794" s="52"/>
      <c r="DE794" s="52"/>
      <c r="DF794" s="52"/>
      <c r="DG794" s="52"/>
      <c r="DH794" s="52"/>
      <c r="DI794" s="52"/>
      <c r="DJ794" s="52"/>
      <c r="DK794" s="52"/>
      <c r="DL794" s="52"/>
      <c r="DM794" s="52"/>
      <c r="DN794" s="52"/>
      <c r="DO794" s="52"/>
      <c r="DP794" s="52"/>
      <c r="DQ794" s="52"/>
      <c r="DR794" s="52"/>
      <c r="DS794" s="52"/>
      <c r="DT794" s="52"/>
      <c r="DU794" s="52"/>
      <c r="DV794" s="52"/>
      <c r="DW794" s="52"/>
      <c r="DX794" s="52"/>
      <c r="DY794" s="52"/>
      <c r="DZ794" s="52"/>
      <c r="EA794" s="52"/>
      <c r="EB794" s="52"/>
      <c r="EC794" s="52"/>
      <c r="ED794" s="52"/>
      <c r="EE794" s="52"/>
      <c r="EF794" s="52"/>
      <c r="EG794" s="52"/>
      <c r="EH794" s="52"/>
      <c r="EI794" s="52"/>
      <c r="EJ794" s="52"/>
      <c r="EK794" s="52"/>
      <c r="EL794" s="52"/>
      <c r="EM794" s="52"/>
      <c r="EN794" s="52"/>
      <c r="EO794" s="52"/>
      <c r="EP794" s="52"/>
      <c r="EQ794" s="52"/>
      <c r="ER794" s="52"/>
      <c r="ES794" s="52"/>
    </row>
    <row r="795" spans="1:149" ht="11.25">
      <c r="A795" s="1"/>
      <c r="B795" s="1"/>
      <c r="C795" s="1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103"/>
      <c r="O795" s="103"/>
      <c r="P795" s="103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  <c r="AC795" s="52"/>
      <c r="AD795" s="52"/>
      <c r="AE795" s="52"/>
      <c r="AF795" s="52"/>
      <c r="AG795" s="52"/>
      <c r="AH795" s="52"/>
      <c r="AI795" s="52"/>
      <c r="AJ795" s="52"/>
      <c r="AK795" s="52"/>
      <c r="AL795" s="52"/>
      <c r="AM795" s="52"/>
      <c r="AN795" s="52"/>
      <c r="AO795" s="52"/>
      <c r="AP795" s="52"/>
      <c r="AQ795" s="52"/>
      <c r="AR795" s="52"/>
      <c r="AS795" s="52"/>
      <c r="AT795" s="52"/>
      <c r="AU795" s="52"/>
      <c r="AV795" s="52"/>
      <c r="AW795" s="52"/>
      <c r="AX795" s="52"/>
      <c r="AY795" s="52"/>
      <c r="AZ795" s="52"/>
      <c r="BA795" s="52"/>
      <c r="BB795" s="52"/>
      <c r="BC795" s="52"/>
      <c r="BD795" s="52"/>
      <c r="BE795" s="52"/>
      <c r="BF795" s="52"/>
      <c r="BG795" s="52"/>
      <c r="BH795" s="52"/>
      <c r="BI795" s="52"/>
      <c r="BJ795" s="52"/>
      <c r="BK795" s="52"/>
      <c r="BL795" s="52"/>
      <c r="BM795" s="52"/>
      <c r="BN795" s="52"/>
      <c r="BO795" s="52"/>
      <c r="BP795" s="52"/>
      <c r="BQ795" s="52"/>
      <c r="BR795" s="52"/>
      <c r="BS795" s="52"/>
      <c r="BT795" s="52"/>
      <c r="BU795" s="52"/>
      <c r="BV795" s="52"/>
      <c r="BW795" s="52"/>
      <c r="BX795" s="52"/>
      <c r="BY795" s="52"/>
      <c r="BZ795" s="52"/>
      <c r="CA795" s="52"/>
      <c r="CB795" s="52"/>
      <c r="CC795" s="52"/>
      <c r="CD795" s="52"/>
      <c r="CE795" s="52"/>
      <c r="CF795" s="52"/>
      <c r="CG795" s="52"/>
      <c r="CH795" s="52"/>
      <c r="CI795" s="52"/>
      <c r="CJ795" s="52"/>
      <c r="CK795" s="52"/>
      <c r="CL795" s="52"/>
      <c r="CM795" s="52"/>
      <c r="CN795" s="52"/>
      <c r="CO795" s="52"/>
      <c r="CP795" s="52"/>
      <c r="CQ795" s="52"/>
      <c r="CR795" s="52"/>
      <c r="CS795" s="52"/>
      <c r="CT795" s="52"/>
      <c r="CU795" s="52"/>
      <c r="CV795" s="52"/>
      <c r="CW795" s="52"/>
      <c r="CX795" s="52"/>
      <c r="CY795" s="52"/>
      <c r="CZ795" s="52"/>
      <c r="DA795" s="52"/>
      <c r="DB795" s="52"/>
      <c r="DC795" s="52"/>
      <c r="DD795" s="52"/>
      <c r="DE795" s="52"/>
      <c r="DF795" s="52"/>
      <c r="DG795" s="52"/>
      <c r="DH795" s="52"/>
      <c r="DI795" s="52"/>
      <c r="DJ795" s="52"/>
      <c r="DK795" s="52"/>
      <c r="DL795" s="52"/>
      <c r="DM795" s="52"/>
      <c r="DN795" s="52"/>
      <c r="DO795" s="52"/>
      <c r="DP795" s="52"/>
      <c r="DQ795" s="52"/>
      <c r="DR795" s="52"/>
      <c r="DS795" s="52"/>
      <c r="DT795" s="52"/>
      <c r="DU795" s="52"/>
      <c r="DV795" s="52"/>
      <c r="DW795" s="52"/>
      <c r="DX795" s="52"/>
      <c r="DY795" s="52"/>
      <c r="DZ795" s="52"/>
      <c r="EA795" s="52"/>
      <c r="EB795" s="52"/>
      <c r="EC795" s="52"/>
      <c r="ED795" s="52"/>
      <c r="EE795" s="52"/>
      <c r="EF795" s="52"/>
      <c r="EG795" s="52"/>
      <c r="EH795" s="52"/>
      <c r="EI795" s="52"/>
      <c r="EJ795" s="52"/>
      <c r="EK795" s="52"/>
      <c r="EL795" s="52"/>
      <c r="EM795" s="52"/>
      <c r="EN795" s="52"/>
      <c r="EO795" s="52"/>
      <c r="EP795" s="52"/>
      <c r="EQ795" s="52"/>
      <c r="ER795" s="52"/>
      <c r="ES795" s="52"/>
    </row>
    <row r="796" spans="1:149" ht="11.25">
      <c r="A796" s="1"/>
      <c r="B796" s="1"/>
      <c r="C796" s="1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103"/>
      <c r="O796" s="103"/>
      <c r="P796" s="103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  <c r="AC796" s="52"/>
      <c r="AD796" s="52"/>
      <c r="AE796" s="52"/>
      <c r="AF796" s="52"/>
      <c r="AG796" s="52"/>
      <c r="AH796" s="52"/>
      <c r="AI796" s="52"/>
      <c r="AJ796" s="52"/>
      <c r="AK796" s="52"/>
      <c r="AL796" s="52"/>
      <c r="AM796" s="52"/>
      <c r="AN796" s="52"/>
      <c r="AO796" s="52"/>
      <c r="AP796" s="52"/>
      <c r="AQ796" s="52"/>
      <c r="AR796" s="52"/>
      <c r="AS796" s="52"/>
      <c r="AT796" s="52"/>
      <c r="AU796" s="52"/>
      <c r="AV796" s="52"/>
      <c r="AW796" s="52"/>
      <c r="AX796" s="52"/>
      <c r="AY796" s="52"/>
      <c r="AZ796" s="52"/>
      <c r="BA796" s="52"/>
      <c r="BB796" s="52"/>
      <c r="BC796" s="52"/>
      <c r="BD796" s="52"/>
      <c r="BE796" s="52"/>
      <c r="BF796" s="52"/>
      <c r="BG796" s="52"/>
      <c r="BH796" s="52"/>
      <c r="BI796" s="52"/>
      <c r="BJ796" s="52"/>
      <c r="BK796" s="52"/>
      <c r="BL796" s="52"/>
      <c r="BM796" s="52"/>
      <c r="BN796" s="52"/>
      <c r="BO796" s="52"/>
      <c r="BP796" s="52"/>
      <c r="BQ796" s="52"/>
      <c r="BR796" s="52"/>
      <c r="BS796" s="52"/>
      <c r="BT796" s="52"/>
      <c r="BU796" s="52"/>
      <c r="BV796" s="52"/>
      <c r="BW796" s="52"/>
      <c r="BX796" s="52"/>
      <c r="BY796" s="52"/>
      <c r="BZ796" s="52"/>
      <c r="CA796" s="52"/>
      <c r="CB796" s="52"/>
      <c r="CC796" s="52"/>
      <c r="CD796" s="52"/>
      <c r="CE796" s="52"/>
      <c r="CF796" s="52"/>
      <c r="CG796" s="52"/>
      <c r="CH796" s="52"/>
      <c r="CI796" s="52"/>
      <c r="CJ796" s="52"/>
      <c r="CK796" s="52"/>
      <c r="CL796" s="52"/>
      <c r="CM796" s="52"/>
      <c r="CN796" s="52"/>
      <c r="CO796" s="52"/>
      <c r="CP796" s="52"/>
      <c r="CQ796" s="52"/>
      <c r="CR796" s="52"/>
      <c r="CS796" s="52"/>
      <c r="CT796" s="52"/>
      <c r="CU796" s="52"/>
      <c r="CV796" s="52"/>
      <c r="CW796" s="52"/>
      <c r="CX796" s="52"/>
      <c r="CY796" s="52"/>
      <c r="CZ796" s="52"/>
      <c r="DA796" s="52"/>
      <c r="DB796" s="52"/>
      <c r="DC796" s="52"/>
      <c r="DD796" s="52"/>
      <c r="DE796" s="52"/>
      <c r="DF796" s="52"/>
      <c r="DG796" s="52"/>
      <c r="DH796" s="52"/>
      <c r="DI796" s="52"/>
      <c r="DJ796" s="52"/>
      <c r="DK796" s="52"/>
      <c r="DL796" s="52"/>
      <c r="DM796" s="52"/>
      <c r="DN796" s="52"/>
      <c r="DO796" s="52"/>
      <c r="DP796" s="52"/>
      <c r="DQ796" s="52"/>
      <c r="DR796" s="52"/>
      <c r="DS796" s="52"/>
      <c r="DT796" s="52"/>
      <c r="DU796" s="52"/>
      <c r="DV796" s="52"/>
      <c r="DW796" s="52"/>
      <c r="DX796" s="52"/>
      <c r="DY796" s="52"/>
      <c r="DZ796" s="52"/>
      <c r="EA796" s="52"/>
      <c r="EB796" s="52"/>
      <c r="EC796" s="52"/>
      <c r="ED796" s="52"/>
      <c r="EE796" s="52"/>
      <c r="EF796" s="52"/>
      <c r="EG796" s="52"/>
      <c r="EH796" s="52"/>
      <c r="EI796" s="52"/>
      <c r="EJ796" s="52"/>
      <c r="EK796" s="52"/>
      <c r="EL796" s="52"/>
      <c r="EM796" s="52"/>
      <c r="EN796" s="52"/>
      <c r="EO796" s="52"/>
      <c r="EP796" s="52"/>
      <c r="EQ796" s="52"/>
      <c r="ER796" s="52"/>
      <c r="ES796" s="52"/>
    </row>
    <row r="797" spans="1:149" ht="11.25">
      <c r="A797" s="1"/>
      <c r="B797" s="1"/>
      <c r="C797" s="1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103"/>
      <c r="O797" s="103"/>
      <c r="P797" s="103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  <c r="AC797" s="52"/>
      <c r="AD797" s="52"/>
      <c r="AE797" s="52"/>
      <c r="AF797" s="52"/>
      <c r="AG797" s="52"/>
      <c r="AH797" s="52"/>
      <c r="AI797" s="52"/>
      <c r="AJ797" s="52"/>
      <c r="AK797" s="52"/>
      <c r="AL797" s="52"/>
      <c r="AM797" s="52"/>
      <c r="AN797" s="52"/>
      <c r="AO797" s="52"/>
      <c r="AP797" s="52"/>
      <c r="AQ797" s="52"/>
      <c r="AR797" s="52"/>
      <c r="AS797" s="52"/>
      <c r="AT797" s="52"/>
      <c r="AU797" s="52"/>
      <c r="AV797" s="52"/>
      <c r="AW797" s="52"/>
      <c r="AX797" s="52"/>
      <c r="AY797" s="52"/>
      <c r="AZ797" s="52"/>
      <c r="BA797" s="52"/>
      <c r="BB797" s="52"/>
      <c r="BC797" s="52"/>
      <c r="BD797" s="52"/>
      <c r="BE797" s="52"/>
      <c r="BF797" s="52"/>
      <c r="BG797" s="52"/>
      <c r="BH797" s="52"/>
      <c r="BI797" s="52"/>
      <c r="BJ797" s="52"/>
      <c r="BK797" s="52"/>
      <c r="BL797" s="52"/>
      <c r="BM797" s="52"/>
      <c r="BN797" s="52"/>
      <c r="BO797" s="52"/>
      <c r="BP797" s="52"/>
      <c r="BQ797" s="52"/>
      <c r="BR797" s="52"/>
      <c r="BS797" s="52"/>
      <c r="BT797" s="52"/>
      <c r="BU797" s="52"/>
      <c r="BV797" s="52"/>
      <c r="BW797" s="52"/>
      <c r="BX797" s="52"/>
      <c r="BY797" s="52"/>
      <c r="BZ797" s="52"/>
      <c r="CA797" s="52"/>
      <c r="CB797" s="52"/>
      <c r="CC797" s="52"/>
      <c r="CD797" s="52"/>
      <c r="CE797" s="52"/>
      <c r="CF797" s="52"/>
      <c r="CG797" s="52"/>
      <c r="CH797" s="52"/>
      <c r="CI797" s="52"/>
      <c r="CJ797" s="52"/>
      <c r="CK797" s="52"/>
      <c r="CL797" s="52"/>
      <c r="CM797" s="52"/>
      <c r="CN797" s="52"/>
      <c r="CO797" s="52"/>
      <c r="CP797" s="52"/>
      <c r="CQ797" s="52"/>
      <c r="CR797" s="52"/>
      <c r="CS797" s="52"/>
      <c r="CT797" s="52"/>
      <c r="CU797" s="52"/>
      <c r="CV797" s="52"/>
      <c r="CW797" s="52"/>
      <c r="CX797" s="52"/>
      <c r="CY797" s="52"/>
      <c r="CZ797" s="52"/>
      <c r="DA797" s="52"/>
      <c r="DB797" s="52"/>
      <c r="DC797" s="52"/>
      <c r="DD797" s="52"/>
      <c r="DE797" s="52"/>
      <c r="DF797" s="52"/>
      <c r="DG797" s="52"/>
      <c r="DH797" s="52"/>
      <c r="DI797" s="52"/>
      <c r="DJ797" s="52"/>
      <c r="DK797" s="52"/>
      <c r="DL797" s="52"/>
      <c r="DM797" s="52"/>
      <c r="DN797" s="52"/>
      <c r="DO797" s="52"/>
      <c r="DP797" s="52"/>
      <c r="DQ797" s="52"/>
      <c r="DR797" s="52"/>
      <c r="DS797" s="52"/>
      <c r="DT797" s="52"/>
      <c r="DU797" s="52"/>
      <c r="DV797" s="52"/>
      <c r="DW797" s="52"/>
      <c r="DX797" s="52"/>
      <c r="DY797" s="52"/>
      <c r="DZ797" s="52"/>
      <c r="EA797" s="52"/>
      <c r="EB797" s="52"/>
      <c r="EC797" s="52"/>
      <c r="ED797" s="52"/>
      <c r="EE797" s="52"/>
      <c r="EF797" s="52"/>
      <c r="EG797" s="52"/>
      <c r="EH797" s="52"/>
      <c r="EI797" s="52"/>
      <c r="EJ797" s="52"/>
      <c r="EK797" s="52"/>
      <c r="EL797" s="52"/>
      <c r="EM797" s="52"/>
      <c r="EN797" s="52"/>
      <c r="EO797" s="52"/>
      <c r="EP797" s="52"/>
      <c r="EQ797" s="52"/>
      <c r="ER797" s="52"/>
      <c r="ES797" s="52"/>
    </row>
    <row r="798" spans="1:149" ht="11.25">
      <c r="A798" s="1"/>
      <c r="B798" s="1"/>
      <c r="C798" s="1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103"/>
      <c r="O798" s="103"/>
      <c r="P798" s="103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  <c r="AC798" s="52"/>
      <c r="AD798" s="52"/>
      <c r="AE798" s="52"/>
      <c r="AF798" s="52"/>
      <c r="AG798" s="52"/>
      <c r="AH798" s="52"/>
      <c r="AI798" s="52"/>
      <c r="AJ798" s="52"/>
      <c r="AK798" s="52"/>
      <c r="AL798" s="52"/>
      <c r="AM798" s="52"/>
      <c r="AN798" s="52"/>
      <c r="AO798" s="52"/>
      <c r="AP798" s="52"/>
      <c r="AQ798" s="52"/>
      <c r="AR798" s="52"/>
      <c r="AS798" s="52"/>
      <c r="AT798" s="52"/>
      <c r="AU798" s="52"/>
      <c r="AV798" s="52"/>
      <c r="AW798" s="52"/>
      <c r="AX798" s="52"/>
      <c r="AY798" s="52"/>
      <c r="AZ798" s="52"/>
      <c r="BA798" s="52"/>
      <c r="BB798" s="52"/>
      <c r="BC798" s="52"/>
      <c r="BD798" s="52"/>
      <c r="BE798" s="52"/>
      <c r="BF798" s="52"/>
      <c r="BG798" s="52"/>
      <c r="BH798" s="52"/>
      <c r="BI798" s="52"/>
      <c r="BJ798" s="52"/>
      <c r="BK798" s="52"/>
      <c r="BL798" s="52"/>
      <c r="BM798" s="52"/>
      <c r="BN798" s="52"/>
      <c r="BO798" s="52"/>
      <c r="BP798" s="52"/>
      <c r="BQ798" s="52"/>
      <c r="BR798" s="52"/>
      <c r="BS798" s="52"/>
      <c r="BT798" s="52"/>
      <c r="BU798" s="52"/>
      <c r="BV798" s="52"/>
      <c r="BW798" s="52"/>
      <c r="BX798" s="52"/>
      <c r="BY798" s="52"/>
      <c r="BZ798" s="52"/>
      <c r="CA798" s="52"/>
      <c r="CB798" s="52"/>
      <c r="CC798" s="52"/>
      <c r="CD798" s="52"/>
      <c r="CE798" s="52"/>
      <c r="CF798" s="52"/>
      <c r="CG798" s="52"/>
      <c r="CH798" s="52"/>
      <c r="CI798" s="52"/>
      <c r="CJ798" s="52"/>
      <c r="CK798" s="52"/>
      <c r="CL798" s="52"/>
      <c r="CM798" s="52"/>
      <c r="CN798" s="52"/>
      <c r="CO798" s="52"/>
      <c r="CP798" s="52"/>
      <c r="CQ798" s="52"/>
      <c r="CR798" s="52"/>
      <c r="CS798" s="52"/>
      <c r="CT798" s="52"/>
      <c r="CU798" s="52"/>
      <c r="CV798" s="52"/>
      <c r="CW798" s="52"/>
      <c r="CX798" s="52"/>
      <c r="CY798" s="52"/>
      <c r="CZ798" s="52"/>
      <c r="DA798" s="52"/>
      <c r="DB798" s="52"/>
      <c r="DC798" s="52"/>
      <c r="DD798" s="52"/>
      <c r="DE798" s="52"/>
      <c r="DF798" s="52"/>
      <c r="DG798" s="52"/>
      <c r="DH798" s="52"/>
      <c r="DI798" s="52"/>
      <c r="DJ798" s="52"/>
      <c r="DK798" s="52"/>
      <c r="DL798" s="52"/>
      <c r="DM798" s="52"/>
      <c r="DN798" s="52"/>
      <c r="DO798" s="52"/>
      <c r="DP798" s="52"/>
      <c r="DQ798" s="52"/>
      <c r="DR798" s="52"/>
      <c r="DS798" s="52"/>
      <c r="DT798" s="52"/>
      <c r="DU798" s="52"/>
      <c r="DV798" s="52"/>
      <c r="DW798" s="52"/>
      <c r="DX798" s="52"/>
      <c r="DY798" s="52"/>
      <c r="DZ798" s="52"/>
      <c r="EA798" s="52"/>
      <c r="EB798" s="52"/>
      <c r="EC798" s="52"/>
      <c r="ED798" s="52"/>
      <c r="EE798" s="52"/>
      <c r="EF798" s="52"/>
      <c r="EG798" s="52"/>
      <c r="EH798" s="52"/>
      <c r="EI798" s="52"/>
      <c r="EJ798" s="52"/>
      <c r="EK798" s="52"/>
      <c r="EL798" s="52"/>
      <c r="EM798" s="52"/>
      <c r="EN798" s="52"/>
      <c r="EO798" s="52"/>
      <c r="EP798" s="52"/>
      <c r="EQ798" s="52"/>
      <c r="ER798" s="52"/>
      <c r="ES798" s="52"/>
    </row>
    <row r="799" spans="1:149" ht="11.25">
      <c r="A799" s="1"/>
      <c r="B799" s="1"/>
      <c r="C799" s="1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103"/>
      <c r="O799" s="103"/>
      <c r="P799" s="103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  <c r="AC799" s="52"/>
      <c r="AD799" s="52"/>
      <c r="AE799" s="52"/>
      <c r="AF799" s="52"/>
      <c r="AG799" s="52"/>
      <c r="AH799" s="52"/>
      <c r="AI799" s="52"/>
      <c r="AJ799" s="52"/>
      <c r="AK799" s="52"/>
      <c r="AL799" s="52"/>
      <c r="AM799" s="52"/>
      <c r="AN799" s="52"/>
      <c r="AO799" s="52"/>
      <c r="AP799" s="52"/>
      <c r="AQ799" s="52"/>
      <c r="AR799" s="52"/>
      <c r="AS799" s="52"/>
      <c r="AT799" s="52"/>
      <c r="AU799" s="52"/>
      <c r="AV799" s="52"/>
      <c r="AW799" s="52"/>
      <c r="AX799" s="52"/>
      <c r="AY799" s="52"/>
      <c r="AZ799" s="52"/>
      <c r="BA799" s="52"/>
      <c r="BB799" s="52"/>
      <c r="BC799" s="52"/>
      <c r="BD799" s="52"/>
      <c r="BE799" s="52"/>
      <c r="BF799" s="52"/>
      <c r="BG799" s="52"/>
      <c r="BH799" s="52"/>
      <c r="BI799" s="52"/>
      <c r="BJ799" s="52"/>
      <c r="BK799" s="52"/>
      <c r="BL799" s="52"/>
      <c r="BM799" s="52"/>
      <c r="BN799" s="52"/>
      <c r="BO799" s="52"/>
      <c r="BP799" s="52"/>
      <c r="BQ799" s="52"/>
      <c r="BR799" s="52"/>
      <c r="BS799" s="52"/>
      <c r="BT799" s="52"/>
      <c r="BU799" s="52"/>
      <c r="BV799" s="52"/>
      <c r="BW799" s="52"/>
      <c r="BX799" s="52"/>
      <c r="BY799" s="52"/>
      <c r="BZ799" s="52"/>
      <c r="CA799" s="52"/>
      <c r="CB799" s="52"/>
      <c r="CC799" s="52"/>
      <c r="CD799" s="52"/>
      <c r="CE799" s="52"/>
      <c r="CF799" s="52"/>
      <c r="CG799" s="52"/>
      <c r="CH799" s="52"/>
      <c r="CI799" s="52"/>
      <c r="CJ799" s="52"/>
      <c r="CK799" s="52"/>
      <c r="CL799" s="52"/>
      <c r="CM799" s="52"/>
      <c r="CN799" s="52"/>
      <c r="CO799" s="52"/>
      <c r="CP799" s="52"/>
      <c r="CQ799" s="52"/>
      <c r="CR799" s="52"/>
      <c r="CS799" s="52"/>
      <c r="CT799" s="52"/>
      <c r="CU799" s="52"/>
      <c r="CV799" s="52"/>
      <c r="CW799" s="52"/>
      <c r="CX799" s="52"/>
      <c r="CY799" s="52"/>
      <c r="CZ799" s="52"/>
      <c r="DA799" s="52"/>
      <c r="DB799" s="52"/>
      <c r="DC799" s="52"/>
      <c r="DD799" s="52"/>
      <c r="DE799" s="52"/>
      <c r="DF799" s="52"/>
      <c r="DG799" s="52"/>
      <c r="DH799" s="52"/>
      <c r="DI799" s="52"/>
      <c r="DJ799" s="52"/>
      <c r="DK799" s="52"/>
      <c r="DL799" s="52"/>
      <c r="DM799" s="52"/>
      <c r="DN799" s="52"/>
      <c r="DO799" s="52"/>
      <c r="DP799" s="52"/>
      <c r="DQ799" s="52"/>
      <c r="DR799" s="52"/>
      <c r="DS799" s="52"/>
      <c r="DT799" s="52"/>
      <c r="DU799" s="52"/>
      <c r="DV799" s="52"/>
      <c r="DW799" s="52"/>
      <c r="DX799" s="52"/>
      <c r="DY799" s="52"/>
      <c r="DZ799" s="52"/>
      <c r="EA799" s="52"/>
      <c r="EB799" s="52"/>
      <c r="EC799" s="52"/>
      <c r="ED799" s="52"/>
      <c r="EE799" s="52"/>
      <c r="EF799" s="52"/>
      <c r="EG799" s="52"/>
      <c r="EH799" s="52"/>
      <c r="EI799" s="52"/>
      <c r="EJ799" s="52"/>
      <c r="EK799" s="52"/>
      <c r="EL799" s="52"/>
      <c r="EM799" s="52"/>
      <c r="EN799" s="52"/>
      <c r="EO799" s="52"/>
      <c r="EP799" s="52"/>
      <c r="EQ799" s="52"/>
      <c r="ER799" s="52"/>
      <c r="ES799" s="52"/>
    </row>
    <row r="800" spans="1:149" ht="11.25">
      <c r="A800" s="1"/>
      <c r="B800" s="1"/>
      <c r="C800" s="1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103"/>
      <c r="O800" s="103"/>
      <c r="P800" s="103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  <c r="AC800" s="52"/>
      <c r="AD800" s="52"/>
      <c r="AE800" s="52"/>
      <c r="AF800" s="52"/>
      <c r="AG800" s="52"/>
      <c r="AH800" s="52"/>
      <c r="AI800" s="52"/>
      <c r="AJ800" s="52"/>
      <c r="AK800" s="52"/>
      <c r="AL800" s="52"/>
      <c r="AM800" s="52"/>
      <c r="AN800" s="52"/>
      <c r="AO800" s="52"/>
      <c r="AP800" s="52"/>
      <c r="AQ800" s="52"/>
      <c r="AR800" s="52"/>
      <c r="AS800" s="52"/>
      <c r="AT800" s="52"/>
      <c r="AU800" s="52"/>
      <c r="AV800" s="52"/>
      <c r="AW800" s="52"/>
      <c r="AX800" s="52"/>
      <c r="AY800" s="52"/>
      <c r="AZ800" s="52"/>
      <c r="BA800" s="52"/>
      <c r="BB800" s="52"/>
      <c r="BC800" s="52"/>
      <c r="BD800" s="52"/>
      <c r="BE800" s="52"/>
      <c r="BF800" s="52"/>
      <c r="BG800" s="52"/>
      <c r="BH800" s="52"/>
      <c r="BI800" s="52"/>
      <c r="BJ800" s="52"/>
      <c r="BK800" s="52"/>
      <c r="BL800" s="52"/>
      <c r="BM800" s="52"/>
      <c r="BN800" s="52"/>
      <c r="BO800" s="52"/>
      <c r="BP800" s="52"/>
      <c r="BQ800" s="52"/>
      <c r="BR800" s="52"/>
      <c r="BS800" s="52"/>
      <c r="BT800" s="52"/>
      <c r="BU800" s="52"/>
      <c r="BV800" s="52"/>
      <c r="BW800" s="52"/>
      <c r="BX800" s="52"/>
      <c r="BY800" s="52"/>
      <c r="BZ800" s="52"/>
      <c r="CA800" s="52"/>
      <c r="CB800" s="52"/>
      <c r="CC800" s="52"/>
      <c r="CD800" s="52"/>
      <c r="CE800" s="52"/>
      <c r="CF800" s="52"/>
      <c r="CG800" s="52"/>
      <c r="CH800" s="52"/>
      <c r="CI800" s="52"/>
      <c r="CJ800" s="52"/>
      <c r="CK800" s="52"/>
      <c r="CL800" s="52"/>
      <c r="CM800" s="52"/>
      <c r="CN800" s="52"/>
      <c r="CO800" s="52"/>
      <c r="CP800" s="52"/>
      <c r="CQ800" s="52"/>
      <c r="CR800" s="52"/>
      <c r="CS800" s="52"/>
      <c r="CT800" s="52"/>
      <c r="CU800" s="52"/>
      <c r="CV800" s="52"/>
      <c r="CW800" s="52"/>
      <c r="CX800" s="52"/>
      <c r="CY800" s="52"/>
      <c r="CZ800" s="52"/>
      <c r="DA800" s="52"/>
      <c r="DB800" s="52"/>
      <c r="DC800" s="52"/>
      <c r="DD800" s="52"/>
      <c r="DE800" s="52"/>
      <c r="DF800" s="52"/>
      <c r="DG800" s="52"/>
      <c r="DH800" s="52"/>
      <c r="DI800" s="52"/>
      <c r="DJ800" s="52"/>
      <c r="DK800" s="52"/>
      <c r="DL800" s="52"/>
      <c r="DM800" s="52"/>
      <c r="DN800" s="52"/>
      <c r="DO800" s="52"/>
      <c r="DP800" s="52"/>
      <c r="DQ800" s="52"/>
      <c r="DR800" s="52"/>
      <c r="DS800" s="52"/>
      <c r="DT800" s="52"/>
      <c r="DU800" s="52"/>
      <c r="DV800" s="52"/>
      <c r="DW800" s="52"/>
      <c r="DX800" s="52"/>
      <c r="DY800" s="52"/>
      <c r="DZ800" s="52"/>
      <c r="EA800" s="52"/>
      <c r="EB800" s="52"/>
      <c r="EC800" s="52"/>
      <c r="ED800" s="52"/>
      <c r="EE800" s="52"/>
      <c r="EF800" s="52"/>
      <c r="EG800" s="52"/>
      <c r="EH800" s="52"/>
      <c r="EI800" s="52"/>
      <c r="EJ800" s="52"/>
      <c r="EK800" s="52"/>
      <c r="EL800" s="52"/>
      <c r="EM800" s="52"/>
      <c r="EN800" s="52"/>
      <c r="EO800" s="52"/>
      <c r="EP800" s="52"/>
      <c r="EQ800" s="52"/>
      <c r="ER800" s="52"/>
      <c r="ES800" s="52"/>
    </row>
    <row r="801" spans="1:149" ht="11.25">
      <c r="A801" s="1"/>
      <c r="B801" s="1"/>
      <c r="C801" s="1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103"/>
      <c r="O801" s="103"/>
      <c r="P801" s="103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  <c r="AC801" s="52"/>
      <c r="AD801" s="52"/>
      <c r="AE801" s="52"/>
      <c r="AF801" s="52"/>
      <c r="AG801" s="52"/>
      <c r="AH801" s="52"/>
      <c r="AI801" s="52"/>
      <c r="AJ801" s="52"/>
      <c r="AK801" s="52"/>
      <c r="AL801" s="52"/>
      <c r="AM801" s="52"/>
      <c r="AN801" s="52"/>
      <c r="AO801" s="52"/>
      <c r="AP801" s="52"/>
      <c r="AQ801" s="52"/>
      <c r="AR801" s="52"/>
      <c r="AS801" s="52"/>
      <c r="AT801" s="52"/>
      <c r="AU801" s="52"/>
      <c r="AV801" s="52"/>
      <c r="AW801" s="52"/>
      <c r="AX801" s="52"/>
      <c r="AY801" s="52"/>
      <c r="AZ801" s="52"/>
      <c r="BA801" s="52"/>
      <c r="BB801" s="52"/>
      <c r="BC801" s="52"/>
      <c r="BD801" s="52"/>
      <c r="BE801" s="52"/>
      <c r="BF801" s="52"/>
      <c r="BG801" s="52"/>
      <c r="BH801" s="52"/>
      <c r="BI801" s="52"/>
      <c r="BJ801" s="52"/>
      <c r="BK801" s="52"/>
      <c r="BL801" s="52"/>
      <c r="BM801" s="52"/>
      <c r="BN801" s="52"/>
      <c r="BO801" s="52"/>
      <c r="BP801" s="52"/>
      <c r="BQ801" s="52"/>
      <c r="BR801" s="52"/>
      <c r="BS801" s="52"/>
      <c r="BT801" s="52"/>
      <c r="BU801" s="52"/>
      <c r="BV801" s="52"/>
      <c r="BW801" s="52"/>
      <c r="BX801" s="52"/>
      <c r="BY801" s="52"/>
      <c r="BZ801" s="52"/>
      <c r="CA801" s="52"/>
      <c r="CB801" s="52"/>
      <c r="CC801" s="52"/>
      <c r="CD801" s="52"/>
      <c r="CE801" s="52"/>
      <c r="CF801" s="52"/>
      <c r="CG801" s="52"/>
      <c r="CH801" s="52"/>
      <c r="CI801" s="52"/>
      <c r="CJ801" s="52"/>
      <c r="CK801" s="52"/>
      <c r="CL801" s="52"/>
      <c r="CM801" s="52"/>
      <c r="CN801" s="52"/>
      <c r="CO801" s="52"/>
      <c r="CP801" s="52"/>
      <c r="CQ801" s="52"/>
      <c r="CR801" s="52"/>
      <c r="CS801" s="52"/>
      <c r="CT801" s="52"/>
      <c r="CU801" s="52"/>
      <c r="CV801" s="52"/>
      <c r="CW801" s="52"/>
      <c r="CX801" s="52"/>
      <c r="CY801" s="52"/>
      <c r="CZ801" s="52"/>
      <c r="DA801" s="52"/>
      <c r="DB801" s="52"/>
      <c r="DC801" s="52"/>
      <c r="DD801" s="52"/>
      <c r="DE801" s="52"/>
      <c r="DF801" s="52"/>
      <c r="DG801" s="52"/>
      <c r="DH801" s="52"/>
      <c r="DI801" s="52"/>
      <c r="DJ801" s="52"/>
      <c r="DK801" s="52"/>
      <c r="DL801" s="52"/>
      <c r="DM801" s="52"/>
      <c r="DN801" s="52"/>
      <c r="DO801" s="52"/>
      <c r="DP801" s="52"/>
      <c r="DQ801" s="52"/>
      <c r="DR801" s="52"/>
      <c r="DS801" s="52"/>
      <c r="DT801" s="52"/>
      <c r="DU801" s="52"/>
      <c r="DV801" s="52"/>
      <c r="DW801" s="52"/>
      <c r="DX801" s="52"/>
      <c r="DY801" s="52"/>
      <c r="DZ801" s="52"/>
      <c r="EA801" s="52"/>
      <c r="EB801" s="52"/>
      <c r="EC801" s="52"/>
      <c r="ED801" s="52"/>
      <c r="EE801" s="52"/>
      <c r="EF801" s="52"/>
      <c r="EG801" s="52"/>
      <c r="EH801" s="52"/>
      <c r="EI801" s="52"/>
      <c r="EJ801" s="52"/>
      <c r="EK801" s="52"/>
      <c r="EL801" s="52"/>
      <c r="EM801" s="52"/>
      <c r="EN801" s="52"/>
      <c r="EO801" s="52"/>
      <c r="EP801" s="52"/>
      <c r="EQ801" s="52"/>
      <c r="ER801" s="52"/>
      <c r="ES801" s="52"/>
    </row>
    <row r="802" spans="1:149" ht="11.25">
      <c r="A802" s="1"/>
      <c r="B802" s="1"/>
      <c r="C802" s="1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103"/>
      <c r="O802" s="103"/>
      <c r="P802" s="103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  <c r="AC802" s="52"/>
      <c r="AD802" s="52"/>
      <c r="AE802" s="52"/>
      <c r="AF802" s="52"/>
      <c r="AG802" s="52"/>
      <c r="AH802" s="52"/>
      <c r="AI802" s="52"/>
      <c r="AJ802" s="52"/>
      <c r="AK802" s="52"/>
      <c r="AL802" s="52"/>
      <c r="AM802" s="52"/>
      <c r="AN802" s="52"/>
      <c r="AO802" s="52"/>
      <c r="AP802" s="52"/>
      <c r="AQ802" s="52"/>
      <c r="AR802" s="52"/>
      <c r="AS802" s="52"/>
      <c r="AT802" s="52"/>
      <c r="AU802" s="52"/>
      <c r="AV802" s="52"/>
      <c r="AW802" s="52"/>
      <c r="AX802" s="52"/>
      <c r="AY802" s="52"/>
      <c r="AZ802" s="52"/>
      <c r="BA802" s="52"/>
      <c r="BB802" s="52"/>
      <c r="BC802" s="52"/>
      <c r="BD802" s="52"/>
      <c r="BE802" s="52"/>
      <c r="BF802" s="52"/>
      <c r="BG802" s="52"/>
      <c r="BH802" s="52"/>
      <c r="BI802" s="52"/>
      <c r="BJ802" s="52"/>
      <c r="BK802" s="52"/>
      <c r="BL802" s="52"/>
      <c r="BM802" s="52"/>
      <c r="BN802" s="52"/>
      <c r="BO802" s="52"/>
      <c r="BP802" s="52"/>
      <c r="BQ802" s="52"/>
      <c r="BR802" s="52"/>
      <c r="BS802" s="52"/>
      <c r="BT802" s="52"/>
      <c r="BU802" s="52"/>
      <c r="BV802" s="52"/>
      <c r="BW802" s="52"/>
      <c r="BX802" s="52"/>
      <c r="BY802" s="52"/>
      <c r="BZ802" s="52"/>
      <c r="CA802" s="52"/>
      <c r="CB802" s="52"/>
      <c r="CC802" s="52"/>
      <c r="CD802" s="52"/>
      <c r="CE802" s="52"/>
      <c r="CF802" s="52"/>
      <c r="CG802" s="52"/>
      <c r="CH802" s="52"/>
      <c r="CI802" s="52"/>
      <c r="CJ802" s="52"/>
      <c r="CK802" s="52"/>
      <c r="CL802" s="52"/>
      <c r="CM802" s="52"/>
      <c r="CN802" s="52"/>
      <c r="CO802" s="52"/>
      <c r="CP802" s="52"/>
      <c r="CQ802" s="52"/>
      <c r="CR802" s="52"/>
      <c r="CS802" s="52"/>
      <c r="CT802" s="52"/>
      <c r="CU802" s="52"/>
      <c r="CV802" s="52"/>
      <c r="CW802" s="52"/>
      <c r="CX802" s="52"/>
      <c r="CY802" s="52"/>
      <c r="CZ802" s="52"/>
      <c r="DA802" s="52"/>
      <c r="DB802" s="52"/>
      <c r="DC802" s="52"/>
      <c r="DD802" s="52"/>
      <c r="DE802" s="52"/>
      <c r="DF802" s="52"/>
      <c r="DG802" s="52"/>
      <c r="DH802" s="52"/>
      <c r="DI802" s="52"/>
      <c r="DJ802" s="52"/>
      <c r="DK802" s="52"/>
      <c r="DL802" s="52"/>
      <c r="DM802" s="52"/>
      <c r="DN802" s="52"/>
      <c r="DO802" s="52"/>
      <c r="DP802" s="52"/>
      <c r="DQ802" s="52"/>
      <c r="DR802" s="52"/>
      <c r="DS802" s="52"/>
      <c r="DT802" s="52"/>
      <c r="DU802" s="52"/>
      <c r="DV802" s="52"/>
      <c r="DW802" s="52"/>
      <c r="DX802" s="52"/>
      <c r="DY802" s="52"/>
      <c r="DZ802" s="52"/>
      <c r="EA802" s="52"/>
      <c r="EB802" s="52"/>
      <c r="EC802" s="52"/>
      <c r="ED802" s="52"/>
      <c r="EE802" s="52"/>
      <c r="EF802" s="52"/>
      <c r="EG802" s="52"/>
      <c r="EH802" s="52"/>
      <c r="EI802" s="52"/>
      <c r="EJ802" s="52"/>
      <c r="EK802" s="52"/>
      <c r="EL802" s="52"/>
      <c r="EM802" s="52"/>
      <c r="EN802" s="52"/>
      <c r="EO802" s="52"/>
      <c r="EP802" s="52"/>
      <c r="EQ802" s="52"/>
      <c r="ER802" s="52"/>
      <c r="ES802" s="52"/>
    </row>
    <row r="803" spans="1:149" ht="11.25">
      <c r="A803" s="1"/>
      <c r="B803" s="1"/>
      <c r="C803" s="1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103"/>
      <c r="O803" s="103"/>
      <c r="P803" s="103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  <c r="AC803" s="52"/>
      <c r="AD803" s="52"/>
      <c r="AE803" s="52"/>
      <c r="AF803" s="52"/>
      <c r="AG803" s="52"/>
      <c r="AH803" s="52"/>
      <c r="AI803" s="52"/>
      <c r="AJ803" s="52"/>
      <c r="AK803" s="52"/>
      <c r="AL803" s="52"/>
      <c r="AM803" s="52"/>
      <c r="AN803" s="52"/>
      <c r="AO803" s="52"/>
      <c r="AP803" s="52"/>
      <c r="AQ803" s="52"/>
      <c r="AR803" s="52"/>
      <c r="AS803" s="52"/>
      <c r="AT803" s="52"/>
      <c r="AU803" s="52"/>
      <c r="AV803" s="52"/>
      <c r="AW803" s="52"/>
      <c r="AX803" s="52"/>
      <c r="AY803" s="52"/>
      <c r="AZ803" s="52"/>
      <c r="BA803" s="52"/>
      <c r="BB803" s="52"/>
      <c r="BC803" s="52"/>
      <c r="BD803" s="52"/>
      <c r="BE803" s="52"/>
      <c r="BF803" s="52"/>
      <c r="BG803" s="52"/>
      <c r="BH803" s="52"/>
      <c r="BI803" s="52"/>
      <c r="BJ803" s="52"/>
      <c r="BK803" s="52"/>
      <c r="BL803" s="52"/>
      <c r="BM803" s="52"/>
      <c r="BN803" s="52"/>
      <c r="BO803" s="52"/>
      <c r="BP803" s="52"/>
      <c r="BQ803" s="52"/>
      <c r="BR803" s="52"/>
      <c r="BS803" s="52"/>
      <c r="BT803" s="52"/>
      <c r="BU803" s="52"/>
      <c r="BV803" s="52"/>
      <c r="BW803" s="52"/>
      <c r="BX803" s="52"/>
      <c r="BY803" s="52"/>
      <c r="BZ803" s="52"/>
      <c r="CA803" s="52"/>
      <c r="CB803" s="52"/>
      <c r="CC803" s="52"/>
      <c r="CD803" s="52"/>
      <c r="CE803" s="52"/>
      <c r="CF803" s="52"/>
      <c r="CG803" s="52"/>
      <c r="CH803" s="52"/>
      <c r="CI803" s="52"/>
      <c r="CJ803" s="52"/>
      <c r="CK803" s="52"/>
      <c r="CL803" s="52"/>
      <c r="CM803" s="52"/>
      <c r="CN803" s="52"/>
      <c r="CO803" s="52"/>
      <c r="CP803" s="52"/>
      <c r="CQ803" s="52"/>
      <c r="CR803" s="52"/>
      <c r="CS803" s="52"/>
      <c r="CT803" s="52"/>
      <c r="CU803" s="52"/>
      <c r="CV803" s="52"/>
      <c r="CW803" s="52"/>
      <c r="CX803" s="52"/>
      <c r="CY803" s="52"/>
      <c r="CZ803" s="52"/>
      <c r="DA803" s="52"/>
      <c r="DB803" s="52"/>
      <c r="DC803" s="52"/>
      <c r="DD803" s="52"/>
      <c r="DE803" s="52"/>
      <c r="DF803" s="52"/>
      <c r="DG803" s="52"/>
      <c r="DH803" s="52"/>
      <c r="DI803" s="52"/>
      <c r="DJ803" s="52"/>
      <c r="DK803" s="52"/>
      <c r="DL803" s="52"/>
      <c r="DM803" s="52"/>
      <c r="DN803" s="52"/>
      <c r="DO803" s="52"/>
      <c r="DP803" s="52"/>
      <c r="DQ803" s="52"/>
      <c r="DR803" s="52"/>
      <c r="DS803" s="52"/>
      <c r="DT803" s="52"/>
      <c r="DU803" s="52"/>
      <c r="DV803" s="52"/>
      <c r="DW803" s="52"/>
      <c r="DX803" s="52"/>
      <c r="DY803" s="52"/>
      <c r="DZ803" s="52"/>
      <c r="EA803" s="52"/>
      <c r="EB803" s="52"/>
      <c r="EC803" s="52"/>
      <c r="ED803" s="52"/>
      <c r="EE803" s="52"/>
      <c r="EF803" s="52"/>
      <c r="EG803" s="52"/>
      <c r="EH803" s="52"/>
      <c r="EI803" s="52"/>
      <c r="EJ803" s="52"/>
      <c r="EK803" s="52"/>
      <c r="EL803" s="52"/>
      <c r="EM803" s="52"/>
      <c r="EN803" s="52"/>
      <c r="EO803" s="52"/>
      <c r="EP803" s="52"/>
      <c r="EQ803" s="52"/>
      <c r="ER803" s="52"/>
      <c r="ES803" s="52"/>
    </row>
    <row r="804" spans="1:149" ht="11.25">
      <c r="A804" s="1"/>
      <c r="B804" s="1"/>
      <c r="C804" s="1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103"/>
      <c r="O804" s="103"/>
      <c r="P804" s="103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  <c r="AC804" s="52"/>
      <c r="AD804" s="52"/>
      <c r="AE804" s="52"/>
      <c r="AF804" s="52"/>
      <c r="AG804" s="52"/>
      <c r="AH804" s="52"/>
      <c r="AI804" s="52"/>
      <c r="AJ804" s="52"/>
      <c r="AK804" s="52"/>
      <c r="AL804" s="52"/>
      <c r="AM804" s="52"/>
      <c r="AN804" s="52"/>
      <c r="AO804" s="52"/>
      <c r="AP804" s="52"/>
      <c r="AQ804" s="52"/>
      <c r="AR804" s="52"/>
      <c r="AS804" s="52"/>
      <c r="AT804" s="52"/>
      <c r="AU804" s="52"/>
      <c r="AV804" s="52"/>
      <c r="AW804" s="52"/>
      <c r="AX804" s="52"/>
      <c r="AY804" s="52"/>
      <c r="AZ804" s="52"/>
      <c r="BA804" s="52"/>
      <c r="BB804" s="52"/>
      <c r="BC804" s="52"/>
      <c r="BD804" s="52"/>
      <c r="BE804" s="52"/>
      <c r="BF804" s="52"/>
      <c r="BG804" s="52"/>
      <c r="BH804" s="52"/>
      <c r="BI804" s="52"/>
      <c r="BJ804" s="52"/>
      <c r="BK804" s="52"/>
      <c r="BL804" s="52"/>
      <c r="BM804" s="52"/>
      <c r="BN804" s="52"/>
      <c r="BO804" s="52"/>
      <c r="BP804" s="52"/>
      <c r="BQ804" s="52"/>
      <c r="BR804" s="52"/>
      <c r="BS804" s="52"/>
      <c r="BT804" s="52"/>
      <c r="BU804" s="52"/>
      <c r="BV804" s="52"/>
      <c r="BW804" s="52"/>
      <c r="BX804" s="52"/>
      <c r="BY804" s="52"/>
      <c r="BZ804" s="52"/>
      <c r="CA804" s="52"/>
      <c r="CB804" s="52"/>
      <c r="CC804" s="52"/>
      <c r="CD804" s="52"/>
      <c r="CE804" s="52"/>
      <c r="CF804" s="52"/>
      <c r="CG804" s="52"/>
      <c r="CH804" s="52"/>
      <c r="CI804" s="52"/>
      <c r="CJ804" s="52"/>
      <c r="CK804" s="52"/>
      <c r="CL804" s="52"/>
      <c r="CM804" s="52"/>
      <c r="CN804" s="52"/>
      <c r="CO804" s="52"/>
      <c r="CP804" s="52"/>
      <c r="CQ804" s="52"/>
      <c r="CR804" s="52"/>
      <c r="CS804" s="52"/>
      <c r="CT804" s="52"/>
      <c r="CU804" s="52"/>
      <c r="CV804" s="52"/>
      <c r="CW804" s="52"/>
      <c r="CX804" s="52"/>
      <c r="CY804" s="52"/>
      <c r="CZ804" s="52"/>
      <c r="DA804" s="52"/>
      <c r="DB804" s="52"/>
      <c r="DC804" s="52"/>
      <c r="DD804" s="52"/>
      <c r="DE804" s="52"/>
      <c r="DF804" s="52"/>
      <c r="DG804" s="52"/>
      <c r="DH804" s="52"/>
      <c r="DI804" s="52"/>
      <c r="DJ804" s="52"/>
      <c r="DK804" s="52"/>
      <c r="DL804" s="52"/>
      <c r="DM804" s="52"/>
      <c r="DN804" s="52"/>
      <c r="DO804" s="52"/>
      <c r="DP804" s="52"/>
      <c r="DQ804" s="52"/>
      <c r="DR804" s="52"/>
      <c r="DS804" s="52"/>
      <c r="DT804" s="52"/>
      <c r="DU804" s="52"/>
      <c r="DV804" s="52"/>
      <c r="DW804" s="52"/>
      <c r="DX804" s="52"/>
      <c r="DY804" s="52"/>
      <c r="DZ804" s="52"/>
      <c r="EA804" s="52"/>
      <c r="EB804" s="52"/>
      <c r="EC804" s="52"/>
      <c r="ED804" s="52"/>
      <c r="EE804" s="52"/>
      <c r="EF804" s="52"/>
      <c r="EG804" s="52"/>
      <c r="EH804" s="52"/>
      <c r="EI804" s="52"/>
      <c r="EJ804" s="52"/>
      <c r="EK804" s="52"/>
      <c r="EL804" s="52"/>
      <c r="EM804" s="52"/>
      <c r="EN804" s="52"/>
      <c r="EO804" s="52"/>
      <c r="EP804" s="52"/>
      <c r="EQ804" s="52"/>
      <c r="ER804" s="52"/>
      <c r="ES804" s="52"/>
    </row>
    <row r="805" spans="1:149" ht="11.25">
      <c r="A805" s="1"/>
      <c r="B805" s="1"/>
      <c r="C805" s="1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103"/>
      <c r="O805" s="103"/>
      <c r="P805" s="103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  <c r="AC805" s="52"/>
      <c r="AD805" s="52"/>
      <c r="AE805" s="52"/>
      <c r="AF805" s="52"/>
      <c r="AG805" s="52"/>
      <c r="AH805" s="52"/>
      <c r="AI805" s="52"/>
      <c r="AJ805" s="52"/>
      <c r="AK805" s="52"/>
      <c r="AL805" s="52"/>
      <c r="AM805" s="52"/>
      <c r="AN805" s="52"/>
      <c r="AO805" s="52"/>
      <c r="AP805" s="52"/>
      <c r="AQ805" s="52"/>
      <c r="AR805" s="52"/>
      <c r="AS805" s="52"/>
      <c r="AT805" s="52"/>
      <c r="AU805" s="52"/>
      <c r="AV805" s="52"/>
      <c r="AW805" s="52"/>
      <c r="AX805" s="52"/>
      <c r="AY805" s="52"/>
      <c r="AZ805" s="52"/>
      <c r="BA805" s="52"/>
      <c r="BB805" s="52"/>
      <c r="BC805" s="52"/>
      <c r="BD805" s="52"/>
      <c r="BE805" s="52"/>
      <c r="BF805" s="52"/>
      <c r="BG805" s="52"/>
      <c r="BH805" s="52"/>
      <c r="BI805" s="52"/>
      <c r="BJ805" s="52"/>
      <c r="BK805" s="52"/>
      <c r="BL805" s="52"/>
      <c r="BM805" s="52"/>
      <c r="BN805" s="52"/>
      <c r="BO805" s="52"/>
      <c r="BP805" s="52"/>
      <c r="BQ805" s="52"/>
      <c r="BR805" s="52"/>
      <c r="BS805" s="52"/>
      <c r="BT805" s="52"/>
      <c r="BU805" s="52"/>
      <c r="BV805" s="52"/>
      <c r="BW805" s="52"/>
      <c r="BX805" s="52"/>
      <c r="BY805" s="52"/>
      <c r="BZ805" s="52"/>
      <c r="CA805" s="52"/>
      <c r="CB805" s="52"/>
      <c r="CC805" s="52"/>
      <c r="CD805" s="52"/>
      <c r="CE805" s="52"/>
      <c r="CF805" s="52"/>
      <c r="CG805" s="52"/>
      <c r="CH805" s="52"/>
      <c r="CI805" s="52"/>
      <c r="CJ805" s="52"/>
      <c r="CK805" s="52"/>
      <c r="CL805" s="52"/>
      <c r="CM805" s="52"/>
      <c r="CN805" s="52"/>
      <c r="CO805" s="52"/>
      <c r="CP805" s="52"/>
      <c r="CQ805" s="52"/>
      <c r="CR805" s="52"/>
      <c r="CS805" s="52"/>
      <c r="CT805" s="52"/>
      <c r="CU805" s="52"/>
      <c r="CV805" s="52"/>
      <c r="CW805" s="52"/>
      <c r="CX805" s="52"/>
      <c r="CY805" s="52"/>
      <c r="CZ805" s="52"/>
      <c r="DA805" s="52"/>
      <c r="DB805" s="52"/>
      <c r="DC805" s="52"/>
      <c r="DD805" s="52"/>
      <c r="DE805" s="52"/>
      <c r="DF805" s="52"/>
      <c r="DG805" s="52"/>
      <c r="DH805" s="52"/>
      <c r="DI805" s="52"/>
      <c r="DJ805" s="52"/>
      <c r="DK805" s="52"/>
      <c r="DL805" s="52"/>
      <c r="DM805" s="52"/>
      <c r="DN805" s="52"/>
      <c r="DO805" s="52"/>
      <c r="DP805" s="52"/>
      <c r="DQ805" s="52"/>
      <c r="DR805" s="52"/>
      <c r="DS805" s="52"/>
      <c r="DT805" s="52"/>
      <c r="DU805" s="52"/>
      <c r="DV805" s="52"/>
      <c r="DW805" s="52"/>
      <c r="DX805" s="52"/>
      <c r="DY805" s="52"/>
      <c r="DZ805" s="52"/>
      <c r="EA805" s="52"/>
      <c r="EB805" s="52"/>
      <c r="EC805" s="52"/>
      <c r="ED805" s="52"/>
      <c r="EE805" s="52"/>
      <c r="EF805" s="52"/>
      <c r="EG805" s="52"/>
      <c r="EH805" s="52"/>
      <c r="EI805" s="52"/>
      <c r="EJ805" s="52"/>
      <c r="EK805" s="52"/>
      <c r="EL805" s="52"/>
      <c r="EM805" s="52"/>
      <c r="EN805" s="52"/>
      <c r="EO805" s="52"/>
      <c r="EP805" s="52"/>
      <c r="EQ805" s="52"/>
      <c r="ER805" s="52"/>
      <c r="ES805" s="52"/>
    </row>
    <row r="806" spans="1:149" ht="11.25">
      <c r="A806" s="1"/>
      <c r="B806" s="1"/>
      <c r="C806" s="1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103"/>
      <c r="O806" s="103"/>
      <c r="P806" s="103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  <c r="AC806" s="52"/>
      <c r="AD806" s="52"/>
      <c r="AE806" s="52"/>
      <c r="AF806" s="52"/>
      <c r="AG806" s="52"/>
      <c r="AH806" s="52"/>
      <c r="AI806" s="52"/>
      <c r="AJ806" s="52"/>
      <c r="AK806" s="52"/>
      <c r="AL806" s="52"/>
      <c r="AM806" s="52"/>
      <c r="AN806" s="52"/>
      <c r="AO806" s="52"/>
      <c r="AP806" s="52"/>
      <c r="AQ806" s="52"/>
      <c r="AR806" s="52"/>
      <c r="AS806" s="52"/>
      <c r="AT806" s="52"/>
      <c r="AU806" s="52"/>
      <c r="AV806" s="52"/>
      <c r="AW806" s="52"/>
      <c r="AX806" s="52"/>
      <c r="AY806" s="52"/>
      <c r="AZ806" s="52"/>
      <c r="BA806" s="52"/>
      <c r="BB806" s="52"/>
      <c r="BC806" s="52"/>
      <c r="BD806" s="52"/>
      <c r="BE806" s="52"/>
      <c r="BF806" s="52"/>
      <c r="BG806" s="52"/>
      <c r="BH806" s="52"/>
      <c r="BI806" s="52"/>
      <c r="BJ806" s="52"/>
      <c r="BK806" s="52"/>
      <c r="BL806" s="52"/>
      <c r="BM806" s="52"/>
      <c r="BN806" s="52"/>
      <c r="BO806" s="52"/>
      <c r="BP806" s="52"/>
      <c r="BQ806" s="52"/>
      <c r="BR806" s="52"/>
      <c r="BS806" s="52"/>
      <c r="BT806" s="52"/>
      <c r="BU806" s="52"/>
      <c r="BV806" s="52"/>
      <c r="BW806" s="52"/>
      <c r="BX806" s="52"/>
      <c r="BY806" s="52"/>
      <c r="BZ806" s="52"/>
      <c r="CA806" s="52"/>
      <c r="CB806" s="52"/>
      <c r="CC806" s="52"/>
      <c r="CD806" s="52"/>
      <c r="CE806" s="52"/>
      <c r="CF806" s="52"/>
      <c r="CG806" s="52"/>
      <c r="CH806" s="52"/>
      <c r="CI806" s="52"/>
      <c r="CJ806" s="52"/>
      <c r="CK806" s="52"/>
      <c r="CL806" s="52"/>
      <c r="CM806" s="52"/>
      <c r="CN806" s="52"/>
      <c r="CO806" s="52"/>
      <c r="CP806" s="52"/>
      <c r="CQ806" s="52"/>
      <c r="CR806" s="52"/>
      <c r="CS806" s="52"/>
      <c r="CT806" s="52"/>
      <c r="CU806" s="52"/>
      <c r="CV806" s="52"/>
      <c r="CW806" s="52"/>
      <c r="CX806" s="52"/>
      <c r="CY806" s="52"/>
      <c r="CZ806" s="52"/>
      <c r="DA806" s="52"/>
      <c r="DB806" s="52"/>
      <c r="DC806" s="52"/>
      <c r="DD806" s="52"/>
      <c r="DE806" s="52"/>
      <c r="DF806" s="52"/>
      <c r="DG806" s="52"/>
      <c r="DH806" s="52"/>
      <c r="DI806" s="52"/>
      <c r="DJ806" s="52"/>
      <c r="DK806" s="52"/>
      <c r="DL806" s="52"/>
      <c r="DM806" s="52"/>
      <c r="DN806" s="52"/>
      <c r="DO806" s="52"/>
      <c r="DP806" s="52"/>
      <c r="DQ806" s="52"/>
      <c r="DR806" s="52"/>
      <c r="DS806" s="52"/>
      <c r="DT806" s="52"/>
      <c r="DU806" s="52"/>
      <c r="DV806" s="52"/>
      <c r="DW806" s="52"/>
      <c r="DX806" s="52"/>
      <c r="DY806" s="52"/>
      <c r="DZ806" s="52"/>
      <c r="EA806" s="52"/>
      <c r="EB806" s="52"/>
      <c r="EC806" s="52"/>
      <c r="ED806" s="52"/>
      <c r="EE806" s="52"/>
      <c r="EF806" s="52"/>
      <c r="EG806" s="52"/>
      <c r="EH806" s="52"/>
      <c r="EI806" s="52"/>
      <c r="EJ806" s="52"/>
      <c r="EK806" s="52"/>
      <c r="EL806" s="52"/>
      <c r="EM806" s="52"/>
      <c r="EN806" s="52"/>
      <c r="EO806" s="52"/>
      <c r="EP806" s="52"/>
      <c r="EQ806" s="52"/>
      <c r="ER806" s="52"/>
      <c r="ES806" s="52"/>
    </row>
    <row r="807" spans="1:149" ht="11.25">
      <c r="A807" s="1"/>
      <c r="B807" s="1"/>
      <c r="C807" s="1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103"/>
      <c r="O807" s="103"/>
      <c r="P807" s="103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  <c r="AC807" s="52"/>
      <c r="AD807" s="52"/>
      <c r="AE807" s="52"/>
      <c r="AF807" s="52"/>
      <c r="AG807" s="52"/>
      <c r="AH807" s="52"/>
      <c r="AI807" s="52"/>
      <c r="AJ807" s="52"/>
      <c r="AK807" s="52"/>
      <c r="AL807" s="52"/>
      <c r="AM807" s="52"/>
      <c r="AN807" s="52"/>
      <c r="AO807" s="52"/>
      <c r="AP807" s="52"/>
      <c r="AQ807" s="52"/>
      <c r="AR807" s="52"/>
      <c r="AS807" s="52"/>
      <c r="AT807" s="52"/>
      <c r="AU807" s="52"/>
      <c r="AV807" s="52"/>
      <c r="AW807" s="52"/>
      <c r="AX807" s="52"/>
      <c r="AY807" s="52"/>
      <c r="AZ807" s="52"/>
      <c r="BA807" s="52"/>
      <c r="BB807" s="52"/>
      <c r="BC807" s="52"/>
      <c r="BD807" s="52"/>
      <c r="BE807" s="52"/>
      <c r="BF807" s="52"/>
      <c r="BG807" s="52"/>
      <c r="BH807" s="52"/>
      <c r="BI807" s="52"/>
      <c r="BJ807" s="52"/>
      <c r="BK807" s="52"/>
      <c r="BL807" s="52"/>
      <c r="BM807" s="52"/>
      <c r="BN807" s="52"/>
      <c r="BO807" s="52"/>
      <c r="BP807" s="52"/>
      <c r="BQ807" s="52"/>
      <c r="BR807" s="52"/>
      <c r="BS807" s="52"/>
      <c r="BT807" s="52"/>
      <c r="BU807" s="52"/>
      <c r="BV807" s="52"/>
      <c r="BW807" s="52"/>
      <c r="BX807" s="52"/>
      <c r="BY807" s="52"/>
      <c r="BZ807" s="52"/>
      <c r="CA807" s="52"/>
      <c r="CB807" s="52"/>
      <c r="CC807" s="52"/>
      <c r="CD807" s="52"/>
      <c r="CE807" s="52"/>
      <c r="CF807" s="52"/>
      <c r="CG807" s="52"/>
      <c r="CH807" s="52"/>
      <c r="CI807" s="52"/>
      <c r="CJ807" s="52"/>
      <c r="CK807" s="52"/>
      <c r="CL807" s="52"/>
      <c r="CM807" s="52"/>
      <c r="CN807" s="52"/>
      <c r="CO807" s="52"/>
      <c r="CP807" s="52"/>
      <c r="CQ807" s="52"/>
      <c r="CR807" s="52"/>
      <c r="CS807" s="52"/>
      <c r="CT807" s="52"/>
      <c r="CU807" s="52"/>
      <c r="CV807" s="52"/>
      <c r="CW807" s="52"/>
      <c r="CX807" s="52"/>
      <c r="CY807" s="52"/>
      <c r="CZ807" s="52"/>
      <c r="DA807" s="52"/>
      <c r="DB807" s="52"/>
      <c r="DC807" s="52"/>
      <c r="DD807" s="52"/>
      <c r="DE807" s="52"/>
      <c r="DF807" s="52"/>
      <c r="DG807" s="52"/>
      <c r="DH807" s="52"/>
      <c r="DI807" s="52"/>
      <c r="DJ807" s="52"/>
      <c r="DK807" s="52"/>
      <c r="DL807" s="52"/>
      <c r="DM807" s="52"/>
      <c r="DN807" s="52"/>
      <c r="DO807" s="52"/>
      <c r="DP807" s="52"/>
      <c r="DQ807" s="52"/>
      <c r="DR807" s="52"/>
      <c r="DS807" s="52"/>
      <c r="DT807" s="52"/>
      <c r="DU807" s="52"/>
      <c r="DV807" s="52"/>
      <c r="DW807" s="52"/>
      <c r="DX807" s="52"/>
      <c r="DY807" s="52"/>
      <c r="DZ807" s="52"/>
      <c r="EA807" s="52"/>
      <c r="EB807" s="52"/>
      <c r="EC807" s="52"/>
      <c r="ED807" s="52"/>
      <c r="EE807" s="52"/>
      <c r="EF807" s="52"/>
      <c r="EG807" s="52"/>
      <c r="EH807" s="52"/>
      <c r="EI807" s="52"/>
      <c r="EJ807" s="52"/>
      <c r="EK807" s="52"/>
      <c r="EL807" s="52"/>
      <c r="EM807" s="52"/>
      <c r="EN807" s="52"/>
      <c r="EO807" s="52"/>
      <c r="EP807" s="52"/>
      <c r="EQ807" s="52"/>
      <c r="ER807" s="52"/>
      <c r="ES807" s="52"/>
    </row>
    <row r="808" spans="1:149" ht="11.25">
      <c r="A808" s="1"/>
      <c r="B808" s="1"/>
      <c r="C808" s="1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103"/>
      <c r="O808" s="103"/>
      <c r="P808" s="103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  <c r="AC808" s="52"/>
      <c r="AD808" s="52"/>
      <c r="AE808" s="52"/>
      <c r="AF808" s="52"/>
      <c r="AG808" s="52"/>
      <c r="AH808" s="52"/>
      <c r="AI808" s="52"/>
      <c r="AJ808" s="52"/>
      <c r="AK808" s="52"/>
      <c r="AL808" s="52"/>
      <c r="AM808" s="52"/>
      <c r="AN808" s="52"/>
      <c r="AO808" s="52"/>
      <c r="AP808" s="52"/>
      <c r="AQ808" s="52"/>
      <c r="AR808" s="52"/>
      <c r="AS808" s="52"/>
      <c r="AT808" s="52"/>
      <c r="AU808" s="52"/>
      <c r="AV808" s="52"/>
      <c r="AW808" s="52"/>
      <c r="AX808" s="52"/>
      <c r="AY808" s="52"/>
      <c r="AZ808" s="52"/>
      <c r="BA808" s="52"/>
      <c r="BB808" s="52"/>
      <c r="BC808" s="52"/>
      <c r="BD808" s="52"/>
      <c r="BE808" s="52"/>
      <c r="BF808" s="52"/>
      <c r="BG808" s="52"/>
      <c r="BH808" s="52"/>
      <c r="BI808" s="52"/>
      <c r="BJ808" s="52"/>
      <c r="BK808" s="52"/>
      <c r="BL808" s="52"/>
      <c r="BM808" s="52"/>
      <c r="BN808" s="52"/>
      <c r="BO808" s="52"/>
      <c r="BP808" s="52"/>
      <c r="BQ808" s="52"/>
      <c r="BR808" s="52"/>
      <c r="BS808" s="52"/>
      <c r="BT808" s="52"/>
      <c r="BU808" s="52"/>
      <c r="BV808" s="52"/>
      <c r="BW808" s="52"/>
      <c r="BX808" s="52"/>
      <c r="BY808" s="52"/>
      <c r="BZ808" s="52"/>
      <c r="CA808" s="52"/>
      <c r="CB808" s="52"/>
      <c r="CC808" s="52"/>
      <c r="CD808" s="52"/>
      <c r="CE808" s="52"/>
      <c r="CF808" s="52"/>
      <c r="CG808" s="52"/>
      <c r="CH808" s="52"/>
      <c r="CI808" s="52"/>
      <c r="CJ808" s="52"/>
      <c r="CK808" s="52"/>
      <c r="CL808" s="52"/>
      <c r="CM808" s="52"/>
      <c r="CN808" s="52"/>
      <c r="CO808" s="52"/>
      <c r="CP808" s="52"/>
      <c r="CQ808" s="52"/>
      <c r="CR808" s="52"/>
      <c r="CS808" s="52"/>
      <c r="CT808" s="52"/>
      <c r="CU808" s="52"/>
      <c r="CV808" s="52"/>
      <c r="CW808" s="52"/>
      <c r="CX808" s="52"/>
      <c r="CY808" s="52"/>
      <c r="CZ808" s="52"/>
      <c r="DA808" s="52"/>
      <c r="DB808" s="52"/>
      <c r="DC808" s="52"/>
      <c r="DD808" s="52"/>
      <c r="DE808" s="52"/>
      <c r="DF808" s="52"/>
      <c r="DG808" s="52"/>
      <c r="DH808" s="52"/>
      <c r="DI808" s="52"/>
      <c r="DJ808" s="52"/>
      <c r="DK808" s="52"/>
      <c r="DL808" s="52"/>
      <c r="DM808" s="52"/>
      <c r="DN808" s="52"/>
      <c r="DO808" s="52"/>
      <c r="DP808" s="52"/>
      <c r="DQ808" s="52"/>
      <c r="DR808" s="52"/>
      <c r="DS808" s="52"/>
      <c r="DT808" s="52"/>
      <c r="DU808" s="52"/>
      <c r="DV808" s="52"/>
      <c r="DW808" s="52"/>
      <c r="DX808" s="52"/>
      <c r="DY808" s="52"/>
      <c r="DZ808" s="52"/>
      <c r="EA808" s="52"/>
      <c r="EB808" s="52"/>
      <c r="EC808" s="52"/>
      <c r="ED808" s="52"/>
      <c r="EE808" s="52"/>
      <c r="EF808" s="52"/>
      <c r="EG808" s="52"/>
      <c r="EH808" s="52"/>
      <c r="EI808" s="52"/>
      <c r="EJ808" s="52"/>
      <c r="EK808" s="52"/>
      <c r="EL808" s="52"/>
      <c r="EM808" s="52"/>
      <c r="EN808" s="52"/>
      <c r="EO808" s="52"/>
      <c r="EP808" s="52"/>
      <c r="EQ808" s="52"/>
      <c r="ER808" s="52"/>
      <c r="ES808" s="52"/>
    </row>
    <row r="809" spans="1:149" ht="11.25">
      <c r="A809" s="1"/>
      <c r="B809" s="1"/>
      <c r="C809" s="1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103"/>
      <c r="O809" s="103"/>
      <c r="P809" s="103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  <c r="AC809" s="52"/>
      <c r="AD809" s="52"/>
      <c r="AE809" s="52"/>
      <c r="AF809" s="52"/>
      <c r="AG809" s="52"/>
      <c r="AH809" s="52"/>
      <c r="AI809" s="52"/>
      <c r="AJ809" s="52"/>
      <c r="AK809" s="52"/>
      <c r="AL809" s="52"/>
      <c r="AM809" s="52"/>
      <c r="AN809" s="52"/>
      <c r="AO809" s="52"/>
      <c r="AP809" s="52"/>
      <c r="AQ809" s="52"/>
      <c r="AR809" s="52"/>
      <c r="AS809" s="52"/>
      <c r="AT809" s="52"/>
      <c r="AU809" s="52"/>
      <c r="AV809" s="52"/>
      <c r="AW809" s="52"/>
      <c r="AX809" s="52"/>
      <c r="AY809" s="52"/>
      <c r="AZ809" s="52"/>
      <c r="BA809" s="52"/>
      <c r="BB809" s="52"/>
      <c r="BC809" s="52"/>
      <c r="BD809" s="52"/>
      <c r="BE809" s="52"/>
      <c r="BF809" s="52"/>
      <c r="BG809" s="52"/>
      <c r="BH809" s="52"/>
      <c r="BI809" s="52"/>
      <c r="BJ809" s="52"/>
      <c r="BK809" s="52"/>
      <c r="BL809" s="52"/>
      <c r="BM809" s="52"/>
      <c r="BN809" s="52"/>
      <c r="BO809" s="52"/>
      <c r="BP809" s="52"/>
      <c r="BQ809" s="52"/>
      <c r="BR809" s="52"/>
      <c r="BS809" s="52"/>
      <c r="BT809" s="52"/>
      <c r="BU809" s="52"/>
      <c r="BV809" s="52"/>
      <c r="BW809" s="52"/>
      <c r="BX809" s="52"/>
      <c r="BY809" s="52"/>
      <c r="BZ809" s="52"/>
      <c r="CA809" s="52"/>
      <c r="CB809" s="52"/>
      <c r="CC809" s="52"/>
      <c r="CD809" s="52"/>
      <c r="CE809" s="52"/>
      <c r="CF809" s="52"/>
      <c r="CG809" s="52"/>
      <c r="CH809" s="52"/>
      <c r="CI809" s="52"/>
      <c r="CJ809" s="52"/>
      <c r="CK809" s="52"/>
      <c r="CL809" s="52"/>
      <c r="CM809" s="52"/>
      <c r="CN809" s="52"/>
      <c r="CO809" s="52"/>
      <c r="CP809" s="52"/>
      <c r="CQ809" s="52"/>
      <c r="CR809" s="52"/>
      <c r="CS809" s="52"/>
      <c r="CT809" s="52"/>
      <c r="CU809" s="52"/>
      <c r="CV809" s="52"/>
      <c r="CW809" s="52"/>
      <c r="CX809" s="52"/>
      <c r="CY809" s="52"/>
      <c r="CZ809" s="52"/>
      <c r="DA809" s="52"/>
      <c r="DB809" s="52"/>
      <c r="DC809" s="52"/>
      <c r="DD809" s="52"/>
      <c r="DE809" s="52"/>
      <c r="DF809" s="52"/>
      <c r="DG809" s="52"/>
      <c r="DH809" s="52"/>
      <c r="DI809" s="52"/>
      <c r="DJ809" s="52"/>
      <c r="DK809" s="52"/>
      <c r="DL809" s="52"/>
      <c r="DM809" s="52"/>
      <c r="DN809" s="52"/>
      <c r="DO809" s="52"/>
      <c r="DP809" s="52"/>
      <c r="DQ809" s="52"/>
      <c r="DR809" s="52"/>
      <c r="DS809" s="52"/>
      <c r="DT809" s="52"/>
      <c r="DU809" s="52"/>
      <c r="DV809" s="52"/>
      <c r="DW809" s="52"/>
      <c r="DX809" s="52"/>
      <c r="DY809" s="52"/>
      <c r="DZ809" s="52"/>
      <c r="EA809" s="52"/>
      <c r="EB809" s="52"/>
      <c r="EC809" s="52"/>
      <c r="ED809" s="52"/>
      <c r="EE809" s="52"/>
      <c r="EF809" s="52"/>
      <c r="EG809" s="52"/>
      <c r="EH809" s="52"/>
      <c r="EI809" s="52"/>
      <c r="EJ809" s="52"/>
      <c r="EK809" s="52"/>
      <c r="EL809" s="52"/>
      <c r="EM809" s="52"/>
      <c r="EN809" s="52"/>
      <c r="EO809" s="52"/>
      <c r="EP809" s="52"/>
      <c r="EQ809" s="52"/>
      <c r="ER809" s="52"/>
      <c r="ES809" s="52"/>
    </row>
    <row r="810" spans="1:149" ht="11.25">
      <c r="A810" s="1"/>
      <c r="B810" s="1"/>
      <c r="C810" s="1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103"/>
      <c r="O810" s="103"/>
      <c r="P810" s="103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  <c r="AC810" s="52"/>
      <c r="AD810" s="52"/>
      <c r="AE810" s="52"/>
      <c r="AF810" s="52"/>
      <c r="AG810" s="52"/>
      <c r="AH810" s="52"/>
      <c r="AI810" s="52"/>
      <c r="AJ810" s="52"/>
      <c r="AK810" s="52"/>
      <c r="AL810" s="52"/>
      <c r="AM810" s="52"/>
      <c r="AN810" s="52"/>
      <c r="AO810" s="52"/>
      <c r="AP810" s="52"/>
      <c r="AQ810" s="52"/>
      <c r="AR810" s="52"/>
      <c r="AS810" s="52"/>
      <c r="AT810" s="52"/>
      <c r="AU810" s="52"/>
      <c r="AV810" s="52"/>
      <c r="AW810" s="52"/>
      <c r="AX810" s="52"/>
      <c r="AY810" s="52"/>
      <c r="AZ810" s="52"/>
      <c r="BA810" s="52"/>
      <c r="BB810" s="52"/>
      <c r="BC810" s="52"/>
      <c r="BD810" s="52"/>
      <c r="BE810" s="52"/>
      <c r="BF810" s="52"/>
      <c r="BG810" s="52"/>
      <c r="BH810" s="52"/>
      <c r="BI810" s="52"/>
      <c r="BJ810" s="52"/>
      <c r="BK810" s="52"/>
      <c r="BL810" s="52"/>
      <c r="BM810" s="52"/>
      <c r="BN810" s="52"/>
      <c r="BO810" s="52"/>
      <c r="BP810" s="52"/>
      <c r="BQ810" s="52"/>
      <c r="BR810" s="52"/>
      <c r="BS810" s="52"/>
      <c r="BT810" s="52"/>
      <c r="BU810" s="52"/>
      <c r="BV810" s="52"/>
      <c r="BW810" s="52"/>
      <c r="BX810" s="52"/>
      <c r="BY810" s="52"/>
      <c r="BZ810" s="52"/>
      <c r="CA810" s="52"/>
      <c r="CB810" s="52"/>
      <c r="CC810" s="52"/>
      <c r="CD810" s="52"/>
      <c r="CE810" s="52"/>
      <c r="CF810" s="52"/>
      <c r="CG810" s="52"/>
      <c r="CH810" s="52"/>
      <c r="CI810" s="52"/>
      <c r="CJ810" s="52"/>
      <c r="CK810" s="52"/>
      <c r="CL810" s="52"/>
      <c r="CM810" s="52"/>
      <c r="CN810" s="52"/>
      <c r="CO810" s="52"/>
      <c r="CP810" s="52"/>
      <c r="CQ810" s="52"/>
      <c r="CR810" s="52"/>
      <c r="CS810" s="52"/>
      <c r="CT810" s="52"/>
      <c r="CU810" s="52"/>
      <c r="CV810" s="52"/>
      <c r="CW810" s="52"/>
      <c r="CX810" s="52"/>
      <c r="CY810" s="52"/>
      <c r="CZ810" s="52"/>
      <c r="DA810" s="52"/>
      <c r="DB810" s="52"/>
      <c r="DC810" s="52"/>
      <c r="DD810" s="52"/>
      <c r="DE810" s="52"/>
      <c r="DF810" s="52"/>
      <c r="DG810" s="52"/>
      <c r="DH810" s="52"/>
      <c r="DI810" s="52"/>
      <c r="DJ810" s="52"/>
      <c r="DK810" s="52"/>
      <c r="DL810" s="52"/>
      <c r="DM810" s="52"/>
      <c r="DN810" s="52"/>
      <c r="DO810" s="52"/>
      <c r="DP810" s="52"/>
      <c r="DQ810" s="52"/>
      <c r="DR810" s="52"/>
      <c r="DS810" s="52"/>
      <c r="DT810" s="52"/>
      <c r="DU810" s="52"/>
      <c r="DV810" s="52"/>
      <c r="DW810" s="52"/>
      <c r="DX810" s="52"/>
      <c r="DY810" s="52"/>
      <c r="DZ810" s="52"/>
      <c r="EA810" s="52"/>
      <c r="EB810" s="52"/>
      <c r="EC810" s="52"/>
      <c r="ED810" s="52"/>
      <c r="EE810" s="52"/>
      <c r="EF810" s="52"/>
      <c r="EG810" s="52"/>
      <c r="EH810" s="52"/>
      <c r="EI810" s="52"/>
      <c r="EJ810" s="52"/>
      <c r="EK810" s="52"/>
      <c r="EL810" s="52"/>
      <c r="EM810" s="52"/>
      <c r="EN810" s="52"/>
      <c r="EO810" s="52"/>
      <c r="EP810" s="52"/>
      <c r="EQ810" s="52"/>
      <c r="ER810" s="52"/>
      <c r="ES810" s="52"/>
    </row>
    <row r="811" spans="1:149" ht="11.25">
      <c r="A811" s="1"/>
      <c r="B811" s="1"/>
      <c r="C811" s="1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103"/>
      <c r="O811" s="103"/>
      <c r="P811" s="103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  <c r="AC811" s="52"/>
      <c r="AD811" s="52"/>
      <c r="AE811" s="52"/>
      <c r="AF811" s="52"/>
      <c r="AG811" s="52"/>
      <c r="AH811" s="52"/>
      <c r="AI811" s="52"/>
      <c r="AJ811" s="52"/>
      <c r="AK811" s="52"/>
      <c r="AL811" s="52"/>
      <c r="AM811" s="52"/>
      <c r="AN811" s="52"/>
      <c r="AO811" s="52"/>
      <c r="AP811" s="52"/>
      <c r="AQ811" s="52"/>
      <c r="AR811" s="52"/>
      <c r="AS811" s="52"/>
      <c r="AT811" s="52"/>
      <c r="AU811" s="52"/>
      <c r="AV811" s="52"/>
      <c r="AW811" s="52"/>
      <c r="AX811" s="52"/>
      <c r="AY811" s="52"/>
      <c r="AZ811" s="52"/>
      <c r="BA811" s="52"/>
      <c r="BB811" s="52"/>
      <c r="BC811" s="52"/>
      <c r="BD811" s="52"/>
      <c r="BE811" s="52"/>
      <c r="BF811" s="52"/>
      <c r="BG811" s="52"/>
      <c r="BH811" s="52"/>
      <c r="BI811" s="52"/>
      <c r="BJ811" s="52"/>
      <c r="BK811" s="52"/>
      <c r="BL811" s="52"/>
      <c r="BM811" s="52"/>
      <c r="BN811" s="52"/>
      <c r="BO811" s="52"/>
      <c r="BP811" s="52"/>
      <c r="BQ811" s="52"/>
      <c r="BR811" s="52"/>
      <c r="BS811" s="52"/>
      <c r="BT811" s="52"/>
      <c r="BU811" s="52"/>
      <c r="BV811" s="52"/>
      <c r="BW811" s="52"/>
      <c r="BX811" s="52"/>
      <c r="BY811" s="52"/>
      <c r="BZ811" s="52"/>
      <c r="CA811" s="52"/>
      <c r="CB811" s="52"/>
      <c r="CC811" s="52"/>
      <c r="CD811" s="52"/>
      <c r="CE811" s="52"/>
      <c r="CF811" s="52"/>
      <c r="CG811" s="52"/>
      <c r="CH811" s="52"/>
      <c r="CI811" s="52"/>
      <c r="CJ811" s="52"/>
      <c r="CK811" s="52"/>
      <c r="CL811" s="52"/>
      <c r="CM811" s="52"/>
      <c r="CN811" s="52"/>
      <c r="CO811" s="52"/>
      <c r="CP811" s="52"/>
      <c r="CQ811" s="52"/>
      <c r="CR811" s="52"/>
      <c r="CS811" s="52"/>
      <c r="CT811" s="52"/>
      <c r="CU811" s="52"/>
      <c r="CV811" s="52"/>
      <c r="CW811" s="52"/>
      <c r="CX811" s="52"/>
      <c r="CY811" s="52"/>
      <c r="CZ811" s="52"/>
      <c r="DA811" s="52"/>
      <c r="DB811" s="52"/>
      <c r="DC811" s="52"/>
      <c r="DD811" s="52"/>
      <c r="DE811" s="52"/>
      <c r="DF811" s="52"/>
      <c r="DG811" s="52"/>
      <c r="DH811" s="52"/>
      <c r="DI811" s="52"/>
      <c r="DJ811" s="52"/>
      <c r="DK811" s="52"/>
      <c r="DL811" s="52"/>
      <c r="DM811" s="52"/>
      <c r="DN811" s="52"/>
      <c r="DO811" s="52"/>
      <c r="DP811" s="52"/>
      <c r="DQ811" s="52"/>
      <c r="DR811" s="52"/>
      <c r="DS811" s="52"/>
      <c r="DT811" s="52"/>
      <c r="DU811" s="52"/>
      <c r="DV811" s="52"/>
      <c r="DW811" s="52"/>
      <c r="DX811" s="52"/>
      <c r="DY811" s="52"/>
      <c r="DZ811" s="52"/>
      <c r="EA811" s="52"/>
      <c r="EB811" s="52"/>
      <c r="EC811" s="52"/>
      <c r="ED811" s="52"/>
      <c r="EE811" s="52"/>
      <c r="EF811" s="52"/>
      <c r="EG811" s="52"/>
      <c r="EH811" s="52"/>
      <c r="EI811" s="52"/>
      <c r="EJ811" s="52"/>
      <c r="EK811" s="52"/>
      <c r="EL811" s="52"/>
      <c r="EM811" s="52"/>
      <c r="EN811" s="52"/>
      <c r="EO811" s="52"/>
      <c r="EP811" s="52"/>
      <c r="EQ811" s="52"/>
      <c r="ER811" s="52"/>
      <c r="ES811" s="52"/>
    </row>
    <row r="812" spans="1:149" ht="11.25">
      <c r="A812" s="1"/>
      <c r="B812" s="1"/>
      <c r="C812" s="1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103"/>
      <c r="O812" s="103"/>
      <c r="P812" s="103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  <c r="AC812" s="52"/>
      <c r="AD812" s="52"/>
      <c r="AE812" s="52"/>
      <c r="AF812" s="52"/>
      <c r="AG812" s="52"/>
      <c r="AH812" s="52"/>
      <c r="AI812" s="52"/>
      <c r="AJ812" s="52"/>
      <c r="AK812" s="52"/>
      <c r="AL812" s="52"/>
      <c r="AM812" s="52"/>
      <c r="AN812" s="52"/>
      <c r="AO812" s="52"/>
      <c r="AP812" s="52"/>
      <c r="AQ812" s="52"/>
      <c r="AR812" s="52"/>
      <c r="AS812" s="52"/>
      <c r="AT812" s="52"/>
      <c r="AU812" s="52"/>
      <c r="AV812" s="52"/>
      <c r="AW812" s="52"/>
      <c r="AX812" s="52"/>
      <c r="AY812" s="52"/>
      <c r="AZ812" s="52"/>
      <c r="BA812" s="52"/>
      <c r="BB812" s="52"/>
      <c r="BC812" s="52"/>
      <c r="BD812" s="52"/>
      <c r="BE812" s="52"/>
      <c r="BF812" s="52"/>
      <c r="BG812" s="52"/>
      <c r="BH812" s="52"/>
      <c r="BI812" s="52"/>
      <c r="BJ812" s="52"/>
      <c r="BK812" s="52"/>
      <c r="BL812" s="52"/>
      <c r="BM812" s="52"/>
      <c r="BN812" s="52"/>
      <c r="BO812" s="52"/>
      <c r="BP812" s="52"/>
      <c r="BQ812" s="52"/>
      <c r="BR812" s="52"/>
      <c r="BS812" s="52"/>
      <c r="BT812" s="52"/>
      <c r="BU812" s="52"/>
      <c r="BV812" s="52"/>
      <c r="BW812" s="52"/>
      <c r="BX812" s="52"/>
      <c r="BY812" s="52"/>
      <c r="BZ812" s="52"/>
      <c r="CA812" s="52"/>
      <c r="CB812" s="52"/>
      <c r="CC812" s="52"/>
      <c r="CD812" s="52"/>
      <c r="CE812" s="52"/>
      <c r="CF812" s="52"/>
      <c r="CG812" s="52"/>
      <c r="CH812" s="52"/>
      <c r="CI812" s="52"/>
      <c r="CJ812" s="52"/>
      <c r="CK812" s="52"/>
      <c r="CL812" s="52"/>
      <c r="CM812" s="52"/>
      <c r="CN812" s="52"/>
      <c r="CO812" s="52"/>
      <c r="CP812" s="52"/>
      <c r="CQ812" s="52"/>
      <c r="CR812" s="52"/>
      <c r="CS812" s="52"/>
      <c r="CT812" s="52"/>
      <c r="CU812" s="52"/>
      <c r="CV812" s="52"/>
      <c r="CW812" s="52"/>
      <c r="CX812" s="52"/>
      <c r="CY812" s="52"/>
      <c r="CZ812" s="52"/>
      <c r="DA812" s="52"/>
      <c r="DB812" s="52"/>
      <c r="DC812" s="52"/>
      <c r="DD812" s="52"/>
      <c r="DE812" s="52"/>
      <c r="DF812" s="52"/>
      <c r="DG812" s="52"/>
      <c r="DH812" s="52"/>
      <c r="DI812" s="52"/>
      <c r="DJ812" s="52"/>
      <c r="DK812" s="52"/>
      <c r="DL812" s="52"/>
      <c r="DM812" s="52"/>
      <c r="DN812" s="52"/>
      <c r="DO812" s="52"/>
      <c r="DP812" s="52"/>
      <c r="DQ812" s="52"/>
      <c r="DR812" s="52"/>
      <c r="DS812" s="52"/>
      <c r="DT812" s="52"/>
      <c r="DU812" s="52"/>
      <c r="DV812" s="52"/>
      <c r="DW812" s="52"/>
      <c r="DX812" s="52"/>
      <c r="DY812" s="52"/>
      <c r="DZ812" s="52"/>
      <c r="EA812" s="52"/>
      <c r="EB812" s="52"/>
      <c r="EC812" s="52"/>
      <c r="ED812" s="52"/>
      <c r="EE812" s="52"/>
      <c r="EF812" s="52"/>
      <c r="EG812" s="52"/>
      <c r="EH812" s="52"/>
      <c r="EI812" s="52"/>
      <c r="EJ812" s="52"/>
      <c r="EK812" s="52"/>
      <c r="EL812" s="52"/>
      <c r="EM812" s="52"/>
      <c r="EN812" s="52"/>
      <c r="EO812" s="52"/>
      <c r="EP812" s="52"/>
      <c r="EQ812" s="52"/>
      <c r="ER812" s="52"/>
      <c r="ES812" s="52"/>
    </row>
    <row r="813" spans="1:149" ht="11.25">
      <c r="A813" s="1"/>
      <c r="B813" s="1"/>
      <c r="C813" s="1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103"/>
      <c r="O813" s="103"/>
      <c r="P813" s="103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  <c r="AC813" s="52"/>
      <c r="AD813" s="52"/>
      <c r="AE813" s="52"/>
      <c r="AF813" s="52"/>
      <c r="AG813" s="52"/>
      <c r="AH813" s="52"/>
      <c r="AI813" s="52"/>
      <c r="AJ813" s="52"/>
      <c r="AK813" s="52"/>
      <c r="AL813" s="52"/>
      <c r="AM813" s="52"/>
      <c r="AN813" s="52"/>
      <c r="AO813" s="52"/>
      <c r="AP813" s="52"/>
      <c r="AQ813" s="52"/>
      <c r="AR813" s="52"/>
      <c r="AS813" s="52"/>
      <c r="AT813" s="52"/>
      <c r="AU813" s="52"/>
      <c r="AV813" s="52"/>
      <c r="AW813" s="52"/>
      <c r="AX813" s="52"/>
      <c r="AY813" s="52"/>
      <c r="AZ813" s="52"/>
      <c r="BA813" s="52"/>
      <c r="BB813" s="52"/>
      <c r="BC813" s="52"/>
      <c r="BD813" s="52"/>
      <c r="BE813" s="52"/>
      <c r="BF813" s="52"/>
      <c r="BG813" s="52"/>
      <c r="BH813" s="52"/>
      <c r="BI813" s="52"/>
      <c r="BJ813" s="52"/>
      <c r="BK813" s="52"/>
      <c r="BL813" s="52"/>
      <c r="BM813" s="52"/>
      <c r="BN813" s="52"/>
      <c r="BO813" s="52"/>
      <c r="BP813" s="52"/>
      <c r="BQ813" s="52"/>
      <c r="BR813" s="52"/>
      <c r="BS813" s="52"/>
      <c r="BT813" s="52"/>
      <c r="BU813" s="52"/>
      <c r="BV813" s="52"/>
      <c r="BW813" s="52"/>
      <c r="BX813" s="52"/>
      <c r="BY813" s="52"/>
      <c r="BZ813" s="52"/>
      <c r="CA813" s="52"/>
      <c r="CB813" s="52"/>
      <c r="CC813" s="52"/>
      <c r="CD813" s="52"/>
      <c r="CE813" s="52"/>
      <c r="CF813" s="52"/>
      <c r="CG813" s="52"/>
      <c r="CH813" s="52"/>
      <c r="CI813" s="52"/>
      <c r="CJ813" s="52"/>
      <c r="CK813" s="52"/>
      <c r="CL813" s="52"/>
      <c r="CM813" s="52"/>
      <c r="CN813" s="52"/>
      <c r="CO813" s="52"/>
      <c r="CP813" s="52"/>
      <c r="CQ813" s="52"/>
      <c r="CR813" s="52"/>
      <c r="CS813" s="52"/>
      <c r="CT813" s="52"/>
      <c r="CU813" s="52"/>
      <c r="CV813" s="52"/>
      <c r="CW813" s="52"/>
      <c r="CX813" s="52"/>
      <c r="CY813" s="52"/>
      <c r="CZ813" s="52"/>
      <c r="DA813" s="52"/>
      <c r="DB813" s="52"/>
      <c r="DC813" s="52"/>
      <c r="DD813" s="52"/>
      <c r="DE813" s="52"/>
      <c r="DF813" s="52"/>
      <c r="DG813" s="52"/>
      <c r="DH813" s="52"/>
      <c r="DI813" s="52"/>
      <c r="DJ813" s="52"/>
      <c r="DK813" s="52"/>
      <c r="DL813" s="52"/>
      <c r="DM813" s="52"/>
      <c r="DN813" s="52"/>
      <c r="DO813" s="52"/>
      <c r="DP813" s="52"/>
      <c r="DQ813" s="52"/>
      <c r="DR813" s="52"/>
      <c r="DS813" s="52"/>
      <c r="DT813" s="52"/>
      <c r="DU813" s="52"/>
      <c r="DV813" s="52"/>
      <c r="DW813" s="52"/>
      <c r="DX813" s="52"/>
      <c r="DY813" s="52"/>
      <c r="DZ813" s="52"/>
      <c r="EA813" s="52"/>
      <c r="EB813" s="52"/>
      <c r="EC813" s="52"/>
      <c r="ED813" s="52"/>
      <c r="EE813" s="52"/>
      <c r="EF813" s="52"/>
      <c r="EG813" s="52"/>
      <c r="EH813" s="52"/>
      <c r="EI813" s="52"/>
      <c r="EJ813" s="52"/>
      <c r="EK813" s="52"/>
      <c r="EL813" s="52"/>
      <c r="EM813" s="52"/>
      <c r="EN813" s="52"/>
      <c r="EO813" s="52"/>
      <c r="EP813" s="52"/>
      <c r="EQ813" s="52"/>
      <c r="ER813" s="52"/>
      <c r="ES813" s="52"/>
    </row>
    <row r="814" spans="1:149" ht="11.25">
      <c r="A814" s="1"/>
      <c r="B814" s="1"/>
      <c r="C814" s="1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103"/>
      <c r="O814" s="103"/>
      <c r="P814" s="103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  <c r="AC814" s="52"/>
      <c r="AD814" s="52"/>
      <c r="AE814" s="52"/>
      <c r="AF814" s="52"/>
      <c r="AG814" s="52"/>
      <c r="AH814" s="52"/>
      <c r="AI814" s="52"/>
      <c r="AJ814" s="52"/>
      <c r="AK814" s="52"/>
      <c r="AL814" s="52"/>
      <c r="AM814" s="52"/>
      <c r="AN814" s="52"/>
      <c r="AO814" s="52"/>
      <c r="AP814" s="52"/>
      <c r="AQ814" s="52"/>
      <c r="AR814" s="52"/>
      <c r="AS814" s="52"/>
      <c r="AT814" s="52"/>
      <c r="AU814" s="52"/>
      <c r="AV814" s="52"/>
      <c r="AW814" s="52"/>
      <c r="AX814" s="52"/>
      <c r="AY814" s="52"/>
      <c r="AZ814" s="52"/>
      <c r="BA814" s="52"/>
      <c r="BB814" s="52"/>
      <c r="BC814" s="52"/>
      <c r="BD814" s="52"/>
      <c r="BE814" s="52"/>
      <c r="BF814" s="52"/>
      <c r="BG814" s="52"/>
      <c r="BH814" s="52"/>
      <c r="BI814" s="52"/>
      <c r="BJ814" s="52"/>
      <c r="BK814" s="52"/>
      <c r="BL814" s="52"/>
      <c r="BM814" s="52"/>
      <c r="BN814" s="52"/>
      <c r="BO814" s="52"/>
      <c r="BP814" s="52"/>
      <c r="BQ814" s="52"/>
      <c r="BR814" s="52"/>
      <c r="BS814" s="52"/>
      <c r="BT814" s="52"/>
      <c r="BU814" s="52"/>
      <c r="BV814" s="52"/>
      <c r="BW814" s="52"/>
      <c r="BX814" s="52"/>
      <c r="BY814" s="52"/>
      <c r="BZ814" s="52"/>
      <c r="CA814" s="52"/>
      <c r="CB814" s="52"/>
      <c r="CC814" s="52"/>
      <c r="CD814" s="52"/>
      <c r="CE814" s="52"/>
      <c r="CF814" s="52"/>
      <c r="CG814" s="52"/>
      <c r="CH814" s="52"/>
      <c r="CI814" s="52"/>
      <c r="CJ814" s="52"/>
      <c r="CK814" s="52"/>
      <c r="CL814" s="52"/>
      <c r="CM814" s="52"/>
      <c r="CN814" s="52"/>
      <c r="CO814" s="52"/>
      <c r="CP814" s="52"/>
      <c r="CQ814" s="52"/>
      <c r="CR814" s="52"/>
      <c r="CS814" s="52"/>
      <c r="CT814" s="52"/>
      <c r="CU814" s="52"/>
      <c r="CV814" s="52"/>
      <c r="CW814" s="52"/>
      <c r="CX814" s="52"/>
      <c r="CY814" s="52"/>
      <c r="CZ814" s="52"/>
      <c r="DA814" s="52"/>
      <c r="DB814" s="52"/>
      <c r="DC814" s="52"/>
      <c r="DD814" s="52"/>
      <c r="DE814" s="52"/>
      <c r="DF814" s="52"/>
      <c r="DG814" s="52"/>
      <c r="DH814" s="52"/>
      <c r="DI814" s="52"/>
      <c r="DJ814" s="52"/>
      <c r="DK814" s="52"/>
      <c r="DL814" s="52"/>
      <c r="DM814" s="52"/>
      <c r="DN814" s="52"/>
      <c r="DO814" s="52"/>
      <c r="DP814" s="52"/>
      <c r="DQ814" s="52"/>
      <c r="DR814" s="52"/>
      <c r="DS814" s="52"/>
      <c r="DT814" s="52"/>
      <c r="DU814" s="52"/>
      <c r="DV814" s="52"/>
      <c r="DW814" s="52"/>
      <c r="DX814" s="52"/>
      <c r="DY814" s="52"/>
      <c r="DZ814" s="52"/>
      <c r="EA814" s="52"/>
      <c r="EB814" s="52"/>
      <c r="EC814" s="52"/>
      <c r="ED814" s="52"/>
      <c r="EE814" s="52"/>
      <c r="EF814" s="52"/>
      <c r="EG814" s="52"/>
      <c r="EH814" s="52"/>
      <c r="EI814" s="52"/>
      <c r="EJ814" s="52"/>
      <c r="EK814" s="52"/>
      <c r="EL814" s="52"/>
      <c r="EM814" s="52"/>
      <c r="EN814" s="52"/>
      <c r="EO814" s="52"/>
      <c r="EP814" s="52"/>
      <c r="EQ814" s="52"/>
      <c r="ER814" s="52"/>
      <c r="ES814" s="52"/>
    </row>
    <row r="815" spans="1:149" ht="11.25">
      <c r="A815" s="1"/>
      <c r="B815" s="1"/>
      <c r="C815" s="1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103"/>
      <c r="O815" s="103"/>
      <c r="P815" s="103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  <c r="AC815" s="52"/>
      <c r="AD815" s="52"/>
      <c r="AE815" s="52"/>
      <c r="AF815" s="52"/>
      <c r="AG815" s="52"/>
      <c r="AH815" s="52"/>
      <c r="AI815" s="52"/>
      <c r="AJ815" s="52"/>
      <c r="AK815" s="52"/>
      <c r="AL815" s="52"/>
      <c r="AM815" s="52"/>
      <c r="AN815" s="52"/>
      <c r="AO815" s="52"/>
      <c r="AP815" s="52"/>
      <c r="AQ815" s="52"/>
      <c r="AR815" s="52"/>
      <c r="AS815" s="52"/>
      <c r="AT815" s="52"/>
      <c r="AU815" s="52"/>
      <c r="AV815" s="52"/>
      <c r="AW815" s="52"/>
      <c r="AX815" s="52"/>
      <c r="AY815" s="52"/>
      <c r="AZ815" s="52"/>
      <c r="BA815" s="52"/>
      <c r="BB815" s="52"/>
      <c r="BC815" s="52"/>
      <c r="BD815" s="52"/>
      <c r="BE815" s="52"/>
      <c r="BF815" s="52"/>
      <c r="BG815" s="52"/>
      <c r="BH815" s="52"/>
      <c r="BI815" s="52"/>
      <c r="BJ815" s="52"/>
      <c r="BK815" s="52"/>
      <c r="BL815" s="52"/>
      <c r="BM815" s="52"/>
      <c r="BN815" s="52"/>
      <c r="BO815" s="52"/>
      <c r="BP815" s="52"/>
      <c r="BQ815" s="52"/>
      <c r="BR815" s="52"/>
      <c r="BS815" s="52"/>
      <c r="BT815" s="52"/>
      <c r="BU815" s="52"/>
      <c r="BV815" s="52"/>
      <c r="BW815" s="52"/>
      <c r="BX815" s="52"/>
      <c r="BY815" s="52"/>
      <c r="BZ815" s="52"/>
      <c r="CA815" s="52"/>
      <c r="CB815" s="52"/>
      <c r="CC815" s="52"/>
      <c r="CD815" s="52"/>
      <c r="CE815" s="52"/>
      <c r="CF815" s="52"/>
      <c r="CG815" s="52"/>
      <c r="CH815" s="52"/>
      <c r="CI815" s="52"/>
      <c r="CJ815" s="52"/>
      <c r="CK815" s="52"/>
      <c r="CL815" s="52"/>
      <c r="CM815" s="52"/>
      <c r="CN815" s="52"/>
      <c r="CO815" s="52"/>
      <c r="CP815" s="52"/>
      <c r="CQ815" s="52"/>
      <c r="CR815" s="52"/>
      <c r="CS815" s="52"/>
      <c r="CT815" s="52"/>
      <c r="CU815" s="52"/>
      <c r="CV815" s="52"/>
      <c r="CW815" s="52"/>
      <c r="CX815" s="52"/>
      <c r="CY815" s="52"/>
      <c r="CZ815" s="52"/>
      <c r="DA815" s="52"/>
      <c r="DB815" s="52"/>
      <c r="DC815" s="52"/>
      <c r="DD815" s="52"/>
      <c r="DE815" s="52"/>
      <c r="DF815" s="52"/>
      <c r="DG815" s="52"/>
      <c r="DH815" s="52"/>
      <c r="DI815" s="52"/>
      <c r="DJ815" s="52"/>
      <c r="DK815" s="52"/>
      <c r="DL815" s="52"/>
      <c r="DM815" s="52"/>
      <c r="DN815" s="52"/>
      <c r="DO815" s="52"/>
      <c r="DP815" s="52"/>
      <c r="DQ815" s="52"/>
      <c r="DR815" s="52"/>
      <c r="DS815" s="52"/>
      <c r="DT815" s="52"/>
      <c r="DU815" s="52"/>
      <c r="DV815" s="52"/>
      <c r="DW815" s="52"/>
      <c r="DX815" s="52"/>
      <c r="DY815" s="52"/>
      <c r="DZ815" s="52"/>
      <c r="EA815" s="52"/>
      <c r="EB815" s="52"/>
      <c r="EC815" s="52"/>
      <c r="ED815" s="52"/>
      <c r="EE815" s="52"/>
      <c r="EF815" s="52"/>
      <c r="EG815" s="52"/>
      <c r="EH815" s="52"/>
      <c r="EI815" s="52"/>
      <c r="EJ815" s="52"/>
      <c r="EK815" s="52"/>
      <c r="EL815" s="52"/>
      <c r="EM815" s="52"/>
      <c r="EN815" s="52"/>
      <c r="EO815" s="52"/>
      <c r="EP815" s="52"/>
      <c r="EQ815" s="52"/>
      <c r="ER815" s="52"/>
      <c r="ES815" s="52"/>
    </row>
    <row r="816" spans="1:149" ht="11.25">
      <c r="A816" s="1"/>
      <c r="B816" s="1"/>
      <c r="C816" s="1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103"/>
      <c r="O816" s="103"/>
      <c r="P816" s="103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  <c r="AC816" s="52"/>
      <c r="AD816" s="52"/>
      <c r="AE816" s="52"/>
      <c r="AF816" s="52"/>
      <c r="AG816" s="52"/>
      <c r="AH816" s="52"/>
      <c r="AI816" s="52"/>
      <c r="AJ816" s="52"/>
      <c r="AK816" s="52"/>
      <c r="AL816" s="52"/>
      <c r="AM816" s="52"/>
      <c r="AN816" s="52"/>
      <c r="AO816" s="52"/>
      <c r="AP816" s="52"/>
      <c r="AQ816" s="52"/>
      <c r="AR816" s="52"/>
      <c r="AS816" s="52"/>
      <c r="AT816" s="52"/>
      <c r="AU816" s="52"/>
      <c r="AV816" s="52"/>
      <c r="AW816" s="52"/>
      <c r="AX816" s="52"/>
      <c r="AY816" s="52"/>
      <c r="AZ816" s="52"/>
      <c r="BA816" s="52"/>
      <c r="BB816" s="52"/>
      <c r="BC816" s="52"/>
      <c r="BD816" s="52"/>
      <c r="BE816" s="52"/>
      <c r="BF816" s="52"/>
      <c r="BG816" s="52"/>
      <c r="BH816" s="52"/>
      <c r="BI816" s="52"/>
      <c r="BJ816" s="52"/>
      <c r="BK816" s="52"/>
      <c r="BL816" s="52"/>
      <c r="BM816" s="52"/>
      <c r="BN816" s="52"/>
      <c r="BO816" s="52"/>
      <c r="BP816" s="52"/>
      <c r="BQ816" s="52"/>
      <c r="BR816" s="52"/>
      <c r="BS816" s="52"/>
      <c r="BT816" s="52"/>
      <c r="BU816" s="52"/>
      <c r="BV816" s="52"/>
      <c r="BW816" s="52"/>
      <c r="BX816" s="52"/>
      <c r="BY816" s="52"/>
      <c r="BZ816" s="52"/>
      <c r="CA816" s="52"/>
      <c r="CB816" s="52"/>
      <c r="CC816" s="52"/>
      <c r="CD816" s="52"/>
      <c r="CE816" s="52"/>
      <c r="CF816" s="52"/>
      <c r="CG816" s="52"/>
      <c r="CH816" s="52"/>
      <c r="CI816" s="52"/>
      <c r="CJ816" s="52"/>
      <c r="CK816" s="52"/>
      <c r="CL816" s="52"/>
      <c r="CM816" s="52"/>
      <c r="CN816" s="52"/>
      <c r="CO816" s="52"/>
      <c r="CP816" s="52"/>
      <c r="CQ816" s="52"/>
      <c r="CR816" s="52"/>
      <c r="CS816" s="52"/>
      <c r="CT816" s="52"/>
      <c r="CU816" s="52"/>
      <c r="CV816" s="52"/>
      <c r="CW816" s="52"/>
      <c r="CX816" s="52"/>
      <c r="CY816" s="52"/>
      <c r="CZ816" s="52"/>
      <c r="DA816" s="52"/>
      <c r="DB816" s="52"/>
      <c r="DC816" s="52"/>
      <c r="DD816" s="52"/>
      <c r="DE816" s="52"/>
      <c r="DF816" s="52"/>
      <c r="DG816" s="52"/>
      <c r="DH816" s="52"/>
      <c r="DI816" s="52"/>
      <c r="DJ816" s="52"/>
      <c r="DK816" s="52"/>
      <c r="DL816" s="52"/>
      <c r="DM816" s="52"/>
      <c r="DN816" s="52"/>
      <c r="DO816" s="52"/>
      <c r="DP816" s="52"/>
      <c r="DQ816" s="52"/>
      <c r="DR816" s="52"/>
      <c r="DS816" s="52"/>
      <c r="DT816" s="52"/>
      <c r="DU816" s="52"/>
      <c r="DV816" s="52"/>
      <c r="DW816" s="52"/>
      <c r="DX816" s="52"/>
      <c r="DY816" s="52"/>
      <c r="DZ816" s="52"/>
      <c r="EA816" s="52"/>
      <c r="EB816" s="52"/>
      <c r="EC816" s="52"/>
      <c r="ED816" s="52"/>
      <c r="EE816" s="52"/>
      <c r="EF816" s="52"/>
      <c r="EG816" s="52"/>
      <c r="EH816" s="52"/>
      <c r="EI816" s="52"/>
      <c r="EJ816" s="52"/>
      <c r="EK816" s="52"/>
      <c r="EL816" s="52"/>
      <c r="EM816" s="52"/>
      <c r="EN816" s="52"/>
      <c r="EO816" s="52"/>
      <c r="EP816" s="52"/>
      <c r="EQ816" s="52"/>
      <c r="ER816" s="52"/>
      <c r="ES816" s="52"/>
    </row>
    <row r="817" spans="1:149" ht="11.25">
      <c r="A817" s="1"/>
      <c r="B817" s="1"/>
      <c r="C817" s="1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103"/>
      <c r="O817" s="103"/>
      <c r="P817" s="103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  <c r="AC817" s="52"/>
      <c r="AD817" s="52"/>
      <c r="AE817" s="52"/>
      <c r="AF817" s="52"/>
      <c r="AG817" s="52"/>
      <c r="AH817" s="52"/>
      <c r="AI817" s="52"/>
      <c r="AJ817" s="52"/>
      <c r="AK817" s="52"/>
      <c r="AL817" s="52"/>
      <c r="AM817" s="52"/>
      <c r="AN817" s="52"/>
      <c r="AO817" s="52"/>
      <c r="AP817" s="52"/>
      <c r="AQ817" s="52"/>
      <c r="AR817" s="52"/>
      <c r="AS817" s="52"/>
      <c r="AT817" s="52"/>
      <c r="AU817" s="52"/>
      <c r="AV817" s="52"/>
      <c r="AW817" s="52"/>
      <c r="AX817" s="52"/>
      <c r="AY817" s="52"/>
      <c r="AZ817" s="52"/>
      <c r="BA817" s="52"/>
      <c r="BB817" s="52"/>
      <c r="BC817" s="52"/>
      <c r="BD817" s="52"/>
      <c r="BE817" s="52"/>
      <c r="BF817" s="52"/>
      <c r="BG817" s="52"/>
      <c r="BH817" s="52"/>
      <c r="BI817" s="52"/>
      <c r="BJ817" s="52"/>
      <c r="BK817" s="52"/>
      <c r="BL817" s="52"/>
      <c r="BM817" s="52"/>
      <c r="BN817" s="52"/>
      <c r="BO817" s="52"/>
      <c r="BP817" s="52"/>
      <c r="BQ817" s="52"/>
      <c r="BR817" s="52"/>
      <c r="BS817" s="52"/>
      <c r="BT817" s="52"/>
      <c r="BU817" s="52"/>
      <c r="BV817" s="52"/>
      <c r="BW817" s="52"/>
      <c r="BX817" s="52"/>
      <c r="BY817" s="52"/>
      <c r="BZ817" s="52"/>
      <c r="CA817" s="52"/>
      <c r="CB817" s="52"/>
      <c r="CC817" s="52"/>
      <c r="CD817" s="52"/>
      <c r="CE817" s="52"/>
      <c r="CF817" s="52"/>
      <c r="CG817" s="52"/>
      <c r="CH817" s="52"/>
      <c r="CI817" s="52"/>
      <c r="CJ817" s="52"/>
      <c r="CK817" s="52"/>
      <c r="CL817" s="52"/>
      <c r="CM817" s="52"/>
      <c r="CN817" s="52"/>
      <c r="CO817" s="52"/>
      <c r="CP817" s="52"/>
      <c r="CQ817" s="52"/>
      <c r="CR817" s="52"/>
      <c r="CS817" s="52"/>
      <c r="CT817" s="52"/>
      <c r="CU817" s="52"/>
      <c r="CV817" s="52"/>
      <c r="CW817" s="52"/>
      <c r="CX817" s="52"/>
      <c r="CY817" s="52"/>
      <c r="CZ817" s="52"/>
      <c r="DA817" s="52"/>
      <c r="DB817" s="52"/>
      <c r="DC817" s="52"/>
      <c r="DD817" s="52"/>
      <c r="DE817" s="52"/>
      <c r="DF817" s="52"/>
      <c r="DG817" s="52"/>
      <c r="DH817" s="52"/>
      <c r="DI817" s="52"/>
      <c r="DJ817" s="52"/>
      <c r="DK817" s="52"/>
      <c r="DL817" s="52"/>
      <c r="DM817" s="52"/>
      <c r="DN817" s="52"/>
      <c r="DO817" s="52"/>
      <c r="DP817" s="52"/>
      <c r="DQ817" s="52"/>
      <c r="DR817" s="52"/>
      <c r="DS817" s="52"/>
      <c r="DT817" s="52"/>
      <c r="DU817" s="52"/>
      <c r="DV817" s="52"/>
      <c r="DW817" s="52"/>
      <c r="DX817" s="52"/>
      <c r="DY817" s="52"/>
      <c r="DZ817" s="52"/>
      <c r="EA817" s="52"/>
      <c r="EB817" s="52"/>
      <c r="EC817" s="52"/>
      <c r="ED817" s="52"/>
      <c r="EE817" s="52"/>
      <c r="EF817" s="52"/>
      <c r="EG817" s="52"/>
      <c r="EH817" s="52"/>
      <c r="EI817" s="52"/>
      <c r="EJ817" s="52"/>
      <c r="EK817" s="52"/>
      <c r="EL817" s="52"/>
      <c r="EM817" s="52"/>
      <c r="EN817" s="52"/>
      <c r="EO817" s="52"/>
      <c r="EP817" s="52"/>
      <c r="EQ817" s="52"/>
      <c r="ER817" s="52"/>
      <c r="ES817" s="52"/>
    </row>
    <row r="818" spans="1:149" ht="11.25">
      <c r="A818" s="1"/>
      <c r="B818" s="1"/>
      <c r="C818" s="1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103"/>
      <c r="O818" s="103"/>
      <c r="P818" s="103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  <c r="AC818" s="52"/>
      <c r="AD818" s="52"/>
      <c r="AE818" s="52"/>
      <c r="AF818" s="52"/>
      <c r="AG818" s="52"/>
      <c r="AH818" s="52"/>
      <c r="AI818" s="52"/>
      <c r="AJ818" s="52"/>
      <c r="AK818" s="52"/>
      <c r="AL818" s="52"/>
      <c r="AM818" s="52"/>
      <c r="AN818" s="52"/>
      <c r="AO818" s="52"/>
      <c r="AP818" s="52"/>
      <c r="AQ818" s="52"/>
      <c r="AR818" s="52"/>
      <c r="AS818" s="52"/>
      <c r="AT818" s="52"/>
      <c r="AU818" s="52"/>
      <c r="AV818" s="52"/>
      <c r="AW818" s="52"/>
      <c r="AX818" s="52"/>
      <c r="AY818" s="52"/>
      <c r="AZ818" s="52"/>
      <c r="BA818" s="52"/>
      <c r="BB818" s="52"/>
      <c r="BC818" s="52"/>
      <c r="BD818" s="52"/>
      <c r="BE818" s="52"/>
      <c r="BF818" s="52"/>
      <c r="BG818" s="52"/>
      <c r="BH818" s="52"/>
      <c r="BI818" s="52"/>
      <c r="BJ818" s="52"/>
      <c r="BK818" s="52"/>
      <c r="BL818" s="52"/>
      <c r="BM818" s="52"/>
      <c r="BN818" s="52"/>
      <c r="BO818" s="52"/>
      <c r="BP818" s="52"/>
      <c r="BQ818" s="52"/>
      <c r="BR818" s="52"/>
      <c r="BS818" s="52"/>
      <c r="BT818" s="52"/>
      <c r="BU818" s="52"/>
      <c r="BV818" s="52"/>
      <c r="BW818" s="52"/>
      <c r="BX818" s="52"/>
      <c r="BY818" s="52"/>
      <c r="BZ818" s="52"/>
      <c r="CA818" s="52"/>
      <c r="CB818" s="52"/>
      <c r="CC818" s="52"/>
      <c r="CD818" s="52"/>
      <c r="CE818" s="52"/>
      <c r="CF818" s="52"/>
      <c r="CG818" s="52"/>
      <c r="CH818" s="52"/>
      <c r="CI818" s="52"/>
      <c r="CJ818" s="52"/>
      <c r="CK818" s="52"/>
      <c r="CL818" s="52"/>
      <c r="CM818" s="52"/>
      <c r="CN818" s="52"/>
      <c r="CO818" s="52"/>
      <c r="CP818" s="52"/>
      <c r="CQ818" s="52"/>
      <c r="CR818" s="52"/>
      <c r="CS818" s="52"/>
      <c r="CT818" s="52"/>
      <c r="CU818" s="52"/>
      <c r="CV818" s="52"/>
      <c r="CW818" s="52"/>
      <c r="CX818" s="52"/>
      <c r="CY818" s="52"/>
      <c r="CZ818" s="52"/>
      <c r="DA818" s="52"/>
      <c r="DB818" s="52"/>
      <c r="DC818" s="52"/>
      <c r="DD818" s="52"/>
      <c r="DE818" s="52"/>
      <c r="DF818" s="52"/>
      <c r="DG818" s="52"/>
      <c r="DH818" s="52"/>
      <c r="DI818" s="52"/>
      <c r="DJ818" s="52"/>
      <c r="DK818" s="52"/>
      <c r="DL818" s="52"/>
      <c r="DM818" s="52"/>
      <c r="DN818" s="52"/>
      <c r="DO818" s="52"/>
      <c r="DP818" s="52"/>
      <c r="DQ818" s="52"/>
      <c r="DR818" s="52"/>
      <c r="DS818" s="52"/>
      <c r="DT818" s="52"/>
      <c r="DU818" s="52"/>
      <c r="DV818" s="52"/>
      <c r="DW818" s="52"/>
      <c r="DX818" s="52"/>
      <c r="DY818" s="52"/>
      <c r="DZ818" s="52"/>
      <c r="EA818" s="52"/>
      <c r="EB818" s="52"/>
      <c r="EC818" s="52"/>
      <c r="ED818" s="52"/>
      <c r="EE818" s="52"/>
      <c r="EF818" s="52"/>
      <c r="EG818" s="52"/>
      <c r="EH818" s="52"/>
      <c r="EI818" s="52"/>
      <c r="EJ818" s="52"/>
      <c r="EK818" s="52"/>
      <c r="EL818" s="52"/>
      <c r="EM818" s="52"/>
      <c r="EN818" s="52"/>
      <c r="EO818" s="52"/>
      <c r="EP818" s="52"/>
      <c r="EQ818" s="52"/>
      <c r="ER818" s="52"/>
      <c r="ES818" s="52"/>
    </row>
    <row r="819" spans="1:149" ht="11.25">
      <c r="A819" s="1"/>
      <c r="B819" s="1"/>
      <c r="C819" s="1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103"/>
      <c r="O819" s="103"/>
      <c r="P819" s="103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  <c r="AC819" s="52"/>
      <c r="AD819" s="52"/>
      <c r="AE819" s="52"/>
      <c r="AF819" s="52"/>
      <c r="AG819" s="52"/>
      <c r="AH819" s="52"/>
      <c r="AI819" s="52"/>
      <c r="AJ819" s="52"/>
      <c r="AK819" s="52"/>
      <c r="AL819" s="52"/>
      <c r="AM819" s="52"/>
      <c r="AN819" s="52"/>
      <c r="AO819" s="52"/>
      <c r="AP819" s="52"/>
      <c r="AQ819" s="52"/>
      <c r="AR819" s="52"/>
      <c r="AS819" s="52"/>
      <c r="AT819" s="52"/>
      <c r="AU819" s="52"/>
      <c r="AV819" s="52"/>
      <c r="AW819" s="52"/>
      <c r="AX819" s="52"/>
      <c r="AY819" s="52"/>
      <c r="AZ819" s="52"/>
      <c r="BA819" s="52"/>
      <c r="BB819" s="52"/>
      <c r="BC819" s="52"/>
      <c r="BD819" s="52"/>
      <c r="BE819" s="52"/>
      <c r="BF819" s="52"/>
      <c r="BG819" s="52"/>
      <c r="BH819" s="52"/>
      <c r="BI819" s="52"/>
      <c r="BJ819" s="52"/>
      <c r="BK819" s="52"/>
      <c r="BL819" s="52"/>
      <c r="BM819" s="52"/>
      <c r="BN819" s="52"/>
      <c r="BO819" s="52"/>
      <c r="BP819" s="52"/>
      <c r="BQ819" s="52"/>
      <c r="BR819" s="52"/>
      <c r="BS819" s="52"/>
      <c r="BT819" s="52"/>
      <c r="BU819" s="52"/>
      <c r="BV819" s="52"/>
      <c r="BW819" s="52"/>
      <c r="BX819" s="52"/>
      <c r="BY819" s="52"/>
      <c r="BZ819" s="52"/>
      <c r="CA819" s="52"/>
      <c r="CB819" s="52"/>
      <c r="CC819" s="52"/>
      <c r="CD819" s="52"/>
      <c r="CE819" s="52"/>
      <c r="CF819" s="52"/>
      <c r="CG819" s="52"/>
      <c r="CH819" s="52"/>
      <c r="CI819" s="52"/>
      <c r="CJ819" s="52"/>
      <c r="CK819" s="52"/>
      <c r="CL819" s="52"/>
      <c r="CM819" s="52"/>
      <c r="CN819" s="52"/>
      <c r="CO819" s="52"/>
      <c r="CP819" s="52"/>
      <c r="CQ819" s="52"/>
      <c r="CR819" s="52"/>
      <c r="CS819" s="52"/>
      <c r="CT819" s="52"/>
      <c r="CU819" s="52"/>
      <c r="CV819" s="52"/>
      <c r="CW819" s="52"/>
      <c r="CX819" s="52"/>
      <c r="CY819" s="52"/>
      <c r="CZ819" s="52"/>
      <c r="DA819" s="52"/>
      <c r="DB819" s="52"/>
      <c r="DC819" s="52"/>
      <c r="DD819" s="52"/>
      <c r="DE819" s="52"/>
      <c r="DF819" s="52"/>
      <c r="DG819" s="52"/>
      <c r="DH819" s="52"/>
      <c r="DI819" s="52"/>
      <c r="DJ819" s="52"/>
      <c r="DK819" s="52"/>
      <c r="DL819" s="52"/>
      <c r="DM819" s="52"/>
      <c r="DN819" s="52"/>
      <c r="DO819" s="52"/>
      <c r="DP819" s="52"/>
      <c r="DQ819" s="52"/>
      <c r="DR819" s="52"/>
      <c r="DS819" s="52"/>
      <c r="DT819" s="52"/>
      <c r="DU819" s="52"/>
      <c r="DV819" s="52"/>
      <c r="DW819" s="52"/>
      <c r="DX819" s="52"/>
      <c r="DY819" s="52"/>
      <c r="DZ819" s="52"/>
      <c r="EA819" s="52"/>
      <c r="EB819" s="52"/>
      <c r="EC819" s="52"/>
      <c r="ED819" s="52"/>
      <c r="EE819" s="52"/>
      <c r="EF819" s="52"/>
      <c r="EG819" s="52"/>
      <c r="EH819" s="52"/>
      <c r="EI819" s="52"/>
      <c r="EJ819" s="52"/>
      <c r="EK819" s="52"/>
      <c r="EL819" s="52"/>
      <c r="EM819" s="52"/>
      <c r="EN819" s="52"/>
      <c r="EO819" s="52"/>
      <c r="EP819" s="52"/>
      <c r="EQ819" s="52"/>
      <c r="ER819" s="52"/>
      <c r="ES819" s="52"/>
    </row>
    <row r="820" spans="1:149" ht="11.25">
      <c r="A820" s="1"/>
      <c r="B820" s="1"/>
      <c r="C820" s="1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103"/>
      <c r="O820" s="103"/>
      <c r="P820" s="103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  <c r="AC820" s="52"/>
      <c r="AD820" s="52"/>
      <c r="AE820" s="52"/>
      <c r="AF820" s="52"/>
      <c r="AG820" s="52"/>
      <c r="AH820" s="52"/>
      <c r="AI820" s="52"/>
      <c r="AJ820" s="52"/>
      <c r="AK820" s="52"/>
      <c r="AL820" s="52"/>
      <c r="AM820" s="52"/>
      <c r="AN820" s="52"/>
      <c r="AO820" s="52"/>
      <c r="AP820" s="52"/>
      <c r="AQ820" s="52"/>
      <c r="AR820" s="52"/>
      <c r="AS820" s="52"/>
      <c r="AT820" s="52"/>
      <c r="AU820" s="52"/>
      <c r="AV820" s="52"/>
      <c r="AW820" s="52"/>
      <c r="AX820" s="52"/>
      <c r="AY820" s="52"/>
      <c r="AZ820" s="52"/>
      <c r="BA820" s="52"/>
      <c r="BB820" s="52"/>
      <c r="BC820" s="52"/>
      <c r="BD820" s="52"/>
      <c r="BE820" s="52"/>
      <c r="BF820" s="52"/>
      <c r="BG820" s="52"/>
      <c r="BH820" s="52"/>
      <c r="BI820" s="52"/>
      <c r="BJ820" s="52"/>
      <c r="BK820" s="52"/>
      <c r="BL820" s="52"/>
      <c r="BM820" s="52"/>
      <c r="BN820" s="52"/>
      <c r="BO820" s="52"/>
      <c r="BP820" s="52"/>
      <c r="BQ820" s="52"/>
      <c r="BR820" s="52"/>
      <c r="BS820" s="52"/>
      <c r="BT820" s="52"/>
      <c r="BU820" s="52"/>
      <c r="BV820" s="52"/>
      <c r="BW820" s="52"/>
      <c r="BX820" s="52"/>
      <c r="BY820" s="52"/>
      <c r="BZ820" s="52"/>
      <c r="CA820" s="52"/>
      <c r="CB820" s="52"/>
      <c r="CC820" s="52"/>
      <c r="CD820" s="52"/>
      <c r="CE820" s="52"/>
      <c r="CF820" s="52"/>
      <c r="CG820" s="52"/>
      <c r="CH820" s="52"/>
      <c r="CI820" s="52"/>
      <c r="CJ820" s="52"/>
      <c r="CK820" s="52"/>
      <c r="CL820" s="52"/>
      <c r="CM820" s="52"/>
      <c r="CN820" s="52"/>
      <c r="CO820" s="52"/>
      <c r="CP820" s="52"/>
      <c r="CQ820" s="52"/>
      <c r="CR820" s="52"/>
      <c r="CS820" s="52"/>
      <c r="CT820" s="52"/>
      <c r="CU820" s="52"/>
      <c r="CV820" s="52"/>
      <c r="CW820" s="52"/>
      <c r="CX820" s="52"/>
      <c r="CY820" s="52"/>
      <c r="CZ820" s="52"/>
      <c r="DA820" s="52"/>
      <c r="DB820" s="52"/>
      <c r="DC820" s="52"/>
      <c r="DD820" s="52"/>
      <c r="DE820" s="52"/>
      <c r="DF820" s="52"/>
      <c r="DG820" s="52"/>
      <c r="DH820" s="52"/>
      <c r="DI820" s="52"/>
      <c r="DJ820" s="52"/>
      <c r="DK820" s="52"/>
      <c r="DL820" s="52"/>
      <c r="DM820" s="52"/>
      <c r="DN820" s="52"/>
      <c r="DO820" s="52"/>
      <c r="DP820" s="52"/>
      <c r="DQ820" s="52"/>
      <c r="DR820" s="52"/>
      <c r="DS820" s="52"/>
      <c r="DT820" s="52"/>
      <c r="DU820" s="52"/>
      <c r="DV820" s="52"/>
      <c r="DW820" s="52"/>
      <c r="DX820" s="52"/>
      <c r="DY820" s="52"/>
      <c r="DZ820" s="52"/>
      <c r="EA820" s="52"/>
      <c r="EB820" s="52"/>
      <c r="EC820" s="52"/>
      <c r="ED820" s="52"/>
      <c r="EE820" s="52"/>
      <c r="EF820" s="52"/>
      <c r="EG820" s="52"/>
      <c r="EH820" s="52"/>
      <c r="EI820" s="52"/>
      <c r="EJ820" s="52"/>
      <c r="EK820" s="52"/>
      <c r="EL820" s="52"/>
      <c r="EM820" s="52"/>
      <c r="EN820" s="52"/>
      <c r="EO820" s="52"/>
      <c r="EP820" s="52"/>
      <c r="EQ820" s="52"/>
      <c r="ER820" s="52"/>
      <c r="ES820" s="52"/>
    </row>
    <row r="821" spans="1:149" ht="11.25">
      <c r="A821" s="1"/>
      <c r="B821" s="1"/>
      <c r="C821" s="1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103"/>
      <c r="O821" s="103"/>
      <c r="P821" s="103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  <c r="AC821" s="52"/>
      <c r="AD821" s="52"/>
      <c r="AE821" s="52"/>
      <c r="AF821" s="52"/>
      <c r="AG821" s="52"/>
      <c r="AH821" s="52"/>
      <c r="AI821" s="52"/>
      <c r="AJ821" s="52"/>
      <c r="AK821" s="52"/>
      <c r="AL821" s="52"/>
      <c r="AM821" s="52"/>
      <c r="AN821" s="52"/>
      <c r="AO821" s="52"/>
      <c r="AP821" s="52"/>
      <c r="AQ821" s="52"/>
      <c r="AR821" s="52"/>
      <c r="AS821" s="52"/>
      <c r="AT821" s="52"/>
      <c r="AU821" s="52"/>
      <c r="AV821" s="52"/>
      <c r="AW821" s="52"/>
      <c r="AX821" s="52"/>
      <c r="AY821" s="52"/>
      <c r="AZ821" s="52"/>
      <c r="BA821" s="52"/>
      <c r="BB821" s="52"/>
      <c r="BC821" s="52"/>
      <c r="BD821" s="52"/>
      <c r="BE821" s="52"/>
      <c r="BF821" s="52"/>
      <c r="BG821" s="52"/>
      <c r="BH821" s="52"/>
      <c r="BI821" s="52"/>
      <c r="BJ821" s="52"/>
      <c r="BK821" s="52"/>
      <c r="BL821" s="52"/>
      <c r="BM821" s="52"/>
      <c r="BN821" s="52"/>
      <c r="BO821" s="52"/>
      <c r="BP821" s="52"/>
      <c r="BQ821" s="52"/>
      <c r="BR821" s="52"/>
      <c r="BS821" s="52"/>
      <c r="BT821" s="52"/>
      <c r="BU821" s="52"/>
      <c r="BV821" s="52"/>
      <c r="BW821" s="52"/>
      <c r="BX821" s="52"/>
      <c r="BY821" s="52"/>
      <c r="BZ821" s="52"/>
      <c r="CA821" s="52"/>
      <c r="CB821" s="52"/>
      <c r="CC821" s="52"/>
      <c r="CD821" s="52"/>
      <c r="CE821" s="52"/>
      <c r="CF821" s="52"/>
      <c r="CG821" s="52"/>
      <c r="CH821" s="52"/>
      <c r="CI821" s="52"/>
      <c r="CJ821" s="52"/>
      <c r="CK821" s="52"/>
      <c r="CL821" s="52"/>
      <c r="CM821" s="52"/>
      <c r="CN821" s="52"/>
      <c r="CO821" s="52"/>
      <c r="CP821" s="52"/>
      <c r="CQ821" s="52"/>
      <c r="CR821" s="52"/>
      <c r="CS821" s="52"/>
      <c r="CT821" s="52"/>
      <c r="CU821" s="52"/>
      <c r="CV821" s="52"/>
      <c r="CW821" s="52"/>
      <c r="CX821" s="52"/>
      <c r="CY821" s="52"/>
      <c r="CZ821" s="52"/>
      <c r="DA821" s="52"/>
      <c r="DB821" s="52"/>
      <c r="DC821" s="52"/>
      <c r="DD821" s="52"/>
      <c r="DE821" s="52"/>
      <c r="DF821" s="52"/>
      <c r="DG821" s="52"/>
      <c r="DH821" s="52"/>
      <c r="DI821" s="52"/>
      <c r="DJ821" s="52"/>
      <c r="DK821" s="52"/>
      <c r="DL821" s="52"/>
      <c r="DM821" s="52"/>
      <c r="DN821" s="52"/>
      <c r="DO821" s="52"/>
      <c r="DP821" s="52"/>
      <c r="DQ821" s="52"/>
      <c r="DR821" s="52"/>
      <c r="DS821" s="52"/>
      <c r="DT821" s="52"/>
      <c r="DU821" s="52"/>
      <c r="DV821" s="52"/>
      <c r="DW821" s="52"/>
      <c r="DX821" s="52"/>
      <c r="DY821" s="52"/>
      <c r="DZ821" s="52"/>
      <c r="EA821" s="52"/>
      <c r="EB821" s="52"/>
      <c r="EC821" s="52"/>
      <c r="ED821" s="52"/>
      <c r="EE821" s="52"/>
      <c r="EF821" s="52"/>
      <c r="EG821" s="52"/>
      <c r="EH821" s="52"/>
      <c r="EI821" s="52"/>
      <c r="EJ821" s="52"/>
      <c r="EK821" s="52"/>
      <c r="EL821" s="52"/>
      <c r="EM821" s="52"/>
      <c r="EN821" s="52"/>
      <c r="EO821" s="52"/>
      <c r="EP821" s="52"/>
      <c r="EQ821" s="52"/>
      <c r="ER821" s="52"/>
      <c r="ES821" s="52"/>
    </row>
    <row r="822" spans="1:149" ht="11.25">
      <c r="A822" s="1"/>
      <c r="B822" s="1"/>
      <c r="C822" s="1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103"/>
      <c r="O822" s="103"/>
      <c r="P822" s="103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  <c r="AC822" s="52"/>
      <c r="AD822" s="52"/>
      <c r="AE822" s="52"/>
      <c r="AF822" s="52"/>
      <c r="AG822" s="52"/>
      <c r="AH822" s="52"/>
      <c r="AI822" s="52"/>
      <c r="AJ822" s="52"/>
      <c r="AK822" s="52"/>
      <c r="AL822" s="52"/>
      <c r="AM822" s="52"/>
      <c r="AN822" s="52"/>
      <c r="AO822" s="52"/>
      <c r="AP822" s="52"/>
      <c r="AQ822" s="52"/>
      <c r="AR822" s="52"/>
      <c r="AS822" s="52"/>
      <c r="AT822" s="52"/>
      <c r="AU822" s="52"/>
      <c r="AV822" s="52"/>
      <c r="AW822" s="52"/>
      <c r="AX822" s="52"/>
      <c r="AY822" s="52"/>
      <c r="AZ822" s="52"/>
      <c r="BA822" s="52"/>
      <c r="BB822" s="52"/>
      <c r="BC822" s="52"/>
      <c r="BD822" s="52"/>
      <c r="BE822" s="52"/>
      <c r="BF822" s="52"/>
      <c r="BG822" s="52"/>
      <c r="BH822" s="52"/>
      <c r="BI822" s="52"/>
      <c r="BJ822" s="52"/>
      <c r="BK822" s="52"/>
      <c r="BL822" s="52"/>
      <c r="BM822" s="52"/>
      <c r="BN822" s="52"/>
      <c r="BO822" s="52"/>
      <c r="BP822" s="52"/>
      <c r="BQ822" s="52"/>
      <c r="BR822" s="52"/>
      <c r="BS822" s="52"/>
      <c r="BT822" s="52"/>
      <c r="BU822" s="52"/>
      <c r="BV822" s="52"/>
      <c r="BW822" s="52"/>
      <c r="BX822" s="52"/>
      <c r="BY822" s="52"/>
      <c r="BZ822" s="52"/>
      <c r="CA822" s="52"/>
      <c r="CB822" s="52"/>
      <c r="CC822" s="52"/>
      <c r="CD822" s="52"/>
      <c r="CE822" s="52"/>
      <c r="CF822" s="52"/>
      <c r="CG822" s="52"/>
      <c r="CH822" s="52"/>
      <c r="CI822" s="52"/>
      <c r="CJ822" s="52"/>
      <c r="CK822" s="52"/>
      <c r="CL822" s="52"/>
      <c r="CM822" s="52"/>
      <c r="CN822" s="52"/>
      <c r="CO822" s="52"/>
      <c r="CP822" s="52"/>
      <c r="CQ822" s="52"/>
      <c r="CR822" s="52"/>
      <c r="CS822" s="52"/>
      <c r="CT822" s="52"/>
      <c r="CU822" s="52"/>
      <c r="CV822" s="52"/>
      <c r="CW822" s="52"/>
      <c r="CX822" s="52"/>
      <c r="CY822" s="52"/>
      <c r="CZ822" s="52"/>
      <c r="DA822" s="52"/>
      <c r="DB822" s="52"/>
      <c r="DC822" s="52"/>
      <c r="DD822" s="52"/>
      <c r="DE822" s="52"/>
      <c r="DF822" s="52"/>
      <c r="DG822" s="52"/>
      <c r="DH822" s="52"/>
      <c r="DI822" s="52"/>
      <c r="DJ822" s="52"/>
      <c r="DK822" s="52"/>
      <c r="DL822" s="52"/>
      <c r="DM822" s="52"/>
      <c r="DN822" s="52"/>
      <c r="DO822" s="52"/>
      <c r="DP822" s="52"/>
      <c r="DQ822" s="52"/>
      <c r="DR822" s="52"/>
      <c r="DS822" s="52"/>
      <c r="DT822" s="52"/>
      <c r="DU822" s="52"/>
      <c r="DV822" s="52"/>
      <c r="DW822" s="52"/>
      <c r="DX822" s="52"/>
      <c r="DY822" s="52"/>
      <c r="DZ822" s="52"/>
      <c r="EA822" s="52"/>
      <c r="EB822" s="52"/>
      <c r="EC822" s="52"/>
      <c r="ED822" s="52"/>
      <c r="EE822" s="52"/>
      <c r="EF822" s="52"/>
      <c r="EG822" s="52"/>
      <c r="EH822" s="52"/>
      <c r="EI822" s="52"/>
      <c r="EJ822" s="52"/>
      <c r="EK822" s="52"/>
      <c r="EL822" s="52"/>
      <c r="EM822" s="52"/>
      <c r="EN822" s="52"/>
      <c r="EO822" s="52"/>
      <c r="EP822" s="52"/>
      <c r="EQ822" s="52"/>
      <c r="ER822" s="52"/>
      <c r="ES822" s="52"/>
    </row>
    <row r="823" spans="1:149" ht="11.25">
      <c r="A823" s="1"/>
      <c r="B823" s="1"/>
      <c r="C823" s="1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103"/>
      <c r="O823" s="103"/>
      <c r="P823" s="103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  <c r="AC823" s="52"/>
      <c r="AD823" s="52"/>
      <c r="AE823" s="52"/>
      <c r="AF823" s="52"/>
      <c r="AG823" s="52"/>
      <c r="AH823" s="52"/>
      <c r="AI823" s="52"/>
      <c r="AJ823" s="52"/>
      <c r="AK823" s="52"/>
      <c r="AL823" s="52"/>
      <c r="AM823" s="52"/>
      <c r="AN823" s="52"/>
      <c r="AO823" s="52"/>
      <c r="AP823" s="52"/>
      <c r="AQ823" s="52"/>
      <c r="AR823" s="52"/>
      <c r="AS823" s="52"/>
      <c r="AT823" s="52"/>
      <c r="AU823" s="52"/>
      <c r="AV823" s="52"/>
      <c r="AW823" s="52"/>
      <c r="AX823" s="52"/>
      <c r="AY823" s="52"/>
      <c r="AZ823" s="52"/>
      <c r="BA823" s="52"/>
      <c r="BB823" s="52"/>
      <c r="BC823" s="52"/>
      <c r="BD823" s="52"/>
      <c r="BE823" s="52"/>
      <c r="BF823" s="52"/>
      <c r="BG823" s="52"/>
      <c r="BH823" s="52"/>
      <c r="BI823" s="52"/>
      <c r="BJ823" s="52"/>
      <c r="BK823" s="52"/>
      <c r="BL823" s="52"/>
      <c r="BM823" s="52"/>
      <c r="BN823" s="52"/>
      <c r="BO823" s="52"/>
      <c r="BP823" s="52"/>
      <c r="BQ823" s="52"/>
      <c r="BR823" s="52"/>
      <c r="BS823" s="52"/>
      <c r="BT823" s="52"/>
      <c r="BU823" s="52"/>
      <c r="BV823" s="52"/>
      <c r="BW823" s="52"/>
      <c r="BX823" s="52"/>
      <c r="BY823" s="52"/>
      <c r="BZ823" s="52"/>
      <c r="CA823" s="52"/>
      <c r="CB823" s="52"/>
      <c r="CC823" s="52"/>
      <c r="CD823" s="52"/>
      <c r="CE823" s="52"/>
      <c r="CF823" s="52"/>
      <c r="CG823" s="52"/>
      <c r="CH823" s="52"/>
      <c r="CI823" s="52"/>
      <c r="CJ823" s="52"/>
      <c r="CK823" s="52"/>
      <c r="CL823" s="52"/>
      <c r="CM823" s="52"/>
      <c r="CN823" s="52"/>
      <c r="CO823" s="52"/>
      <c r="CP823" s="52"/>
      <c r="CQ823" s="52"/>
      <c r="CR823" s="52"/>
      <c r="CS823" s="52"/>
      <c r="CT823" s="52"/>
      <c r="CU823" s="52"/>
      <c r="CV823" s="52"/>
      <c r="CW823" s="52"/>
      <c r="CX823" s="52"/>
      <c r="CY823" s="52"/>
      <c r="CZ823" s="52"/>
      <c r="DA823" s="52"/>
      <c r="DB823" s="52"/>
      <c r="DC823" s="52"/>
      <c r="DD823" s="52"/>
      <c r="DE823" s="52"/>
      <c r="DF823" s="52"/>
      <c r="DG823" s="52"/>
      <c r="DH823" s="52"/>
      <c r="DI823" s="52"/>
      <c r="DJ823" s="52"/>
      <c r="DK823" s="52"/>
      <c r="DL823" s="52"/>
      <c r="DM823" s="52"/>
      <c r="DN823" s="52"/>
      <c r="DO823" s="52"/>
      <c r="DP823" s="52"/>
      <c r="DQ823" s="52"/>
      <c r="DR823" s="52"/>
      <c r="DS823" s="52"/>
      <c r="DT823" s="52"/>
      <c r="DU823" s="52"/>
      <c r="DV823" s="52"/>
      <c r="DW823" s="52"/>
      <c r="DX823" s="52"/>
      <c r="DY823" s="52"/>
      <c r="DZ823" s="52"/>
      <c r="EA823" s="52"/>
      <c r="EB823" s="52"/>
      <c r="EC823" s="52"/>
      <c r="ED823" s="52"/>
      <c r="EE823" s="52"/>
      <c r="EF823" s="52"/>
      <c r="EG823" s="52"/>
      <c r="EH823" s="52"/>
      <c r="EI823" s="52"/>
      <c r="EJ823" s="52"/>
      <c r="EK823" s="52"/>
      <c r="EL823" s="52"/>
      <c r="EM823" s="52"/>
      <c r="EN823" s="52"/>
      <c r="EO823" s="52"/>
      <c r="EP823" s="52"/>
      <c r="EQ823" s="52"/>
      <c r="ER823" s="52"/>
      <c r="ES823" s="52"/>
    </row>
    <row r="824" spans="1:149" ht="11.25">
      <c r="A824" s="1"/>
      <c r="B824" s="1"/>
      <c r="C824" s="1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103"/>
      <c r="O824" s="103"/>
      <c r="P824" s="103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  <c r="AC824" s="52"/>
      <c r="AD824" s="52"/>
      <c r="AE824" s="52"/>
      <c r="AF824" s="52"/>
      <c r="AG824" s="52"/>
      <c r="AH824" s="52"/>
      <c r="AI824" s="52"/>
      <c r="AJ824" s="52"/>
      <c r="AK824" s="52"/>
      <c r="AL824" s="52"/>
      <c r="AM824" s="52"/>
      <c r="AN824" s="52"/>
      <c r="AO824" s="52"/>
      <c r="AP824" s="52"/>
      <c r="AQ824" s="52"/>
      <c r="AR824" s="52"/>
      <c r="AS824" s="52"/>
      <c r="AT824" s="52"/>
      <c r="AU824" s="52"/>
      <c r="AV824" s="52"/>
      <c r="AW824" s="52"/>
      <c r="AX824" s="52"/>
      <c r="AY824" s="52"/>
      <c r="AZ824" s="52"/>
      <c r="BA824" s="52"/>
      <c r="BB824" s="52"/>
      <c r="BC824" s="52"/>
      <c r="BD824" s="52"/>
      <c r="BE824" s="52"/>
      <c r="BF824" s="52"/>
      <c r="BG824" s="52"/>
      <c r="BH824" s="52"/>
      <c r="BI824" s="52"/>
      <c r="BJ824" s="52"/>
      <c r="BK824" s="52"/>
      <c r="BL824" s="52"/>
      <c r="BM824" s="52"/>
      <c r="BN824" s="52"/>
      <c r="BO824" s="52"/>
      <c r="BP824" s="52"/>
      <c r="BQ824" s="52"/>
      <c r="BR824" s="52"/>
      <c r="BS824" s="52"/>
      <c r="BT824" s="52"/>
      <c r="BU824" s="52"/>
      <c r="BV824" s="52"/>
      <c r="BW824" s="52"/>
      <c r="BX824" s="52"/>
      <c r="BY824" s="52"/>
      <c r="BZ824" s="52"/>
      <c r="CA824" s="52"/>
      <c r="CB824" s="52"/>
      <c r="CC824" s="52"/>
      <c r="CD824" s="52"/>
      <c r="CE824" s="52"/>
      <c r="CF824" s="52"/>
      <c r="CG824" s="52"/>
      <c r="CH824" s="52"/>
      <c r="CI824" s="52"/>
      <c r="CJ824" s="52"/>
      <c r="CK824" s="52"/>
      <c r="CL824" s="52"/>
      <c r="CM824" s="52"/>
      <c r="CN824" s="52"/>
      <c r="CO824" s="52"/>
      <c r="CP824" s="52"/>
      <c r="CQ824" s="52"/>
      <c r="CR824" s="52"/>
      <c r="CS824" s="52"/>
      <c r="CT824" s="52"/>
      <c r="CU824" s="52"/>
      <c r="CV824" s="52"/>
      <c r="CW824" s="52"/>
      <c r="CX824" s="52"/>
      <c r="CY824" s="52"/>
      <c r="CZ824" s="52"/>
      <c r="DA824" s="52"/>
      <c r="DB824" s="52"/>
      <c r="DC824" s="52"/>
      <c r="DD824" s="52"/>
      <c r="DE824" s="52"/>
      <c r="DF824" s="52"/>
      <c r="DG824" s="52"/>
      <c r="DH824" s="52"/>
      <c r="DI824" s="52"/>
      <c r="DJ824" s="52"/>
      <c r="DK824" s="52"/>
      <c r="DL824" s="52"/>
      <c r="DM824" s="52"/>
      <c r="DN824" s="52"/>
      <c r="DO824" s="52"/>
      <c r="DP824" s="52"/>
      <c r="DQ824" s="52"/>
      <c r="DR824" s="52"/>
      <c r="DS824" s="52"/>
      <c r="DT824" s="52"/>
      <c r="DU824" s="52"/>
      <c r="DV824" s="52"/>
      <c r="DW824" s="52"/>
      <c r="DX824" s="52"/>
      <c r="DY824" s="52"/>
      <c r="DZ824" s="52"/>
      <c r="EA824" s="52"/>
      <c r="EB824" s="52"/>
      <c r="EC824" s="52"/>
      <c r="ED824" s="52"/>
      <c r="EE824" s="52"/>
      <c r="EF824" s="52"/>
      <c r="EG824" s="52"/>
      <c r="EH824" s="52"/>
      <c r="EI824" s="52"/>
      <c r="EJ824" s="52"/>
      <c r="EK824" s="52"/>
      <c r="EL824" s="52"/>
      <c r="EM824" s="52"/>
      <c r="EN824" s="52"/>
      <c r="EO824" s="52"/>
      <c r="EP824" s="52"/>
      <c r="EQ824" s="52"/>
      <c r="ER824" s="52"/>
      <c r="ES824" s="52"/>
    </row>
    <row r="825" spans="1:149" ht="11.25">
      <c r="A825" s="1"/>
      <c r="B825" s="1"/>
      <c r="C825" s="1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103"/>
      <c r="O825" s="103"/>
      <c r="P825" s="103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  <c r="AC825" s="52"/>
      <c r="AD825" s="52"/>
      <c r="AE825" s="52"/>
      <c r="AF825" s="52"/>
      <c r="AG825" s="52"/>
      <c r="AH825" s="52"/>
      <c r="AI825" s="52"/>
      <c r="AJ825" s="52"/>
      <c r="AK825" s="52"/>
      <c r="AL825" s="52"/>
      <c r="AM825" s="52"/>
      <c r="AN825" s="52"/>
      <c r="AO825" s="52"/>
      <c r="AP825" s="52"/>
      <c r="AQ825" s="52"/>
      <c r="AR825" s="52"/>
      <c r="AS825" s="52"/>
      <c r="AT825" s="52"/>
      <c r="AU825" s="52"/>
      <c r="AV825" s="52"/>
      <c r="AW825" s="52"/>
      <c r="AX825" s="52"/>
      <c r="AY825" s="52"/>
      <c r="AZ825" s="52"/>
      <c r="BA825" s="52"/>
      <c r="BB825" s="52"/>
      <c r="BC825" s="52"/>
      <c r="BD825" s="52"/>
      <c r="BE825" s="52"/>
      <c r="BF825" s="52"/>
      <c r="BG825" s="52"/>
      <c r="BH825" s="52"/>
      <c r="BI825" s="52"/>
      <c r="BJ825" s="52"/>
      <c r="BK825" s="52"/>
      <c r="BL825" s="52"/>
      <c r="BM825" s="52"/>
      <c r="BN825" s="52"/>
      <c r="BO825" s="52"/>
      <c r="BP825" s="52"/>
      <c r="BQ825" s="52"/>
      <c r="BR825" s="52"/>
      <c r="BS825" s="52"/>
      <c r="BT825" s="52"/>
      <c r="BU825" s="52"/>
      <c r="BV825" s="52"/>
      <c r="BW825" s="52"/>
      <c r="BX825" s="52"/>
      <c r="BY825" s="52"/>
      <c r="BZ825" s="52"/>
      <c r="CA825" s="52"/>
      <c r="CB825" s="52"/>
      <c r="CC825" s="52"/>
      <c r="CD825" s="52"/>
      <c r="CE825" s="52"/>
      <c r="CF825" s="52"/>
      <c r="CG825" s="52"/>
      <c r="CH825" s="52"/>
      <c r="CI825" s="52"/>
      <c r="CJ825" s="52"/>
      <c r="CK825" s="52"/>
      <c r="CL825" s="52"/>
      <c r="CM825" s="52"/>
      <c r="CN825" s="52"/>
      <c r="CO825" s="52"/>
      <c r="CP825" s="52"/>
      <c r="CQ825" s="52"/>
      <c r="CR825" s="52"/>
      <c r="CS825" s="52"/>
      <c r="CT825" s="52"/>
      <c r="CU825" s="52"/>
      <c r="CV825" s="52"/>
      <c r="CW825" s="52"/>
      <c r="CX825" s="52"/>
      <c r="CY825" s="52"/>
      <c r="CZ825" s="52"/>
      <c r="DA825" s="52"/>
      <c r="DB825" s="52"/>
      <c r="DC825" s="52"/>
      <c r="DD825" s="52"/>
      <c r="DE825" s="52"/>
      <c r="DF825" s="52"/>
      <c r="DG825" s="52"/>
      <c r="DH825" s="52"/>
      <c r="DI825" s="52"/>
      <c r="DJ825" s="52"/>
      <c r="DK825" s="52"/>
      <c r="DL825" s="52"/>
      <c r="DM825" s="52"/>
      <c r="DN825" s="52"/>
      <c r="DO825" s="52"/>
      <c r="DP825" s="52"/>
      <c r="DQ825" s="52"/>
      <c r="DR825" s="52"/>
      <c r="DS825" s="52"/>
      <c r="DT825" s="52"/>
      <c r="DU825" s="52"/>
      <c r="DV825" s="52"/>
      <c r="DW825" s="52"/>
      <c r="DX825" s="52"/>
      <c r="DY825" s="52"/>
      <c r="DZ825" s="52"/>
      <c r="EA825" s="52"/>
      <c r="EB825" s="52"/>
      <c r="EC825" s="52"/>
      <c r="ED825" s="52"/>
      <c r="EE825" s="52"/>
      <c r="EF825" s="52"/>
      <c r="EG825" s="52"/>
      <c r="EH825" s="52"/>
      <c r="EI825" s="52"/>
      <c r="EJ825" s="52"/>
      <c r="EK825" s="52"/>
      <c r="EL825" s="52"/>
      <c r="EM825" s="52"/>
      <c r="EN825" s="52"/>
      <c r="EO825" s="52"/>
      <c r="EP825" s="52"/>
      <c r="EQ825" s="52"/>
      <c r="ER825" s="52"/>
      <c r="ES825" s="52"/>
    </row>
    <row r="826" spans="1:149" ht="11.25">
      <c r="A826" s="1"/>
      <c r="B826" s="1"/>
      <c r="C826" s="1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103"/>
      <c r="O826" s="103"/>
      <c r="P826" s="103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  <c r="AC826" s="52"/>
      <c r="AD826" s="52"/>
      <c r="AE826" s="52"/>
      <c r="AF826" s="52"/>
      <c r="AG826" s="52"/>
      <c r="AH826" s="52"/>
      <c r="AI826" s="52"/>
      <c r="AJ826" s="52"/>
      <c r="AK826" s="52"/>
      <c r="AL826" s="52"/>
      <c r="AM826" s="52"/>
      <c r="AN826" s="52"/>
      <c r="AO826" s="52"/>
      <c r="AP826" s="52"/>
      <c r="AQ826" s="52"/>
      <c r="AR826" s="52"/>
      <c r="AS826" s="52"/>
      <c r="AT826" s="52"/>
      <c r="AU826" s="52"/>
      <c r="AV826" s="52"/>
      <c r="AW826" s="52"/>
      <c r="AX826" s="52"/>
      <c r="AY826" s="52"/>
      <c r="AZ826" s="52"/>
      <c r="BA826" s="52"/>
      <c r="BB826" s="52"/>
      <c r="BC826" s="52"/>
      <c r="BD826" s="52"/>
      <c r="BE826" s="52"/>
      <c r="BF826" s="52"/>
      <c r="BG826" s="52"/>
      <c r="BH826" s="52"/>
      <c r="BI826" s="52"/>
      <c r="BJ826" s="52"/>
      <c r="BK826" s="52"/>
      <c r="BL826" s="52"/>
      <c r="BM826" s="52"/>
      <c r="BN826" s="52"/>
      <c r="BO826" s="52"/>
      <c r="BP826" s="52"/>
      <c r="BQ826" s="52"/>
      <c r="BR826" s="52"/>
      <c r="BS826" s="52"/>
      <c r="BT826" s="52"/>
      <c r="BU826" s="52"/>
      <c r="BV826" s="52"/>
      <c r="BW826" s="52"/>
      <c r="BX826" s="52"/>
      <c r="BY826" s="52"/>
      <c r="BZ826" s="52"/>
      <c r="CA826" s="52"/>
      <c r="CB826" s="52"/>
      <c r="CC826" s="52"/>
      <c r="CD826" s="52"/>
      <c r="CE826" s="52"/>
      <c r="CF826" s="52"/>
      <c r="CG826" s="52"/>
      <c r="CH826" s="52"/>
      <c r="CI826" s="52"/>
      <c r="CJ826" s="52"/>
      <c r="CK826" s="52"/>
      <c r="CL826" s="52"/>
      <c r="CM826" s="52"/>
      <c r="CN826" s="52"/>
      <c r="CO826" s="52"/>
      <c r="CP826" s="52"/>
      <c r="CQ826" s="52"/>
      <c r="CR826" s="52"/>
      <c r="CS826" s="52"/>
      <c r="CT826" s="52"/>
      <c r="CU826" s="52"/>
      <c r="CV826" s="52"/>
      <c r="CW826" s="52"/>
      <c r="CX826" s="52"/>
      <c r="CY826" s="52"/>
      <c r="CZ826" s="52"/>
      <c r="DA826" s="52"/>
      <c r="DB826" s="52"/>
      <c r="DC826" s="52"/>
      <c r="DD826" s="52"/>
      <c r="DE826" s="52"/>
      <c r="DF826" s="52"/>
      <c r="DG826" s="52"/>
      <c r="DH826" s="52"/>
      <c r="DI826" s="52"/>
      <c r="DJ826" s="52"/>
      <c r="DK826" s="52"/>
      <c r="DL826" s="52"/>
      <c r="DM826" s="52"/>
      <c r="DN826" s="52"/>
      <c r="DO826" s="52"/>
      <c r="DP826" s="52"/>
      <c r="DQ826" s="52"/>
      <c r="DR826" s="52"/>
      <c r="DS826" s="52"/>
      <c r="DT826" s="52"/>
      <c r="DU826" s="52"/>
      <c r="DV826" s="52"/>
      <c r="DW826" s="52"/>
      <c r="DX826" s="52"/>
      <c r="DY826" s="52"/>
      <c r="DZ826" s="52"/>
      <c r="EA826" s="52"/>
      <c r="EB826" s="52"/>
      <c r="EC826" s="52"/>
      <c r="ED826" s="52"/>
      <c r="EE826" s="52"/>
      <c r="EF826" s="52"/>
      <c r="EG826" s="52"/>
      <c r="EH826" s="52"/>
      <c r="EI826" s="52"/>
      <c r="EJ826" s="52"/>
      <c r="EK826" s="52"/>
      <c r="EL826" s="52"/>
      <c r="EM826" s="52"/>
      <c r="EN826" s="52"/>
      <c r="EO826" s="52"/>
      <c r="EP826" s="52"/>
      <c r="EQ826" s="52"/>
      <c r="ER826" s="52"/>
      <c r="ES826" s="52"/>
    </row>
  </sheetData>
  <sheetProtection/>
  <mergeCells count="19">
    <mergeCell ref="A725:D725"/>
    <mergeCell ref="F14:G14"/>
    <mergeCell ref="J2:L2"/>
    <mergeCell ref="A13:P13"/>
    <mergeCell ref="O725:P725"/>
    <mergeCell ref="N15:P15"/>
    <mergeCell ref="N16:O16"/>
    <mergeCell ref="P16:P17"/>
    <mergeCell ref="J16:J17"/>
    <mergeCell ref="A728:B728"/>
    <mergeCell ref="F16:F17"/>
    <mergeCell ref="D15:F15"/>
    <mergeCell ref="G16:I16"/>
    <mergeCell ref="K16:M16"/>
    <mergeCell ref="A15:A17"/>
    <mergeCell ref="B15:B17"/>
    <mergeCell ref="C15:C17"/>
    <mergeCell ref="D16:E16"/>
    <mergeCell ref="G15:J15"/>
  </mergeCells>
  <printOptions horizontalCentered="1"/>
  <pageMargins left="1.1811023622047245" right="0.5905511811023623" top="1.1811023622047245" bottom="0.7874015748031497" header="0" footer="0"/>
  <pageSetup fitToHeight="0" fitToWidth="1" horizontalDpi="600" verticalDpi="600" orientation="landscape" paperSize="9" scale="73" r:id="rId1"/>
  <rowBreaks count="1" manualBreakCount="1">
    <brk id="688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Анна</dc:creator>
  <cp:keywords/>
  <dc:description/>
  <cp:lastModifiedBy>Кузнєцова Олена Анатоліївна</cp:lastModifiedBy>
  <cp:lastPrinted>2020-12-17T07:00:13Z</cp:lastPrinted>
  <dcterms:created xsi:type="dcterms:W3CDTF">2014-04-22T08:24:49Z</dcterms:created>
  <dcterms:modified xsi:type="dcterms:W3CDTF">2020-12-17T07:09:18Z</dcterms:modified>
  <cp:category/>
  <cp:version/>
  <cp:contentType/>
  <cp:contentStatus/>
</cp:coreProperties>
</file>