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8" sheetId="1" r:id="rId1"/>
  </sheets>
  <definedNames>
    <definedName name="_xlfn.AGGREGATE" hidden="1">#NAME?</definedName>
    <definedName name="_xlnm.Print_Titles" localSheetId="0">'дод 8'!$17:$18</definedName>
    <definedName name="_xlnm.Print_Area" localSheetId="0">'дод 8'!$B$7:$K$226</definedName>
  </definedNames>
  <calcPr fullCalcOnLoad="1"/>
</workbook>
</file>

<file path=xl/sharedStrings.xml><?xml version="1.0" encoding="utf-8"?>
<sst xmlns="http://schemas.openxmlformats.org/spreadsheetml/2006/main" count="1002" uniqueCount="499">
  <si>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</si>
  <si>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</si>
  <si>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</si>
  <si>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</si>
  <si>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</si>
  <si>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</si>
  <si>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</si>
  <si>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</si>
  <si>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</si>
  <si>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</si>
  <si>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</si>
  <si>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</si>
  <si>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</si>
  <si>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</si>
  <si>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</si>
  <si>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</si>
  <si>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</si>
  <si>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</si>
  <si>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</si>
  <si>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</si>
  <si>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</si>
  <si>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</si>
  <si>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</si>
  <si>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</si>
  <si>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</si>
  <si>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</si>
  <si>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</si>
  <si>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</si>
  <si>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</si>
  <si>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</si>
  <si>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</si>
  <si>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</si>
  <si>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</si>
  <si>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</si>
  <si>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</si>
  <si>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</si>
  <si>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</si>
  <si>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</si>
  <si>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</si>
  <si>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</si>
  <si>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</si>
  <si>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</si>
  <si>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</si>
  <si>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</si>
  <si>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</si>
  <si>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</si>
  <si>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</si>
  <si>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</si>
  <si>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</si>
  <si>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</si>
  <si>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</si>
  <si>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</si>
  <si>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</si>
  <si>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</si>
  <si>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</si>
  <si>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</si>
  <si>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</si>
  <si>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</si>
  <si>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</si>
  <si>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</si>
  <si>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</si>
  <si>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</si>
  <si>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</si>
  <si>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</si>
  <si>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</si>
  <si>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</si>
  <si>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</si>
  <si>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</si>
  <si>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</si>
  <si>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</si>
  <si>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</si>
  <si>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</si>
  <si>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</si>
  <si>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</si>
  <si>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</si>
  <si>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</si>
  <si>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</si>
  <si>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</si>
  <si>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</si>
  <si>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</si>
  <si>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</si>
  <si>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</si>
  <si>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</si>
  <si>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</si>
  <si>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</si>
  <si>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</si>
  <si>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</si>
  <si>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</si>
  <si>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</si>
  <si>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</si>
  <si>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</si>
  <si>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</si>
  <si>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</si>
  <si>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</si>
  <si>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</si>
  <si>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</si>
  <si>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</si>
  <si>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</si>
  <si>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</si>
  <si>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</si>
  <si>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</si>
  <si>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</si>
  <si>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</si>
  <si>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</si>
  <si>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</si>
  <si>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</si>
  <si>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</si>
  <si>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</si>
  <si>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</si>
  <si>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</si>
  <si>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</si>
  <si>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</si>
  <si>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</si>
  <si>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</si>
  <si>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</si>
  <si>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</si>
  <si>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</si>
  <si>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</si>
  <si>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</si>
  <si>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</si>
  <si>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</si>
  <si>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</si>
  <si>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</si>
  <si>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</si>
  <si>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</si>
  <si>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</si>
  <si>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</si>
  <si>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</si>
  <si>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</si>
  <si>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</si>
  <si>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</si>
  <si>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</si>
  <si>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</si>
  <si>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</si>
  <si>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</si>
  <si>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</si>
  <si>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</si>
  <si>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</si>
  <si>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</si>
  <si>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</si>
  <si>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</si>
  <si>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</si>
  <si>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</si>
  <si>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</si>
  <si>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</si>
  <si>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</si>
  <si>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</si>
  <si>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</si>
  <si>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</si>
  <si>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</si>
  <si>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</si>
  <si>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</si>
  <si>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</si>
  <si>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</si>
  <si>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</si>
  <si>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</si>
  <si>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</si>
  <si>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</si>
  <si>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</si>
  <si>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</si>
  <si>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</si>
  <si>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</si>
  <si>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</si>
  <si>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</si>
  <si>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</si>
  <si>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</si>
  <si>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</si>
  <si>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</si>
  <si>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</si>
  <si>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</si>
  <si>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</si>
  <si>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</si>
  <si>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</si>
  <si>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</si>
  <si>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</si>
  <si>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</si>
  <si>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</si>
  <si>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</si>
  <si>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</si>
  <si>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</si>
  <si>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</si>
  <si>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</si>
  <si>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</si>
  <si>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 Служба у справах дітей Сумської міської ради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</si>
  <si>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</si>
  <si>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</si>
  <si>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</si>
  <si>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</si>
  <si>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</si>
  <si>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</si>
  <si>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</si>
  <si>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</si>
  <si>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</si>
  <si>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</si>
  <si>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</si>
  <si>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</si>
  <si>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</si>
  <si>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</si>
  <si>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</si>
  <si>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</si>
  <si>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</si>
  <si>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</si>
  <si>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</si>
  <si>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</si>
  <si>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</si>
  <si>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</si>
  <si>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</si>
  <si>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</si>
  <si>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</si>
  <si>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</si>
  <si>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</si>
  <si>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</si>
  <si>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</si>
  <si>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</si>
  <si>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</si>
  <si>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</si>
  <si>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</si>
  <si>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</si>
  <si>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</si>
  <si>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</si>
  <si>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</si>
  <si>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</si>
  <si>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</si>
  <si>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</si>
  <si>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</si>
  <si>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</si>
  <si>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</si>
  <si>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</si>
  <si>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</si>
  <si>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</si>
  <si>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</si>
  <si>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</si>
  <si>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</si>
  <si>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</si>
  <si>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</si>
  <si>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</si>
  <si>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</si>
  <si>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</si>
  <si>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</si>
  <si>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</si>
  <si>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</si>
  <si>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</si>
  <si>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</si>
  <si>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</si>
  <si>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</si>
  <si>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</si>
  <si>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</si>
  <si>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</si>
  <si>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</si>
  <si>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</si>
  <si>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</si>
  <si>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</si>
  <si>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</si>
  <si>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</si>
  <si>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</si>
  <si>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</si>
  <si>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</si>
  <si>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</si>
  <si>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</si>
  <si>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</si>
  <si>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</si>
  <si>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</si>
  <si>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</si>
  <si>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</si>
  <si>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</si>
  <si>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</si>
  <si>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</si>
  <si>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</si>
  <si>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</si>
  <si>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</si>
  <si>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</si>
  <si>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</si>
  <si>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</si>
  <si>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</si>
  <si>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</si>
  <si>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</si>
  <si>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</si>
  <si>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</si>
  <si>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</si>
  <si>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</si>
  <si>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</si>
  <si>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</si>
  <si>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</si>
  <si>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</si>
  <si>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</si>
  <si>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</si>
  <si>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</si>
  <si>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</si>
  <si>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</si>
  <si>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</si>
  <si>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</si>
  <si>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</si>
  <si>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</si>
  <si>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</si>
  <si>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</si>
  <si>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</si>
  <si>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</si>
  <si>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</si>
  <si>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</si>
  <si>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</si>
  <si>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</si>
  <si>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</si>
  <si>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</si>
  <si>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</si>
  <si>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</si>
  <si>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</si>
  <si>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</si>
  <si>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</si>
  <si>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</si>
  <si>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</si>
  <si>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</si>
  <si>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</si>
  <si>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</si>
  <si>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</si>
  <si>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</si>
  <si>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</si>
  <si>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</si>
  <si>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</si>
  <si>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</si>
  <si>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</si>
  <si>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</si>
  <si>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</si>
  <si>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</si>
  <si>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</si>
  <si>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</si>
  <si>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</si>
  <si>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</si>
  <si>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</si>
  <si>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</si>
  <si>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</si>
  <si>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</si>
  <si>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</si>
  <si>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</si>
  <si>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</si>
  <si>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</si>
  <si>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</si>
  <si>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</si>
  <si>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</si>
  <si>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</si>
  <si>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</si>
  <si>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</si>
  <si>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</si>
  <si>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</si>
  <si>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</si>
  <si>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</si>
  <si>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</si>
  <si>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</si>
  <si>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</si>
  <si>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</si>
  <si>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</si>
  <si>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</si>
  <si>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</si>
  <si>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</si>
  <si>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</si>
  <si>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</si>
  <si>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</si>
  <si>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</si>
  <si>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</si>
  <si>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</si>
  <si>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</si>
  <si>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</si>
  <si>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</si>
  <si>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</si>
  <si>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</si>
  <si>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</si>
  <si>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</si>
  <si>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</si>
  <si>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</si>
  <si>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</si>
  <si>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</si>
  <si>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</si>
  <si>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</si>
  <si>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</si>
  <si>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</si>
  <si>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</si>
  <si>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</si>
  <si>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</si>
  <si>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</si>
  <si>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</si>
  <si>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</si>
  <si>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</si>
  <si>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</si>
  <si>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</si>
  <si>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</si>
  <si>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</si>
  <si>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</si>
  <si>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</si>
  <si>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</si>
  <si>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 xml:space="preserve">Міська програма «Місто Суми – територія добра та милосердя на 2019 – 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</si>
  <si>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</si>
  <si>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</si>
  <si>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</si>
  <si>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</si>
  <si>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</si>
  <si>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</si>
  <si>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</si>
  <si>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</si>
  <si>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</si>
  <si>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</si>
  <si>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</si>
  <si>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</si>
  <si>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</si>
  <si>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</si>
  <si>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</si>
  <si>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</si>
  <si>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</si>
  <si>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</si>
  <si>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</si>
  <si>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</si>
  <si>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</si>
  <si>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</si>
  <si>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</si>
  <si>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</si>
  <si>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</si>
  <si>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</si>
  <si>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</si>
  <si>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</si>
  <si>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</si>
  <si>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«Місто Суми – територія добра та милосердя на 2019 – 2021 роки» </t>
  </si>
  <si>
    <t>Комплексна міська програма «Освіта м. Суми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</si>
  <si>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</si>
  <si>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міську програму «Автоматизація муніципальних телекомунікаційних систем на 2017- 2019 роки в м. Суми» 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</si>
  <si>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</si>
  <si>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</si>
  <si>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</si>
  <si>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</si>
  <si>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</si>
  <si>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</si>
  <si>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Програма економічного і соціального розвитку м. Суми на 2019 рік та основні напрями розвитку на 2020-2021 роки</t>
  </si>
  <si>
    <t>проект рішення</t>
  </si>
  <si>
    <t xml:space="preserve">від 28.11.2018 року № 4149-МР </t>
  </si>
  <si>
    <t>від 28.11.2018 року № 4148-МР</t>
  </si>
  <si>
    <t>від 28.11.2018 року № 4150-МР</t>
  </si>
  <si>
    <t>від 28.11.2018 № 4153-МР</t>
  </si>
  <si>
    <t>від 28.11.2018 № 4151-МР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</si>
  <si>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</si>
  <si>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</si>
  <si>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</si>
  <si>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</si>
  <si>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</si>
  <si>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</si>
  <si>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</si>
  <si>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</si>
  <si>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</si>
  <si>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</si>
  <si>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</si>
  <si>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Міська комплексна Програма «Охорона здоров’я на 2019-2021 роки»</t>
  </si>
  <si>
    <t>Міська комплексна Програма «Охорона здоров’я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</si>
  <si>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</si>
  <si>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від 19.12.2018 року № 4331-МР 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</si>
  <si>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</si>
  <si>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</si>
  <si>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 xml:space="preserve">від 19.12.2018 року № 4280-МР </t>
  </si>
  <si>
    <t>від 19.12.2018 року № 4335-МР</t>
  </si>
  <si>
    <t>від 19.12.2018 року № 4332-МР</t>
  </si>
  <si>
    <t>від 19.12.2018 року № 4326-МР</t>
  </si>
  <si>
    <t>від 19.12.2018 року № 4329-МР</t>
  </si>
  <si>
    <t>від 19.12.2018 року № 4333-МР</t>
  </si>
  <si>
    <t>від 19.12.2018 року № 4328-МР</t>
  </si>
  <si>
    <t>від 19.12.2018 року № 4316-МР</t>
  </si>
  <si>
    <t>від 19.12.2018 року № 4327-МР</t>
  </si>
  <si>
    <t>Будівництво інших об'єктів комунальної власності</t>
  </si>
  <si>
    <t>грн.</t>
  </si>
  <si>
    <t xml:space="preserve">«Про   внесення   змін   та   доповнень   до </t>
  </si>
  <si>
    <t>до     рішення    Сумської    міської    ради</t>
  </si>
  <si>
    <t>міського  бюджету м. Суми  на  2019  рік»</t>
  </si>
  <si>
    <t>від   27  лютого   2019  року   №  4643 - МР</t>
  </si>
  <si>
    <t>Сумський міський голова</t>
  </si>
  <si>
    <t>О.М. Лисенко</t>
  </si>
  <si>
    <t>Виконавець: Липова С.А.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</si>
  <si>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</si>
  <si>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</si>
  <si>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</si>
  <si>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</si>
  <si>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</si>
  <si>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</si>
  <si>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</si>
  <si>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</si>
  <si>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</si>
  <si>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</si>
  <si>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</si>
  <si>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</si>
  <si>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</si>
  <si>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</si>
  <si>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 xml:space="preserve"> ___________</t>
  </si>
  <si>
    <t xml:space="preserve">                         Додаток № 8</t>
  </si>
  <si>
    <t>1516090</t>
  </si>
  <si>
    <t>15177370</t>
  </si>
  <si>
    <t>1217670</t>
  </si>
  <si>
    <t xml:space="preserve">від 21.12.2017 року № 2920-МР </t>
  </si>
  <si>
    <t>від 25.07.2018 №3683 -МР     (зі змінами)</t>
  </si>
  <si>
    <t>від 26.10.2016 року № 1268-МР       (зі змінами)</t>
  </si>
  <si>
    <t>від 28.11.2018 року № 4148-МР       (зі змінами)</t>
  </si>
  <si>
    <t>від 28.11.2018 року № 4148-МР         (зі змінами)</t>
  </si>
  <si>
    <t>від 26.10.2016 року № 1268-МР        (зі змінами)</t>
  </si>
  <si>
    <t>від 21.12.2016 року № 1619-МР           (зі змінами)</t>
  </si>
  <si>
    <t>від 26.10.2016 року № 1268-МР           (зі змінами)</t>
  </si>
  <si>
    <t>Інші діяльність у сфері житлово-комунального господарства</t>
  </si>
  <si>
    <t>від 28.11.2018 року № 4154-МР  (зі змінами)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</si>
</sst>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i/>
      <sz val="30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sz val="4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1" fillId="0" borderId="7" applyNumberFormat="0" applyFill="0" applyAlignment="0" applyProtection="0"/>
    <xf numFmtId="0" fontId="11" fillId="0" borderId="8" applyNumberFormat="0" applyFill="0" applyAlignment="0" applyProtection="0"/>
    <xf numFmtId="0" fontId="62" fillId="47" borderId="9" applyNumberFormat="0" applyAlignment="0" applyProtection="0"/>
    <xf numFmtId="0" fontId="9" fillId="48" borderId="10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5" fillId="3" borderId="0" applyNumberFormat="0" applyBorder="0" applyAlignment="0" applyProtection="0"/>
    <xf numFmtId="0" fontId="66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7" fillId="50" borderId="14" applyNumberFormat="0" applyAlignment="0" applyProtection="0"/>
    <xf numFmtId="0" fontId="17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49" fontId="32" fillId="0" borderId="17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vertical="center"/>
    </xf>
    <xf numFmtId="4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19" xfId="0" applyNumberFormat="1" applyFont="1" applyFill="1" applyBorder="1" applyAlignment="1">
      <alignment horizontal="left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34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4" fontId="34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49" fontId="31" fillId="0" borderId="0" xfId="0" applyNumberFormat="1" applyFont="1" applyFill="1" applyAlignment="1" applyProtection="1">
      <alignment/>
      <protection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9" fontId="27" fillId="0" borderId="18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7" xfId="0" applyFont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center" wrapText="1"/>
    </xf>
    <xf numFmtId="200" fontId="32" fillId="0" borderId="17" xfId="95" applyNumberFormat="1" applyFont="1" applyFill="1" applyBorder="1" applyAlignment="1">
      <alignment horizontal="left" vertical="center"/>
      <protection/>
    </xf>
    <xf numFmtId="200" fontId="32" fillId="0" borderId="17" xfId="95" applyNumberFormat="1" applyFont="1" applyFill="1" applyBorder="1" applyAlignment="1">
      <alignment vertical="center"/>
      <protection/>
    </xf>
    <xf numFmtId="0" fontId="27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4" fontId="27" fillId="0" borderId="17" xfId="0" applyNumberFormat="1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0" fontId="27" fillId="0" borderId="17" xfId="0" applyFont="1" applyBorder="1" applyAlignment="1">
      <alignment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18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4" fontId="32" fillId="0" borderId="0" xfId="0" applyNumberFormat="1" applyFont="1" applyFill="1" applyAlignment="1">
      <alignment vertical="center"/>
    </xf>
    <xf numFmtId="0" fontId="27" fillId="0" borderId="20" xfId="0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vertical="center"/>
    </xf>
    <xf numFmtId="3" fontId="41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3" fontId="33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1" fontId="34" fillId="0" borderId="0" xfId="0" applyNumberFormat="1" applyFont="1" applyFill="1" applyBorder="1" applyAlignment="1">
      <alignment horizontal="center" vertical="center" textRotation="180"/>
    </xf>
    <xf numFmtId="1" fontId="34" fillId="0" borderId="0" xfId="0" applyNumberFormat="1" applyFont="1" applyFill="1" applyBorder="1" applyAlignment="1" applyProtection="1">
      <alignment horizontal="center" vertical="center" textRotation="180"/>
      <protection/>
    </xf>
    <xf numFmtId="4" fontId="30" fillId="0" borderId="0" xfId="0" applyNumberFormat="1" applyFont="1" applyFill="1" applyBorder="1" applyAlignment="1">
      <alignment vertical="justify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32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4" fontId="27" fillId="0" borderId="18" xfId="95" applyNumberFormat="1" applyFont="1" applyFill="1" applyBorder="1" applyAlignment="1">
      <alignment horizontal="center" vertical="center"/>
      <protection/>
    </xf>
    <xf numFmtId="4" fontId="40" fillId="0" borderId="17" xfId="95" applyNumberFormat="1" applyFont="1" applyFill="1" applyBorder="1" applyAlignment="1">
      <alignment horizontal="center" vertical="center"/>
      <protection/>
    </xf>
    <xf numFmtId="4" fontId="38" fillId="0" borderId="17" xfId="95" applyNumberFormat="1" applyFont="1" applyFill="1" applyBorder="1" applyAlignment="1">
      <alignment horizontal="center" vertical="center"/>
      <protection/>
    </xf>
    <xf numFmtId="4" fontId="71" fillId="0" borderId="17" xfId="95" applyNumberFormat="1" applyFont="1" applyFill="1" applyBorder="1" applyAlignment="1">
      <alignment horizontal="center" vertical="center"/>
      <protection/>
    </xf>
    <xf numFmtId="4" fontId="31" fillId="0" borderId="17" xfId="95" applyNumberFormat="1" applyFont="1" applyFill="1" applyBorder="1" applyAlignment="1">
      <alignment horizontal="center" vertical="center"/>
      <protection/>
    </xf>
    <xf numFmtId="1" fontId="34" fillId="0" borderId="0" xfId="0" applyNumberFormat="1" applyFont="1" applyFill="1" applyBorder="1" applyAlignment="1" applyProtection="1">
      <alignment vertical="center" textRotation="180"/>
      <protection/>
    </xf>
    <xf numFmtId="1" fontId="34" fillId="0" borderId="22" xfId="0" applyNumberFormat="1" applyFont="1" applyFill="1" applyBorder="1" applyAlignment="1" applyProtection="1">
      <alignment vertical="center" textRotation="180"/>
      <protection/>
    </xf>
    <xf numFmtId="3" fontId="41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 applyProtection="1">
      <alignment vertical="center"/>
      <protection/>
    </xf>
    <xf numFmtId="4" fontId="34" fillId="0" borderId="0" xfId="0" applyNumberFormat="1" applyFont="1" applyFill="1" applyBorder="1" applyAlignment="1" applyProtection="1">
      <alignment horizontal="center" vertical="center"/>
      <protection/>
    </xf>
    <xf numFmtId="1" fontId="27" fillId="0" borderId="18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1" fontId="27" fillId="0" borderId="23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 applyProtection="1">
      <alignment horizontal="left" vertical="center" wrapText="1"/>
      <protection/>
    </xf>
    <xf numFmtId="49" fontId="45" fillId="0" borderId="0" xfId="0" applyNumberFormat="1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1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left" vertical="center" wrapText="1"/>
    </xf>
    <xf numFmtId="3" fontId="41" fillId="0" borderId="0" xfId="0" applyNumberFormat="1" applyFont="1" applyFill="1" applyBorder="1" applyAlignment="1">
      <alignment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4" fontId="32" fillId="0" borderId="18" xfId="0" applyNumberFormat="1" applyFont="1" applyFill="1" applyBorder="1" applyAlignment="1" applyProtection="1">
      <alignment horizontal="center" vertical="center" wrapText="1"/>
      <protection/>
    </xf>
    <xf numFmtId="4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Font="1" applyFill="1" applyAlignment="1">
      <alignment vertical="center" wrapText="1"/>
    </xf>
    <xf numFmtId="4" fontId="32" fillId="0" borderId="24" xfId="0" applyNumberFormat="1" applyFont="1" applyFill="1" applyBorder="1" applyAlignment="1" applyProtection="1">
      <alignment horizontal="center" vertical="center" wrapText="1"/>
      <protection/>
    </xf>
    <xf numFmtId="4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1"/>
  <sheetViews>
    <sheetView tabSelected="1" view="pageBreakPreview" zoomScale="20" zoomScaleNormal="25" zoomScaleSheetLayoutView="20" workbookViewId="0" topLeftCell="B209">
      <selection activeCell="S211" sqref="S211"/>
    </sheetView>
  </sheetViews>
  <sheetFormatPr defaultColWidth="9.16015625" defaultRowHeight="12.75"/>
  <cols>
    <col min="1" max="1" width="10" style="3" hidden="1" customWidth="1"/>
    <col min="2" max="2" width="56.5" style="15" customWidth="1"/>
    <col min="3" max="3" width="51.83203125" style="15" customWidth="1"/>
    <col min="4" max="4" width="55.16015625" style="15" customWidth="1"/>
    <col min="5" max="5" width="157" style="14" customWidth="1"/>
    <col min="6" max="6" width="165" style="15" customWidth="1"/>
    <col min="7" max="7" width="101.83203125" style="15" customWidth="1"/>
    <col min="8" max="8" width="77.83203125" style="15" customWidth="1"/>
    <col min="9" max="9" width="76.33203125" style="31" customWidth="1"/>
    <col min="10" max="10" width="70.5" style="31" customWidth="1"/>
    <col min="11" max="11" width="70.33203125" style="31" customWidth="1"/>
    <col min="12" max="12" width="15.5" style="97" customWidth="1"/>
    <col min="13" max="13" width="52.5" style="2" customWidth="1"/>
    <col min="14" max="14" width="9.16015625" style="2" customWidth="1"/>
    <col min="15" max="15" width="54.16015625" style="86" customWidth="1"/>
    <col min="16" max="17" width="9.16015625" style="2" customWidth="1"/>
    <col min="18" max="18" width="16.5" style="2" customWidth="1"/>
    <col min="19" max="16384" width="9.16015625" style="2" customWidth="1"/>
  </cols>
  <sheetData>
    <row r="1" spans="2:17" ht="60" customHeight="1" hidden="1">
      <c r="B1" s="20"/>
      <c r="C1" s="20"/>
      <c r="D1" s="20"/>
      <c r="I1" s="152" t="s">
        <v>362</v>
      </c>
      <c r="J1" s="152"/>
      <c r="K1" s="152"/>
      <c r="M1" s="4"/>
      <c r="N1" s="4"/>
      <c r="P1" s="4"/>
      <c r="Q1" s="4"/>
    </row>
    <row r="2" spans="2:17" ht="75" customHeight="1" hidden="1">
      <c r="B2" s="20"/>
      <c r="C2" s="20"/>
      <c r="D2" s="20"/>
      <c r="I2" s="152" t="s">
        <v>363</v>
      </c>
      <c r="J2" s="152"/>
      <c r="K2" s="152"/>
      <c r="M2" s="4"/>
      <c r="N2" s="4"/>
      <c r="P2" s="4"/>
      <c r="Q2" s="4"/>
    </row>
    <row r="3" spans="2:17" ht="75" customHeight="1" hidden="1">
      <c r="B3" s="20"/>
      <c r="C3" s="20"/>
      <c r="D3" s="20"/>
      <c r="I3" s="152" t="s">
        <v>364</v>
      </c>
      <c r="J3" s="152"/>
      <c r="K3" s="152"/>
      <c r="M3" s="4"/>
      <c r="N3" s="4"/>
      <c r="P3" s="4"/>
      <c r="Q3" s="4"/>
    </row>
    <row r="4" spans="2:17" ht="75" customHeight="1" hidden="1">
      <c r="B4" s="20"/>
      <c r="C4" s="20"/>
      <c r="D4" s="20"/>
      <c r="I4" s="152" t="s">
        <v>365</v>
      </c>
      <c r="J4" s="152"/>
      <c r="K4" s="152"/>
      <c r="M4" s="4"/>
      <c r="N4" s="4"/>
      <c r="P4" s="4"/>
      <c r="Q4" s="4"/>
    </row>
    <row r="5" spans="2:17" ht="75" customHeight="1" hidden="1">
      <c r="B5" s="20"/>
      <c r="C5" s="20"/>
      <c r="D5" s="20"/>
      <c r="I5" s="152" t="s">
        <v>366</v>
      </c>
      <c r="J5" s="152"/>
      <c r="K5" s="152"/>
      <c r="M5" s="4"/>
      <c r="N5" s="4"/>
      <c r="P5" s="4"/>
      <c r="Q5" s="4"/>
    </row>
    <row r="6" spans="2:17" ht="84" customHeight="1" hidden="1">
      <c r="B6" s="20"/>
      <c r="C6" s="20"/>
      <c r="D6" s="20"/>
      <c r="I6" s="152"/>
      <c r="J6" s="152"/>
      <c r="K6" s="152"/>
      <c r="M6" s="4"/>
      <c r="N6" s="4"/>
      <c r="P6" s="4"/>
      <c r="Q6" s="4"/>
    </row>
    <row r="7" spans="2:17" ht="69" customHeight="1">
      <c r="B7" s="20"/>
      <c r="C7" s="20"/>
      <c r="D7" s="20"/>
      <c r="I7" s="96" t="s">
        <v>485</v>
      </c>
      <c r="J7" s="96"/>
      <c r="K7" s="96"/>
      <c r="L7" s="109"/>
      <c r="M7" s="96"/>
      <c r="N7" s="4"/>
      <c r="P7" s="4"/>
      <c r="Q7" s="4"/>
    </row>
    <row r="8" spans="2:17" ht="66.75" customHeight="1">
      <c r="B8" s="20"/>
      <c r="C8" s="20"/>
      <c r="D8" s="20"/>
      <c r="I8" s="156" t="s">
        <v>464</v>
      </c>
      <c r="J8" s="156"/>
      <c r="K8" s="156"/>
      <c r="L8" s="109"/>
      <c r="M8" s="96"/>
      <c r="N8" s="4"/>
      <c r="P8" s="4"/>
      <c r="Q8" s="4"/>
    </row>
    <row r="9" spans="2:17" ht="66.75" customHeight="1">
      <c r="B9" s="20"/>
      <c r="C9" s="20"/>
      <c r="D9" s="20"/>
      <c r="I9" s="156" t="s">
        <v>463</v>
      </c>
      <c r="J9" s="156"/>
      <c r="K9" s="156"/>
      <c r="L9" s="109"/>
      <c r="M9" s="96"/>
      <c r="N9" s="4"/>
      <c r="P9" s="4"/>
      <c r="Q9" s="4"/>
    </row>
    <row r="10" spans="2:17" ht="66.75" customHeight="1">
      <c r="B10" s="20"/>
      <c r="C10" s="20"/>
      <c r="D10" s="20"/>
      <c r="I10" s="96" t="s">
        <v>465</v>
      </c>
      <c r="J10" s="96"/>
      <c r="K10" s="96"/>
      <c r="L10" s="109"/>
      <c r="M10" s="96"/>
      <c r="N10" s="4"/>
      <c r="P10" s="4"/>
      <c r="Q10" s="4"/>
    </row>
    <row r="11" spans="2:17" ht="66.75" customHeight="1">
      <c r="B11" s="20"/>
      <c r="C11" s="20"/>
      <c r="D11" s="20"/>
      <c r="I11" s="156" t="s">
        <v>466</v>
      </c>
      <c r="J11" s="156"/>
      <c r="K11" s="156"/>
      <c r="L11" s="109"/>
      <c r="M11" s="33"/>
      <c r="N11" s="4"/>
      <c r="P11" s="4"/>
      <c r="Q11" s="4"/>
    </row>
    <row r="12" spans="2:17" ht="66.75" customHeight="1">
      <c r="B12" s="20"/>
      <c r="C12" s="20"/>
      <c r="D12" s="20"/>
      <c r="I12" s="33"/>
      <c r="J12" s="33"/>
      <c r="K12" s="33"/>
      <c r="L12" s="109"/>
      <c r="M12" s="33"/>
      <c r="N12" s="4"/>
      <c r="P12" s="4"/>
      <c r="Q12" s="4"/>
    </row>
    <row r="13" spans="2:17" ht="66.75" customHeight="1">
      <c r="B13" s="20"/>
      <c r="C13" s="20"/>
      <c r="D13" s="20"/>
      <c r="I13" s="33"/>
      <c r="J13" s="33"/>
      <c r="K13" s="33"/>
      <c r="L13" s="109"/>
      <c r="M13" s="33"/>
      <c r="N13" s="4"/>
      <c r="P13" s="4"/>
      <c r="Q13" s="4"/>
    </row>
    <row r="14" spans="2:17" ht="105" customHeight="1">
      <c r="B14" s="20"/>
      <c r="C14" s="20"/>
      <c r="D14" s="20"/>
      <c r="I14" s="57"/>
      <c r="J14" s="57"/>
      <c r="K14" s="57"/>
      <c r="L14" s="109"/>
      <c r="M14" s="4"/>
      <c r="N14" s="4"/>
      <c r="P14" s="4"/>
      <c r="Q14" s="4"/>
    </row>
    <row r="15" spans="1:16" ht="67.5" customHeight="1">
      <c r="A15" s="1"/>
      <c r="B15" s="155" t="s">
        <v>374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09"/>
      <c r="M15" s="28"/>
      <c r="N15" s="33"/>
      <c r="O15" s="87"/>
      <c r="P15" s="21"/>
    </row>
    <row r="16" spans="2:16" ht="46.5" customHeight="1">
      <c r="B16" s="9"/>
      <c r="C16" s="9"/>
      <c r="D16" s="9"/>
      <c r="E16" s="10"/>
      <c r="F16" s="11"/>
      <c r="G16" s="11"/>
      <c r="H16" s="11"/>
      <c r="I16" s="46"/>
      <c r="J16" s="46"/>
      <c r="K16" s="113" t="s">
        <v>462</v>
      </c>
      <c r="L16" s="109"/>
      <c r="M16" s="28"/>
      <c r="N16" s="33"/>
      <c r="O16" s="87"/>
      <c r="P16" s="21"/>
    </row>
    <row r="17" spans="1:14" ht="103.5" customHeight="1">
      <c r="A17" s="5"/>
      <c r="B17" s="147" t="s">
        <v>375</v>
      </c>
      <c r="C17" s="147" t="s">
        <v>376</v>
      </c>
      <c r="D17" s="147" t="s">
        <v>377</v>
      </c>
      <c r="E17" s="147" t="s">
        <v>382</v>
      </c>
      <c r="F17" s="147" t="s">
        <v>66</v>
      </c>
      <c r="G17" s="147" t="s">
        <v>378</v>
      </c>
      <c r="H17" s="147" t="s">
        <v>379</v>
      </c>
      <c r="I17" s="153" t="s">
        <v>0</v>
      </c>
      <c r="J17" s="157" t="s">
        <v>1</v>
      </c>
      <c r="K17" s="158"/>
      <c r="L17" s="109"/>
      <c r="M17" s="30"/>
      <c r="N17" s="33"/>
    </row>
    <row r="18" spans="1:14" ht="217.5" customHeight="1">
      <c r="A18" s="5"/>
      <c r="B18" s="148"/>
      <c r="C18" s="148"/>
      <c r="D18" s="148"/>
      <c r="E18" s="148"/>
      <c r="F18" s="148"/>
      <c r="G18" s="148"/>
      <c r="H18" s="148"/>
      <c r="I18" s="154"/>
      <c r="J18" s="47" t="s">
        <v>379</v>
      </c>
      <c r="K18" s="47" t="s">
        <v>380</v>
      </c>
      <c r="L18" s="109"/>
      <c r="M18" s="30"/>
      <c r="N18" s="33"/>
    </row>
    <row r="19" spans="1:15" s="62" customFormat="1" ht="102" customHeight="1">
      <c r="A19" s="61"/>
      <c r="B19" s="26"/>
      <c r="C19" s="26"/>
      <c r="D19" s="26"/>
      <c r="E19" s="27" t="s">
        <v>136</v>
      </c>
      <c r="F19" s="73"/>
      <c r="G19" s="74"/>
      <c r="H19" s="102">
        <f>SUM(H20+H22+H23+H24+H25+H26+H27+H28+H29+H30+H31+H32+H33+H34+H35+H36+H37+H38+H39+H40+H41+H42+H45+H46+H48+H49+H50+H51+H52+H53+H54+H55+H59)</f>
        <v>134808659</v>
      </c>
      <c r="I19" s="102">
        <f>SUM(I20+I22+I23+I24+I25+I26+I27+I28+I29+I30+I31+I32+I33+I34+I35+I36+I37+I38+I39+I40+I41+I42+I45+I46+I48+I49+I50+I51+I52+I53+I54+I55+I59)</f>
        <v>65424370</v>
      </c>
      <c r="J19" s="102">
        <f>SUM(J20+J22+J23+J24+J25+J26+J27+J28+J29+J30+J31+J32+J33+J34+J35+J36+J37+J38+J39+J40+J41+J42+J45+J46+J48+J49+J50+J51+J52+J53+J54+J55+J59)</f>
        <v>69384289</v>
      </c>
      <c r="K19" s="102">
        <f>SUM(K20+K22+K23+K24+K25+K26+K27+K28+K29+K30+K31+K32+K33+K34+K35+K36+K37+K38+K39+K40+K41+K42+K45+K46+K48+K49+K50+K51+K52+K53+K54+K55+K59)</f>
        <v>68823900</v>
      </c>
      <c r="L19" s="109"/>
      <c r="M19" s="85"/>
      <c r="O19" s="88"/>
    </row>
    <row r="20" spans="2:15" ht="156.75" customHeight="1">
      <c r="B20" s="142" t="s">
        <v>137</v>
      </c>
      <c r="C20" s="126" t="s">
        <v>80</v>
      </c>
      <c r="D20" s="126" t="s">
        <v>2</v>
      </c>
      <c r="E20" s="128" t="s">
        <v>81</v>
      </c>
      <c r="F20" s="17" t="s">
        <v>385</v>
      </c>
      <c r="G20" s="75" t="s">
        <v>480</v>
      </c>
      <c r="H20" s="103">
        <f aca="true" t="shared" si="0" ref="H20:H83">I20+J20</f>
        <v>1850000</v>
      </c>
      <c r="I20" s="103">
        <v>1850000</v>
      </c>
      <c r="J20" s="103"/>
      <c r="K20" s="103"/>
      <c r="L20" s="109"/>
      <c r="M20" s="85"/>
      <c r="O20" s="88"/>
    </row>
    <row r="21" spans="2:15" ht="155.25" customHeight="1" hidden="1">
      <c r="B21" s="143"/>
      <c r="C21" s="137"/>
      <c r="D21" s="137"/>
      <c r="E21" s="130"/>
      <c r="F21" s="17" t="s">
        <v>74</v>
      </c>
      <c r="G21" s="75" t="s">
        <v>401</v>
      </c>
      <c r="H21" s="103">
        <f t="shared" si="0"/>
        <v>0</v>
      </c>
      <c r="I21" s="103">
        <f>400000-400000</f>
        <v>0</v>
      </c>
      <c r="J21" s="103"/>
      <c r="K21" s="103"/>
      <c r="L21" s="109"/>
      <c r="M21" s="85"/>
      <c r="O21" s="88"/>
    </row>
    <row r="22" spans="2:15" ht="200.25" customHeight="1">
      <c r="B22" s="42" t="s">
        <v>216</v>
      </c>
      <c r="C22" s="114" t="s">
        <v>29</v>
      </c>
      <c r="D22" s="116" t="s">
        <v>14</v>
      </c>
      <c r="E22" s="44" t="s">
        <v>215</v>
      </c>
      <c r="F22" s="44" t="s">
        <v>217</v>
      </c>
      <c r="G22" s="76" t="s">
        <v>407</v>
      </c>
      <c r="H22" s="103">
        <f t="shared" si="0"/>
        <v>210000</v>
      </c>
      <c r="I22" s="104">
        <f>200000+10000</f>
        <v>210000</v>
      </c>
      <c r="J22" s="104"/>
      <c r="K22" s="104"/>
      <c r="L22" s="109"/>
      <c r="M22" s="85"/>
      <c r="O22" s="88"/>
    </row>
    <row r="23" spans="1:15" s="8" customFormat="1" ht="151.5" customHeight="1">
      <c r="A23" s="1"/>
      <c r="B23" s="42" t="s">
        <v>266</v>
      </c>
      <c r="C23" s="114" t="s">
        <v>44</v>
      </c>
      <c r="D23" s="116">
        <v>1070</v>
      </c>
      <c r="E23" s="17" t="s">
        <v>39</v>
      </c>
      <c r="F23" s="44" t="s">
        <v>386</v>
      </c>
      <c r="G23" s="44" t="s">
        <v>455</v>
      </c>
      <c r="H23" s="103">
        <f t="shared" si="0"/>
        <v>116396</v>
      </c>
      <c r="I23" s="104">
        <v>116396</v>
      </c>
      <c r="J23" s="104"/>
      <c r="K23" s="104"/>
      <c r="L23" s="109"/>
      <c r="M23" s="85"/>
      <c r="O23" s="88"/>
    </row>
    <row r="24" spans="1:15" s="8" customFormat="1" ht="113.25" customHeight="1">
      <c r="A24" s="1"/>
      <c r="B24" s="144" t="s">
        <v>138</v>
      </c>
      <c r="C24" s="126" t="s">
        <v>82</v>
      </c>
      <c r="D24" s="126">
        <v>1070</v>
      </c>
      <c r="E24" s="128" t="s">
        <v>381</v>
      </c>
      <c r="F24" s="17" t="s">
        <v>390</v>
      </c>
      <c r="G24" s="75" t="s">
        <v>430</v>
      </c>
      <c r="H24" s="103">
        <f t="shared" si="0"/>
        <v>81375</v>
      </c>
      <c r="I24" s="103">
        <v>81375</v>
      </c>
      <c r="J24" s="103"/>
      <c r="K24" s="103"/>
      <c r="L24" s="109"/>
      <c r="M24" s="85"/>
      <c r="O24" s="88"/>
    </row>
    <row r="25" spans="1:15" s="8" customFormat="1" ht="104.25" customHeight="1">
      <c r="A25" s="1"/>
      <c r="B25" s="145"/>
      <c r="C25" s="137"/>
      <c r="D25" s="137"/>
      <c r="E25" s="130"/>
      <c r="F25" s="44" t="s">
        <v>386</v>
      </c>
      <c r="G25" s="44" t="s">
        <v>455</v>
      </c>
      <c r="H25" s="103">
        <f t="shared" si="0"/>
        <v>172155</v>
      </c>
      <c r="I25" s="103">
        <v>172155</v>
      </c>
      <c r="J25" s="103"/>
      <c r="K25" s="103"/>
      <c r="L25" s="109"/>
      <c r="M25" s="85"/>
      <c r="O25" s="88"/>
    </row>
    <row r="26" spans="1:15" s="8" customFormat="1" ht="152.25" customHeight="1">
      <c r="A26" s="1"/>
      <c r="B26" s="16" t="s">
        <v>139</v>
      </c>
      <c r="C26" s="117" t="s">
        <v>83</v>
      </c>
      <c r="D26" s="117" t="s">
        <v>8</v>
      </c>
      <c r="E26" s="17" t="s">
        <v>84</v>
      </c>
      <c r="F26" s="17" t="s">
        <v>387</v>
      </c>
      <c r="G26" s="75" t="s">
        <v>458</v>
      </c>
      <c r="H26" s="103">
        <f t="shared" si="0"/>
        <v>65000</v>
      </c>
      <c r="I26" s="103">
        <v>65000</v>
      </c>
      <c r="J26" s="103"/>
      <c r="K26" s="103"/>
      <c r="L26" s="109"/>
      <c r="M26" s="85"/>
      <c r="O26" s="88"/>
    </row>
    <row r="27" spans="1:15" s="8" customFormat="1" ht="155.25" customHeight="1">
      <c r="A27" s="1"/>
      <c r="B27" s="16" t="s">
        <v>140</v>
      </c>
      <c r="C27" s="117" t="s">
        <v>85</v>
      </c>
      <c r="D27" s="117" t="s">
        <v>8</v>
      </c>
      <c r="E27" s="17" t="s">
        <v>86</v>
      </c>
      <c r="F27" s="17" t="s">
        <v>390</v>
      </c>
      <c r="G27" s="75" t="s">
        <v>430</v>
      </c>
      <c r="H27" s="103">
        <f t="shared" si="0"/>
        <v>800000</v>
      </c>
      <c r="I27" s="103">
        <v>800000</v>
      </c>
      <c r="J27" s="103"/>
      <c r="K27" s="103"/>
      <c r="L27" s="109"/>
      <c r="M27" s="85"/>
      <c r="O27" s="88"/>
    </row>
    <row r="28" spans="1:15" s="23" customFormat="1" ht="240.75" customHeight="1">
      <c r="A28" s="22"/>
      <c r="B28" s="16" t="s">
        <v>141</v>
      </c>
      <c r="C28" s="117" t="s">
        <v>42</v>
      </c>
      <c r="D28" s="117" t="s">
        <v>8</v>
      </c>
      <c r="E28" s="17" t="s">
        <v>46</v>
      </c>
      <c r="F28" s="17" t="s">
        <v>390</v>
      </c>
      <c r="G28" s="75" t="s">
        <v>430</v>
      </c>
      <c r="H28" s="103">
        <f t="shared" si="0"/>
        <v>3076854</v>
      </c>
      <c r="I28" s="103">
        <f>488000+2588854</f>
        <v>3076854</v>
      </c>
      <c r="J28" s="103"/>
      <c r="K28" s="103"/>
      <c r="L28" s="109"/>
      <c r="M28" s="85"/>
      <c r="O28" s="88"/>
    </row>
    <row r="29" spans="1:15" s="8" customFormat="1" ht="132.75">
      <c r="A29" s="50"/>
      <c r="B29" s="16" t="s">
        <v>270</v>
      </c>
      <c r="C29" s="117" t="s">
        <v>272</v>
      </c>
      <c r="D29" s="117" t="s">
        <v>7</v>
      </c>
      <c r="E29" s="45" t="s">
        <v>273</v>
      </c>
      <c r="F29" s="17" t="s">
        <v>387</v>
      </c>
      <c r="G29" s="75" t="s">
        <v>458</v>
      </c>
      <c r="H29" s="103">
        <f t="shared" si="0"/>
        <v>1028700</v>
      </c>
      <c r="I29" s="103">
        <f>973700+55000</f>
        <v>1028700</v>
      </c>
      <c r="J29" s="103"/>
      <c r="K29" s="52"/>
      <c r="L29" s="109"/>
      <c r="M29" s="85"/>
      <c r="O29" s="88"/>
    </row>
    <row r="30" spans="1:15" s="8" customFormat="1" ht="104.25" customHeight="1">
      <c r="A30" s="50"/>
      <c r="B30" s="142" t="s">
        <v>271</v>
      </c>
      <c r="C30" s="126" t="s">
        <v>274</v>
      </c>
      <c r="D30" s="126" t="s">
        <v>7</v>
      </c>
      <c r="E30" s="132" t="s">
        <v>275</v>
      </c>
      <c r="F30" s="17" t="s">
        <v>388</v>
      </c>
      <c r="G30" s="75" t="s">
        <v>482</v>
      </c>
      <c r="H30" s="103">
        <f t="shared" si="0"/>
        <v>172670</v>
      </c>
      <c r="I30" s="103">
        <v>172670</v>
      </c>
      <c r="J30" s="103"/>
      <c r="K30" s="52"/>
      <c r="L30" s="109"/>
      <c r="M30" s="85"/>
      <c r="O30" s="88"/>
    </row>
    <row r="31" spans="1:15" s="8" customFormat="1" ht="143.25" customHeight="1">
      <c r="A31" s="50"/>
      <c r="B31" s="143"/>
      <c r="C31" s="137"/>
      <c r="D31" s="137"/>
      <c r="E31" s="134"/>
      <c r="F31" s="17" t="s">
        <v>78</v>
      </c>
      <c r="G31" s="75" t="s">
        <v>406</v>
      </c>
      <c r="H31" s="103">
        <f t="shared" si="0"/>
        <v>65920</v>
      </c>
      <c r="I31" s="103">
        <v>65920</v>
      </c>
      <c r="J31" s="103"/>
      <c r="K31" s="52"/>
      <c r="L31" s="109"/>
      <c r="M31" s="85"/>
      <c r="O31" s="88"/>
    </row>
    <row r="32" spans="1:15" s="8" customFormat="1" ht="143.25" customHeight="1">
      <c r="A32" s="50"/>
      <c r="B32" s="49" t="s">
        <v>315</v>
      </c>
      <c r="C32" s="118" t="s">
        <v>316</v>
      </c>
      <c r="D32" s="118" t="s">
        <v>317</v>
      </c>
      <c r="E32" s="51" t="s">
        <v>318</v>
      </c>
      <c r="F32" s="17" t="s">
        <v>390</v>
      </c>
      <c r="G32" s="75" t="s">
        <v>430</v>
      </c>
      <c r="H32" s="103">
        <f t="shared" si="0"/>
        <v>700000</v>
      </c>
      <c r="I32" s="103">
        <v>700000</v>
      </c>
      <c r="J32" s="103"/>
      <c r="K32" s="52"/>
      <c r="L32" s="109"/>
      <c r="M32" s="85"/>
      <c r="O32" s="88"/>
    </row>
    <row r="33" spans="1:15" s="8" customFormat="1" ht="117.75" customHeight="1">
      <c r="A33" s="1"/>
      <c r="B33" s="43" t="s">
        <v>306</v>
      </c>
      <c r="C33" s="114" t="s">
        <v>304</v>
      </c>
      <c r="D33" s="114" t="s">
        <v>10</v>
      </c>
      <c r="E33" s="44" t="s">
        <v>305</v>
      </c>
      <c r="F33" s="17" t="s">
        <v>385</v>
      </c>
      <c r="G33" s="75" t="s">
        <v>480</v>
      </c>
      <c r="H33" s="103">
        <f t="shared" si="0"/>
        <v>800000</v>
      </c>
      <c r="I33" s="103">
        <v>800000</v>
      </c>
      <c r="J33" s="103"/>
      <c r="K33" s="103"/>
      <c r="L33" s="109"/>
      <c r="M33" s="85"/>
      <c r="O33" s="88"/>
    </row>
    <row r="34" spans="1:15" s="8" customFormat="1" ht="111.75" customHeight="1">
      <c r="A34" s="1"/>
      <c r="B34" s="43" t="s">
        <v>278</v>
      </c>
      <c r="C34" s="114" t="s">
        <v>276</v>
      </c>
      <c r="D34" s="114" t="s">
        <v>10</v>
      </c>
      <c r="E34" s="66" t="s">
        <v>277</v>
      </c>
      <c r="F34" s="17" t="s">
        <v>385</v>
      </c>
      <c r="G34" s="75" t="s">
        <v>480</v>
      </c>
      <c r="H34" s="103">
        <f t="shared" si="0"/>
        <v>429100</v>
      </c>
      <c r="I34" s="103">
        <v>429100</v>
      </c>
      <c r="J34" s="103"/>
      <c r="K34" s="103"/>
      <c r="L34" s="109"/>
      <c r="M34" s="85"/>
      <c r="O34" s="88"/>
    </row>
    <row r="35" spans="1:15" s="8" customFormat="1" ht="105.75" customHeight="1">
      <c r="A35" s="1"/>
      <c r="B35" s="16" t="s">
        <v>142</v>
      </c>
      <c r="C35" s="117" t="s">
        <v>61</v>
      </c>
      <c r="D35" s="117" t="s">
        <v>11</v>
      </c>
      <c r="E35" s="17" t="s">
        <v>47</v>
      </c>
      <c r="F35" s="17" t="s">
        <v>395</v>
      </c>
      <c r="G35" s="75" t="s">
        <v>432</v>
      </c>
      <c r="H35" s="103">
        <f t="shared" si="0"/>
        <v>750000</v>
      </c>
      <c r="I35" s="103">
        <v>750000</v>
      </c>
      <c r="J35" s="103"/>
      <c r="K35" s="103"/>
      <c r="L35" s="110"/>
      <c r="M35" s="85"/>
      <c r="O35" s="88"/>
    </row>
    <row r="36" spans="1:15" s="8" customFormat="1" ht="126.75" customHeight="1">
      <c r="A36" s="1"/>
      <c r="B36" s="16" t="s">
        <v>143</v>
      </c>
      <c r="C36" s="117" t="s">
        <v>62</v>
      </c>
      <c r="D36" s="117" t="s">
        <v>11</v>
      </c>
      <c r="E36" s="17" t="s">
        <v>12</v>
      </c>
      <c r="F36" s="17" t="s">
        <v>395</v>
      </c>
      <c r="G36" s="75" t="s">
        <v>432</v>
      </c>
      <c r="H36" s="103">
        <f t="shared" si="0"/>
        <v>837000</v>
      </c>
      <c r="I36" s="103">
        <f>750000+65000+22000</f>
        <v>837000</v>
      </c>
      <c r="J36" s="103"/>
      <c r="K36" s="103"/>
      <c r="L36" s="110"/>
      <c r="M36" s="85"/>
      <c r="O36" s="88"/>
    </row>
    <row r="37" spans="1:15" s="8" customFormat="1" ht="120.75" customHeight="1">
      <c r="A37" s="1"/>
      <c r="B37" s="16" t="s">
        <v>144</v>
      </c>
      <c r="C37" s="117" t="s">
        <v>69</v>
      </c>
      <c r="D37" s="117" t="s">
        <v>11</v>
      </c>
      <c r="E37" s="17" t="s">
        <v>48</v>
      </c>
      <c r="F37" s="17" t="s">
        <v>395</v>
      </c>
      <c r="G37" s="75" t="s">
        <v>432</v>
      </c>
      <c r="H37" s="103">
        <f t="shared" si="0"/>
        <v>10341300</v>
      </c>
      <c r="I37" s="103">
        <f>10041300+70000+30000</f>
        <v>10141300</v>
      </c>
      <c r="J37" s="103">
        <v>200000</v>
      </c>
      <c r="K37" s="103">
        <v>200000</v>
      </c>
      <c r="L37" s="110"/>
      <c r="M37" s="85"/>
      <c r="O37" s="88"/>
    </row>
    <row r="38" spans="1:15" s="8" customFormat="1" ht="144.75" customHeight="1">
      <c r="A38" s="1"/>
      <c r="B38" s="16" t="s">
        <v>145</v>
      </c>
      <c r="C38" s="117" t="s">
        <v>70</v>
      </c>
      <c r="D38" s="117" t="s">
        <v>11</v>
      </c>
      <c r="E38" s="17" t="s">
        <v>49</v>
      </c>
      <c r="F38" s="17" t="s">
        <v>395</v>
      </c>
      <c r="G38" s="75" t="s">
        <v>432</v>
      </c>
      <c r="H38" s="103">
        <f t="shared" si="0"/>
        <v>8937300</v>
      </c>
      <c r="I38" s="103">
        <f>8727300+38000</f>
        <v>8765300</v>
      </c>
      <c r="J38" s="103">
        <f>120000+52000</f>
        <v>172000</v>
      </c>
      <c r="K38" s="103">
        <f>120000+52000</f>
        <v>172000</v>
      </c>
      <c r="L38" s="110"/>
      <c r="M38" s="85"/>
      <c r="O38" s="88"/>
    </row>
    <row r="39" spans="1:15" s="8" customFormat="1" ht="192.75" customHeight="1">
      <c r="A39" s="1"/>
      <c r="B39" s="16" t="s">
        <v>146</v>
      </c>
      <c r="C39" s="117" t="s">
        <v>73</v>
      </c>
      <c r="D39" s="117" t="s">
        <v>11</v>
      </c>
      <c r="E39" s="17" t="s">
        <v>71</v>
      </c>
      <c r="F39" s="17" t="s">
        <v>395</v>
      </c>
      <c r="G39" s="75" t="s">
        <v>432</v>
      </c>
      <c r="H39" s="103">
        <f t="shared" si="0"/>
        <v>4426889</v>
      </c>
      <c r="I39" s="103">
        <f>3511500+23000</f>
        <v>3534500</v>
      </c>
      <c r="J39" s="103">
        <f>385389+7000+500000</f>
        <v>892389</v>
      </c>
      <c r="K39" s="103">
        <f>135000+7000+500000</f>
        <v>642000</v>
      </c>
      <c r="L39" s="110"/>
      <c r="M39" s="85"/>
      <c r="O39" s="88"/>
    </row>
    <row r="40" spans="1:15" s="8" customFormat="1" ht="150.75" customHeight="1">
      <c r="A40" s="1"/>
      <c r="B40" s="16" t="s">
        <v>147</v>
      </c>
      <c r="C40" s="117" t="s">
        <v>68</v>
      </c>
      <c r="D40" s="117" t="s">
        <v>11</v>
      </c>
      <c r="E40" s="17" t="s">
        <v>72</v>
      </c>
      <c r="F40" s="17" t="s">
        <v>395</v>
      </c>
      <c r="G40" s="75" t="s">
        <v>432</v>
      </c>
      <c r="H40" s="103">
        <f t="shared" si="0"/>
        <v>6057200</v>
      </c>
      <c r="I40" s="103">
        <v>6057200</v>
      </c>
      <c r="J40" s="103"/>
      <c r="K40" s="103"/>
      <c r="L40" s="110"/>
      <c r="M40" s="85"/>
      <c r="O40" s="88"/>
    </row>
    <row r="41" spans="1:15" s="8" customFormat="1" ht="146.25" customHeight="1">
      <c r="A41" s="1"/>
      <c r="B41" s="16" t="s">
        <v>148</v>
      </c>
      <c r="C41" s="117" t="s">
        <v>104</v>
      </c>
      <c r="D41" s="117" t="s">
        <v>32</v>
      </c>
      <c r="E41" s="17" t="s">
        <v>31</v>
      </c>
      <c r="F41" s="17" t="s">
        <v>393</v>
      </c>
      <c r="G41" s="75" t="s">
        <v>453</v>
      </c>
      <c r="H41" s="103">
        <f t="shared" si="0"/>
        <v>10102369.4</v>
      </c>
      <c r="I41" s="103">
        <f>4000000+6102369.4</f>
        <v>10102369.4</v>
      </c>
      <c r="J41" s="103"/>
      <c r="K41" s="103"/>
      <c r="L41" s="110"/>
      <c r="M41" s="85"/>
      <c r="O41" s="88"/>
    </row>
    <row r="42" spans="1:15" s="8" customFormat="1" ht="138" customHeight="1">
      <c r="A42" s="1"/>
      <c r="B42" s="16" t="s">
        <v>149</v>
      </c>
      <c r="C42" s="117" t="s">
        <v>105</v>
      </c>
      <c r="D42" s="117" t="s">
        <v>33</v>
      </c>
      <c r="E42" s="17" t="s">
        <v>106</v>
      </c>
      <c r="F42" s="17" t="s">
        <v>393</v>
      </c>
      <c r="G42" s="75" t="s">
        <v>453</v>
      </c>
      <c r="H42" s="103">
        <f t="shared" si="0"/>
        <v>897630.5999999996</v>
      </c>
      <c r="I42" s="103">
        <f>7000000-6102369.4</f>
        <v>897630.5999999996</v>
      </c>
      <c r="J42" s="103"/>
      <c r="K42" s="103"/>
      <c r="L42" s="110"/>
      <c r="M42" s="85"/>
      <c r="O42" s="88"/>
    </row>
    <row r="43" spans="1:15" s="8" customFormat="1" ht="169.5" customHeight="1" hidden="1">
      <c r="A43" s="1"/>
      <c r="B43" s="16" t="s">
        <v>150</v>
      </c>
      <c r="C43" s="117" t="s">
        <v>107</v>
      </c>
      <c r="D43" s="117" t="s">
        <v>33</v>
      </c>
      <c r="E43" s="17" t="s">
        <v>108</v>
      </c>
      <c r="F43" s="17" t="s">
        <v>393</v>
      </c>
      <c r="G43" s="44" t="s">
        <v>429</v>
      </c>
      <c r="H43" s="103">
        <f t="shared" si="0"/>
        <v>0</v>
      </c>
      <c r="I43" s="103"/>
      <c r="J43" s="103"/>
      <c r="K43" s="103"/>
      <c r="L43" s="110"/>
      <c r="M43" s="85"/>
      <c r="O43" s="88"/>
    </row>
    <row r="44" spans="1:15" s="23" customFormat="1" ht="133.5" customHeight="1" hidden="1">
      <c r="A44" s="22"/>
      <c r="B44" s="16" t="s">
        <v>291</v>
      </c>
      <c r="C44" s="117" t="s">
        <v>292</v>
      </c>
      <c r="D44" s="117" t="s">
        <v>294</v>
      </c>
      <c r="E44" s="17" t="s">
        <v>293</v>
      </c>
      <c r="F44" s="17" t="s">
        <v>393</v>
      </c>
      <c r="G44" s="44" t="s">
        <v>429</v>
      </c>
      <c r="H44" s="103">
        <f t="shared" si="0"/>
        <v>0</v>
      </c>
      <c r="I44" s="103"/>
      <c r="J44" s="103"/>
      <c r="K44" s="103"/>
      <c r="L44" s="110"/>
      <c r="M44" s="85"/>
      <c r="O44" s="88"/>
    </row>
    <row r="45" spans="1:15" s="8" customFormat="1" ht="154.5" customHeight="1">
      <c r="A45" s="1"/>
      <c r="B45" s="16" t="s">
        <v>227</v>
      </c>
      <c r="C45" s="117" t="s">
        <v>228</v>
      </c>
      <c r="D45" s="117" t="s">
        <v>229</v>
      </c>
      <c r="E45" s="17" t="s">
        <v>230</v>
      </c>
      <c r="F45" s="17" t="s">
        <v>74</v>
      </c>
      <c r="G45" s="75" t="s">
        <v>401</v>
      </c>
      <c r="H45" s="103">
        <f t="shared" si="0"/>
        <v>13851360</v>
      </c>
      <c r="I45" s="103">
        <f>6802500+2861360+400000</f>
        <v>10063860</v>
      </c>
      <c r="J45" s="103">
        <f>3197500+590000</f>
        <v>3787500</v>
      </c>
      <c r="K45" s="103">
        <f>3197500+590000</f>
        <v>3787500</v>
      </c>
      <c r="L45" s="110"/>
      <c r="M45" s="85"/>
      <c r="O45" s="88"/>
    </row>
    <row r="46" spans="1:15" s="23" customFormat="1" ht="169.5" customHeight="1">
      <c r="A46" s="22"/>
      <c r="B46" s="16" t="s">
        <v>151</v>
      </c>
      <c r="C46" s="117" t="s">
        <v>109</v>
      </c>
      <c r="D46" s="117" t="s">
        <v>6</v>
      </c>
      <c r="E46" s="17" t="s">
        <v>50</v>
      </c>
      <c r="F46" s="17" t="s">
        <v>65</v>
      </c>
      <c r="G46" s="75" t="s">
        <v>402</v>
      </c>
      <c r="H46" s="103">
        <f t="shared" si="0"/>
        <v>100000</v>
      </c>
      <c r="I46" s="103">
        <v>100000</v>
      </c>
      <c r="J46" s="103"/>
      <c r="K46" s="103"/>
      <c r="L46" s="110"/>
      <c r="M46" s="85"/>
      <c r="O46" s="88"/>
    </row>
    <row r="47" spans="1:15" s="23" customFormat="1" ht="124.5" customHeight="1" hidden="1">
      <c r="A47" s="22"/>
      <c r="B47" s="43" t="s">
        <v>231</v>
      </c>
      <c r="C47" s="114" t="s">
        <v>96</v>
      </c>
      <c r="D47" s="117" t="s">
        <v>28</v>
      </c>
      <c r="E47" s="17" t="s">
        <v>57</v>
      </c>
      <c r="F47" s="17" t="s">
        <v>79</v>
      </c>
      <c r="G47" s="75" t="s">
        <v>404</v>
      </c>
      <c r="H47" s="103">
        <f t="shared" si="0"/>
        <v>0</v>
      </c>
      <c r="I47" s="103"/>
      <c r="J47" s="103"/>
      <c r="K47" s="103"/>
      <c r="L47" s="110"/>
      <c r="M47" s="85"/>
      <c r="O47" s="88"/>
    </row>
    <row r="48" spans="1:15" s="23" customFormat="1" ht="151.5" customHeight="1">
      <c r="A48" s="22"/>
      <c r="B48" s="43" t="s">
        <v>152</v>
      </c>
      <c r="C48" s="114" t="s">
        <v>110</v>
      </c>
      <c r="D48" s="114" t="s">
        <v>5</v>
      </c>
      <c r="E48" s="44" t="s">
        <v>51</v>
      </c>
      <c r="F48" s="17" t="s">
        <v>393</v>
      </c>
      <c r="G48" s="75" t="s">
        <v>453</v>
      </c>
      <c r="H48" s="103">
        <f t="shared" si="0"/>
        <v>61989300</v>
      </c>
      <c r="I48" s="103"/>
      <c r="J48" s="103">
        <v>61989300</v>
      </c>
      <c r="K48" s="103">
        <v>61989300</v>
      </c>
      <c r="L48" s="110"/>
      <c r="M48" s="85"/>
      <c r="O48" s="88"/>
    </row>
    <row r="49" spans="1:15" s="23" customFormat="1" ht="163.5" customHeight="1">
      <c r="A49" s="22"/>
      <c r="B49" s="142" t="s">
        <v>220</v>
      </c>
      <c r="C49" s="126" t="s">
        <v>221</v>
      </c>
      <c r="D49" s="126" t="s">
        <v>5</v>
      </c>
      <c r="E49" s="132" t="s">
        <v>222</v>
      </c>
      <c r="F49" s="19" t="s">
        <v>428</v>
      </c>
      <c r="G49" s="75" t="s">
        <v>452</v>
      </c>
      <c r="H49" s="103">
        <f t="shared" si="0"/>
        <v>158690</v>
      </c>
      <c r="I49" s="103">
        <v>158690</v>
      </c>
      <c r="J49" s="103"/>
      <c r="K49" s="103"/>
      <c r="L49" s="110"/>
      <c r="M49" s="85"/>
      <c r="O49" s="88"/>
    </row>
    <row r="50" spans="1:15" s="23" customFormat="1" ht="112.5" customHeight="1">
      <c r="A50" s="22"/>
      <c r="B50" s="143"/>
      <c r="C50" s="137"/>
      <c r="D50" s="137"/>
      <c r="E50" s="134"/>
      <c r="F50" s="17" t="s">
        <v>79</v>
      </c>
      <c r="G50" s="75" t="s">
        <v>404</v>
      </c>
      <c r="H50" s="103">
        <f t="shared" si="0"/>
        <v>85000</v>
      </c>
      <c r="I50" s="103">
        <v>85000</v>
      </c>
      <c r="J50" s="103"/>
      <c r="K50" s="103"/>
      <c r="L50" s="110"/>
      <c r="M50" s="85"/>
      <c r="O50" s="88"/>
    </row>
    <row r="51" spans="1:15" s="8" customFormat="1" ht="120.75" customHeight="1">
      <c r="A51" s="1"/>
      <c r="B51" s="16" t="s">
        <v>232</v>
      </c>
      <c r="C51" s="117" t="s">
        <v>233</v>
      </c>
      <c r="D51" s="117" t="s">
        <v>5</v>
      </c>
      <c r="E51" s="17" t="s">
        <v>234</v>
      </c>
      <c r="F51" s="17" t="s">
        <v>385</v>
      </c>
      <c r="G51" s="75" t="s">
        <v>498</v>
      </c>
      <c r="H51" s="103">
        <f t="shared" si="0"/>
        <v>2654000</v>
      </c>
      <c r="I51" s="103">
        <f>2172100+93000-87000+450000</f>
        <v>2628100</v>
      </c>
      <c r="J51" s="103">
        <v>25900</v>
      </c>
      <c r="K51" s="103">
        <v>25900</v>
      </c>
      <c r="L51" s="110"/>
      <c r="M51" s="85"/>
      <c r="O51" s="88"/>
    </row>
    <row r="52" spans="2:15" ht="197.25" customHeight="1">
      <c r="B52" s="16" t="s">
        <v>153</v>
      </c>
      <c r="C52" s="117" t="s">
        <v>111</v>
      </c>
      <c r="D52" s="117" t="s">
        <v>112</v>
      </c>
      <c r="E52" s="17" t="s">
        <v>113</v>
      </c>
      <c r="F52" s="17" t="s">
        <v>397</v>
      </c>
      <c r="G52" s="75" t="s">
        <v>454</v>
      </c>
      <c r="H52" s="103">
        <f t="shared" si="0"/>
        <v>2457800</v>
      </c>
      <c r="I52" s="103">
        <v>450600</v>
      </c>
      <c r="J52" s="103">
        <v>2007200</v>
      </c>
      <c r="K52" s="103">
        <v>2007200</v>
      </c>
      <c r="L52" s="110"/>
      <c r="M52" s="85"/>
      <c r="O52" s="88"/>
    </row>
    <row r="53" spans="2:15" ht="123" customHeight="1">
      <c r="B53" s="16" t="s">
        <v>223</v>
      </c>
      <c r="C53" s="117" t="s">
        <v>224</v>
      </c>
      <c r="D53" s="117" t="s">
        <v>225</v>
      </c>
      <c r="E53" s="45" t="s">
        <v>226</v>
      </c>
      <c r="F53" s="17" t="s">
        <v>392</v>
      </c>
      <c r="G53" s="75" t="s">
        <v>449</v>
      </c>
      <c r="H53" s="103">
        <f t="shared" si="0"/>
        <v>819800</v>
      </c>
      <c r="I53" s="103">
        <f>789800+30000</f>
        <v>819800</v>
      </c>
      <c r="J53" s="103"/>
      <c r="K53" s="103"/>
      <c r="L53" s="110"/>
      <c r="M53" s="85"/>
      <c r="O53" s="88"/>
    </row>
    <row r="54" spans="2:15" ht="116.25" customHeight="1">
      <c r="B54" s="16" t="s">
        <v>154</v>
      </c>
      <c r="C54" s="117" t="s">
        <v>89</v>
      </c>
      <c r="D54" s="117" t="s">
        <v>13</v>
      </c>
      <c r="E54" s="17" t="s">
        <v>90</v>
      </c>
      <c r="F54" s="19" t="s">
        <v>394</v>
      </c>
      <c r="G54" s="44" t="s">
        <v>481</v>
      </c>
      <c r="H54" s="103">
        <f t="shared" si="0"/>
        <v>310000</v>
      </c>
      <c r="I54" s="103"/>
      <c r="J54" s="103">
        <f>260000+50000</f>
        <v>310000</v>
      </c>
      <c r="K54" s="103"/>
      <c r="L54" s="110"/>
      <c r="M54" s="85"/>
      <c r="O54" s="88"/>
    </row>
    <row r="55" spans="2:15" ht="122.25" customHeight="1">
      <c r="B55" s="16" t="s">
        <v>267</v>
      </c>
      <c r="C55" s="117" t="s">
        <v>268</v>
      </c>
      <c r="D55" s="117" t="s">
        <v>30</v>
      </c>
      <c r="E55" s="17" t="s">
        <v>269</v>
      </c>
      <c r="F55" s="17" t="s">
        <v>385</v>
      </c>
      <c r="G55" s="75" t="s">
        <v>480</v>
      </c>
      <c r="H55" s="103">
        <f t="shared" si="0"/>
        <v>193000</v>
      </c>
      <c r="I55" s="103">
        <f>150000+43000</f>
        <v>193000</v>
      </c>
      <c r="J55" s="103"/>
      <c r="K55" s="103"/>
      <c r="L55" s="110"/>
      <c r="M55" s="85"/>
      <c r="O55" s="88"/>
    </row>
    <row r="56" spans="2:15" ht="104.25" customHeight="1" hidden="1">
      <c r="B56" s="142" t="s">
        <v>350</v>
      </c>
      <c r="C56" s="126" t="s">
        <v>87</v>
      </c>
      <c r="D56" s="126" t="s">
        <v>29</v>
      </c>
      <c r="E56" s="128" t="s">
        <v>88</v>
      </c>
      <c r="F56" s="17" t="s">
        <v>392</v>
      </c>
      <c r="G56" s="44" t="s">
        <v>429</v>
      </c>
      <c r="H56" s="103">
        <f t="shared" si="0"/>
        <v>0</v>
      </c>
      <c r="I56" s="103"/>
      <c r="J56" s="103"/>
      <c r="K56" s="103"/>
      <c r="L56" s="110"/>
      <c r="M56" s="85"/>
      <c r="O56" s="88"/>
    </row>
    <row r="57" spans="2:15" ht="149.25" customHeight="1" hidden="1">
      <c r="B57" s="143"/>
      <c r="C57" s="137"/>
      <c r="D57" s="137"/>
      <c r="E57" s="130"/>
      <c r="F57" s="19" t="s">
        <v>389</v>
      </c>
      <c r="G57" s="44" t="s">
        <v>429</v>
      </c>
      <c r="H57" s="103">
        <f t="shared" si="0"/>
        <v>0</v>
      </c>
      <c r="I57" s="103"/>
      <c r="J57" s="103"/>
      <c r="K57" s="103"/>
      <c r="L57" s="110"/>
      <c r="M57" s="85"/>
      <c r="O57" s="88"/>
    </row>
    <row r="58" spans="2:15" ht="104.25" customHeight="1" hidden="1">
      <c r="B58" s="142" t="s">
        <v>323</v>
      </c>
      <c r="C58" s="126" t="s">
        <v>324</v>
      </c>
      <c r="D58" s="126" t="s">
        <v>29</v>
      </c>
      <c r="E58" s="132" t="s">
        <v>325</v>
      </c>
      <c r="F58" s="17" t="s">
        <v>392</v>
      </c>
      <c r="G58" s="44" t="s">
        <v>429</v>
      </c>
      <c r="H58" s="103">
        <f t="shared" si="0"/>
        <v>0</v>
      </c>
      <c r="I58" s="103"/>
      <c r="J58" s="103"/>
      <c r="K58" s="103"/>
      <c r="L58" s="110"/>
      <c r="M58" s="85"/>
      <c r="O58" s="88"/>
    </row>
    <row r="59" spans="2:15" ht="354">
      <c r="B59" s="149"/>
      <c r="C59" s="127"/>
      <c r="D59" s="127"/>
      <c r="E59" s="133"/>
      <c r="F59" s="17" t="s">
        <v>435</v>
      </c>
      <c r="G59" s="75" t="s">
        <v>434</v>
      </c>
      <c r="H59" s="103">
        <f t="shared" si="0"/>
        <v>271850</v>
      </c>
      <c r="I59" s="103">
        <v>271850</v>
      </c>
      <c r="J59" s="103"/>
      <c r="K59" s="103"/>
      <c r="L59" s="110"/>
      <c r="M59" s="85"/>
      <c r="O59" s="88"/>
    </row>
    <row r="60" spans="2:15" ht="132.75" hidden="1">
      <c r="B60" s="143"/>
      <c r="C60" s="137"/>
      <c r="D60" s="137"/>
      <c r="E60" s="134"/>
      <c r="F60" s="19" t="s">
        <v>389</v>
      </c>
      <c r="G60" s="44" t="s">
        <v>429</v>
      </c>
      <c r="H60" s="103">
        <f t="shared" si="0"/>
        <v>0</v>
      </c>
      <c r="I60" s="103"/>
      <c r="J60" s="103"/>
      <c r="K60" s="103"/>
      <c r="L60" s="110"/>
      <c r="M60" s="85"/>
      <c r="O60" s="88"/>
    </row>
    <row r="61" spans="1:15" s="7" customFormat="1" ht="101.25" customHeight="1">
      <c r="A61" s="6"/>
      <c r="B61" s="26"/>
      <c r="C61" s="119"/>
      <c r="D61" s="119"/>
      <c r="E61" s="27" t="s">
        <v>155</v>
      </c>
      <c r="F61" s="27"/>
      <c r="G61" s="78"/>
      <c r="H61" s="102">
        <f>SUM(H62+H63+H66+H70+H71+H72+H73+H74+H75+H76+H77+H78+H79+H80+H81+H82+H83+H84+H85+H86)</f>
        <v>923050417.4899999</v>
      </c>
      <c r="I61" s="102">
        <f>SUM(I62+I63+I66+I70+I71+I72+I73+I74+I75+I76+I77+I78+I79+I80+I81+I82+I83+I84+I85+I86)</f>
        <v>842614518</v>
      </c>
      <c r="J61" s="102">
        <f>SUM(J62+J63+J66+J70+J71+J72+J73+J74+J75+J76+J77+J78+J79+J80+J81+J82+J83+J84+J85+J86)</f>
        <v>80435899.49000001</v>
      </c>
      <c r="K61" s="102">
        <f>SUM(K62+K63+K66+K70+K71+K72+K73+K74+K75+K76+K77+K78+K79+K80+K81+K82+K83+K84+K85+K86)</f>
        <v>36977060.49</v>
      </c>
      <c r="L61" s="110"/>
      <c r="M61" s="85"/>
      <c r="O61" s="88"/>
    </row>
    <row r="62" spans="1:15" s="7" customFormat="1" ht="134.25" customHeight="1">
      <c r="A62" s="6"/>
      <c r="B62" s="43" t="s">
        <v>156</v>
      </c>
      <c r="C62" s="114" t="s">
        <v>80</v>
      </c>
      <c r="D62" s="114" t="s">
        <v>2</v>
      </c>
      <c r="E62" s="44" t="s">
        <v>81</v>
      </c>
      <c r="F62" s="17" t="s">
        <v>385</v>
      </c>
      <c r="G62" s="75" t="s">
        <v>480</v>
      </c>
      <c r="H62" s="103">
        <f t="shared" si="0"/>
        <v>30000</v>
      </c>
      <c r="I62" s="103">
        <v>30000</v>
      </c>
      <c r="J62" s="103"/>
      <c r="K62" s="103"/>
      <c r="L62" s="110"/>
      <c r="M62" s="85"/>
      <c r="O62" s="88"/>
    </row>
    <row r="63" spans="2:15" ht="151.5" customHeight="1">
      <c r="B63" s="142" t="s">
        <v>157</v>
      </c>
      <c r="C63" s="126" t="s">
        <v>40</v>
      </c>
      <c r="D63" s="126" t="s">
        <v>15</v>
      </c>
      <c r="E63" s="128" t="s">
        <v>97</v>
      </c>
      <c r="F63" s="44" t="s">
        <v>419</v>
      </c>
      <c r="G63" s="44" t="s">
        <v>455</v>
      </c>
      <c r="H63" s="103">
        <f t="shared" si="0"/>
        <v>234821767</v>
      </c>
      <c r="I63" s="103">
        <f>213029620+72000+56500</f>
        <v>213158120</v>
      </c>
      <c r="J63" s="103">
        <f>19749311+1163000+600000+112000-34164+73500</f>
        <v>21663647</v>
      </c>
      <c r="K63" s="103">
        <f>3500000+1163000+600000+112000-34164+73500</f>
        <v>5414336</v>
      </c>
      <c r="L63" s="110"/>
      <c r="M63" s="85"/>
      <c r="O63" s="88"/>
    </row>
    <row r="64" spans="1:15" s="84" customFormat="1" ht="105" customHeight="1">
      <c r="A64" s="80"/>
      <c r="B64" s="149"/>
      <c r="C64" s="127"/>
      <c r="D64" s="127"/>
      <c r="E64" s="129"/>
      <c r="F64" s="82" t="s">
        <v>418</v>
      </c>
      <c r="G64" s="82" t="s">
        <v>492</v>
      </c>
      <c r="H64" s="105">
        <f>I64+J64</f>
        <v>36816</v>
      </c>
      <c r="I64" s="105">
        <v>36816</v>
      </c>
      <c r="J64" s="105"/>
      <c r="K64" s="105"/>
      <c r="L64" s="110"/>
      <c r="M64" s="85"/>
      <c r="O64" s="88"/>
    </row>
    <row r="65" spans="1:15" s="84" customFormat="1" ht="144" customHeight="1">
      <c r="A65" s="80"/>
      <c r="B65" s="143"/>
      <c r="C65" s="137"/>
      <c r="D65" s="137"/>
      <c r="E65" s="130"/>
      <c r="F65" s="82" t="s">
        <v>420</v>
      </c>
      <c r="G65" s="82" t="s">
        <v>491</v>
      </c>
      <c r="H65" s="105">
        <f>I65+J65</f>
        <v>1125208</v>
      </c>
      <c r="I65" s="105">
        <v>1125208</v>
      </c>
      <c r="J65" s="105"/>
      <c r="K65" s="105"/>
      <c r="L65" s="110"/>
      <c r="M65" s="85"/>
      <c r="O65" s="88"/>
    </row>
    <row r="66" spans="1:15" s="84" customFormat="1" ht="162" customHeight="1">
      <c r="A66" s="80"/>
      <c r="B66" s="142" t="s">
        <v>158</v>
      </c>
      <c r="C66" s="126" t="s">
        <v>38</v>
      </c>
      <c r="D66" s="126" t="s">
        <v>16</v>
      </c>
      <c r="E66" s="128" t="s">
        <v>98</v>
      </c>
      <c r="F66" s="44" t="s">
        <v>419</v>
      </c>
      <c r="G66" s="44" t="s">
        <v>455</v>
      </c>
      <c r="H66" s="103">
        <f t="shared" si="0"/>
        <v>498557740.06</v>
      </c>
      <c r="I66" s="103">
        <f>463740523+2350000+277870+110800+152663</f>
        <v>466631856</v>
      </c>
      <c r="J66" s="103">
        <f>26407022+1000000+1890000+900000+134786+343800-138223.94+1300000+88500</f>
        <v>31925884.06</v>
      </c>
      <c r="K66" s="103">
        <f>8400000+1890000+900000+134786+343800-138223.94+1300000+88500</f>
        <v>12918862.06</v>
      </c>
      <c r="L66" s="110"/>
      <c r="M66" s="85"/>
      <c r="O66" s="88"/>
    </row>
    <row r="67" spans="1:15" s="84" customFormat="1" ht="111.75" customHeight="1">
      <c r="A67" s="80"/>
      <c r="B67" s="149"/>
      <c r="C67" s="127"/>
      <c r="D67" s="127"/>
      <c r="E67" s="129"/>
      <c r="F67" s="82" t="s">
        <v>418</v>
      </c>
      <c r="G67" s="82" t="s">
        <v>493</v>
      </c>
      <c r="H67" s="105">
        <f t="shared" si="0"/>
        <v>94440</v>
      </c>
      <c r="I67" s="105">
        <v>94440</v>
      </c>
      <c r="J67" s="105"/>
      <c r="K67" s="105"/>
      <c r="L67" s="110"/>
      <c r="M67" s="85"/>
      <c r="O67" s="88"/>
    </row>
    <row r="68" spans="1:15" s="84" customFormat="1" ht="138.75" customHeight="1">
      <c r="A68" s="80"/>
      <c r="B68" s="149"/>
      <c r="C68" s="127"/>
      <c r="D68" s="127"/>
      <c r="E68" s="129"/>
      <c r="F68" s="82" t="s">
        <v>420</v>
      </c>
      <c r="G68" s="83" t="s">
        <v>494</v>
      </c>
      <c r="H68" s="105">
        <f t="shared" si="0"/>
        <v>2611265</v>
      </c>
      <c r="I68" s="105">
        <v>2611265</v>
      </c>
      <c r="J68" s="105"/>
      <c r="K68" s="105"/>
      <c r="L68" s="110"/>
      <c r="M68" s="85"/>
      <c r="O68" s="88"/>
    </row>
    <row r="69" spans="1:15" s="84" customFormat="1" ht="156.75" customHeight="1">
      <c r="A69" s="80"/>
      <c r="B69" s="149"/>
      <c r="C69" s="127"/>
      <c r="D69" s="127"/>
      <c r="E69" s="129"/>
      <c r="F69" s="82" t="s">
        <v>421</v>
      </c>
      <c r="G69" s="83" t="s">
        <v>495</v>
      </c>
      <c r="H69" s="105">
        <f t="shared" si="0"/>
        <v>1180960</v>
      </c>
      <c r="I69" s="105">
        <v>1180960</v>
      </c>
      <c r="J69" s="105"/>
      <c r="K69" s="105"/>
      <c r="L69" s="110"/>
      <c r="M69" s="85"/>
      <c r="O69" s="88"/>
    </row>
    <row r="70" spans="2:15" ht="108.75" customHeight="1">
      <c r="B70" s="16" t="s">
        <v>413</v>
      </c>
      <c r="C70" s="117" t="s">
        <v>24</v>
      </c>
      <c r="D70" s="117" t="s">
        <v>16</v>
      </c>
      <c r="E70" s="81" t="s">
        <v>414</v>
      </c>
      <c r="F70" s="44" t="s">
        <v>386</v>
      </c>
      <c r="G70" s="44" t="s">
        <v>455</v>
      </c>
      <c r="H70" s="103">
        <f t="shared" si="0"/>
        <v>946850</v>
      </c>
      <c r="I70" s="103">
        <v>946850</v>
      </c>
      <c r="J70" s="103"/>
      <c r="K70" s="103"/>
      <c r="L70" s="110"/>
      <c r="M70" s="85"/>
      <c r="O70" s="88"/>
    </row>
    <row r="71" spans="2:15" ht="297.75" customHeight="1">
      <c r="B71" s="42" t="s">
        <v>159</v>
      </c>
      <c r="C71" s="120" t="s">
        <v>22</v>
      </c>
      <c r="D71" s="114" t="s">
        <v>37</v>
      </c>
      <c r="E71" s="76" t="s">
        <v>99</v>
      </c>
      <c r="F71" s="44" t="s">
        <v>386</v>
      </c>
      <c r="G71" s="44" t="s">
        <v>455</v>
      </c>
      <c r="H71" s="103">
        <f t="shared" si="0"/>
        <v>9069050</v>
      </c>
      <c r="I71" s="103">
        <f>8801450+80200+4000</f>
        <v>8885650</v>
      </c>
      <c r="J71" s="103">
        <f>150000+33400</f>
        <v>183400</v>
      </c>
      <c r="K71" s="103">
        <f>150000+33400</f>
        <v>183400</v>
      </c>
      <c r="L71" s="110"/>
      <c r="M71" s="85"/>
      <c r="O71" s="88"/>
    </row>
    <row r="72" spans="2:15" ht="168.75" customHeight="1">
      <c r="B72" s="18" t="s">
        <v>160</v>
      </c>
      <c r="C72" s="121" t="s">
        <v>7</v>
      </c>
      <c r="D72" s="117" t="s">
        <v>36</v>
      </c>
      <c r="E72" s="17" t="s">
        <v>100</v>
      </c>
      <c r="F72" s="44" t="s">
        <v>386</v>
      </c>
      <c r="G72" s="44" t="s">
        <v>455</v>
      </c>
      <c r="H72" s="103">
        <f t="shared" si="0"/>
        <v>24965462</v>
      </c>
      <c r="I72" s="103">
        <f>24404580+10000+250882</f>
        <v>24665462</v>
      </c>
      <c r="J72" s="103">
        <v>300000</v>
      </c>
      <c r="K72" s="103">
        <v>300000</v>
      </c>
      <c r="L72" s="110"/>
      <c r="M72" s="85"/>
      <c r="O72" s="88"/>
    </row>
    <row r="73" spans="2:15" ht="104.25" customHeight="1">
      <c r="B73" s="18" t="s">
        <v>409</v>
      </c>
      <c r="C73" s="121" t="s">
        <v>410</v>
      </c>
      <c r="D73" s="117" t="s">
        <v>411</v>
      </c>
      <c r="E73" s="17" t="s">
        <v>412</v>
      </c>
      <c r="F73" s="44" t="s">
        <v>386</v>
      </c>
      <c r="G73" s="44" t="s">
        <v>455</v>
      </c>
      <c r="H73" s="103">
        <f t="shared" si="0"/>
        <v>114252006</v>
      </c>
      <c r="I73" s="103">
        <v>103006500</v>
      </c>
      <c r="J73" s="103">
        <f>7717506+3528000</f>
        <v>11245506</v>
      </c>
      <c r="K73" s="103">
        <v>3528000</v>
      </c>
      <c r="L73" s="110"/>
      <c r="M73" s="85"/>
      <c r="O73" s="88"/>
    </row>
    <row r="74" spans="2:15" ht="104.25" customHeight="1">
      <c r="B74" s="42" t="s">
        <v>415</v>
      </c>
      <c r="C74" s="120" t="s">
        <v>416</v>
      </c>
      <c r="D74" s="114" t="s">
        <v>17</v>
      </c>
      <c r="E74" s="44" t="s">
        <v>417</v>
      </c>
      <c r="F74" s="44" t="s">
        <v>386</v>
      </c>
      <c r="G74" s="44" t="s">
        <v>455</v>
      </c>
      <c r="H74" s="103">
        <f t="shared" si="0"/>
        <v>2838770</v>
      </c>
      <c r="I74" s="103">
        <v>2838770</v>
      </c>
      <c r="J74" s="103"/>
      <c r="K74" s="103"/>
      <c r="L74" s="110"/>
      <c r="M74" s="85"/>
      <c r="O74" s="88"/>
    </row>
    <row r="75" spans="1:15" s="8" customFormat="1" ht="114" customHeight="1">
      <c r="A75" s="1"/>
      <c r="B75" s="18" t="s">
        <v>300</v>
      </c>
      <c r="C75" s="121" t="s">
        <v>296</v>
      </c>
      <c r="D75" s="117" t="s">
        <v>17</v>
      </c>
      <c r="E75" s="44" t="s">
        <v>298</v>
      </c>
      <c r="F75" s="44" t="s">
        <v>386</v>
      </c>
      <c r="G75" s="44" t="s">
        <v>455</v>
      </c>
      <c r="H75" s="103">
        <f t="shared" si="0"/>
        <v>8295190</v>
      </c>
      <c r="I75" s="103">
        <f>9685900+44800-1583510</f>
        <v>8147190</v>
      </c>
      <c r="J75" s="103">
        <f>170000+8000-30000</f>
        <v>148000</v>
      </c>
      <c r="K75" s="103">
        <f>170000+8000-30000</f>
        <v>148000</v>
      </c>
      <c r="L75" s="110"/>
      <c r="M75" s="85"/>
      <c r="O75" s="88"/>
    </row>
    <row r="76" spans="1:15" s="8" customFormat="1" ht="123" customHeight="1">
      <c r="A76" s="1"/>
      <c r="B76" s="18" t="s">
        <v>301</v>
      </c>
      <c r="C76" s="121" t="s">
        <v>297</v>
      </c>
      <c r="D76" s="117" t="s">
        <v>17</v>
      </c>
      <c r="E76" s="17" t="s">
        <v>299</v>
      </c>
      <c r="F76" s="44" t="s">
        <v>386</v>
      </c>
      <c r="G76" s="44" t="s">
        <v>455</v>
      </c>
      <c r="H76" s="103">
        <f t="shared" si="0"/>
        <v>90400</v>
      </c>
      <c r="I76" s="103">
        <v>90400</v>
      </c>
      <c r="J76" s="103"/>
      <c r="K76" s="103"/>
      <c r="L76" s="110"/>
      <c r="M76" s="85"/>
      <c r="O76" s="88"/>
    </row>
    <row r="77" spans="1:15" s="8" customFormat="1" ht="123" customHeight="1">
      <c r="A77" s="1"/>
      <c r="B77" s="42" t="s">
        <v>470</v>
      </c>
      <c r="C77" s="120" t="s">
        <v>471</v>
      </c>
      <c r="D77" s="114" t="s">
        <v>17</v>
      </c>
      <c r="E77" s="44" t="s">
        <v>472</v>
      </c>
      <c r="F77" s="44" t="s">
        <v>386</v>
      </c>
      <c r="G77" s="44" t="s">
        <v>455</v>
      </c>
      <c r="H77" s="103">
        <f t="shared" si="0"/>
        <v>1613510</v>
      </c>
      <c r="I77" s="103">
        <v>1583510</v>
      </c>
      <c r="J77" s="103">
        <v>30000</v>
      </c>
      <c r="K77" s="103">
        <v>30000</v>
      </c>
      <c r="L77" s="110"/>
      <c r="M77" s="85"/>
      <c r="O77" s="88"/>
    </row>
    <row r="78" spans="2:15" ht="94.5" customHeight="1">
      <c r="B78" s="144" t="s">
        <v>161</v>
      </c>
      <c r="C78" s="138" t="s">
        <v>42</v>
      </c>
      <c r="D78" s="126" t="s">
        <v>8</v>
      </c>
      <c r="E78" s="128" t="s">
        <v>46</v>
      </c>
      <c r="F78" s="17" t="s">
        <v>390</v>
      </c>
      <c r="G78" s="75" t="s">
        <v>430</v>
      </c>
      <c r="H78" s="103">
        <f t="shared" si="0"/>
        <v>3746800</v>
      </c>
      <c r="I78" s="103">
        <v>3746800</v>
      </c>
      <c r="J78" s="103"/>
      <c r="K78" s="103"/>
      <c r="L78" s="110"/>
      <c r="M78" s="85"/>
      <c r="O78" s="88"/>
    </row>
    <row r="79" spans="2:15" ht="121.5" customHeight="1">
      <c r="B79" s="146"/>
      <c r="C79" s="140"/>
      <c r="D79" s="127"/>
      <c r="E79" s="129"/>
      <c r="F79" s="17" t="s">
        <v>388</v>
      </c>
      <c r="G79" s="75" t="s">
        <v>482</v>
      </c>
      <c r="H79" s="103">
        <f t="shared" si="0"/>
        <v>97600</v>
      </c>
      <c r="I79" s="103">
        <v>97600</v>
      </c>
      <c r="J79" s="103"/>
      <c r="K79" s="103"/>
      <c r="L79" s="110"/>
      <c r="M79" s="85"/>
      <c r="O79" s="88"/>
    </row>
    <row r="80" spans="2:15" ht="142.5" customHeight="1">
      <c r="B80" s="145"/>
      <c r="C80" s="139"/>
      <c r="D80" s="137"/>
      <c r="E80" s="130"/>
      <c r="F80" s="17" t="s">
        <v>78</v>
      </c>
      <c r="G80" s="75" t="s">
        <v>406</v>
      </c>
      <c r="H80" s="103">
        <f t="shared" si="0"/>
        <v>3456600</v>
      </c>
      <c r="I80" s="103">
        <v>3456600</v>
      </c>
      <c r="J80" s="103"/>
      <c r="K80" s="103"/>
      <c r="L80" s="110"/>
      <c r="M80" s="85"/>
      <c r="O80" s="88"/>
    </row>
    <row r="81" spans="2:15" ht="142.5" customHeight="1">
      <c r="B81" s="90" t="s">
        <v>445</v>
      </c>
      <c r="C81" s="122" t="s">
        <v>274</v>
      </c>
      <c r="D81" s="115" t="s">
        <v>7</v>
      </c>
      <c r="E81" s="89" t="s">
        <v>275</v>
      </c>
      <c r="F81" s="17" t="s">
        <v>75</v>
      </c>
      <c r="G81" s="75" t="s">
        <v>459</v>
      </c>
      <c r="H81" s="103">
        <f t="shared" si="0"/>
        <v>56110</v>
      </c>
      <c r="I81" s="103">
        <v>56110</v>
      </c>
      <c r="J81" s="103"/>
      <c r="K81" s="103"/>
      <c r="L81" s="110"/>
      <c r="M81" s="85"/>
      <c r="O81" s="88"/>
    </row>
    <row r="82" spans="1:15" s="8" customFormat="1" ht="147" customHeight="1">
      <c r="A82" s="1"/>
      <c r="B82" s="16" t="s">
        <v>162</v>
      </c>
      <c r="C82" s="117" t="s">
        <v>69</v>
      </c>
      <c r="D82" s="117" t="s">
        <v>11</v>
      </c>
      <c r="E82" s="17" t="s">
        <v>48</v>
      </c>
      <c r="F82" s="17" t="s">
        <v>395</v>
      </c>
      <c r="G82" s="75" t="s">
        <v>432</v>
      </c>
      <c r="H82" s="103">
        <f t="shared" si="0"/>
        <v>4896100</v>
      </c>
      <c r="I82" s="103">
        <v>4846100</v>
      </c>
      <c r="J82" s="103">
        <v>50000</v>
      </c>
      <c r="K82" s="103">
        <v>50000</v>
      </c>
      <c r="L82" s="110"/>
      <c r="M82" s="85"/>
      <c r="O82" s="88"/>
    </row>
    <row r="83" spans="1:15" s="8" customFormat="1" ht="88.5">
      <c r="A83" s="1"/>
      <c r="B83" s="142" t="s">
        <v>327</v>
      </c>
      <c r="C83" s="126" t="s">
        <v>328</v>
      </c>
      <c r="D83" s="126" t="s">
        <v>5</v>
      </c>
      <c r="E83" s="128" t="s">
        <v>329</v>
      </c>
      <c r="F83" s="44" t="s">
        <v>386</v>
      </c>
      <c r="G83" s="44" t="s">
        <v>455</v>
      </c>
      <c r="H83" s="103">
        <f t="shared" si="0"/>
        <v>2641808.37</v>
      </c>
      <c r="I83" s="103"/>
      <c r="J83" s="103">
        <v>2641808.37</v>
      </c>
      <c r="K83" s="103">
        <v>2641808.37</v>
      </c>
      <c r="L83" s="98"/>
      <c r="M83" s="85"/>
      <c r="O83" s="88"/>
    </row>
    <row r="84" spans="1:15" s="8" customFormat="1" ht="132.75">
      <c r="A84" s="1"/>
      <c r="B84" s="143"/>
      <c r="C84" s="137"/>
      <c r="D84" s="137"/>
      <c r="E84" s="130"/>
      <c r="F84" s="17" t="s">
        <v>79</v>
      </c>
      <c r="G84" s="75" t="s">
        <v>404</v>
      </c>
      <c r="H84" s="103">
        <f>I84+J84</f>
        <v>8166654.06</v>
      </c>
      <c r="I84" s="103"/>
      <c r="J84" s="103">
        <v>8166654.06</v>
      </c>
      <c r="K84" s="103">
        <v>8166654.06</v>
      </c>
      <c r="L84" s="98"/>
      <c r="M84" s="85"/>
      <c r="O84" s="88"/>
    </row>
    <row r="85" spans="1:15" s="25" customFormat="1" ht="138" customHeight="1">
      <c r="A85" s="24"/>
      <c r="B85" s="16" t="s">
        <v>163</v>
      </c>
      <c r="C85" s="117" t="s">
        <v>96</v>
      </c>
      <c r="D85" s="117" t="s">
        <v>28</v>
      </c>
      <c r="E85" s="17" t="s">
        <v>57</v>
      </c>
      <c r="F85" s="17" t="s">
        <v>79</v>
      </c>
      <c r="G85" s="75" t="s">
        <v>404</v>
      </c>
      <c r="H85" s="103">
        <f>I85+J85</f>
        <v>4023000</v>
      </c>
      <c r="I85" s="103">
        <v>427000</v>
      </c>
      <c r="J85" s="103">
        <f>4046000+3900000-3900000-450000</f>
        <v>3596000</v>
      </c>
      <c r="K85" s="103">
        <f>4046000+3900000-3900000-450000</f>
        <v>3596000</v>
      </c>
      <c r="L85" s="110"/>
      <c r="M85" s="85"/>
      <c r="O85" s="88"/>
    </row>
    <row r="86" spans="2:15" ht="132.75">
      <c r="B86" s="18" t="s">
        <v>164</v>
      </c>
      <c r="C86" s="121" t="s">
        <v>89</v>
      </c>
      <c r="D86" s="117" t="s">
        <v>13</v>
      </c>
      <c r="E86" s="17" t="s">
        <v>90</v>
      </c>
      <c r="F86" s="19" t="s">
        <v>394</v>
      </c>
      <c r="G86" s="44" t="s">
        <v>481</v>
      </c>
      <c r="H86" s="103">
        <f>I86+J86</f>
        <v>485000</v>
      </c>
      <c r="I86" s="103"/>
      <c r="J86" s="103">
        <v>485000</v>
      </c>
      <c r="K86" s="103"/>
      <c r="L86" s="110"/>
      <c r="M86" s="85"/>
      <c r="O86" s="88"/>
    </row>
    <row r="87" spans="2:15" ht="132.75" hidden="1">
      <c r="B87" s="142" t="s">
        <v>326</v>
      </c>
      <c r="C87" s="126" t="s">
        <v>324</v>
      </c>
      <c r="D87" s="126" t="s">
        <v>29</v>
      </c>
      <c r="E87" s="132" t="s">
        <v>325</v>
      </c>
      <c r="F87" s="17" t="s">
        <v>78</v>
      </c>
      <c r="G87" s="75" t="s">
        <v>406</v>
      </c>
      <c r="H87" s="103">
        <f aca="true" t="shared" si="1" ref="H87:H113">I87+J87</f>
        <v>0</v>
      </c>
      <c r="I87" s="103"/>
      <c r="J87" s="103"/>
      <c r="K87" s="103"/>
      <c r="L87" s="110"/>
      <c r="M87" s="85"/>
      <c r="O87" s="88"/>
    </row>
    <row r="88" spans="2:15" ht="132.75" hidden="1">
      <c r="B88" s="149"/>
      <c r="C88" s="137"/>
      <c r="D88" s="137"/>
      <c r="E88" s="134"/>
      <c r="F88" s="19" t="s">
        <v>389</v>
      </c>
      <c r="G88" s="44" t="s">
        <v>429</v>
      </c>
      <c r="H88" s="103">
        <f t="shared" si="1"/>
        <v>0</v>
      </c>
      <c r="I88" s="106"/>
      <c r="J88" s="106"/>
      <c r="K88" s="103"/>
      <c r="L88" s="110"/>
      <c r="M88" s="85"/>
      <c r="O88" s="88"/>
    </row>
    <row r="89" spans="1:15" s="7" customFormat="1" ht="97.5" customHeight="1">
      <c r="A89" s="6"/>
      <c r="B89" s="26"/>
      <c r="C89" s="119"/>
      <c r="D89" s="119"/>
      <c r="E89" s="27" t="s">
        <v>165</v>
      </c>
      <c r="F89" s="27"/>
      <c r="G89" s="27"/>
      <c r="H89" s="102">
        <f>SUM(H90+H91+H95+H97+H100+H103+H104+H105+H107+H109+H110+H111)</f>
        <v>382621016.88</v>
      </c>
      <c r="I89" s="102">
        <f>SUM(I90+I91+I95+I97+I100+I103+I104+I105+I107+I109+I110+I111)</f>
        <v>338199140</v>
      </c>
      <c r="J89" s="102">
        <f>SUM(J90+J91+J95+J97+J100+J103+J104+J105+J107+J109+J110+J111)</f>
        <v>44421876.879999995</v>
      </c>
      <c r="K89" s="102">
        <f>SUM(K90+K91+K95+K97+K100+K103+K104+K105+K107+K109+K110+K111)</f>
        <v>34829223.8</v>
      </c>
      <c r="L89" s="110"/>
      <c r="M89" s="85"/>
      <c r="O89" s="88"/>
    </row>
    <row r="90" spans="2:15" ht="144.75" customHeight="1">
      <c r="B90" s="16" t="s">
        <v>166</v>
      </c>
      <c r="C90" s="117" t="s">
        <v>80</v>
      </c>
      <c r="D90" s="117" t="s">
        <v>2</v>
      </c>
      <c r="E90" s="44" t="s">
        <v>81</v>
      </c>
      <c r="F90" s="17" t="s">
        <v>385</v>
      </c>
      <c r="G90" s="75" t="s">
        <v>480</v>
      </c>
      <c r="H90" s="103">
        <f>I90+J90</f>
        <v>5000</v>
      </c>
      <c r="I90" s="103">
        <v>5000</v>
      </c>
      <c r="J90" s="103"/>
      <c r="K90" s="103"/>
      <c r="L90" s="110"/>
      <c r="M90" s="85"/>
      <c r="O90" s="88"/>
    </row>
    <row r="91" spans="2:15" ht="153.75" customHeight="1">
      <c r="B91" s="136" t="s">
        <v>167</v>
      </c>
      <c r="C91" s="131" t="s">
        <v>41</v>
      </c>
      <c r="D91" s="150" t="s">
        <v>20</v>
      </c>
      <c r="E91" s="141" t="s">
        <v>52</v>
      </c>
      <c r="F91" s="19" t="s">
        <v>447</v>
      </c>
      <c r="G91" s="44" t="s">
        <v>457</v>
      </c>
      <c r="H91" s="103">
        <f>I91+J91</f>
        <v>279317871.3</v>
      </c>
      <c r="I91" s="103">
        <f>266450098+50000+1298500+25000</f>
        <v>267823598</v>
      </c>
      <c r="J91" s="103">
        <f>12000000+170000-675726.7</f>
        <v>11494273.3</v>
      </c>
      <c r="K91" s="103">
        <f>12000000+170000-675726.2</f>
        <v>11494273.8</v>
      </c>
      <c r="L91" s="110"/>
      <c r="M91" s="85"/>
      <c r="O91" s="88"/>
    </row>
    <row r="92" spans="2:15" ht="165.75" customHeight="1" hidden="1">
      <c r="B92" s="136"/>
      <c r="C92" s="131"/>
      <c r="D92" s="150"/>
      <c r="E92" s="141"/>
      <c r="F92" s="17" t="s">
        <v>74</v>
      </c>
      <c r="G92" s="75" t="s">
        <v>401</v>
      </c>
      <c r="H92" s="103">
        <f t="shared" si="1"/>
        <v>0</v>
      </c>
      <c r="I92" s="103"/>
      <c r="J92" s="103"/>
      <c r="K92" s="103"/>
      <c r="L92" s="110"/>
      <c r="M92" s="85"/>
      <c r="O92" s="88"/>
    </row>
    <row r="93" spans="1:15" s="84" customFormat="1" ht="141.75" customHeight="1">
      <c r="A93" s="80"/>
      <c r="B93" s="136"/>
      <c r="C93" s="131"/>
      <c r="D93" s="150"/>
      <c r="E93" s="141"/>
      <c r="F93" s="82" t="s">
        <v>448</v>
      </c>
      <c r="G93" s="83" t="s">
        <v>496</v>
      </c>
      <c r="H93" s="105">
        <f t="shared" si="1"/>
        <v>148560</v>
      </c>
      <c r="I93" s="105">
        <v>148560</v>
      </c>
      <c r="J93" s="105"/>
      <c r="K93" s="105"/>
      <c r="L93" s="110"/>
      <c r="M93" s="91"/>
      <c r="O93" s="91"/>
    </row>
    <row r="94" spans="1:15" s="84" customFormat="1" ht="153.75" customHeight="1" hidden="1">
      <c r="A94" s="80"/>
      <c r="B94" s="144" t="s">
        <v>168</v>
      </c>
      <c r="C94" s="138" t="s">
        <v>422</v>
      </c>
      <c r="D94" s="126" t="s">
        <v>423</v>
      </c>
      <c r="E94" s="128" t="s">
        <v>91</v>
      </c>
      <c r="F94" s="82"/>
      <c r="G94" s="83"/>
      <c r="H94" s="105"/>
      <c r="I94" s="105"/>
      <c r="J94" s="105"/>
      <c r="K94" s="105"/>
      <c r="L94" s="110"/>
      <c r="M94" s="91"/>
      <c r="O94" s="91"/>
    </row>
    <row r="95" spans="2:15" ht="132.75" customHeight="1">
      <c r="B95" s="146"/>
      <c r="C95" s="140"/>
      <c r="D95" s="127"/>
      <c r="E95" s="129"/>
      <c r="F95" s="19" t="s">
        <v>447</v>
      </c>
      <c r="G95" s="44" t="s">
        <v>457</v>
      </c>
      <c r="H95" s="103">
        <f>I95+J95</f>
        <v>38728216</v>
      </c>
      <c r="I95" s="103">
        <v>37728216</v>
      </c>
      <c r="J95" s="103">
        <v>1000000</v>
      </c>
      <c r="K95" s="103">
        <v>1000000</v>
      </c>
      <c r="L95" s="110"/>
      <c r="M95" s="85"/>
      <c r="O95" s="88"/>
    </row>
    <row r="96" spans="2:15" ht="132.75" customHeight="1">
      <c r="B96" s="145"/>
      <c r="C96" s="139"/>
      <c r="D96" s="137"/>
      <c r="E96" s="130"/>
      <c r="F96" s="82" t="s">
        <v>448</v>
      </c>
      <c r="G96" s="83" t="s">
        <v>494</v>
      </c>
      <c r="H96" s="105">
        <f>I96+J96</f>
        <v>16090</v>
      </c>
      <c r="I96" s="105">
        <v>16090</v>
      </c>
      <c r="J96" s="103"/>
      <c r="K96" s="103"/>
      <c r="L96" s="110"/>
      <c r="M96" s="85"/>
      <c r="O96" s="88"/>
    </row>
    <row r="97" spans="2:15" ht="132.75" customHeight="1">
      <c r="B97" s="144" t="s">
        <v>169</v>
      </c>
      <c r="C97" s="138" t="s">
        <v>92</v>
      </c>
      <c r="D97" s="126" t="s">
        <v>21</v>
      </c>
      <c r="E97" s="128" t="s">
        <v>93</v>
      </c>
      <c r="F97" s="19" t="s">
        <v>447</v>
      </c>
      <c r="G97" s="44" t="s">
        <v>457</v>
      </c>
      <c r="H97" s="103">
        <f>I97+J97</f>
        <v>6636457</v>
      </c>
      <c r="I97" s="103">
        <v>6226457</v>
      </c>
      <c r="J97" s="103">
        <f>400000+10000</f>
        <v>410000</v>
      </c>
      <c r="K97" s="103">
        <f>400000+10000</f>
        <v>410000</v>
      </c>
      <c r="L97" s="110"/>
      <c r="M97" s="85"/>
      <c r="O97" s="88"/>
    </row>
    <row r="98" spans="1:15" s="84" customFormat="1" ht="156.75" customHeight="1">
      <c r="A98" s="80"/>
      <c r="B98" s="145"/>
      <c r="C98" s="139"/>
      <c r="D98" s="137"/>
      <c r="E98" s="130"/>
      <c r="F98" s="82" t="s">
        <v>448</v>
      </c>
      <c r="G98" s="83" t="s">
        <v>494</v>
      </c>
      <c r="H98" s="105">
        <f t="shared" si="1"/>
        <v>9000</v>
      </c>
      <c r="I98" s="105">
        <v>9000</v>
      </c>
      <c r="J98" s="105"/>
      <c r="K98" s="105"/>
      <c r="L98" s="110"/>
      <c r="M98" s="91"/>
      <c r="O98" s="91"/>
    </row>
    <row r="99" spans="1:15" s="8" customFormat="1" ht="159.75" customHeight="1" hidden="1">
      <c r="A99" s="1"/>
      <c r="B99" s="144" t="s">
        <v>170</v>
      </c>
      <c r="C99" s="138" t="s">
        <v>94</v>
      </c>
      <c r="D99" s="126" t="s">
        <v>308</v>
      </c>
      <c r="E99" s="128" t="s">
        <v>95</v>
      </c>
      <c r="F99" s="17"/>
      <c r="G99" s="75"/>
      <c r="H99" s="103">
        <f t="shared" si="1"/>
        <v>0</v>
      </c>
      <c r="I99" s="103"/>
      <c r="J99" s="103"/>
      <c r="K99" s="103"/>
      <c r="L99" s="110"/>
      <c r="M99" s="85"/>
      <c r="O99" s="88"/>
    </row>
    <row r="100" spans="1:15" s="8" customFormat="1" ht="138.75" customHeight="1">
      <c r="A100" s="1"/>
      <c r="B100" s="145"/>
      <c r="C100" s="139"/>
      <c r="D100" s="137"/>
      <c r="E100" s="130"/>
      <c r="F100" s="19" t="s">
        <v>446</v>
      </c>
      <c r="G100" s="44" t="s">
        <v>457</v>
      </c>
      <c r="H100" s="103">
        <f t="shared" si="1"/>
        <v>5755815</v>
      </c>
      <c r="I100" s="103">
        <f>2680000+80000</f>
        <v>2760000</v>
      </c>
      <c r="J100" s="103">
        <f>3000000-4185</f>
        <v>2995815</v>
      </c>
      <c r="K100" s="103">
        <f>3000000-4185</f>
        <v>2995815</v>
      </c>
      <c r="L100" s="110"/>
      <c r="M100" s="85"/>
      <c r="O100" s="88"/>
    </row>
    <row r="101" spans="1:15" s="8" customFormat="1" ht="159.75" customHeight="1" hidden="1">
      <c r="A101" s="1"/>
      <c r="B101" s="144" t="s">
        <v>319</v>
      </c>
      <c r="C101" s="138" t="s">
        <v>320</v>
      </c>
      <c r="D101" s="138" t="s">
        <v>321</v>
      </c>
      <c r="E101" s="132" t="s">
        <v>322</v>
      </c>
      <c r="F101" s="17" t="s">
        <v>78</v>
      </c>
      <c r="G101" s="75"/>
      <c r="H101" s="103">
        <f t="shared" si="1"/>
        <v>0</v>
      </c>
      <c r="I101" s="103"/>
      <c r="J101" s="103"/>
      <c r="K101" s="103"/>
      <c r="L101" s="110"/>
      <c r="M101" s="85"/>
      <c r="O101" s="88"/>
    </row>
    <row r="102" spans="1:15" s="8" customFormat="1" ht="106.5" customHeight="1" hidden="1">
      <c r="A102" s="1"/>
      <c r="B102" s="145"/>
      <c r="C102" s="139"/>
      <c r="D102" s="139"/>
      <c r="E102" s="134"/>
      <c r="F102" s="19" t="s">
        <v>368</v>
      </c>
      <c r="G102" s="77"/>
      <c r="H102" s="103">
        <f t="shared" si="1"/>
        <v>0</v>
      </c>
      <c r="I102" s="103"/>
      <c r="J102" s="103"/>
      <c r="K102" s="103"/>
      <c r="L102" s="110"/>
      <c r="M102" s="85"/>
      <c r="O102" s="88"/>
    </row>
    <row r="103" spans="1:15" s="8" customFormat="1" ht="106.5" customHeight="1">
      <c r="A103" s="1"/>
      <c r="B103" s="18" t="s">
        <v>436</v>
      </c>
      <c r="C103" s="121" t="s">
        <v>437</v>
      </c>
      <c r="D103" s="121" t="s">
        <v>311</v>
      </c>
      <c r="E103" s="17" t="s">
        <v>442</v>
      </c>
      <c r="F103" s="19" t="s">
        <v>446</v>
      </c>
      <c r="G103" s="44" t="s">
        <v>457</v>
      </c>
      <c r="H103" s="103">
        <f t="shared" si="1"/>
        <v>4580500</v>
      </c>
      <c r="I103" s="103">
        <v>4580500</v>
      </c>
      <c r="J103" s="103"/>
      <c r="K103" s="103"/>
      <c r="L103" s="110"/>
      <c r="M103" s="85"/>
      <c r="O103" s="88"/>
    </row>
    <row r="104" spans="1:15" s="8" customFormat="1" ht="106.5" customHeight="1">
      <c r="A104" s="1"/>
      <c r="B104" s="18" t="s">
        <v>438</v>
      </c>
      <c r="C104" s="121" t="s">
        <v>439</v>
      </c>
      <c r="D104" s="121" t="s">
        <v>311</v>
      </c>
      <c r="E104" s="17" t="s">
        <v>443</v>
      </c>
      <c r="F104" s="19" t="s">
        <v>446</v>
      </c>
      <c r="G104" s="44" t="s">
        <v>457</v>
      </c>
      <c r="H104" s="103">
        <f t="shared" si="1"/>
        <v>1456300</v>
      </c>
      <c r="I104" s="103">
        <f>1465420-9120</f>
        <v>1456300</v>
      </c>
      <c r="J104" s="103"/>
      <c r="K104" s="103"/>
      <c r="L104" s="110"/>
      <c r="M104" s="85"/>
      <c r="O104" s="88"/>
    </row>
    <row r="105" spans="1:15" s="8" customFormat="1" ht="106.5" customHeight="1">
      <c r="A105" s="1"/>
      <c r="B105" s="18" t="s">
        <v>440</v>
      </c>
      <c r="C105" s="121" t="s">
        <v>441</v>
      </c>
      <c r="D105" s="121" t="s">
        <v>311</v>
      </c>
      <c r="E105" s="17" t="s">
        <v>444</v>
      </c>
      <c r="F105" s="19" t="s">
        <v>446</v>
      </c>
      <c r="G105" s="44" t="s">
        <v>457</v>
      </c>
      <c r="H105" s="103">
        <f t="shared" si="1"/>
        <v>2602469</v>
      </c>
      <c r="I105" s="103">
        <v>2602469</v>
      </c>
      <c r="J105" s="103"/>
      <c r="K105" s="103"/>
      <c r="L105" s="110"/>
      <c r="M105" s="85"/>
      <c r="O105" s="88"/>
    </row>
    <row r="106" spans="1:15" s="8" customFormat="1" ht="144.75" customHeight="1" hidden="1">
      <c r="A106" s="1"/>
      <c r="B106" s="144" t="s">
        <v>313</v>
      </c>
      <c r="C106" s="138" t="s">
        <v>310</v>
      </c>
      <c r="D106" s="138" t="s">
        <v>311</v>
      </c>
      <c r="E106" s="132" t="s">
        <v>312</v>
      </c>
      <c r="F106" s="17" t="s">
        <v>78</v>
      </c>
      <c r="G106" s="75"/>
      <c r="H106" s="103">
        <f t="shared" si="1"/>
        <v>0</v>
      </c>
      <c r="I106" s="103"/>
      <c r="J106" s="103"/>
      <c r="K106" s="103"/>
      <c r="L106" s="110"/>
      <c r="M106" s="85"/>
      <c r="O106" s="88"/>
    </row>
    <row r="107" spans="1:15" s="8" customFormat="1" ht="132" customHeight="1">
      <c r="A107" s="1"/>
      <c r="B107" s="146"/>
      <c r="C107" s="140"/>
      <c r="D107" s="140"/>
      <c r="E107" s="133"/>
      <c r="F107" s="19" t="s">
        <v>447</v>
      </c>
      <c r="G107" s="44" t="s">
        <v>457</v>
      </c>
      <c r="H107" s="103">
        <f t="shared" si="1"/>
        <v>18016600</v>
      </c>
      <c r="I107" s="103">
        <f>14928600+88000</f>
        <v>15016600</v>
      </c>
      <c r="J107" s="103">
        <f>3000000-3000000+2042260+957740</f>
        <v>3000000</v>
      </c>
      <c r="K107" s="103">
        <f>3000000-3000000+2042260+957740</f>
        <v>3000000</v>
      </c>
      <c r="L107" s="110"/>
      <c r="M107" s="85"/>
      <c r="O107" s="88"/>
    </row>
    <row r="108" spans="1:15" s="84" customFormat="1" ht="141" customHeight="1">
      <c r="A108" s="80"/>
      <c r="B108" s="145"/>
      <c r="C108" s="139"/>
      <c r="D108" s="139"/>
      <c r="E108" s="134"/>
      <c r="F108" s="82" t="s">
        <v>448</v>
      </c>
      <c r="G108" s="83" t="s">
        <v>491</v>
      </c>
      <c r="H108" s="105">
        <f t="shared" si="1"/>
        <v>288000</v>
      </c>
      <c r="I108" s="105">
        <f>200000+88000</f>
        <v>288000</v>
      </c>
      <c r="J108" s="105"/>
      <c r="K108" s="105"/>
      <c r="L108" s="110"/>
      <c r="M108" s="91"/>
      <c r="O108" s="91"/>
    </row>
    <row r="109" spans="1:15" s="8" customFormat="1" ht="162" customHeight="1">
      <c r="A109" s="1"/>
      <c r="B109" s="16" t="s">
        <v>330</v>
      </c>
      <c r="C109" s="117" t="s">
        <v>328</v>
      </c>
      <c r="D109" s="117" t="s">
        <v>5</v>
      </c>
      <c r="E109" s="17" t="s">
        <v>329</v>
      </c>
      <c r="F109" s="19" t="s">
        <v>368</v>
      </c>
      <c r="G109" s="77" t="s">
        <v>489</v>
      </c>
      <c r="H109" s="103">
        <f t="shared" si="1"/>
        <v>3319135</v>
      </c>
      <c r="I109" s="103"/>
      <c r="J109" s="103">
        <f>2639223.3+679911.7</f>
        <v>3319135</v>
      </c>
      <c r="K109" s="103">
        <f>2639223.3+679911.7</f>
        <v>3319135</v>
      </c>
      <c r="L109" s="110"/>
      <c r="M109" s="85"/>
      <c r="O109" s="88"/>
    </row>
    <row r="110" spans="2:15" ht="102.75" customHeight="1">
      <c r="B110" s="16" t="s">
        <v>171</v>
      </c>
      <c r="C110" s="117" t="s">
        <v>96</v>
      </c>
      <c r="D110" s="117" t="s">
        <v>28</v>
      </c>
      <c r="E110" s="17" t="s">
        <v>57</v>
      </c>
      <c r="F110" s="17" t="s">
        <v>79</v>
      </c>
      <c r="G110" s="75" t="s">
        <v>404</v>
      </c>
      <c r="H110" s="103">
        <f t="shared" si="1"/>
        <v>12610000</v>
      </c>
      <c r="I110" s="103"/>
      <c r="J110" s="103">
        <f>8300000-40000+3900000+450000</f>
        <v>12610000</v>
      </c>
      <c r="K110" s="103">
        <f>8300000-40000+3900000+450000</f>
        <v>12610000</v>
      </c>
      <c r="L110" s="110"/>
      <c r="M110" s="85"/>
      <c r="O110" s="88"/>
    </row>
    <row r="111" spans="2:15" ht="195.75" customHeight="1">
      <c r="B111" s="16" t="s">
        <v>425</v>
      </c>
      <c r="C111" s="117" t="s">
        <v>426</v>
      </c>
      <c r="D111" s="117" t="s">
        <v>14</v>
      </c>
      <c r="E111" s="17" t="s">
        <v>427</v>
      </c>
      <c r="F111" s="17" t="s">
        <v>79</v>
      </c>
      <c r="G111" s="75" t="s">
        <v>404</v>
      </c>
      <c r="H111" s="103">
        <f t="shared" si="1"/>
        <v>9592653.58</v>
      </c>
      <c r="I111" s="103"/>
      <c r="J111" s="103">
        <f>5760000+3832653.58</f>
        <v>9592653.58</v>
      </c>
      <c r="K111" s="103"/>
      <c r="L111" s="110"/>
      <c r="M111" s="85"/>
      <c r="O111" s="88"/>
    </row>
    <row r="112" spans="1:15" s="56" customFormat="1" ht="132.75" hidden="1">
      <c r="A112" s="55"/>
      <c r="B112" s="16" t="s">
        <v>367</v>
      </c>
      <c r="C112" s="117" t="s">
        <v>89</v>
      </c>
      <c r="D112" s="117" t="s">
        <v>13</v>
      </c>
      <c r="E112" s="17" t="s">
        <v>90</v>
      </c>
      <c r="F112" s="19" t="s">
        <v>394</v>
      </c>
      <c r="G112" s="44" t="s">
        <v>429</v>
      </c>
      <c r="H112" s="103">
        <f t="shared" si="1"/>
        <v>0</v>
      </c>
      <c r="I112" s="107"/>
      <c r="J112" s="107"/>
      <c r="K112" s="103"/>
      <c r="L112" s="110"/>
      <c r="M112" s="85"/>
      <c r="O112" s="88"/>
    </row>
    <row r="113" spans="2:15" ht="141.75" customHeight="1" hidden="1">
      <c r="B113" s="16" t="s">
        <v>355</v>
      </c>
      <c r="C113" s="117" t="s">
        <v>87</v>
      </c>
      <c r="D113" s="117" t="s">
        <v>356</v>
      </c>
      <c r="E113" s="58" t="s">
        <v>88</v>
      </c>
      <c r="F113" s="19" t="s">
        <v>389</v>
      </c>
      <c r="G113" s="44" t="s">
        <v>429</v>
      </c>
      <c r="H113" s="103">
        <f t="shared" si="1"/>
        <v>0</v>
      </c>
      <c r="I113" s="103"/>
      <c r="J113" s="103"/>
      <c r="K113" s="103"/>
      <c r="L113" s="110"/>
      <c r="M113" s="85"/>
      <c r="O113" s="88"/>
    </row>
    <row r="114" spans="1:15" s="7" customFormat="1" ht="114" customHeight="1">
      <c r="A114" s="6"/>
      <c r="B114" s="26"/>
      <c r="C114" s="119"/>
      <c r="D114" s="119"/>
      <c r="E114" s="27" t="s">
        <v>172</v>
      </c>
      <c r="F114" s="27"/>
      <c r="G114" s="78"/>
      <c r="H114" s="102">
        <f>SUM(H115+H116+H117+H118+H120+H121+H122+H123+H124+H125+H126+H127+H128+H129+H130+H131+H132+H133+H134)</f>
        <v>77575525</v>
      </c>
      <c r="I114" s="102">
        <f>SUM(I115+I116+I117+I118+I120+I121+I122+I123+I124+I125+I126+I127+I128+I129+I130+I131+I132+I133+I134)</f>
        <v>77223136</v>
      </c>
      <c r="J114" s="102">
        <f>SUM(J115+J116+J117+J118+J120+J121+J122+J123+J124+J125+J126+J127+J128+J129+J130+J131+J132+J133+J134)</f>
        <v>352389</v>
      </c>
      <c r="K114" s="102">
        <f>SUM(K115+K116+K117+K118+K120+K121+K122+K123+K124+K125+K126+K127+K128+K129+K130+K131+K132+K133+K134)</f>
        <v>352389</v>
      </c>
      <c r="L114" s="110"/>
      <c r="M114" s="85"/>
      <c r="O114" s="88"/>
    </row>
    <row r="115" spans="1:15" ht="143.25" customHeight="1">
      <c r="A115" s="38"/>
      <c r="B115" s="43" t="s">
        <v>173</v>
      </c>
      <c r="C115" s="114" t="s">
        <v>80</v>
      </c>
      <c r="D115" s="114" t="s">
        <v>2</v>
      </c>
      <c r="E115" s="44" t="s">
        <v>81</v>
      </c>
      <c r="F115" s="17" t="s">
        <v>385</v>
      </c>
      <c r="G115" s="75" t="s">
        <v>480</v>
      </c>
      <c r="H115" s="103">
        <f aca="true" t="shared" si="2" ref="H115:H134">I115+J115</f>
        <v>50000</v>
      </c>
      <c r="I115" s="103">
        <v>50000</v>
      </c>
      <c r="J115" s="103"/>
      <c r="K115" s="103"/>
      <c r="L115" s="110"/>
      <c r="M115" s="85"/>
      <c r="O115" s="88"/>
    </row>
    <row r="116" spans="1:15" s="68" customFormat="1" ht="115.5" customHeight="1">
      <c r="A116" s="67"/>
      <c r="B116" s="43" t="s">
        <v>174</v>
      </c>
      <c r="C116" s="114" t="s">
        <v>43</v>
      </c>
      <c r="D116" s="123">
        <v>1030</v>
      </c>
      <c r="E116" s="44" t="s">
        <v>114</v>
      </c>
      <c r="F116" s="17" t="s">
        <v>388</v>
      </c>
      <c r="G116" s="75" t="s">
        <v>482</v>
      </c>
      <c r="H116" s="103">
        <f t="shared" si="2"/>
        <v>742736</v>
      </c>
      <c r="I116" s="104">
        <v>510136</v>
      </c>
      <c r="J116" s="104">
        <v>232600</v>
      </c>
      <c r="K116" s="104">
        <v>232600</v>
      </c>
      <c r="L116" s="110"/>
      <c r="M116" s="85"/>
      <c r="O116" s="88"/>
    </row>
    <row r="117" spans="1:15" s="8" customFormat="1" ht="102.75" customHeight="1">
      <c r="A117" s="40"/>
      <c r="B117" s="16" t="s">
        <v>175</v>
      </c>
      <c r="C117" s="117" t="s">
        <v>115</v>
      </c>
      <c r="D117" s="117">
        <v>1070</v>
      </c>
      <c r="E117" s="17" t="s">
        <v>53</v>
      </c>
      <c r="F117" s="17" t="s">
        <v>388</v>
      </c>
      <c r="G117" s="75" t="s">
        <v>482</v>
      </c>
      <c r="H117" s="103">
        <f t="shared" si="2"/>
        <v>1436397</v>
      </c>
      <c r="I117" s="104">
        <v>1436397</v>
      </c>
      <c r="J117" s="104"/>
      <c r="K117" s="104"/>
      <c r="L117" s="110"/>
      <c r="M117" s="85"/>
      <c r="O117" s="88"/>
    </row>
    <row r="118" spans="1:15" s="8" customFormat="1" ht="147.75" customHeight="1">
      <c r="A118" s="40"/>
      <c r="B118" s="16" t="s">
        <v>176</v>
      </c>
      <c r="C118" s="117" t="s">
        <v>44</v>
      </c>
      <c r="D118" s="117" t="s">
        <v>22</v>
      </c>
      <c r="E118" s="17" t="s">
        <v>39</v>
      </c>
      <c r="F118" s="17" t="s">
        <v>388</v>
      </c>
      <c r="G118" s="75" t="s">
        <v>482</v>
      </c>
      <c r="H118" s="103">
        <f t="shared" si="2"/>
        <v>11000000</v>
      </c>
      <c r="I118" s="103">
        <f>10000000+1000000</f>
        <v>11000000</v>
      </c>
      <c r="J118" s="103"/>
      <c r="K118" s="103"/>
      <c r="L118" s="110"/>
      <c r="M118" s="85"/>
      <c r="O118" s="88"/>
    </row>
    <row r="119" spans="1:15" s="8" customFormat="1" ht="150.75" customHeight="1" hidden="1">
      <c r="A119" s="40"/>
      <c r="B119" s="16" t="s">
        <v>177</v>
      </c>
      <c r="C119" s="117" t="s">
        <v>63</v>
      </c>
      <c r="D119" s="117" t="s">
        <v>22</v>
      </c>
      <c r="E119" s="17" t="s">
        <v>76</v>
      </c>
      <c r="F119" s="17" t="s">
        <v>388</v>
      </c>
      <c r="G119" s="75" t="s">
        <v>431</v>
      </c>
      <c r="H119" s="103">
        <f t="shared" si="2"/>
        <v>0</v>
      </c>
      <c r="I119" s="103"/>
      <c r="J119" s="103"/>
      <c r="K119" s="103"/>
      <c r="L119" s="110"/>
      <c r="M119" s="85"/>
      <c r="O119" s="88"/>
    </row>
    <row r="120" spans="1:15" s="8" customFormat="1" ht="132.75">
      <c r="A120" s="40"/>
      <c r="B120" s="16" t="s">
        <v>178</v>
      </c>
      <c r="C120" s="117" t="s">
        <v>82</v>
      </c>
      <c r="D120" s="117" t="s">
        <v>22</v>
      </c>
      <c r="E120" s="17" t="s">
        <v>25</v>
      </c>
      <c r="F120" s="17" t="s">
        <v>388</v>
      </c>
      <c r="G120" s="75" t="s">
        <v>482</v>
      </c>
      <c r="H120" s="103">
        <f t="shared" si="2"/>
        <v>21755150</v>
      </c>
      <c r="I120" s="103">
        <f>20255150+1500000</f>
        <v>21755150</v>
      </c>
      <c r="J120" s="103"/>
      <c r="K120" s="103"/>
      <c r="L120" s="110"/>
      <c r="M120" s="85"/>
      <c r="O120" s="88"/>
    </row>
    <row r="121" spans="1:15" s="8" customFormat="1" ht="210.75" customHeight="1">
      <c r="A121" s="40"/>
      <c r="B121" s="16" t="s">
        <v>179</v>
      </c>
      <c r="C121" s="117" t="s">
        <v>45</v>
      </c>
      <c r="D121" s="117" t="s">
        <v>38</v>
      </c>
      <c r="E121" s="17" t="s">
        <v>55</v>
      </c>
      <c r="F121" s="17" t="s">
        <v>388</v>
      </c>
      <c r="G121" s="75" t="s">
        <v>482</v>
      </c>
      <c r="H121" s="103">
        <f t="shared" si="2"/>
        <v>254600</v>
      </c>
      <c r="I121" s="103">
        <f>254600</f>
        <v>254600</v>
      </c>
      <c r="J121" s="103"/>
      <c r="K121" s="103"/>
      <c r="L121" s="110"/>
      <c r="M121" s="85"/>
      <c r="O121" s="88"/>
    </row>
    <row r="122" spans="1:15" s="8" customFormat="1" ht="285" customHeight="1">
      <c r="A122" s="40"/>
      <c r="B122" s="43" t="s">
        <v>383</v>
      </c>
      <c r="C122" s="114" t="s">
        <v>399</v>
      </c>
      <c r="D122" s="114" t="s">
        <v>40</v>
      </c>
      <c r="E122" s="44" t="s">
        <v>398</v>
      </c>
      <c r="F122" s="17" t="s">
        <v>388</v>
      </c>
      <c r="G122" s="75" t="s">
        <v>482</v>
      </c>
      <c r="H122" s="103">
        <f t="shared" si="2"/>
        <v>1812956</v>
      </c>
      <c r="I122" s="103">
        <v>1812956</v>
      </c>
      <c r="J122" s="103"/>
      <c r="K122" s="103"/>
      <c r="L122" s="110"/>
      <c r="M122" s="85"/>
      <c r="O122" s="88"/>
    </row>
    <row r="123" spans="1:15" ht="130.5" customHeight="1">
      <c r="A123" s="38"/>
      <c r="B123" s="142" t="s">
        <v>180</v>
      </c>
      <c r="C123" s="126" t="s">
        <v>116</v>
      </c>
      <c r="D123" s="126" t="s">
        <v>4</v>
      </c>
      <c r="E123" s="128" t="s">
        <v>303</v>
      </c>
      <c r="F123" s="17" t="s">
        <v>388</v>
      </c>
      <c r="G123" s="75" t="s">
        <v>482</v>
      </c>
      <c r="H123" s="103">
        <f t="shared" si="2"/>
        <v>1716099</v>
      </c>
      <c r="I123" s="103">
        <v>1716099</v>
      </c>
      <c r="J123" s="103"/>
      <c r="K123" s="103"/>
      <c r="L123" s="110"/>
      <c r="M123" s="85"/>
      <c r="O123" s="88"/>
    </row>
    <row r="124" spans="1:15" ht="142.5" customHeight="1">
      <c r="A124" s="38"/>
      <c r="B124" s="143"/>
      <c r="C124" s="137"/>
      <c r="D124" s="137"/>
      <c r="E124" s="130"/>
      <c r="F124" s="17" t="s">
        <v>78</v>
      </c>
      <c r="G124" s="75" t="s">
        <v>406</v>
      </c>
      <c r="H124" s="103">
        <f t="shared" si="2"/>
        <v>150000</v>
      </c>
      <c r="I124" s="103">
        <v>150000</v>
      </c>
      <c r="J124" s="103"/>
      <c r="K124" s="103"/>
      <c r="L124" s="110"/>
      <c r="M124" s="85"/>
      <c r="O124" s="88"/>
    </row>
    <row r="125" spans="1:15" s="8" customFormat="1" ht="109.5" customHeight="1">
      <c r="A125" s="40"/>
      <c r="B125" s="142" t="s">
        <v>283</v>
      </c>
      <c r="C125" s="126" t="s">
        <v>309</v>
      </c>
      <c r="D125" s="126" t="s">
        <v>24</v>
      </c>
      <c r="E125" s="128" t="s">
        <v>23</v>
      </c>
      <c r="F125" s="17" t="s">
        <v>388</v>
      </c>
      <c r="G125" s="75" t="s">
        <v>482</v>
      </c>
      <c r="H125" s="103">
        <f t="shared" si="2"/>
        <v>1145921</v>
      </c>
      <c r="I125" s="103">
        <f>1123242+101632-78953</f>
        <v>1145921</v>
      </c>
      <c r="J125" s="103"/>
      <c r="K125" s="103"/>
      <c r="L125" s="110"/>
      <c r="M125" s="85"/>
      <c r="O125" s="88"/>
    </row>
    <row r="126" spans="1:15" s="8" customFormat="1" ht="151.5" customHeight="1">
      <c r="A126" s="40"/>
      <c r="B126" s="143"/>
      <c r="C126" s="137"/>
      <c r="D126" s="137"/>
      <c r="E126" s="130"/>
      <c r="F126" s="17" t="s">
        <v>78</v>
      </c>
      <c r="G126" s="75" t="s">
        <v>406</v>
      </c>
      <c r="H126" s="103">
        <f t="shared" si="2"/>
        <v>1239698</v>
      </c>
      <c r="I126" s="103">
        <v>1239698</v>
      </c>
      <c r="J126" s="103"/>
      <c r="K126" s="103"/>
      <c r="L126" s="110"/>
      <c r="M126" s="85"/>
      <c r="O126" s="88"/>
    </row>
    <row r="127" spans="1:15" s="8" customFormat="1" ht="151.5" customHeight="1">
      <c r="A127" s="40"/>
      <c r="B127" s="16" t="s">
        <v>284</v>
      </c>
      <c r="C127" s="117" t="s">
        <v>286</v>
      </c>
      <c r="D127" s="117" t="s">
        <v>24</v>
      </c>
      <c r="E127" s="17" t="s">
        <v>285</v>
      </c>
      <c r="F127" s="17" t="s">
        <v>388</v>
      </c>
      <c r="G127" s="75" t="s">
        <v>482</v>
      </c>
      <c r="H127" s="103">
        <f t="shared" si="2"/>
        <v>1385920</v>
      </c>
      <c r="I127" s="103">
        <v>1385920</v>
      </c>
      <c r="J127" s="103"/>
      <c r="K127" s="103"/>
      <c r="L127" s="110"/>
      <c r="M127" s="85"/>
      <c r="O127" s="88"/>
    </row>
    <row r="128" spans="1:15" s="23" customFormat="1" ht="148.5" customHeight="1">
      <c r="A128" s="39"/>
      <c r="B128" s="16" t="s">
        <v>181</v>
      </c>
      <c r="C128" s="117" t="s">
        <v>64</v>
      </c>
      <c r="D128" s="117" t="s">
        <v>7</v>
      </c>
      <c r="E128" s="17" t="s">
        <v>117</v>
      </c>
      <c r="F128" s="17" t="s">
        <v>388</v>
      </c>
      <c r="G128" s="75" t="s">
        <v>482</v>
      </c>
      <c r="H128" s="103">
        <f t="shared" si="2"/>
        <v>81525</v>
      </c>
      <c r="I128" s="103">
        <v>81525</v>
      </c>
      <c r="J128" s="103"/>
      <c r="K128" s="103"/>
      <c r="L128" s="110"/>
      <c r="M128" s="85"/>
      <c r="O128" s="88"/>
    </row>
    <row r="129" spans="1:15" s="23" customFormat="1" ht="115.5" customHeight="1">
      <c r="A129" s="39"/>
      <c r="B129" s="16" t="s">
        <v>287</v>
      </c>
      <c r="C129" s="117" t="s">
        <v>288</v>
      </c>
      <c r="D129" s="117" t="s">
        <v>34</v>
      </c>
      <c r="E129" s="17" t="s">
        <v>54</v>
      </c>
      <c r="F129" s="17" t="s">
        <v>384</v>
      </c>
      <c r="G129" s="44" t="s">
        <v>460</v>
      </c>
      <c r="H129" s="103">
        <f t="shared" si="2"/>
        <v>300000</v>
      </c>
      <c r="I129" s="103">
        <v>300000</v>
      </c>
      <c r="J129" s="103"/>
      <c r="K129" s="103"/>
      <c r="L129" s="110"/>
      <c r="M129" s="85"/>
      <c r="O129" s="88"/>
    </row>
    <row r="130" spans="1:15" s="70" customFormat="1" ht="129.75" customHeight="1">
      <c r="A130" s="69"/>
      <c r="B130" s="142" t="s">
        <v>289</v>
      </c>
      <c r="C130" s="138" t="s">
        <v>274</v>
      </c>
      <c r="D130" s="138" t="s">
        <v>7</v>
      </c>
      <c r="E130" s="128" t="s">
        <v>275</v>
      </c>
      <c r="F130" s="17" t="s">
        <v>388</v>
      </c>
      <c r="G130" s="75" t="s">
        <v>482</v>
      </c>
      <c r="H130" s="103">
        <f t="shared" si="2"/>
        <v>9653788</v>
      </c>
      <c r="I130" s="103">
        <f>5816125+123900+102440+78953+1884870+507500+500000+400000+240000</f>
        <v>9653788</v>
      </c>
      <c r="J130" s="103"/>
      <c r="K130" s="103"/>
      <c r="L130" s="110"/>
      <c r="M130" s="85"/>
      <c r="O130" s="88"/>
    </row>
    <row r="131" spans="1:15" s="70" customFormat="1" ht="144.75" customHeight="1">
      <c r="A131" s="69"/>
      <c r="B131" s="143"/>
      <c r="C131" s="139"/>
      <c r="D131" s="139"/>
      <c r="E131" s="130"/>
      <c r="F131" s="17" t="s">
        <v>78</v>
      </c>
      <c r="G131" s="75" t="s">
        <v>406</v>
      </c>
      <c r="H131" s="103">
        <f t="shared" si="2"/>
        <v>24066946</v>
      </c>
      <c r="I131" s="103">
        <v>24066946</v>
      </c>
      <c r="J131" s="103"/>
      <c r="K131" s="103"/>
      <c r="L131" s="110"/>
      <c r="M131" s="85"/>
      <c r="O131" s="88"/>
    </row>
    <row r="132" spans="1:15" s="23" customFormat="1" ht="177">
      <c r="A132" s="39"/>
      <c r="B132" s="16" t="s">
        <v>479</v>
      </c>
      <c r="C132" s="117" t="s">
        <v>328</v>
      </c>
      <c r="D132" s="117" t="s">
        <v>5</v>
      </c>
      <c r="E132" s="17" t="s">
        <v>329</v>
      </c>
      <c r="F132" s="19" t="s">
        <v>389</v>
      </c>
      <c r="G132" s="75" t="s">
        <v>483</v>
      </c>
      <c r="H132" s="103">
        <f t="shared" si="2"/>
        <v>119789</v>
      </c>
      <c r="I132" s="103"/>
      <c r="J132" s="103">
        <f>116300+3489</f>
        <v>119789</v>
      </c>
      <c r="K132" s="103">
        <f>116300+3489</f>
        <v>119789</v>
      </c>
      <c r="L132" s="110"/>
      <c r="M132" s="85"/>
      <c r="O132" s="88"/>
    </row>
    <row r="133" spans="1:15" s="8" customFormat="1" ht="90.75" customHeight="1">
      <c r="A133" s="40"/>
      <c r="B133" s="142" t="s">
        <v>182</v>
      </c>
      <c r="C133" s="126" t="s">
        <v>87</v>
      </c>
      <c r="D133" s="126" t="s">
        <v>29</v>
      </c>
      <c r="E133" s="128" t="s">
        <v>88</v>
      </c>
      <c r="F133" s="17" t="s">
        <v>388</v>
      </c>
      <c r="G133" s="75" t="s">
        <v>482</v>
      </c>
      <c r="H133" s="103">
        <f t="shared" si="2"/>
        <v>70000</v>
      </c>
      <c r="I133" s="103">
        <v>70000</v>
      </c>
      <c r="J133" s="103"/>
      <c r="K133" s="103"/>
      <c r="L133" s="110"/>
      <c r="M133" s="85"/>
      <c r="O133" s="88"/>
    </row>
    <row r="134" spans="1:15" s="8" customFormat="1" ht="138.75" customHeight="1">
      <c r="A134" s="40"/>
      <c r="B134" s="143"/>
      <c r="C134" s="137"/>
      <c r="D134" s="137"/>
      <c r="E134" s="130"/>
      <c r="F134" s="17" t="s">
        <v>78</v>
      </c>
      <c r="G134" s="75" t="s">
        <v>406</v>
      </c>
      <c r="H134" s="103">
        <f t="shared" si="2"/>
        <v>594000</v>
      </c>
      <c r="I134" s="103">
        <v>594000</v>
      </c>
      <c r="J134" s="103"/>
      <c r="K134" s="103"/>
      <c r="L134" s="110"/>
      <c r="M134" s="85"/>
      <c r="O134" s="88"/>
    </row>
    <row r="135" spans="1:15" s="7" customFormat="1" ht="93" customHeight="1">
      <c r="A135" s="41"/>
      <c r="B135" s="26"/>
      <c r="C135" s="119"/>
      <c r="D135" s="119"/>
      <c r="E135" s="27" t="s">
        <v>183</v>
      </c>
      <c r="F135" s="27"/>
      <c r="G135" s="78"/>
      <c r="H135" s="102">
        <f>SUM(H136+H137)</f>
        <v>228740</v>
      </c>
      <c r="I135" s="102">
        <f>SUM(I136+I137)</f>
        <v>188440</v>
      </c>
      <c r="J135" s="102">
        <f>SUM(J136+J137)</f>
        <v>40300</v>
      </c>
      <c r="K135" s="102">
        <f>SUM(K136+K137)</f>
        <v>40300</v>
      </c>
      <c r="L135" s="110"/>
      <c r="M135" s="85"/>
      <c r="O135" s="88"/>
    </row>
    <row r="136" spans="1:15" s="7" customFormat="1" ht="265.5">
      <c r="A136" s="41"/>
      <c r="B136" s="16" t="s">
        <v>473</v>
      </c>
      <c r="C136" s="117" t="s">
        <v>474</v>
      </c>
      <c r="D136" s="117" t="s">
        <v>8</v>
      </c>
      <c r="E136" s="17" t="s">
        <v>475</v>
      </c>
      <c r="F136" s="17" t="s">
        <v>75</v>
      </c>
      <c r="G136" s="44" t="s">
        <v>459</v>
      </c>
      <c r="H136" s="103">
        <f>I136+J136</f>
        <v>128740</v>
      </c>
      <c r="I136" s="103">
        <v>88440</v>
      </c>
      <c r="J136" s="103">
        <v>40300</v>
      </c>
      <c r="K136" s="103">
        <v>40300</v>
      </c>
      <c r="L136" s="110"/>
      <c r="M136" s="85"/>
      <c r="O136" s="88"/>
    </row>
    <row r="137" spans="1:15" s="8" customFormat="1" ht="120" customHeight="1">
      <c r="A137" s="40"/>
      <c r="B137" s="16" t="s">
        <v>184</v>
      </c>
      <c r="C137" s="117" t="s">
        <v>58</v>
      </c>
      <c r="D137" s="117" t="s">
        <v>8</v>
      </c>
      <c r="E137" s="17" t="s">
        <v>56</v>
      </c>
      <c r="F137" s="17" t="s">
        <v>75</v>
      </c>
      <c r="G137" s="44" t="s">
        <v>459</v>
      </c>
      <c r="H137" s="103">
        <f>I137+J137</f>
        <v>100000</v>
      </c>
      <c r="I137" s="103">
        <v>100000</v>
      </c>
      <c r="J137" s="103"/>
      <c r="K137" s="103"/>
      <c r="L137" s="110"/>
      <c r="M137" s="85"/>
      <c r="O137" s="88"/>
    </row>
    <row r="138" spans="1:15" s="7" customFormat="1" ht="114.75" customHeight="1">
      <c r="A138" s="41"/>
      <c r="B138" s="26"/>
      <c r="C138" s="119"/>
      <c r="D138" s="119"/>
      <c r="E138" s="27" t="s">
        <v>185</v>
      </c>
      <c r="F138" s="27"/>
      <c r="G138" s="78"/>
      <c r="H138" s="102">
        <f>SUM(H139+H140+H141+H142+H143+H145)</f>
        <v>4672770</v>
      </c>
      <c r="I138" s="102">
        <f>SUM(I139+I140+I141+I142+I143+I145)</f>
        <v>3251770</v>
      </c>
      <c r="J138" s="102">
        <f>SUM(J139+J140+J141+J142+J143+J145)</f>
        <v>1421000</v>
      </c>
      <c r="K138" s="102">
        <f>SUM(K139+K140+K141+K142+K143+K145)</f>
        <v>1421000</v>
      </c>
      <c r="L138" s="110"/>
      <c r="M138" s="85"/>
      <c r="O138" s="88"/>
    </row>
    <row r="139" spans="1:15" ht="168.75" customHeight="1">
      <c r="A139" s="38"/>
      <c r="B139" s="43" t="s">
        <v>186</v>
      </c>
      <c r="C139" s="114" t="s">
        <v>80</v>
      </c>
      <c r="D139" s="114" t="s">
        <v>2</v>
      </c>
      <c r="E139" s="44" t="s">
        <v>81</v>
      </c>
      <c r="F139" s="17" t="s">
        <v>385</v>
      </c>
      <c r="G139" s="75" t="s">
        <v>480</v>
      </c>
      <c r="H139" s="103">
        <f aca="true" t="shared" si="3" ref="H139:H145">I139+J139</f>
        <v>30000</v>
      </c>
      <c r="I139" s="103">
        <v>30000</v>
      </c>
      <c r="J139" s="103"/>
      <c r="K139" s="103"/>
      <c r="L139" s="110"/>
      <c r="M139" s="85"/>
      <c r="O139" s="88"/>
    </row>
    <row r="140" spans="1:15" ht="180.75" customHeight="1">
      <c r="A140" s="38"/>
      <c r="B140" s="16" t="s">
        <v>187</v>
      </c>
      <c r="C140" s="117" t="s">
        <v>102</v>
      </c>
      <c r="D140" s="117" t="s">
        <v>36</v>
      </c>
      <c r="E140" s="17" t="s">
        <v>103</v>
      </c>
      <c r="F140" s="17" t="s">
        <v>391</v>
      </c>
      <c r="G140" s="44" t="s">
        <v>456</v>
      </c>
      <c r="H140" s="103">
        <f t="shared" si="3"/>
        <v>512231</v>
      </c>
      <c r="I140" s="103">
        <v>402231</v>
      </c>
      <c r="J140" s="103">
        <f>100000+10000</f>
        <v>110000</v>
      </c>
      <c r="K140" s="103">
        <f>100000+10000</f>
        <v>110000</v>
      </c>
      <c r="L140" s="110"/>
      <c r="M140" s="85"/>
      <c r="O140" s="88"/>
    </row>
    <row r="141" spans="1:15" ht="150.75" customHeight="1">
      <c r="A141" s="38"/>
      <c r="B141" s="16" t="s">
        <v>188</v>
      </c>
      <c r="C141" s="117" t="s">
        <v>59</v>
      </c>
      <c r="D141" s="117" t="s">
        <v>35</v>
      </c>
      <c r="E141" s="17" t="s">
        <v>101</v>
      </c>
      <c r="F141" s="17" t="s">
        <v>391</v>
      </c>
      <c r="G141" s="44" t="s">
        <v>456</v>
      </c>
      <c r="H141" s="103">
        <f t="shared" si="3"/>
        <v>729139</v>
      </c>
      <c r="I141" s="103">
        <f>387139+25000+12000</f>
        <v>424139</v>
      </c>
      <c r="J141" s="103">
        <f>300000+5000</f>
        <v>305000</v>
      </c>
      <c r="K141" s="103">
        <f>300000+5000</f>
        <v>305000</v>
      </c>
      <c r="L141" s="110"/>
      <c r="M141" s="85"/>
      <c r="O141" s="88"/>
    </row>
    <row r="142" spans="1:15" s="8" customFormat="1" ht="153" customHeight="1">
      <c r="A142" s="40"/>
      <c r="B142" s="16" t="s">
        <v>351</v>
      </c>
      <c r="C142" s="117" t="s">
        <v>304</v>
      </c>
      <c r="D142" s="117" t="s">
        <v>10</v>
      </c>
      <c r="E142" s="17" t="s">
        <v>305</v>
      </c>
      <c r="F142" s="17" t="s">
        <v>391</v>
      </c>
      <c r="G142" s="44" t="s">
        <v>456</v>
      </c>
      <c r="H142" s="103">
        <f t="shared" si="3"/>
        <v>10000</v>
      </c>
      <c r="I142" s="103">
        <v>10000</v>
      </c>
      <c r="J142" s="103"/>
      <c r="K142" s="103"/>
      <c r="L142" s="110"/>
      <c r="M142" s="85"/>
      <c r="O142" s="88"/>
    </row>
    <row r="143" spans="1:15" s="8" customFormat="1" ht="162.75" customHeight="1">
      <c r="A143" s="40"/>
      <c r="B143" s="16" t="s">
        <v>279</v>
      </c>
      <c r="C143" s="117" t="s">
        <v>276</v>
      </c>
      <c r="D143" s="117" t="s">
        <v>10</v>
      </c>
      <c r="E143" s="44" t="s">
        <v>277</v>
      </c>
      <c r="F143" s="17" t="s">
        <v>391</v>
      </c>
      <c r="G143" s="44" t="s">
        <v>456</v>
      </c>
      <c r="H143" s="103">
        <f t="shared" si="3"/>
        <v>2385400</v>
      </c>
      <c r="I143" s="103">
        <f>2039400+250000+86000+5000+5000</f>
        <v>2385400</v>
      </c>
      <c r="J143" s="103"/>
      <c r="K143" s="103"/>
      <c r="L143" s="110"/>
      <c r="M143" s="85"/>
      <c r="O143" s="88"/>
    </row>
    <row r="144" spans="1:15" s="8" customFormat="1" ht="177" hidden="1">
      <c r="A144" s="40"/>
      <c r="B144" s="54" t="s">
        <v>357</v>
      </c>
      <c r="C144" s="115" t="s">
        <v>328</v>
      </c>
      <c r="D144" s="115" t="s">
        <v>5</v>
      </c>
      <c r="E144" s="17" t="s">
        <v>329</v>
      </c>
      <c r="F144" s="17" t="s">
        <v>391</v>
      </c>
      <c r="G144" s="44" t="s">
        <v>429</v>
      </c>
      <c r="H144" s="103">
        <f t="shared" si="3"/>
        <v>0</v>
      </c>
      <c r="I144" s="103"/>
      <c r="J144" s="103"/>
      <c r="K144" s="103"/>
      <c r="L144" s="110"/>
      <c r="M144" s="85"/>
      <c r="O144" s="88"/>
    </row>
    <row r="145" spans="1:15" ht="159.75" customHeight="1">
      <c r="A145" s="38"/>
      <c r="B145" s="16" t="s">
        <v>189</v>
      </c>
      <c r="C145" s="117" t="s">
        <v>96</v>
      </c>
      <c r="D145" s="117" t="s">
        <v>28</v>
      </c>
      <c r="E145" s="17" t="s">
        <v>57</v>
      </c>
      <c r="F145" s="17" t="s">
        <v>79</v>
      </c>
      <c r="G145" s="75" t="s">
        <v>404</v>
      </c>
      <c r="H145" s="103">
        <f t="shared" si="3"/>
        <v>1006000</v>
      </c>
      <c r="I145" s="103"/>
      <c r="J145" s="103">
        <v>1006000</v>
      </c>
      <c r="K145" s="103">
        <v>1006000</v>
      </c>
      <c r="L145" s="110"/>
      <c r="M145" s="85"/>
      <c r="O145" s="88"/>
    </row>
    <row r="146" spans="1:15" s="7" customFormat="1" ht="117" customHeight="1">
      <c r="A146" s="41"/>
      <c r="B146" s="26"/>
      <c r="C146" s="119"/>
      <c r="D146" s="119"/>
      <c r="E146" s="27" t="s">
        <v>190</v>
      </c>
      <c r="F146" s="27"/>
      <c r="G146" s="78"/>
      <c r="H146" s="102">
        <f>SUM(H147+H148+H150+H151+H152+H153+H154+H155+H156+H158+H159+H160+H161+H162+H163+H164+H166+H167+H168+H169+H170+H172+H173+H174)</f>
        <v>375609119.29</v>
      </c>
      <c r="I146" s="102">
        <f>SUM(I147+I148+I150+I151+I152+I153+I154+I155+I156+I158+I159+I160+I161+I162+I163+I164+I166+I167+I168+I169+I170+I172+I173+I174)</f>
        <v>202842917</v>
      </c>
      <c r="J146" s="102">
        <f>SUM(J147+J148+J150+J151+J152+J153+J154+J155+J156+J158+J159+J160+J161+J162+J163+J164+J166+J167+J168+J169+J170+J172+J173+J174)</f>
        <v>172766202.29</v>
      </c>
      <c r="K146" s="102">
        <f>SUM(K147+K148+K150+K151+K152+K153+K154+K155+K156+K158+K159+K160+K161+K162+K163+K164+K166+K167+K168+K169+K170+K172+K173+K174)</f>
        <v>167572466.88</v>
      </c>
      <c r="L146" s="110"/>
      <c r="M146" s="85"/>
      <c r="O146" s="88"/>
    </row>
    <row r="147" spans="1:15" ht="138.75" customHeight="1">
      <c r="A147" s="38"/>
      <c r="B147" s="43" t="s">
        <v>191</v>
      </c>
      <c r="C147" s="114" t="s">
        <v>80</v>
      </c>
      <c r="D147" s="114" t="s">
        <v>2</v>
      </c>
      <c r="E147" s="44" t="s">
        <v>81</v>
      </c>
      <c r="F147" s="17" t="s">
        <v>385</v>
      </c>
      <c r="G147" s="75" t="s">
        <v>480</v>
      </c>
      <c r="H147" s="103">
        <f aca="true" t="shared" si="4" ref="H147:H174">I147+J147</f>
        <v>40000</v>
      </c>
      <c r="I147" s="103">
        <v>40000</v>
      </c>
      <c r="J147" s="103"/>
      <c r="K147" s="103"/>
      <c r="L147" s="110"/>
      <c r="M147" s="85"/>
      <c r="O147" s="88"/>
    </row>
    <row r="148" spans="1:15" ht="144" customHeight="1">
      <c r="A148" s="38"/>
      <c r="B148" s="142" t="s">
        <v>290</v>
      </c>
      <c r="C148" s="126" t="s">
        <v>288</v>
      </c>
      <c r="D148" s="126" t="s">
        <v>34</v>
      </c>
      <c r="E148" s="128" t="s">
        <v>54</v>
      </c>
      <c r="F148" s="17" t="s">
        <v>235</v>
      </c>
      <c r="G148" s="17" t="s">
        <v>403</v>
      </c>
      <c r="H148" s="103">
        <f t="shared" si="4"/>
        <v>380000</v>
      </c>
      <c r="I148" s="103">
        <v>380000</v>
      </c>
      <c r="J148" s="103"/>
      <c r="K148" s="103"/>
      <c r="L148" s="110"/>
      <c r="M148" s="85"/>
      <c r="O148" s="88"/>
    </row>
    <row r="149" spans="1:15" ht="111" customHeight="1" hidden="1">
      <c r="A149" s="38"/>
      <c r="B149" s="143"/>
      <c r="C149" s="137"/>
      <c r="D149" s="137"/>
      <c r="E149" s="130"/>
      <c r="F149" s="17" t="s">
        <v>384</v>
      </c>
      <c r="G149" s="44" t="s">
        <v>429</v>
      </c>
      <c r="H149" s="103">
        <f t="shared" si="4"/>
        <v>0</v>
      </c>
      <c r="I149" s="103"/>
      <c r="J149" s="103"/>
      <c r="K149" s="103"/>
      <c r="L149" s="110"/>
      <c r="M149" s="85"/>
      <c r="O149" s="88"/>
    </row>
    <row r="150" spans="1:15" s="8" customFormat="1" ht="159" customHeight="1">
      <c r="A150" s="40"/>
      <c r="B150" s="43" t="s">
        <v>192</v>
      </c>
      <c r="C150" s="114" t="s">
        <v>127</v>
      </c>
      <c r="D150" s="114" t="s">
        <v>26</v>
      </c>
      <c r="E150" s="44" t="s">
        <v>128</v>
      </c>
      <c r="F150" s="17" t="s">
        <v>235</v>
      </c>
      <c r="G150" s="17" t="s">
        <v>403</v>
      </c>
      <c r="H150" s="103">
        <f t="shared" si="4"/>
        <v>26849450</v>
      </c>
      <c r="I150" s="103"/>
      <c r="J150" s="103">
        <f>26800000+72700-23250</f>
        <v>26849450</v>
      </c>
      <c r="K150" s="103">
        <f>26800000+72700-23250</f>
        <v>26849450</v>
      </c>
      <c r="L150" s="110"/>
      <c r="M150" s="85"/>
      <c r="O150" s="88"/>
    </row>
    <row r="151" spans="1:15" s="8" customFormat="1" ht="159" customHeight="1">
      <c r="A151" s="40"/>
      <c r="B151" s="18" t="s">
        <v>193</v>
      </c>
      <c r="C151" s="121" t="s">
        <v>131</v>
      </c>
      <c r="D151" s="117" t="s">
        <v>9</v>
      </c>
      <c r="E151" s="17" t="s">
        <v>132</v>
      </c>
      <c r="F151" s="17" t="s">
        <v>235</v>
      </c>
      <c r="G151" s="17" t="s">
        <v>403</v>
      </c>
      <c r="H151" s="103">
        <f t="shared" si="4"/>
        <v>14082357</v>
      </c>
      <c r="I151" s="103">
        <v>14082357</v>
      </c>
      <c r="J151" s="103"/>
      <c r="K151" s="103"/>
      <c r="L151" s="110"/>
      <c r="M151" s="85"/>
      <c r="O151" s="88"/>
    </row>
    <row r="152" spans="1:15" s="8" customFormat="1" ht="159" customHeight="1">
      <c r="A152" s="40"/>
      <c r="B152" s="18" t="s">
        <v>236</v>
      </c>
      <c r="C152" s="121" t="s">
        <v>237</v>
      </c>
      <c r="D152" s="117" t="s">
        <v>9</v>
      </c>
      <c r="E152" s="17" t="s">
        <v>238</v>
      </c>
      <c r="F152" s="19" t="s">
        <v>77</v>
      </c>
      <c r="G152" s="77" t="s">
        <v>405</v>
      </c>
      <c r="H152" s="103">
        <f t="shared" si="4"/>
        <v>20400300</v>
      </c>
      <c r="I152" s="103">
        <f>520000+15300</f>
        <v>535300</v>
      </c>
      <c r="J152" s="103">
        <v>19865000</v>
      </c>
      <c r="K152" s="103">
        <v>19865000</v>
      </c>
      <c r="L152" s="110"/>
      <c r="M152" s="85"/>
      <c r="O152" s="88"/>
    </row>
    <row r="153" spans="1:15" s="8" customFormat="1" ht="159" customHeight="1">
      <c r="A153" s="40"/>
      <c r="B153" s="42" t="s">
        <v>331</v>
      </c>
      <c r="C153" s="120" t="s">
        <v>332</v>
      </c>
      <c r="D153" s="117" t="s">
        <v>9</v>
      </c>
      <c r="E153" s="17" t="s">
        <v>333</v>
      </c>
      <c r="F153" s="17" t="s">
        <v>235</v>
      </c>
      <c r="G153" s="17" t="s">
        <v>403</v>
      </c>
      <c r="H153" s="103">
        <f t="shared" si="4"/>
        <v>1136130</v>
      </c>
      <c r="I153" s="103"/>
      <c r="J153" s="103">
        <f>1108600+27530</f>
        <v>1136130</v>
      </c>
      <c r="K153" s="103">
        <f>1108600+27530</f>
        <v>1136130</v>
      </c>
      <c r="L153" s="110"/>
      <c r="M153" s="85"/>
      <c r="O153" s="88"/>
    </row>
    <row r="154" spans="1:15" s="8" customFormat="1" ht="153" customHeight="1">
      <c r="A154" s="40"/>
      <c r="B154" s="43" t="s">
        <v>194</v>
      </c>
      <c r="C154" s="114" t="s">
        <v>129</v>
      </c>
      <c r="D154" s="114" t="s">
        <v>9</v>
      </c>
      <c r="E154" s="44" t="s">
        <v>130</v>
      </c>
      <c r="F154" s="17" t="s">
        <v>235</v>
      </c>
      <c r="G154" s="17" t="s">
        <v>403</v>
      </c>
      <c r="H154" s="103">
        <f t="shared" si="4"/>
        <v>500000</v>
      </c>
      <c r="I154" s="103">
        <v>500000</v>
      </c>
      <c r="J154" s="103"/>
      <c r="K154" s="103"/>
      <c r="L154" s="110"/>
      <c r="M154" s="85"/>
      <c r="O154" s="88"/>
    </row>
    <row r="155" spans="1:15" s="23" customFormat="1" ht="186" customHeight="1">
      <c r="A155" s="39"/>
      <c r="B155" s="18" t="s">
        <v>195</v>
      </c>
      <c r="C155" s="121" t="s">
        <v>60</v>
      </c>
      <c r="D155" s="117" t="s">
        <v>9</v>
      </c>
      <c r="E155" s="45" t="s">
        <v>133</v>
      </c>
      <c r="F155" s="17" t="s">
        <v>235</v>
      </c>
      <c r="G155" s="17" t="s">
        <v>403</v>
      </c>
      <c r="H155" s="103">
        <f t="shared" si="4"/>
        <v>1044000</v>
      </c>
      <c r="I155" s="103">
        <f>350000+557000+200000-63000</f>
        <v>1044000</v>
      </c>
      <c r="J155" s="103"/>
      <c r="K155" s="103"/>
      <c r="L155" s="110"/>
      <c r="M155" s="85"/>
      <c r="O155" s="88"/>
    </row>
    <row r="156" spans="1:15" ht="145.5" customHeight="1">
      <c r="A156" s="38"/>
      <c r="B156" s="144" t="s">
        <v>196</v>
      </c>
      <c r="C156" s="138" t="s">
        <v>120</v>
      </c>
      <c r="D156" s="126" t="s">
        <v>9</v>
      </c>
      <c r="E156" s="132" t="s">
        <v>121</v>
      </c>
      <c r="F156" s="17" t="s">
        <v>235</v>
      </c>
      <c r="G156" s="17" t="s">
        <v>403</v>
      </c>
      <c r="H156" s="103">
        <f t="shared" si="4"/>
        <v>215218717.63</v>
      </c>
      <c r="I156" s="103">
        <f>68545300+4500000+109000000+500000-300000-3528000-23000+208000-19950-18600+3600+15000</f>
        <v>178882350</v>
      </c>
      <c r="J156" s="103">
        <f>36285000-4500000+200000+300000+3528000+859910-29177.17-307365.2</f>
        <v>36336367.629999995</v>
      </c>
      <c r="K156" s="103">
        <f>36285000-4500000+200000+300000+3528000+859910-29177.17-307365.2</f>
        <v>36336367.629999995</v>
      </c>
      <c r="L156" s="110"/>
      <c r="M156" s="85"/>
      <c r="O156" s="88"/>
    </row>
    <row r="157" spans="1:15" ht="130.5" customHeight="1" hidden="1">
      <c r="A157" s="38"/>
      <c r="B157" s="145"/>
      <c r="C157" s="139"/>
      <c r="D157" s="137"/>
      <c r="E157" s="134"/>
      <c r="F157" s="19" t="s">
        <v>394</v>
      </c>
      <c r="G157" s="44" t="s">
        <v>429</v>
      </c>
      <c r="H157" s="103">
        <f t="shared" si="4"/>
        <v>0</v>
      </c>
      <c r="I157" s="103"/>
      <c r="J157" s="103"/>
      <c r="K157" s="103"/>
      <c r="L157" s="98"/>
      <c r="M157" s="85"/>
      <c r="O157" s="88"/>
    </row>
    <row r="158" spans="1:15" ht="163.5" customHeight="1">
      <c r="A158" s="38"/>
      <c r="B158" s="144" t="s">
        <v>218</v>
      </c>
      <c r="C158" s="138" t="s">
        <v>219</v>
      </c>
      <c r="D158" s="126" t="s">
        <v>240</v>
      </c>
      <c r="E158" s="132" t="s">
        <v>239</v>
      </c>
      <c r="F158" s="17" t="s">
        <v>235</v>
      </c>
      <c r="G158" s="17" t="s">
        <v>403</v>
      </c>
      <c r="H158" s="103">
        <f t="shared" si="4"/>
        <v>2480102</v>
      </c>
      <c r="I158" s="103">
        <v>2480102</v>
      </c>
      <c r="J158" s="103"/>
      <c r="K158" s="103"/>
      <c r="L158" s="110"/>
      <c r="M158" s="85"/>
      <c r="O158" s="88"/>
    </row>
    <row r="159" spans="1:15" ht="163.5" customHeight="1">
      <c r="A159" s="38"/>
      <c r="B159" s="146"/>
      <c r="C159" s="140"/>
      <c r="D159" s="127"/>
      <c r="E159" s="133"/>
      <c r="F159" s="19" t="s">
        <v>428</v>
      </c>
      <c r="G159" s="75" t="s">
        <v>483</v>
      </c>
      <c r="H159" s="103">
        <f t="shared" si="4"/>
        <v>18086650</v>
      </c>
      <c r="I159" s="103">
        <v>2852460</v>
      </c>
      <c r="J159" s="103">
        <v>15234190</v>
      </c>
      <c r="K159" s="103">
        <v>15234190</v>
      </c>
      <c r="L159" s="110"/>
      <c r="M159" s="85"/>
      <c r="O159" s="88"/>
    </row>
    <row r="160" spans="1:15" ht="325.5" customHeight="1">
      <c r="A160" s="38"/>
      <c r="B160" s="145"/>
      <c r="C160" s="139"/>
      <c r="D160" s="137"/>
      <c r="E160" s="134"/>
      <c r="F160" s="17" t="s">
        <v>450</v>
      </c>
      <c r="G160" s="17" t="s">
        <v>451</v>
      </c>
      <c r="H160" s="103">
        <f t="shared" si="4"/>
        <v>546348</v>
      </c>
      <c r="I160" s="103">
        <f>546348</f>
        <v>546348</v>
      </c>
      <c r="J160" s="103"/>
      <c r="K160" s="103"/>
      <c r="L160" s="110"/>
      <c r="M160" s="85"/>
      <c r="O160" s="88"/>
    </row>
    <row r="161" spans="1:15" ht="163.5" customHeight="1">
      <c r="A161" s="38"/>
      <c r="B161" s="142" t="s">
        <v>241</v>
      </c>
      <c r="C161" s="126" t="s">
        <v>242</v>
      </c>
      <c r="D161" s="126" t="s">
        <v>67</v>
      </c>
      <c r="E161" s="128" t="s">
        <v>243</v>
      </c>
      <c r="F161" s="17" t="s">
        <v>235</v>
      </c>
      <c r="G161" s="17" t="s">
        <v>403</v>
      </c>
      <c r="H161" s="103">
        <f t="shared" si="4"/>
        <v>1990851</v>
      </c>
      <c r="I161" s="103"/>
      <c r="J161" s="103">
        <v>1990851</v>
      </c>
      <c r="K161" s="103">
        <v>1990851</v>
      </c>
      <c r="L161" s="110"/>
      <c r="M161" s="85"/>
      <c r="O161" s="88"/>
    </row>
    <row r="162" spans="1:15" ht="115.5" customHeight="1">
      <c r="A162" s="38"/>
      <c r="B162" s="143"/>
      <c r="C162" s="137"/>
      <c r="D162" s="137"/>
      <c r="E162" s="130"/>
      <c r="F162" s="19" t="s">
        <v>394</v>
      </c>
      <c r="G162" s="44" t="s">
        <v>481</v>
      </c>
      <c r="H162" s="103">
        <f t="shared" si="4"/>
        <v>24524763.43</v>
      </c>
      <c r="I162" s="103"/>
      <c r="J162" s="103">
        <v>24524763.43</v>
      </c>
      <c r="K162" s="103">
        <v>24524763.43</v>
      </c>
      <c r="L162" s="110"/>
      <c r="M162" s="85"/>
      <c r="O162" s="88"/>
    </row>
    <row r="163" spans="1:15" ht="163.5" customHeight="1">
      <c r="A163" s="38"/>
      <c r="B163" s="16" t="s">
        <v>244</v>
      </c>
      <c r="C163" s="117" t="s">
        <v>245</v>
      </c>
      <c r="D163" s="117" t="s">
        <v>67</v>
      </c>
      <c r="E163" s="17" t="s">
        <v>461</v>
      </c>
      <c r="F163" s="17" t="s">
        <v>235</v>
      </c>
      <c r="G163" s="17" t="s">
        <v>403</v>
      </c>
      <c r="H163" s="103">
        <f t="shared" si="4"/>
        <v>5765753</v>
      </c>
      <c r="I163" s="103"/>
      <c r="J163" s="103">
        <v>5765753</v>
      </c>
      <c r="K163" s="103">
        <v>5765753</v>
      </c>
      <c r="L163" s="110"/>
      <c r="M163" s="85"/>
      <c r="O163" s="88"/>
    </row>
    <row r="164" spans="1:15" ht="163.5" customHeight="1">
      <c r="A164" s="38"/>
      <c r="B164" s="16" t="s">
        <v>197</v>
      </c>
      <c r="C164" s="117" t="s">
        <v>122</v>
      </c>
      <c r="D164" s="117" t="s">
        <v>67</v>
      </c>
      <c r="E164" s="17" t="s">
        <v>123</v>
      </c>
      <c r="F164" s="17" t="s">
        <v>235</v>
      </c>
      <c r="G164" s="17" t="s">
        <v>403</v>
      </c>
      <c r="H164" s="103">
        <f t="shared" si="4"/>
        <v>3100000</v>
      </c>
      <c r="I164" s="103"/>
      <c r="J164" s="103">
        <f>3100000+3700000-3700000</f>
        <v>3100000</v>
      </c>
      <c r="K164" s="103">
        <f>3100000+3700000-3700000</f>
        <v>3100000</v>
      </c>
      <c r="L164" s="110"/>
      <c r="M164" s="85"/>
      <c r="O164" s="88"/>
    </row>
    <row r="165" spans="1:15" s="8" customFormat="1" ht="178.5" customHeight="1" hidden="1">
      <c r="A165" s="40"/>
      <c r="B165" s="16" t="s">
        <v>344</v>
      </c>
      <c r="C165" s="117" t="s">
        <v>345</v>
      </c>
      <c r="D165" s="117" t="s">
        <v>5</v>
      </c>
      <c r="E165" s="17" t="s">
        <v>346</v>
      </c>
      <c r="F165" s="17" t="s">
        <v>235</v>
      </c>
      <c r="G165" s="17" t="s">
        <v>403</v>
      </c>
      <c r="H165" s="103">
        <f t="shared" si="4"/>
        <v>0</v>
      </c>
      <c r="I165" s="103"/>
      <c r="J165" s="103"/>
      <c r="K165" s="103"/>
      <c r="L165" s="110"/>
      <c r="M165" s="85"/>
      <c r="O165" s="88"/>
    </row>
    <row r="166" spans="1:15" s="8" customFormat="1" ht="177">
      <c r="A166" s="40"/>
      <c r="B166" s="142" t="s">
        <v>334</v>
      </c>
      <c r="C166" s="126" t="s">
        <v>328</v>
      </c>
      <c r="D166" s="126" t="s">
        <v>5</v>
      </c>
      <c r="E166" s="128" t="s">
        <v>329</v>
      </c>
      <c r="F166" s="17" t="s">
        <v>235</v>
      </c>
      <c r="G166" s="17" t="s">
        <v>403</v>
      </c>
      <c r="H166" s="103">
        <f t="shared" si="4"/>
        <v>23448258.25</v>
      </c>
      <c r="I166" s="103"/>
      <c r="J166" s="103">
        <v>23448258.25</v>
      </c>
      <c r="K166" s="103">
        <v>23448258.25</v>
      </c>
      <c r="L166" s="110"/>
      <c r="M166" s="85"/>
      <c r="O166" s="88"/>
    </row>
    <row r="167" spans="1:15" s="8" customFormat="1" ht="138" customHeight="1">
      <c r="A167" s="40"/>
      <c r="B167" s="143"/>
      <c r="C167" s="137"/>
      <c r="D167" s="137"/>
      <c r="E167" s="130"/>
      <c r="F167" s="19" t="s">
        <v>394</v>
      </c>
      <c r="G167" s="44" t="s">
        <v>481</v>
      </c>
      <c r="H167" s="103">
        <f t="shared" si="4"/>
        <v>3320295.57</v>
      </c>
      <c r="I167" s="103"/>
      <c r="J167" s="103">
        <v>3320295.57</v>
      </c>
      <c r="K167" s="103">
        <v>3320295.57</v>
      </c>
      <c r="L167" s="110"/>
      <c r="M167" s="85"/>
      <c r="O167" s="88"/>
    </row>
    <row r="168" spans="1:15" s="23" customFormat="1" ht="165" customHeight="1">
      <c r="A168" s="39"/>
      <c r="B168" s="16" t="s">
        <v>198</v>
      </c>
      <c r="C168" s="117" t="s">
        <v>96</v>
      </c>
      <c r="D168" s="117" t="s">
        <v>28</v>
      </c>
      <c r="E168" s="17" t="s">
        <v>57</v>
      </c>
      <c r="F168" s="17" t="s">
        <v>235</v>
      </c>
      <c r="G168" s="17" t="s">
        <v>403</v>
      </c>
      <c r="H168" s="103">
        <f t="shared" si="4"/>
        <v>1500000</v>
      </c>
      <c r="I168" s="103">
        <v>1500000</v>
      </c>
      <c r="J168" s="103"/>
      <c r="K168" s="103"/>
      <c r="L168" s="110"/>
      <c r="M168" s="85"/>
      <c r="O168" s="88"/>
    </row>
    <row r="169" spans="1:15" s="23" customFormat="1" ht="165" customHeight="1">
      <c r="A169" s="39"/>
      <c r="B169" s="16" t="s">
        <v>488</v>
      </c>
      <c r="C169" s="117">
        <v>7670</v>
      </c>
      <c r="D169" s="117">
        <v>490</v>
      </c>
      <c r="E169" s="17" t="s">
        <v>51</v>
      </c>
      <c r="F169" s="17" t="s">
        <v>235</v>
      </c>
      <c r="G169" s="17" t="s">
        <v>403</v>
      </c>
      <c r="H169" s="103">
        <f t="shared" si="4"/>
        <v>63000</v>
      </c>
      <c r="I169" s="103"/>
      <c r="J169" s="103">
        <v>63000</v>
      </c>
      <c r="K169" s="103">
        <v>63000</v>
      </c>
      <c r="L169" s="110"/>
      <c r="M169" s="85"/>
      <c r="O169" s="88"/>
    </row>
    <row r="170" spans="1:15" s="8" customFormat="1" ht="405" customHeight="1">
      <c r="A170" s="40"/>
      <c r="B170" s="16" t="s">
        <v>280</v>
      </c>
      <c r="C170" s="117" t="s">
        <v>281</v>
      </c>
      <c r="D170" s="117" t="s">
        <v>5</v>
      </c>
      <c r="E170" s="17" t="s">
        <v>302</v>
      </c>
      <c r="F170" s="17" t="s">
        <v>235</v>
      </c>
      <c r="G170" s="17" t="s">
        <v>403</v>
      </c>
      <c r="H170" s="103">
        <f t="shared" si="4"/>
        <v>287835.41</v>
      </c>
      <c r="I170" s="103"/>
      <c r="J170" s="103">
        <v>287835.41</v>
      </c>
      <c r="K170" s="103"/>
      <c r="L170" s="110"/>
      <c r="M170" s="85"/>
      <c r="O170" s="88"/>
    </row>
    <row r="171" spans="1:15" ht="163.5" customHeight="1" hidden="1">
      <c r="A171" s="38"/>
      <c r="B171" s="16" t="s">
        <v>199</v>
      </c>
      <c r="C171" s="117" t="s">
        <v>134</v>
      </c>
      <c r="D171" s="117" t="s">
        <v>19</v>
      </c>
      <c r="E171" s="17" t="s">
        <v>18</v>
      </c>
      <c r="F171" s="19" t="s">
        <v>394</v>
      </c>
      <c r="G171" s="44" t="s">
        <v>429</v>
      </c>
      <c r="H171" s="103">
        <f t="shared" si="4"/>
        <v>0</v>
      </c>
      <c r="I171" s="103"/>
      <c r="J171" s="103"/>
      <c r="K171" s="103"/>
      <c r="L171" s="110"/>
      <c r="M171" s="85"/>
      <c r="O171" s="88"/>
    </row>
    <row r="172" spans="1:15" ht="141" customHeight="1">
      <c r="A172" s="38"/>
      <c r="B172" s="16" t="s">
        <v>201</v>
      </c>
      <c r="C172" s="117" t="s">
        <v>89</v>
      </c>
      <c r="D172" s="117" t="s">
        <v>13</v>
      </c>
      <c r="E172" s="17" t="s">
        <v>90</v>
      </c>
      <c r="F172" s="19" t="s">
        <v>394</v>
      </c>
      <c r="G172" s="44" t="s">
        <v>481</v>
      </c>
      <c r="H172" s="103">
        <f t="shared" si="4"/>
        <v>4905900</v>
      </c>
      <c r="I172" s="103"/>
      <c r="J172" s="103">
        <v>4905900</v>
      </c>
      <c r="K172" s="103"/>
      <c r="L172" s="110"/>
      <c r="M172" s="85"/>
      <c r="O172" s="88"/>
    </row>
    <row r="173" spans="1:15" s="8" customFormat="1" ht="159" customHeight="1">
      <c r="A173" s="40"/>
      <c r="B173" s="16" t="s">
        <v>202</v>
      </c>
      <c r="C173" s="117" t="s">
        <v>124</v>
      </c>
      <c r="D173" s="117" t="s">
        <v>5</v>
      </c>
      <c r="E173" s="59" t="s">
        <v>135</v>
      </c>
      <c r="F173" s="17" t="s">
        <v>235</v>
      </c>
      <c r="G173" s="17" t="s">
        <v>403</v>
      </c>
      <c r="H173" s="103">
        <f t="shared" si="4"/>
        <v>-2054092</v>
      </c>
      <c r="I173" s="103"/>
      <c r="J173" s="103">
        <v>-2054092</v>
      </c>
      <c r="K173" s="103">
        <v>-2054092</v>
      </c>
      <c r="L173" s="110"/>
      <c r="M173" s="85"/>
      <c r="O173" s="88"/>
    </row>
    <row r="174" spans="1:15" s="23" customFormat="1" ht="153" customHeight="1">
      <c r="A174" s="39"/>
      <c r="B174" s="18" t="s">
        <v>200</v>
      </c>
      <c r="C174" s="121" t="s">
        <v>87</v>
      </c>
      <c r="D174" s="117" t="s">
        <v>29</v>
      </c>
      <c r="E174" s="17" t="s">
        <v>88</v>
      </c>
      <c r="F174" s="17" t="s">
        <v>235</v>
      </c>
      <c r="G174" s="17" t="s">
        <v>403</v>
      </c>
      <c r="H174" s="103">
        <f t="shared" si="4"/>
        <v>7992500</v>
      </c>
      <c r="I174" s="103"/>
      <c r="J174" s="103">
        <f>7000000+992500</f>
        <v>7992500</v>
      </c>
      <c r="K174" s="103">
        <f>7000000+992500</f>
        <v>7992500</v>
      </c>
      <c r="L174" s="110"/>
      <c r="M174" s="85"/>
      <c r="O174" s="88"/>
    </row>
    <row r="175" spans="1:15" s="7" customFormat="1" ht="156.75" customHeight="1">
      <c r="A175" s="41"/>
      <c r="B175" s="26"/>
      <c r="C175" s="119"/>
      <c r="D175" s="119"/>
      <c r="E175" s="27" t="s">
        <v>206</v>
      </c>
      <c r="F175" s="27"/>
      <c r="G175" s="78"/>
      <c r="H175" s="102">
        <f>SUM(H176+H177+H179+H180+H181+H182+H183+H185+H186+H187+H188+H189+H190+H191+H192+H194+H197+H198)</f>
        <v>254611031.48999998</v>
      </c>
      <c r="I175" s="102">
        <f>SUM(I176+I177+I179+I180+I181+I182+I183+I185+I186+I187+I188+I189+I190+I191+I192+I194+I197+I198)</f>
        <v>2509034.2</v>
      </c>
      <c r="J175" s="102">
        <f>SUM(J176+J177+J179+J180+J181+J182+J183+J185+J186+J187+J188+J189+J190+J191+J192+J194+J197+J198)</f>
        <v>252101997.29000002</v>
      </c>
      <c r="K175" s="102">
        <f>SUM(K176+K177+K179+K180+K181+K182+K183+K185+K186+K187+K188+K189+K190+K191+K192+K194+K197+K198)</f>
        <v>220902692.8</v>
      </c>
      <c r="L175" s="110"/>
      <c r="M175" s="85"/>
      <c r="O175" s="88"/>
    </row>
    <row r="176" spans="1:15" ht="156" customHeight="1">
      <c r="A176" s="38"/>
      <c r="B176" s="42" t="s">
        <v>207</v>
      </c>
      <c r="C176" s="120" t="s">
        <v>80</v>
      </c>
      <c r="D176" s="114" t="s">
        <v>2</v>
      </c>
      <c r="E176" s="44" t="s">
        <v>81</v>
      </c>
      <c r="F176" s="17" t="s">
        <v>385</v>
      </c>
      <c r="G176" s="75" t="s">
        <v>480</v>
      </c>
      <c r="H176" s="103">
        <f aca="true" t="shared" si="5" ref="H176:H183">I176+J176</f>
        <v>10000</v>
      </c>
      <c r="I176" s="103"/>
      <c r="J176" s="103">
        <v>10000</v>
      </c>
      <c r="K176" s="103"/>
      <c r="L176" s="110"/>
      <c r="M176" s="85"/>
      <c r="O176" s="88"/>
    </row>
    <row r="177" spans="1:15" ht="156" customHeight="1">
      <c r="A177" s="38"/>
      <c r="B177" s="16" t="s">
        <v>208</v>
      </c>
      <c r="C177" s="117" t="s">
        <v>120</v>
      </c>
      <c r="D177" s="117" t="s">
        <v>9</v>
      </c>
      <c r="E177" s="17" t="s">
        <v>121</v>
      </c>
      <c r="F177" s="17" t="s">
        <v>235</v>
      </c>
      <c r="G177" s="17" t="s">
        <v>403</v>
      </c>
      <c r="H177" s="103">
        <f t="shared" si="5"/>
        <v>80040000</v>
      </c>
      <c r="I177" s="103"/>
      <c r="J177" s="103">
        <f>80000000+40000</f>
        <v>80040000</v>
      </c>
      <c r="K177" s="103">
        <f>80000000+40000</f>
        <v>80040000</v>
      </c>
      <c r="L177" s="110"/>
      <c r="M177" s="85"/>
      <c r="O177" s="88"/>
    </row>
    <row r="178" spans="1:15" s="8" customFormat="1" ht="144" customHeight="1" hidden="1">
      <c r="A178" s="40"/>
      <c r="B178" s="16" t="s">
        <v>347</v>
      </c>
      <c r="C178" s="117" t="s">
        <v>348</v>
      </c>
      <c r="D178" s="117" t="s">
        <v>26</v>
      </c>
      <c r="E178" s="17" t="s">
        <v>349</v>
      </c>
      <c r="F178" s="19" t="s">
        <v>389</v>
      </c>
      <c r="G178" s="44" t="s">
        <v>429</v>
      </c>
      <c r="H178" s="103">
        <f t="shared" si="5"/>
        <v>0</v>
      </c>
      <c r="I178" s="103"/>
      <c r="J178" s="103"/>
      <c r="K178" s="103"/>
      <c r="L178" s="110"/>
      <c r="M178" s="85"/>
      <c r="O178" s="88"/>
    </row>
    <row r="179" spans="1:15" s="8" customFormat="1" ht="247.5" customHeight="1">
      <c r="A179" s="40"/>
      <c r="B179" s="16" t="s">
        <v>358</v>
      </c>
      <c r="C179" s="117" t="s">
        <v>359</v>
      </c>
      <c r="D179" s="117" t="s">
        <v>26</v>
      </c>
      <c r="E179" s="124" t="s">
        <v>360</v>
      </c>
      <c r="F179" s="17" t="s">
        <v>75</v>
      </c>
      <c r="G179" s="44" t="s">
        <v>459</v>
      </c>
      <c r="H179" s="103">
        <f t="shared" si="5"/>
        <v>300000</v>
      </c>
      <c r="I179" s="103"/>
      <c r="J179" s="103">
        <v>300000</v>
      </c>
      <c r="K179" s="103">
        <v>300000</v>
      </c>
      <c r="L179" s="110"/>
      <c r="M179" s="85"/>
      <c r="O179" s="88"/>
    </row>
    <row r="180" spans="1:15" s="8" customFormat="1" ht="235.5" customHeight="1">
      <c r="A180" s="40"/>
      <c r="B180" s="16" t="s">
        <v>209</v>
      </c>
      <c r="C180" s="117" t="s">
        <v>125</v>
      </c>
      <c r="D180" s="117" t="s">
        <v>26</v>
      </c>
      <c r="E180" s="17" t="s">
        <v>126</v>
      </c>
      <c r="F180" s="19" t="s">
        <v>246</v>
      </c>
      <c r="G180" s="19" t="s">
        <v>400</v>
      </c>
      <c r="H180" s="103">
        <f t="shared" si="5"/>
        <v>135589.81</v>
      </c>
      <c r="I180" s="103">
        <v>84906</v>
      </c>
      <c r="J180" s="103">
        <f>42126+8557.81</f>
        <v>50683.81</v>
      </c>
      <c r="K180" s="103"/>
      <c r="L180" s="110"/>
      <c r="M180" s="85"/>
      <c r="O180" s="88"/>
    </row>
    <row r="181" spans="1:15" s="8" customFormat="1" ht="175.5" customHeight="1">
      <c r="A181" s="40"/>
      <c r="B181" s="16" t="s">
        <v>486</v>
      </c>
      <c r="C181" s="117">
        <v>6090</v>
      </c>
      <c r="D181" s="16" t="s">
        <v>240</v>
      </c>
      <c r="E181" s="17" t="s">
        <v>497</v>
      </c>
      <c r="F181" s="19" t="s">
        <v>428</v>
      </c>
      <c r="G181" s="75" t="s">
        <v>483</v>
      </c>
      <c r="H181" s="103">
        <f t="shared" si="5"/>
        <v>404689.6</v>
      </c>
      <c r="I181" s="103">
        <v>404689.6</v>
      </c>
      <c r="J181" s="103"/>
      <c r="K181" s="103"/>
      <c r="L181" s="110"/>
      <c r="M181" s="85"/>
      <c r="O181" s="88"/>
    </row>
    <row r="182" spans="1:15" ht="174" customHeight="1">
      <c r="A182" s="38"/>
      <c r="B182" s="16" t="s">
        <v>247</v>
      </c>
      <c r="C182" s="117" t="s">
        <v>242</v>
      </c>
      <c r="D182" s="117" t="s">
        <v>67</v>
      </c>
      <c r="E182" s="17" t="s">
        <v>243</v>
      </c>
      <c r="F182" s="19" t="s">
        <v>428</v>
      </c>
      <c r="G182" s="75" t="s">
        <v>483</v>
      </c>
      <c r="H182" s="103">
        <f t="shared" si="5"/>
        <v>7310965.8</v>
      </c>
      <c r="I182" s="103"/>
      <c r="J182" s="103">
        <f>7800000-489034.2</f>
        <v>7310965.8</v>
      </c>
      <c r="K182" s="103">
        <f>7800000-489034.2</f>
        <v>7310965.8</v>
      </c>
      <c r="L182" s="110"/>
      <c r="M182" s="85"/>
      <c r="O182" s="88"/>
    </row>
    <row r="183" spans="1:15" s="8" customFormat="1" ht="153" customHeight="1">
      <c r="A183" s="40"/>
      <c r="B183" s="142" t="s">
        <v>248</v>
      </c>
      <c r="C183" s="126" t="s">
        <v>249</v>
      </c>
      <c r="D183" s="126" t="s">
        <v>67</v>
      </c>
      <c r="E183" s="128" t="s">
        <v>250</v>
      </c>
      <c r="F183" s="19" t="s">
        <v>428</v>
      </c>
      <c r="G183" s="75" t="s">
        <v>483</v>
      </c>
      <c r="H183" s="103">
        <f t="shared" si="5"/>
        <v>10985940</v>
      </c>
      <c r="I183" s="103"/>
      <c r="J183" s="103">
        <f>10600000+100000+1500000+100000-390-599610-864060+150000</f>
        <v>10985940</v>
      </c>
      <c r="K183" s="103">
        <f>10600000+100000+1500000+100000-390-599610-864060+150000</f>
        <v>10985940</v>
      </c>
      <c r="L183" s="110"/>
      <c r="M183" s="85"/>
      <c r="O183" s="88"/>
    </row>
    <row r="184" spans="1:15" s="8" customFormat="1" ht="147" customHeight="1" hidden="1">
      <c r="A184" s="40"/>
      <c r="B184" s="143"/>
      <c r="C184" s="137"/>
      <c r="D184" s="137"/>
      <c r="E184" s="130"/>
      <c r="F184" s="17" t="s">
        <v>79</v>
      </c>
      <c r="G184" s="44" t="s">
        <v>429</v>
      </c>
      <c r="H184" s="103">
        <f aca="true" t="shared" si="6" ref="H184:H212">I184+J184</f>
        <v>0</v>
      </c>
      <c r="I184" s="103"/>
      <c r="J184" s="103"/>
      <c r="K184" s="103"/>
      <c r="L184" s="110"/>
      <c r="M184" s="85"/>
      <c r="O184" s="88"/>
    </row>
    <row r="185" spans="1:15" s="8" customFormat="1" ht="132" customHeight="1">
      <c r="A185" s="40"/>
      <c r="B185" s="16" t="s">
        <v>251</v>
      </c>
      <c r="C185" s="117" t="s">
        <v>252</v>
      </c>
      <c r="D185" s="117" t="s">
        <v>67</v>
      </c>
      <c r="E185" s="17" t="s">
        <v>253</v>
      </c>
      <c r="F185" s="19" t="s">
        <v>428</v>
      </c>
      <c r="G185" s="75" t="s">
        <v>483</v>
      </c>
      <c r="H185" s="103">
        <f t="shared" si="6"/>
        <v>7500000</v>
      </c>
      <c r="I185" s="103"/>
      <c r="J185" s="103">
        <f>4000000+100000+100000+3300000</f>
        <v>7500000</v>
      </c>
      <c r="K185" s="103">
        <f>4000000+100000+100000+3300000</f>
        <v>7500000</v>
      </c>
      <c r="L185" s="110"/>
      <c r="M185" s="85"/>
      <c r="O185" s="88"/>
    </row>
    <row r="186" spans="1:15" s="8" customFormat="1" ht="135" customHeight="1">
      <c r="A186" s="40"/>
      <c r="B186" s="16" t="s">
        <v>254</v>
      </c>
      <c r="C186" s="117" t="s">
        <v>255</v>
      </c>
      <c r="D186" s="117" t="s">
        <v>67</v>
      </c>
      <c r="E186" s="17" t="s">
        <v>256</v>
      </c>
      <c r="F186" s="19" t="s">
        <v>428</v>
      </c>
      <c r="G186" s="75" t="s">
        <v>483</v>
      </c>
      <c r="H186" s="103">
        <f t="shared" si="6"/>
        <v>9181651</v>
      </c>
      <c r="I186" s="103"/>
      <c r="J186" s="103">
        <f>10000000-2000000+1181651</f>
        <v>9181651</v>
      </c>
      <c r="K186" s="103">
        <f>10000000-2000000+1181651</f>
        <v>9181651</v>
      </c>
      <c r="L186" s="110"/>
      <c r="M186" s="85"/>
      <c r="O186" s="88"/>
    </row>
    <row r="187" spans="1:15" ht="147" customHeight="1">
      <c r="A187" s="38"/>
      <c r="B187" s="16" t="s">
        <v>257</v>
      </c>
      <c r="C187" s="117" t="s">
        <v>245</v>
      </c>
      <c r="D187" s="117" t="s">
        <v>67</v>
      </c>
      <c r="E187" s="17" t="s">
        <v>461</v>
      </c>
      <c r="F187" s="19" t="s">
        <v>428</v>
      </c>
      <c r="G187" s="75" t="s">
        <v>483</v>
      </c>
      <c r="H187" s="103">
        <f t="shared" si="6"/>
        <v>29399519</v>
      </c>
      <c r="I187" s="103"/>
      <c r="J187" s="103">
        <f>44100000-6900000-3000000-8562214+3761733</f>
        <v>29399519</v>
      </c>
      <c r="K187" s="103">
        <f>44100000-6900000-3000000-8562214+3761733</f>
        <v>29399519</v>
      </c>
      <c r="L187" s="110"/>
      <c r="M187" s="85"/>
      <c r="O187" s="88"/>
    </row>
    <row r="188" spans="1:15" ht="138" customHeight="1">
      <c r="A188" s="38"/>
      <c r="B188" s="16" t="s">
        <v>314</v>
      </c>
      <c r="C188" s="117" t="s">
        <v>122</v>
      </c>
      <c r="D188" s="117" t="s">
        <v>67</v>
      </c>
      <c r="E188" s="17" t="s">
        <v>123</v>
      </c>
      <c r="F188" s="19" t="s">
        <v>428</v>
      </c>
      <c r="G188" s="75" t="s">
        <v>483</v>
      </c>
      <c r="H188" s="103">
        <f t="shared" si="6"/>
        <v>500000</v>
      </c>
      <c r="I188" s="103"/>
      <c r="J188" s="103">
        <v>500000</v>
      </c>
      <c r="K188" s="103">
        <v>500000</v>
      </c>
      <c r="L188" s="110"/>
      <c r="M188" s="85"/>
      <c r="O188" s="88"/>
    </row>
    <row r="189" spans="1:15" s="8" customFormat="1" ht="162" customHeight="1">
      <c r="A189" s="40"/>
      <c r="B189" s="16" t="s">
        <v>361</v>
      </c>
      <c r="C189" s="117" t="s">
        <v>345</v>
      </c>
      <c r="D189" s="117" t="s">
        <v>5</v>
      </c>
      <c r="E189" s="17" t="s">
        <v>346</v>
      </c>
      <c r="F189" s="19" t="s">
        <v>389</v>
      </c>
      <c r="G189" s="75" t="s">
        <v>483</v>
      </c>
      <c r="H189" s="103">
        <f t="shared" si="6"/>
        <v>28000</v>
      </c>
      <c r="I189" s="103"/>
      <c r="J189" s="103">
        <v>28000</v>
      </c>
      <c r="K189" s="103">
        <v>28000</v>
      </c>
      <c r="L189" s="110"/>
      <c r="M189" s="85"/>
      <c r="O189" s="88"/>
    </row>
    <row r="190" spans="1:15" s="8" customFormat="1" ht="153" customHeight="1">
      <c r="A190" s="40"/>
      <c r="B190" s="16" t="s">
        <v>343</v>
      </c>
      <c r="C190" s="117" t="s">
        <v>328</v>
      </c>
      <c r="D190" s="117" t="s">
        <v>5</v>
      </c>
      <c r="E190" s="17" t="s">
        <v>329</v>
      </c>
      <c r="F190" s="19" t="s">
        <v>389</v>
      </c>
      <c r="G190" s="75" t="s">
        <v>483</v>
      </c>
      <c r="H190" s="103">
        <f t="shared" si="6"/>
        <v>48390</v>
      </c>
      <c r="I190" s="103"/>
      <c r="J190" s="103">
        <f>35000+390+13000</f>
        <v>48390</v>
      </c>
      <c r="K190" s="103">
        <f>35000+390+13000</f>
        <v>48390</v>
      </c>
      <c r="L190" s="110"/>
      <c r="M190" s="85"/>
      <c r="O190" s="88"/>
    </row>
    <row r="191" spans="1:15" s="8" customFormat="1" ht="132.75">
      <c r="A191" s="40"/>
      <c r="B191" s="16" t="s">
        <v>487</v>
      </c>
      <c r="C191" s="117">
        <v>7370</v>
      </c>
      <c r="D191" s="16" t="s">
        <v>5</v>
      </c>
      <c r="E191" s="17" t="s">
        <v>371</v>
      </c>
      <c r="F191" s="19" t="s">
        <v>389</v>
      </c>
      <c r="G191" s="75" t="s">
        <v>483</v>
      </c>
      <c r="H191" s="103">
        <f t="shared" si="6"/>
        <v>84344.6</v>
      </c>
      <c r="I191" s="103">
        <v>84344.6</v>
      </c>
      <c r="J191" s="103"/>
      <c r="K191" s="103"/>
      <c r="L191" s="110"/>
      <c r="M191" s="85"/>
      <c r="O191" s="88"/>
    </row>
    <row r="192" spans="1:15" s="8" customFormat="1" ht="144" customHeight="1">
      <c r="A192" s="40"/>
      <c r="B192" s="16" t="s">
        <v>336</v>
      </c>
      <c r="C192" s="117" t="s">
        <v>337</v>
      </c>
      <c r="D192" s="117" t="s">
        <v>294</v>
      </c>
      <c r="E192" s="17" t="s">
        <v>338</v>
      </c>
      <c r="F192" s="17" t="s">
        <v>235</v>
      </c>
      <c r="G192" s="17" t="s">
        <v>403</v>
      </c>
      <c r="H192" s="103">
        <f t="shared" si="6"/>
        <v>70472.47</v>
      </c>
      <c r="I192" s="103"/>
      <c r="J192" s="103">
        <v>70472.47</v>
      </c>
      <c r="K192" s="103"/>
      <c r="L192" s="110"/>
      <c r="M192" s="85"/>
      <c r="O192" s="88"/>
    </row>
    <row r="193" spans="1:15" s="8" customFormat="1" ht="183" hidden="1">
      <c r="A193" s="40"/>
      <c r="B193" s="16" t="s">
        <v>352</v>
      </c>
      <c r="C193" s="117" t="s">
        <v>353</v>
      </c>
      <c r="D193" s="117" t="s">
        <v>294</v>
      </c>
      <c r="E193" s="71" t="s">
        <v>354</v>
      </c>
      <c r="F193" s="19" t="s">
        <v>389</v>
      </c>
      <c r="G193" s="44" t="s">
        <v>429</v>
      </c>
      <c r="H193" s="103">
        <f t="shared" si="6"/>
        <v>0</v>
      </c>
      <c r="I193" s="103"/>
      <c r="J193" s="103"/>
      <c r="K193" s="103"/>
      <c r="L193" s="110"/>
      <c r="M193" s="85"/>
      <c r="O193" s="88"/>
    </row>
    <row r="194" spans="1:15" ht="121.5" customHeight="1">
      <c r="A194" s="38"/>
      <c r="B194" s="16" t="s">
        <v>210</v>
      </c>
      <c r="C194" s="117" t="s">
        <v>96</v>
      </c>
      <c r="D194" s="117" t="s">
        <v>28</v>
      </c>
      <c r="E194" s="17" t="s">
        <v>57</v>
      </c>
      <c r="F194" s="17" t="s">
        <v>79</v>
      </c>
      <c r="G194" s="75" t="s">
        <v>404</v>
      </c>
      <c r="H194" s="103">
        <f t="shared" si="6"/>
        <v>107071680</v>
      </c>
      <c r="I194" s="103">
        <v>520000</v>
      </c>
      <c r="J194" s="103">
        <f>6550020+22810180+48093527+30943453-2000000+154500</f>
        <v>106551680</v>
      </c>
      <c r="K194" s="103">
        <f>6550020+22810180+48093527-2000000+154500</f>
        <v>75608227</v>
      </c>
      <c r="L194" s="110"/>
      <c r="M194" s="85"/>
      <c r="O194" s="88"/>
    </row>
    <row r="195" spans="1:15" s="8" customFormat="1" ht="132.75" hidden="1">
      <c r="A195" s="40"/>
      <c r="B195" s="16" t="s">
        <v>372</v>
      </c>
      <c r="C195" s="117" t="s">
        <v>233</v>
      </c>
      <c r="D195" s="117" t="s">
        <v>5</v>
      </c>
      <c r="E195" s="17" t="s">
        <v>234</v>
      </c>
      <c r="F195" s="19" t="s">
        <v>389</v>
      </c>
      <c r="G195" s="44" t="s">
        <v>429</v>
      </c>
      <c r="H195" s="103">
        <f t="shared" si="6"/>
        <v>0</v>
      </c>
      <c r="I195" s="103"/>
      <c r="J195" s="103"/>
      <c r="K195" s="103"/>
      <c r="L195" s="110"/>
      <c r="M195" s="85"/>
      <c r="O195" s="88"/>
    </row>
    <row r="196" spans="1:15" s="8" customFormat="1" ht="390" customHeight="1" hidden="1">
      <c r="A196" s="40"/>
      <c r="B196" s="16" t="s">
        <v>476</v>
      </c>
      <c r="C196" s="117" t="s">
        <v>281</v>
      </c>
      <c r="D196" s="117" t="s">
        <v>5</v>
      </c>
      <c r="E196" s="17" t="s">
        <v>302</v>
      </c>
      <c r="F196" s="19"/>
      <c r="G196" s="44"/>
      <c r="H196" s="103">
        <f t="shared" si="6"/>
        <v>0</v>
      </c>
      <c r="I196" s="103"/>
      <c r="J196" s="103"/>
      <c r="K196" s="103"/>
      <c r="L196" s="110"/>
      <c r="M196" s="85"/>
      <c r="O196" s="88"/>
    </row>
    <row r="197" spans="1:15" s="8" customFormat="1" ht="167.25" customHeight="1">
      <c r="A197" s="40"/>
      <c r="B197" s="16" t="s">
        <v>341</v>
      </c>
      <c r="C197" s="117" t="s">
        <v>339</v>
      </c>
      <c r="D197" s="117" t="s">
        <v>4</v>
      </c>
      <c r="E197" s="17" t="s">
        <v>477</v>
      </c>
      <c r="F197" s="19" t="s">
        <v>246</v>
      </c>
      <c r="G197" s="19" t="s">
        <v>400</v>
      </c>
      <c r="H197" s="103">
        <f t="shared" si="6"/>
        <v>2259789.21</v>
      </c>
      <c r="I197" s="103">
        <v>1415094</v>
      </c>
      <c r="J197" s="103">
        <v>844695.21</v>
      </c>
      <c r="K197" s="103"/>
      <c r="L197" s="110"/>
      <c r="M197" s="85"/>
      <c r="O197" s="88"/>
    </row>
    <row r="198" spans="1:15" s="8" customFormat="1" ht="209.25" customHeight="1">
      <c r="A198" s="40"/>
      <c r="B198" s="16" t="s">
        <v>342</v>
      </c>
      <c r="C198" s="117" t="s">
        <v>340</v>
      </c>
      <c r="D198" s="117" t="s">
        <v>4</v>
      </c>
      <c r="E198" s="17" t="s">
        <v>478</v>
      </c>
      <c r="F198" s="19" t="s">
        <v>246</v>
      </c>
      <c r="G198" s="19" t="s">
        <v>400</v>
      </c>
      <c r="H198" s="103">
        <f t="shared" si="6"/>
        <v>-720000</v>
      </c>
      <c r="I198" s="103"/>
      <c r="J198" s="103">
        <v>-720000</v>
      </c>
      <c r="K198" s="103"/>
      <c r="L198" s="110"/>
      <c r="M198" s="85"/>
      <c r="O198" s="88"/>
    </row>
    <row r="199" spans="1:15" s="7" customFormat="1" ht="108" customHeight="1">
      <c r="A199" s="41"/>
      <c r="B199" s="26"/>
      <c r="C199" s="119"/>
      <c r="D199" s="119"/>
      <c r="E199" s="27" t="s">
        <v>211</v>
      </c>
      <c r="F199" s="79"/>
      <c r="G199" s="79"/>
      <c r="H199" s="102">
        <f>SUM(H200+H201+H202+H203+H204)</f>
        <v>2546114</v>
      </c>
      <c r="I199" s="102">
        <f>SUM(I200+I201+I202+I203+I204)</f>
        <v>1165200</v>
      </c>
      <c r="J199" s="102">
        <f>SUM(J200+J201+J202+J203+J204)</f>
        <v>1380914</v>
      </c>
      <c r="K199" s="102">
        <f>SUM(K200+K201+K202+K203+K204)</f>
        <v>0</v>
      </c>
      <c r="L199" s="110"/>
      <c r="M199" s="85"/>
      <c r="O199" s="88"/>
    </row>
    <row r="200" spans="1:15" ht="144" customHeight="1">
      <c r="A200" s="38"/>
      <c r="B200" s="16" t="s">
        <v>212</v>
      </c>
      <c r="C200" s="117" t="s">
        <v>80</v>
      </c>
      <c r="D200" s="117" t="s">
        <v>2</v>
      </c>
      <c r="E200" s="17" t="s">
        <v>81</v>
      </c>
      <c r="F200" s="17" t="s">
        <v>385</v>
      </c>
      <c r="G200" s="75" t="s">
        <v>480</v>
      </c>
      <c r="H200" s="103">
        <f>I200+J200</f>
        <v>50000</v>
      </c>
      <c r="I200" s="103">
        <v>50000</v>
      </c>
      <c r="J200" s="103"/>
      <c r="K200" s="103"/>
      <c r="L200" s="110"/>
      <c r="M200" s="85"/>
      <c r="O200" s="88"/>
    </row>
    <row r="201" spans="1:15" ht="177" customHeight="1">
      <c r="A201" s="38"/>
      <c r="B201" s="16" t="s">
        <v>295</v>
      </c>
      <c r="C201" s="117" t="s">
        <v>219</v>
      </c>
      <c r="D201" s="117" t="s">
        <v>240</v>
      </c>
      <c r="E201" s="48" t="s">
        <v>239</v>
      </c>
      <c r="F201" s="17" t="s">
        <v>235</v>
      </c>
      <c r="G201" s="17" t="s">
        <v>403</v>
      </c>
      <c r="H201" s="103">
        <f>I201+J201</f>
        <v>180000</v>
      </c>
      <c r="I201" s="103">
        <v>180000</v>
      </c>
      <c r="J201" s="103"/>
      <c r="K201" s="103"/>
      <c r="L201" s="110"/>
      <c r="M201" s="85"/>
      <c r="O201" s="88"/>
    </row>
    <row r="202" spans="1:15" ht="139.5" customHeight="1">
      <c r="A202" s="38"/>
      <c r="B202" s="43" t="s">
        <v>369</v>
      </c>
      <c r="C202" s="114" t="s">
        <v>370</v>
      </c>
      <c r="D202" s="114" t="s">
        <v>5</v>
      </c>
      <c r="E202" s="44" t="s">
        <v>371</v>
      </c>
      <c r="F202" s="17" t="s">
        <v>424</v>
      </c>
      <c r="G202" s="17" t="s">
        <v>403</v>
      </c>
      <c r="H202" s="103">
        <f>I202+J202</f>
        <v>935200</v>
      </c>
      <c r="I202" s="103">
        <v>935200</v>
      </c>
      <c r="J202" s="103"/>
      <c r="K202" s="103"/>
      <c r="L202" s="110"/>
      <c r="M202" s="85"/>
      <c r="O202" s="88"/>
    </row>
    <row r="203" spans="1:15" s="8" customFormat="1" ht="237" customHeight="1">
      <c r="A203" s="40"/>
      <c r="B203" s="142" t="s">
        <v>282</v>
      </c>
      <c r="C203" s="126" t="s">
        <v>281</v>
      </c>
      <c r="D203" s="126" t="s">
        <v>5</v>
      </c>
      <c r="E203" s="128" t="s">
        <v>302</v>
      </c>
      <c r="F203" s="17" t="s">
        <v>235</v>
      </c>
      <c r="G203" s="17" t="s">
        <v>403</v>
      </c>
      <c r="H203" s="103">
        <f>I203+J203</f>
        <v>150914</v>
      </c>
      <c r="I203" s="103"/>
      <c r="J203" s="103">
        <v>150914</v>
      </c>
      <c r="K203" s="103"/>
      <c r="L203" s="110"/>
      <c r="M203" s="85"/>
      <c r="O203" s="88"/>
    </row>
    <row r="204" spans="1:15" s="8" customFormat="1" ht="180" customHeight="1">
      <c r="A204" s="40"/>
      <c r="B204" s="143"/>
      <c r="C204" s="137"/>
      <c r="D204" s="137"/>
      <c r="E204" s="130"/>
      <c r="F204" s="17" t="s">
        <v>424</v>
      </c>
      <c r="G204" s="17" t="s">
        <v>490</v>
      </c>
      <c r="H204" s="103">
        <f>I204+J204</f>
        <v>1230000</v>
      </c>
      <c r="I204" s="103"/>
      <c r="J204" s="103">
        <v>1230000</v>
      </c>
      <c r="K204" s="103"/>
      <c r="L204" s="110"/>
      <c r="M204" s="85"/>
      <c r="O204" s="88"/>
    </row>
    <row r="205" spans="1:15" s="7" customFormat="1" ht="97.5" customHeight="1">
      <c r="A205" s="41"/>
      <c r="B205" s="26"/>
      <c r="C205" s="119"/>
      <c r="D205" s="119"/>
      <c r="E205" s="27" t="s">
        <v>203</v>
      </c>
      <c r="F205" s="27"/>
      <c r="G205" s="78"/>
      <c r="H205" s="102">
        <f>SUM(H206+H207+H208+H209+H210+H211)</f>
        <v>15280743.33</v>
      </c>
      <c r="I205" s="102">
        <f>SUM(I206+I207+I208+I209+I210+I211)</f>
        <v>2303000</v>
      </c>
      <c r="J205" s="102">
        <f>SUM(J206+J207+J208+J209+J210+J211)</f>
        <v>12977743.33</v>
      </c>
      <c r="K205" s="102">
        <f>SUM(K206+K207+K208+K209+K210+K211)</f>
        <v>12963400</v>
      </c>
      <c r="L205" s="110"/>
      <c r="M205" s="85"/>
      <c r="O205" s="88"/>
    </row>
    <row r="206" spans="1:15" ht="235.5" customHeight="1">
      <c r="A206" s="38"/>
      <c r="B206" s="16" t="s">
        <v>204</v>
      </c>
      <c r="C206" s="117" t="s">
        <v>118</v>
      </c>
      <c r="D206" s="117" t="s">
        <v>27</v>
      </c>
      <c r="E206" s="17" t="s">
        <v>119</v>
      </c>
      <c r="F206" s="19" t="s">
        <v>396</v>
      </c>
      <c r="G206" s="77" t="s">
        <v>433</v>
      </c>
      <c r="H206" s="103">
        <f aca="true" t="shared" si="7" ref="H206:H211">I206+J206</f>
        <v>1365343.33</v>
      </c>
      <c r="I206" s="103">
        <v>1351000</v>
      </c>
      <c r="J206" s="103">
        <v>14343.33</v>
      </c>
      <c r="K206" s="103"/>
      <c r="L206" s="109"/>
      <c r="M206" s="85"/>
      <c r="O206" s="88"/>
    </row>
    <row r="207" spans="1:15" ht="151.5" customHeight="1">
      <c r="A207" s="38"/>
      <c r="B207" s="16" t="s">
        <v>373</v>
      </c>
      <c r="C207" s="117" t="s">
        <v>370</v>
      </c>
      <c r="D207" s="117" t="s">
        <v>5</v>
      </c>
      <c r="E207" s="17" t="s">
        <v>371</v>
      </c>
      <c r="F207" s="19" t="s">
        <v>428</v>
      </c>
      <c r="G207" s="75" t="s">
        <v>483</v>
      </c>
      <c r="H207" s="103">
        <f t="shared" si="7"/>
        <v>12888400</v>
      </c>
      <c r="I207" s="103"/>
      <c r="J207" s="103">
        <v>12888400</v>
      </c>
      <c r="K207" s="103">
        <v>12888400</v>
      </c>
      <c r="L207" s="109"/>
      <c r="M207" s="85"/>
      <c r="O207" s="88"/>
    </row>
    <row r="208" spans="1:15" ht="163.5" customHeight="1">
      <c r="A208" s="38"/>
      <c r="B208" s="16" t="s">
        <v>205</v>
      </c>
      <c r="C208" s="117" t="s">
        <v>109</v>
      </c>
      <c r="D208" s="117" t="s">
        <v>6</v>
      </c>
      <c r="E208" s="17" t="s">
        <v>50</v>
      </c>
      <c r="F208" s="17" t="s">
        <v>65</v>
      </c>
      <c r="G208" s="75" t="s">
        <v>402</v>
      </c>
      <c r="H208" s="103">
        <f t="shared" si="7"/>
        <v>322000</v>
      </c>
      <c r="I208" s="103">
        <v>322000</v>
      </c>
      <c r="J208" s="103"/>
      <c r="K208" s="103"/>
      <c r="L208" s="109"/>
      <c r="M208" s="85"/>
      <c r="O208" s="88"/>
    </row>
    <row r="209" spans="1:15" ht="205.5" customHeight="1">
      <c r="A209" s="38"/>
      <c r="B209" s="16" t="s">
        <v>259</v>
      </c>
      <c r="C209" s="117" t="s">
        <v>258</v>
      </c>
      <c r="D209" s="117" t="s">
        <v>5</v>
      </c>
      <c r="E209" s="17" t="s">
        <v>260</v>
      </c>
      <c r="F209" s="19" t="s">
        <v>396</v>
      </c>
      <c r="G209" s="77" t="s">
        <v>433</v>
      </c>
      <c r="H209" s="103">
        <f t="shared" si="7"/>
        <v>50000</v>
      </c>
      <c r="I209" s="103"/>
      <c r="J209" s="103">
        <v>50000</v>
      </c>
      <c r="K209" s="103">
        <v>50000</v>
      </c>
      <c r="L209" s="109"/>
      <c r="M209" s="85"/>
      <c r="O209" s="88"/>
    </row>
    <row r="210" spans="1:15" ht="247.5" customHeight="1">
      <c r="A210" s="38"/>
      <c r="B210" s="16" t="s">
        <v>262</v>
      </c>
      <c r="C210" s="117" t="s">
        <v>263</v>
      </c>
      <c r="D210" s="117" t="s">
        <v>5</v>
      </c>
      <c r="E210" s="17" t="s">
        <v>264</v>
      </c>
      <c r="F210" s="19" t="s">
        <v>396</v>
      </c>
      <c r="G210" s="77" t="s">
        <v>433</v>
      </c>
      <c r="H210" s="103">
        <f t="shared" si="7"/>
        <v>25000</v>
      </c>
      <c r="I210" s="103"/>
      <c r="J210" s="103">
        <v>25000</v>
      </c>
      <c r="K210" s="103">
        <v>25000</v>
      </c>
      <c r="L210" s="109"/>
      <c r="M210" s="85"/>
      <c r="O210" s="88"/>
    </row>
    <row r="211" spans="1:15" s="8" customFormat="1" ht="235.5" customHeight="1">
      <c r="A211" s="40"/>
      <c r="B211" s="16" t="s">
        <v>261</v>
      </c>
      <c r="C211" s="117" t="s">
        <v>233</v>
      </c>
      <c r="D211" s="117" t="s">
        <v>5</v>
      </c>
      <c r="E211" s="17" t="s">
        <v>234</v>
      </c>
      <c r="F211" s="19" t="s">
        <v>396</v>
      </c>
      <c r="G211" s="77" t="s">
        <v>433</v>
      </c>
      <c r="H211" s="103">
        <f t="shared" si="7"/>
        <v>630000</v>
      </c>
      <c r="I211" s="103">
        <v>630000</v>
      </c>
      <c r="J211" s="103"/>
      <c r="K211" s="103"/>
      <c r="L211" s="109"/>
      <c r="M211" s="85"/>
      <c r="O211" s="88"/>
    </row>
    <row r="212" spans="1:15" ht="160.5" customHeight="1" hidden="1">
      <c r="A212" s="38"/>
      <c r="B212" s="16" t="s">
        <v>335</v>
      </c>
      <c r="C212" s="117" t="s">
        <v>324</v>
      </c>
      <c r="D212" s="117" t="s">
        <v>29</v>
      </c>
      <c r="E212" s="45" t="s">
        <v>325</v>
      </c>
      <c r="F212" s="17" t="s">
        <v>65</v>
      </c>
      <c r="G212" s="75" t="s">
        <v>402</v>
      </c>
      <c r="H212" s="103">
        <f t="shared" si="6"/>
        <v>0</v>
      </c>
      <c r="I212" s="103"/>
      <c r="J212" s="103"/>
      <c r="K212" s="103"/>
      <c r="L212" s="109"/>
      <c r="M212" s="85"/>
      <c r="O212" s="88"/>
    </row>
    <row r="213" spans="1:15" s="7" customFormat="1" ht="111.75" customHeight="1">
      <c r="A213" s="41"/>
      <c r="B213" s="26"/>
      <c r="C213" s="119"/>
      <c r="D213" s="119"/>
      <c r="E213" s="27" t="s">
        <v>213</v>
      </c>
      <c r="F213" s="79"/>
      <c r="G213" s="79"/>
      <c r="H213" s="102">
        <f>SUM(H214+H215+H216+H217)</f>
        <v>916000</v>
      </c>
      <c r="I213" s="102">
        <f>SUM(I214+I215+I216+I217)</f>
        <v>376000</v>
      </c>
      <c r="J213" s="102">
        <f>SUM(J214+J215+J216+J217)</f>
        <v>540000</v>
      </c>
      <c r="K213" s="102">
        <f>SUM(K214+K215+K216+K217)</f>
        <v>500000</v>
      </c>
      <c r="L213" s="109"/>
      <c r="M213" s="85"/>
      <c r="O213" s="88"/>
    </row>
    <row r="214" spans="1:15" s="7" customFormat="1" ht="117.75" customHeight="1">
      <c r="A214" s="41"/>
      <c r="B214" s="16" t="s">
        <v>265</v>
      </c>
      <c r="C214" s="117" t="s">
        <v>96</v>
      </c>
      <c r="D214" s="117" t="s">
        <v>28</v>
      </c>
      <c r="E214" s="17" t="s">
        <v>57</v>
      </c>
      <c r="F214" s="17" t="s">
        <v>79</v>
      </c>
      <c r="G214" s="75" t="s">
        <v>404</v>
      </c>
      <c r="H214" s="103">
        <f>I214+J214</f>
        <v>306000</v>
      </c>
      <c r="I214" s="103">
        <f>245000+40000+21000</f>
        <v>306000</v>
      </c>
      <c r="J214" s="103"/>
      <c r="K214" s="103"/>
      <c r="L214" s="109"/>
      <c r="M214" s="85"/>
      <c r="O214" s="88"/>
    </row>
    <row r="215" spans="1:15" s="7" customFormat="1" ht="141.75" customHeight="1">
      <c r="A215" s="41"/>
      <c r="B215" s="16" t="s">
        <v>408</v>
      </c>
      <c r="C215" s="117" t="s">
        <v>233</v>
      </c>
      <c r="D215" s="117" t="s">
        <v>5</v>
      </c>
      <c r="E215" s="17" t="s">
        <v>234</v>
      </c>
      <c r="F215" s="19" t="s">
        <v>428</v>
      </c>
      <c r="G215" s="75" t="s">
        <v>483</v>
      </c>
      <c r="H215" s="103">
        <f>I215+J215</f>
        <v>70000</v>
      </c>
      <c r="I215" s="103">
        <v>70000</v>
      </c>
      <c r="J215" s="103"/>
      <c r="K215" s="103"/>
      <c r="L215" s="109"/>
      <c r="M215" s="85"/>
      <c r="O215" s="88"/>
    </row>
    <row r="216" spans="1:15" ht="129.75" customHeight="1">
      <c r="A216" s="38"/>
      <c r="B216" s="16" t="s">
        <v>214</v>
      </c>
      <c r="C216" s="117" t="s">
        <v>89</v>
      </c>
      <c r="D216" s="117" t="s">
        <v>13</v>
      </c>
      <c r="E216" s="17" t="s">
        <v>90</v>
      </c>
      <c r="F216" s="19" t="s">
        <v>394</v>
      </c>
      <c r="G216" s="44" t="s">
        <v>481</v>
      </c>
      <c r="H216" s="103">
        <f>I216+J216</f>
        <v>40000</v>
      </c>
      <c r="I216" s="103"/>
      <c r="J216" s="103">
        <v>40000</v>
      </c>
      <c r="K216" s="103"/>
      <c r="L216" s="109"/>
      <c r="M216" s="85"/>
      <c r="O216" s="88"/>
    </row>
    <row r="217" spans="1:15" ht="171.75" customHeight="1">
      <c r="A217" s="38"/>
      <c r="B217" s="16" t="s">
        <v>307</v>
      </c>
      <c r="C217" s="117" t="s">
        <v>87</v>
      </c>
      <c r="D217" s="117" t="s">
        <v>29</v>
      </c>
      <c r="E217" s="17" t="s">
        <v>88</v>
      </c>
      <c r="F217" s="19" t="s">
        <v>428</v>
      </c>
      <c r="G217" s="75" t="s">
        <v>483</v>
      </c>
      <c r="H217" s="103">
        <f>I217+J217</f>
        <v>500000</v>
      </c>
      <c r="I217" s="103"/>
      <c r="J217" s="103">
        <v>500000</v>
      </c>
      <c r="K217" s="103">
        <v>500000</v>
      </c>
      <c r="L217" s="109"/>
      <c r="M217" s="85"/>
      <c r="O217" s="88"/>
    </row>
    <row r="218" spans="1:15" s="65" customFormat="1" ht="54.75" customHeight="1">
      <c r="A218" s="63"/>
      <c r="B218" s="64"/>
      <c r="C218" s="159" t="s">
        <v>3</v>
      </c>
      <c r="D218" s="160"/>
      <c r="E218" s="160"/>
      <c r="F218" s="161"/>
      <c r="G218" s="72"/>
      <c r="H218" s="108">
        <f>H19+H61+H89+H114+H138+H135+H146+H175+H199+H205+H213</f>
        <v>2171920136.4799995</v>
      </c>
      <c r="I218" s="108">
        <f>I19+I61+I89+I114+I138+I135+I146+I175+I199+I205+I213</f>
        <v>1536097525.2</v>
      </c>
      <c r="J218" s="108">
        <f>J19+J61+J89+J114+J138+J135+J146+J175+J199+J205+J213</f>
        <v>635822611.2800001</v>
      </c>
      <c r="K218" s="108">
        <f>K19+K61+K89+K114+K138+K135+K146+K175+K199+K205+K213</f>
        <v>544382432.97</v>
      </c>
      <c r="L218" s="109"/>
      <c r="M218" s="85"/>
      <c r="O218" s="88"/>
    </row>
    <row r="219" spans="1:12" ht="50.25">
      <c r="A219" s="38"/>
      <c r="B219" s="13"/>
      <c r="C219" s="12"/>
      <c r="D219" s="13"/>
      <c r="E219" s="34"/>
      <c r="F219" s="35"/>
      <c r="G219" s="35"/>
      <c r="H219" s="99"/>
      <c r="I219" s="36"/>
      <c r="J219" s="36"/>
      <c r="K219" s="36"/>
      <c r="L219" s="109"/>
    </row>
    <row r="220" spans="1:12" ht="50.25">
      <c r="A220" s="38"/>
      <c r="B220" s="13"/>
      <c r="C220" s="12"/>
      <c r="D220" s="13"/>
      <c r="E220" s="34"/>
      <c r="F220" s="35"/>
      <c r="G220" s="35"/>
      <c r="H220" s="99"/>
      <c r="I220" s="36"/>
      <c r="J220" s="36"/>
      <c r="K220" s="36"/>
      <c r="L220" s="109"/>
    </row>
    <row r="221" spans="1:12" ht="50.25">
      <c r="A221" s="38"/>
      <c r="B221" s="13"/>
      <c r="C221" s="12"/>
      <c r="D221" s="13"/>
      <c r="E221" s="34"/>
      <c r="F221" s="35"/>
      <c r="G221" s="35"/>
      <c r="H221" s="99"/>
      <c r="I221" s="36"/>
      <c r="J221" s="36"/>
      <c r="K221" s="36"/>
      <c r="L221" s="109"/>
    </row>
    <row r="222" spans="1:12" ht="50.25">
      <c r="A222" s="38"/>
      <c r="B222" s="13"/>
      <c r="C222" s="12"/>
      <c r="D222" s="13"/>
      <c r="E222" s="34"/>
      <c r="F222" s="35"/>
      <c r="G222" s="35"/>
      <c r="H222" s="99"/>
      <c r="I222" s="36"/>
      <c r="J222" s="36"/>
      <c r="K222" s="36"/>
      <c r="L222" s="109"/>
    </row>
    <row r="223" spans="2:12" ht="72.75" customHeight="1">
      <c r="B223" s="135" t="s">
        <v>467</v>
      </c>
      <c r="C223" s="135"/>
      <c r="D223" s="135"/>
      <c r="E223" s="92"/>
      <c r="F223" s="92"/>
      <c r="G223" s="92"/>
      <c r="H223" s="111"/>
      <c r="I223" s="111"/>
      <c r="J223" s="112" t="s">
        <v>468</v>
      </c>
      <c r="L223" s="109"/>
    </row>
    <row r="224" spans="2:12" ht="78.75" customHeight="1">
      <c r="B224" s="92"/>
      <c r="C224" s="92"/>
      <c r="D224" s="92"/>
      <c r="E224" s="92"/>
      <c r="F224" s="92"/>
      <c r="G224" s="92"/>
      <c r="H224" s="111"/>
      <c r="I224" s="111"/>
      <c r="J224" s="92"/>
      <c r="K224" s="92"/>
      <c r="L224" s="109"/>
    </row>
    <row r="225" spans="2:12" ht="42.75" customHeight="1">
      <c r="B225" s="93" t="s">
        <v>469</v>
      </c>
      <c r="C225" s="94"/>
      <c r="D225" s="94"/>
      <c r="E225" s="35"/>
      <c r="F225" s="36"/>
      <c r="G225" s="36"/>
      <c r="H225" s="36"/>
      <c r="I225" s="29"/>
      <c r="J225" s="37"/>
      <c r="K225" s="37"/>
      <c r="L225" s="109"/>
    </row>
    <row r="226" spans="2:11" ht="75.75" customHeight="1">
      <c r="B226" s="125" t="s">
        <v>484</v>
      </c>
      <c r="C226" s="125"/>
      <c r="D226" s="125"/>
      <c r="E226" s="95"/>
      <c r="F226" s="35"/>
      <c r="G226" s="36"/>
      <c r="H226" s="36"/>
      <c r="I226" s="29"/>
      <c r="J226" s="36"/>
      <c r="K226" s="36"/>
    </row>
    <row r="227" spans="2:11" ht="45.75" customHeight="1">
      <c r="B227" s="37"/>
      <c r="C227" s="37"/>
      <c r="D227" s="37"/>
      <c r="E227" s="37"/>
      <c r="F227" s="35"/>
      <c r="G227" s="36"/>
      <c r="H227" s="36"/>
      <c r="I227" s="36"/>
      <c r="J227" s="32"/>
      <c r="K227" s="32"/>
    </row>
    <row r="228" spans="1:15" s="100" customFormat="1" ht="91.5" customHeight="1">
      <c r="A228" s="5"/>
      <c r="B228" s="151"/>
      <c r="C228" s="151"/>
      <c r="D228" s="151"/>
      <c r="E228" s="37"/>
      <c r="F228" s="37"/>
      <c r="G228" s="37"/>
      <c r="H228" s="60"/>
      <c r="I228" s="60"/>
      <c r="J228" s="60"/>
      <c r="K228" s="60"/>
      <c r="L228" s="97"/>
      <c r="O228" s="101"/>
    </row>
    <row r="230" ht="44.25">
      <c r="H230" s="31"/>
    </row>
    <row r="231" spans="8:11" ht="95.25" customHeight="1">
      <c r="H231" s="53"/>
      <c r="I231" s="53"/>
      <c r="J231" s="53"/>
      <c r="K231" s="53"/>
    </row>
  </sheetData>
  <sheetProtection/>
  <mergeCells count="135">
    <mergeCell ref="E123:E124"/>
    <mergeCell ref="B17:B18"/>
    <mergeCell ref="E203:E204"/>
    <mergeCell ref="C218:F218"/>
    <mergeCell ref="C49:C50"/>
    <mergeCell ref="E83:E84"/>
    <mergeCell ref="E56:E57"/>
    <mergeCell ref="B58:B60"/>
    <mergeCell ref="C78:C80"/>
    <mergeCell ref="D78:D80"/>
    <mergeCell ref="E58:E60"/>
    <mergeCell ref="I11:K11"/>
    <mergeCell ref="E49:E50"/>
    <mergeCell ref="E20:E21"/>
    <mergeCell ref="D24:D25"/>
    <mergeCell ref="E24:E25"/>
    <mergeCell ref="J17:K17"/>
    <mergeCell ref="D56:D57"/>
    <mergeCell ref="D20:D21"/>
    <mergeCell ref="D49:D50"/>
    <mergeCell ref="I1:K1"/>
    <mergeCell ref="C20:C21"/>
    <mergeCell ref="I3:K3"/>
    <mergeCell ref="I4:K4"/>
    <mergeCell ref="I2:K2"/>
    <mergeCell ref="I17:I18"/>
    <mergeCell ref="B15:K15"/>
    <mergeCell ref="I8:K8"/>
    <mergeCell ref="I9:K9"/>
    <mergeCell ref="B20:B21"/>
    <mergeCell ref="I6:K6"/>
    <mergeCell ref="I5:K5"/>
    <mergeCell ref="B56:B57"/>
    <mergeCell ref="C56:C57"/>
    <mergeCell ref="B24:B25"/>
    <mergeCell ref="E17:E18"/>
    <mergeCell ref="B30:B31"/>
    <mergeCell ref="C17:C18"/>
    <mergeCell ref="F17:F18"/>
    <mergeCell ref="D30:D31"/>
    <mergeCell ref="D17:D18"/>
    <mergeCell ref="H17:H18"/>
    <mergeCell ref="C58:C60"/>
    <mergeCell ref="B228:D228"/>
    <mergeCell ref="D166:D167"/>
    <mergeCell ref="D97:D98"/>
    <mergeCell ref="C83:C84"/>
    <mergeCell ref="B83:B84"/>
    <mergeCell ref="C30:C31"/>
    <mergeCell ref="B156:B157"/>
    <mergeCell ref="C158:C160"/>
    <mergeCell ref="D161:D162"/>
    <mergeCell ref="B203:B204"/>
    <mergeCell ref="C203:C204"/>
    <mergeCell ref="D203:D204"/>
    <mergeCell ref="B161:B162"/>
    <mergeCell ref="C161:C162"/>
    <mergeCell ref="B183:B184"/>
    <mergeCell ref="D91:D93"/>
    <mergeCell ref="B158:B160"/>
    <mergeCell ref="D156:D157"/>
    <mergeCell ref="D148:D149"/>
    <mergeCell ref="B125:B126"/>
    <mergeCell ref="D133:D134"/>
    <mergeCell ref="D158:D160"/>
    <mergeCell ref="D130:D131"/>
    <mergeCell ref="D125:D126"/>
    <mergeCell ref="C156:C157"/>
    <mergeCell ref="D87:D88"/>
    <mergeCell ref="C87:C88"/>
    <mergeCell ref="B66:B69"/>
    <mergeCell ref="C63:C65"/>
    <mergeCell ref="B63:B65"/>
    <mergeCell ref="D63:D65"/>
    <mergeCell ref="B87:B88"/>
    <mergeCell ref="G17:G18"/>
    <mergeCell ref="E30:E31"/>
    <mergeCell ref="D58:D60"/>
    <mergeCell ref="B78:B80"/>
    <mergeCell ref="D83:D84"/>
    <mergeCell ref="E78:E80"/>
    <mergeCell ref="C66:C69"/>
    <mergeCell ref="C24:C25"/>
    <mergeCell ref="B49:B50"/>
    <mergeCell ref="E63:E65"/>
    <mergeCell ref="E97:E98"/>
    <mergeCell ref="B123:B124"/>
    <mergeCell ref="B97:B98"/>
    <mergeCell ref="E101:E102"/>
    <mergeCell ref="C183:C184"/>
    <mergeCell ref="B166:B167"/>
    <mergeCell ref="B148:B149"/>
    <mergeCell ref="B101:B102"/>
    <mergeCell ref="C166:C167"/>
    <mergeCell ref="C148:C149"/>
    <mergeCell ref="B133:B134"/>
    <mergeCell ref="B130:B131"/>
    <mergeCell ref="B99:B100"/>
    <mergeCell ref="B94:B96"/>
    <mergeCell ref="D94:D96"/>
    <mergeCell ref="D106:D108"/>
    <mergeCell ref="B106:B108"/>
    <mergeCell ref="C106:C108"/>
    <mergeCell ref="C130:C131"/>
    <mergeCell ref="C133:C134"/>
    <mergeCell ref="E87:E88"/>
    <mergeCell ref="C94:C96"/>
    <mergeCell ref="E125:E126"/>
    <mergeCell ref="C97:C98"/>
    <mergeCell ref="C123:C124"/>
    <mergeCell ref="C101:C102"/>
    <mergeCell ref="E106:E108"/>
    <mergeCell ref="E91:E93"/>
    <mergeCell ref="C99:C100"/>
    <mergeCell ref="D99:D100"/>
    <mergeCell ref="E158:E160"/>
    <mergeCell ref="E156:E157"/>
    <mergeCell ref="B223:D223"/>
    <mergeCell ref="B91:B93"/>
    <mergeCell ref="C125:C126"/>
    <mergeCell ref="D101:D102"/>
    <mergeCell ref="E99:E100"/>
    <mergeCell ref="D123:D124"/>
    <mergeCell ref="E94:E96"/>
    <mergeCell ref="D183:D184"/>
    <mergeCell ref="B226:D226"/>
    <mergeCell ref="D66:D69"/>
    <mergeCell ref="E66:E69"/>
    <mergeCell ref="E148:E149"/>
    <mergeCell ref="E130:E131"/>
    <mergeCell ref="C91:C93"/>
    <mergeCell ref="E161:E162"/>
    <mergeCell ref="E133:E134"/>
    <mergeCell ref="E166:E167"/>
    <mergeCell ref="E183:E184"/>
  </mergeCells>
  <printOptions horizontalCentered="1"/>
  <pageMargins left="0.3937007874015748" right="0.3937007874015748" top="0.5905511811023623" bottom="0.5905511811023623" header="0" footer="0"/>
  <pageSetup firstPageNumber="1" useFirstPageNumber="1" fitToHeight="100" horizontalDpi="600" verticalDpi="600" orientation="landscape" paperSize="9" scale="17" r:id="rId1"/>
  <headerFooter scaleWithDoc="0" alignWithMargins="0">
    <oddFooter>&amp;R&amp;8Сторінка &amp;P</oddFooter>
  </headerFooter>
  <rowBreaks count="2" manualBreakCount="2">
    <brk id="160" min="1" max="10" man="1"/>
    <brk id="21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2019-03-01T09:30:06Z</cp:lastPrinted>
  <dcterms:created xsi:type="dcterms:W3CDTF">2014-01-17T10:52:16Z</dcterms:created>
  <dcterms:modified xsi:type="dcterms:W3CDTF">2019-03-01T12:07:43Z</dcterms:modified>
  <cp:category/>
  <cp:version/>
  <cp:contentType/>
  <cp:contentStatus/>
</cp:coreProperties>
</file>