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24.12.2019\6248-МР\"/>
    </mc:Choice>
  </mc:AlternateContent>
  <bookViews>
    <workbookView xWindow="0" yWindow="0" windowWidth="28800" windowHeight="13590" tabRatio="495" activeTab="1"/>
  </bookViews>
  <sheets>
    <sheet name="дод 3 " sheetId="1" r:id="rId1"/>
    <sheet name="дод 3-1" sheetId="3" r:id="rId2"/>
  </sheets>
  <definedNames>
    <definedName name="_xlnm.Print_Titles" localSheetId="0">'дод 3 '!$11:$13</definedName>
    <definedName name="_xlnm.Print_Titles" localSheetId="1">'дод 3-1'!$10:$12</definedName>
    <definedName name="_xlnm.Print_Area" localSheetId="0">'дод 3 '!$A$1:$Q$194</definedName>
    <definedName name="_xlnm.Print_Area" localSheetId="1">'дод 3-1'!$A$1:$O$145</definedName>
  </definedNames>
  <calcPr calcId="162913"/>
</workbook>
</file>

<file path=xl/calcChain.xml><?xml version="1.0" encoding="utf-8"?>
<calcChain xmlns="http://schemas.openxmlformats.org/spreadsheetml/2006/main">
  <c r="F133" i="1" l="1"/>
  <c r="O155" i="1"/>
  <c r="K155" i="1"/>
  <c r="O154" i="1"/>
  <c r="K154" i="1"/>
  <c r="O135" i="1"/>
  <c r="K135" i="1"/>
  <c r="O134" i="1"/>
  <c r="K134" i="1"/>
  <c r="O132" i="1"/>
  <c r="K132" i="1"/>
  <c r="O129" i="1"/>
  <c r="K129" i="1"/>
  <c r="O127" i="1"/>
  <c r="K127" i="1"/>
  <c r="E181" i="1" l="1"/>
  <c r="O35" i="1"/>
  <c r="K35" i="1"/>
  <c r="F35" i="1"/>
  <c r="G110" i="1" l="1"/>
  <c r="F110" i="1"/>
  <c r="F106" i="1" l="1"/>
  <c r="F102" i="1"/>
  <c r="O52" i="1"/>
  <c r="K52" i="1"/>
  <c r="G175" i="1"/>
  <c r="F175" i="1"/>
  <c r="G167" i="1"/>
  <c r="F167" i="1"/>
  <c r="G164" i="1"/>
  <c r="F164" i="1"/>
  <c r="G159" i="1"/>
  <c r="F159" i="1"/>
  <c r="O149" i="1"/>
  <c r="K149" i="1"/>
  <c r="G148" i="1"/>
  <c r="F148" i="1"/>
  <c r="G145" i="1"/>
  <c r="F145" i="1"/>
  <c r="I138" i="1"/>
  <c r="F138" i="1"/>
  <c r="F132" i="1"/>
  <c r="G125" i="1"/>
  <c r="F125" i="1"/>
  <c r="G115" i="1"/>
  <c r="F115" i="1"/>
  <c r="G88" i="1"/>
  <c r="F88" i="1"/>
  <c r="G72" i="1"/>
  <c r="F72" i="1"/>
  <c r="G49" i="1"/>
  <c r="F49" i="1"/>
  <c r="G16" i="1"/>
  <c r="F16" i="1"/>
  <c r="O128" i="1"/>
  <c r="K128" i="1"/>
  <c r="N116" i="3" l="1"/>
  <c r="N115" i="3" s="1"/>
  <c r="M116" i="3"/>
  <c r="M115" i="3" s="1"/>
  <c r="L116" i="3"/>
  <c r="L115" i="3" s="1"/>
  <c r="K116" i="3"/>
  <c r="K115" i="3" s="1"/>
  <c r="J116" i="3"/>
  <c r="J115" i="3" s="1"/>
  <c r="H116" i="3"/>
  <c r="H115" i="3" s="1"/>
  <c r="G116" i="3"/>
  <c r="G115" i="3" s="1"/>
  <c r="F116" i="3"/>
  <c r="F115" i="3" s="1"/>
  <c r="E116" i="3"/>
  <c r="E115" i="3" s="1"/>
  <c r="D116" i="3"/>
  <c r="D115" i="3" s="1"/>
  <c r="N70" i="1"/>
  <c r="M70" i="1"/>
  <c r="L70" i="1"/>
  <c r="I70" i="1"/>
  <c r="H70" i="1"/>
  <c r="G70" i="1"/>
  <c r="F70" i="1"/>
  <c r="J85" i="1"/>
  <c r="I116" i="3" s="1"/>
  <c r="I115" i="3" s="1"/>
  <c r="E85" i="1"/>
  <c r="P85" i="1" l="1"/>
  <c r="D90" i="1"/>
  <c r="O116" i="3" l="1"/>
  <c r="O115" i="3" s="1"/>
  <c r="F26" i="1"/>
  <c r="C154" i="1" l="1"/>
  <c r="D154" i="1"/>
  <c r="B154" i="1"/>
  <c r="E98" i="3"/>
  <c r="F98" i="3"/>
  <c r="G98" i="3"/>
  <c r="H98" i="3"/>
  <c r="J98" i="3"/>
  <c r="K98" i="3"/>
  <c r="L98" i="3"/>
  <c r="M98" i="3"/>
  <c r="N98" i="3"/>
  <c r="D98" i="3"/>
  <c r="G147" i="1"/>
  <c r="H147" i="1"/>
  <c r="I147" i="1"/>
  <c r="L147" i="1"/>
  <c r="M147" i="1"/>
  <c r="N147" i="1"/>
  <c r="J154" i="1"/>
  <c r="I98" i="3" s="1"/>
  <c r="F42" i="1"/>
  <c r="P154" i="1" l="1"/>
  <c r="O98" i="3" s="1"/>
  <c r="E32" i="3"/>
  <c r="F32" i="3"/>
  <c r="G32" i="3"/>
  <c r="H32" i="3"/>
  <c r="I32" i="3"/>
  <c r="J32" i="3"/>
  <c r="K32" i="3"/>
  <c r="L32" i="3"/>
  <c r="M32" i="3"/>
  <c r="N32" i="3"/>
  <c r="F48" i="1"/>
  <c r="H48" i="1"/>
  <c r="I48" i="1"/>
  <c r="L48" i="1"/>
  <c r="M48" i="1"/>
  <c r="N48" i="1"/>
  <c r="O48" i="1"/>
  <c r="E63" i="1"/>
  <c r="P63" i="1" s="1"/>
  <c r="O32" i="3" s="1"/>
  <c r="K53" i="1"/>
  <c r="K48" i="1" s="1"/>
  <c r="G53" i="1"/>
  <c r="G48" i="1" s="1"/>
  <c r="G52" i="1"/>
  <c r="F53" i="1"/>
  <c r="F52" i="1"/>
  <c r="J51" i="1"/>
  <c r="I19" i="3" s="1"/>
  <c r="O50" i="1"/>
  <c r="K50" i="1"/>
  <c r="E19" i="3"/>
  <c r="F19" i="3"/>
  <c r="G19" i="3"/>
  <c r="H19" i="3"/>
  <c r="J19" i="3"/>
  <c r="K19" i="3"/>
  <c r="L19" i="3"/>
  <c r="M19" i="3"/>
  <c r="N19" i="3"/>
  <c r="E51" i="1"/>
  <c r="D19" i="3" s="1"/>
  <c r="G50" i="1"/>
  <c r="F50" i="1"/>
  <c r="P51" i="1" l="1"/>
  <c r="O19" i="3" s="1"/>
  <c r="D32" i="3"/>
  <c r="O37" i="1"/>
  <c r="K37" i="1"/>
  <c r="F128" i="1" l="1"/>
  <c r="I128" i="1"/>
  <c r="D107" i="1" l="1"/>
  <c r="E134" i="3"/>
  <c r="F134" i="3"/>
  <c r="G134" i="3"/>
  <c r="H134" i="3"/>
  <c r="K134" i="3"/>
  <c r="L134" i="3"/>
  <c r="M134" i="3"/>
  <c r="E113" i="3"/>
  <c r="F113" i="3"/>
  <c r="G113" i="3"/>
  <c r="H113" i="3"/>
  <c r="J113" i="3"/>
  <c r="L113" i="3"/>
  <c r="M113" i="3"/>
  <c r="N113" i="3"/>
  <c r="F114" i="3"/>
  <c r="G114" i="3"/>
  <c r="H114" i="3"/>
  <c r="J114" i="3"/>
  <c r="K114" i="3"/>
  <c r="L114" i="3"/>
  <c r="M114" i="3"/>
  <c r="N114" i="3"/>
  <c r="E100" i="3"/>
  <c r="F100" i="3"/>
  <c r="G100" i="3"/>
  <c r="H100" i="3"/>
  <c r="J100" i="3"/>
  <c r="K100" i="3"/>
  <c r="L100" i="3"/>
  <c r="M100" i="3"/>
  <c r="N100" i="3"/>
  <c r="F90" i="3"/>
  <c r="G90" i="3"/>
  <c r="H90" i="3"/>
  <c r="J90" i="3"/>
  <c r="K90" i="3"/>
  <c r="L90" i="3"/>
  <c r="M90" i="3"/>
  <c r="N90" i="3"/>
  <c r="F14" i="3"/>
  <c r="G14" i="3"/>
  <c r="H14" i="3"/>
  <c r="J14" i="3"/>
  <c r="K14" i="3"/>
  <c r="L14" i="3"/>
  <c r="M14" i="3"/>
  <c r="N14" i="3"/>
  <c r="G124" i="1"/>
  <c r="H124" i="1"/>
  <c r="I124" i="1"/>
  <c r="M124" i="1"/>
  <c r="N124" i="1"/>
  <c r="G87" i="1"/>
  <c r="H87" i="1"/>
  <c r="I87" i="1"/>
  <c r="L87" i="1"/>
  <c r="M87" i="1"/>
  <c r="N87" i="1"/>
  <c r="G47" i="1"/>
  <c r="I47" i="1"/>
  <c r="L47" i="1"/>
  <c r="M47" i="1"/>
  <c r="N47" i="1"/>
  <c r="G174" i="1"/>
  <c r="H174" i="1"/>
  <c r="I174" i="1"/>
  <c r="K174" i="1"/>
  <c r="L174" i="1"/>
  <c r="M174" i="1"/>
  <c r="N174" i="1"/>
  <c r="O174" i="1"/>
  <c r="G166" i="1"/>
  <c r="H166" i="1"/>
  <c r="K166" i="1"/>
  <c r="L166" i="1"/>
  <c r="M166" i="1"/>
  <c r="N166" i="1"/>
  <c r="O166" i="1"/>
  <c r="G158" i="1"/>
  <c r="H158" i="1"/>
  <c r="I158" i="1"/>
  <c r="K158" i="1"/>
  <c r="L158" i="1"/>
  <c r="M158" i="1"/>
  <c r="N158" i="1"/>
  <c r="O158" i="1"/>
  <c r="G114" i="1"/>
  <c r="H114" i="1"/>
  <c r="I114" i="1"/>
  <c r="L114" i="1"/>
  <c r="M114" i="1"/>
  <c r="N114" i="1"/>
  <c r="G109" i="1"/>
  <c r="H109" i="1"/>
  <c r="I109" i="1"/>
  <c r="K109" i="1"/>
  <c r="L109" i="1"/>
  <c r="M109" i="1"/>
  <c r="N109" i="1"/>
  <c r="O109" i="1"/>
  <c r="G69" i="1"/>
  <c r="H69" i="1"/>
  <c r="I69" i="1"/>
  <c r="L69" i="1"/>
  <c r="M69" i="1"/>
  <c r="N69" i="1"/>
  <c r="G71" i="1"/>
  <c r="G184" i="1" s="1"/>
  <c r="H71" i="1"/>
  <c r="H184" i="1" s="1"/>
  <c r="I71" i="1"/>
  <c r="I184" i="1" s="1"/>
  <c r="K71" i="1"/>
  <c r="K184" i="1" s="1"/>
  <c r="L71" i="1"/>
  <c r="L184" i="1" s="1"/>
  <c r="M71" i="1"/>
  <c r="M184" i="1" s="1"/>
  <c r="N71" i="1"/>
  <c r="N184" i="1" s="1"/>
  <c r="O71" i="1"/>
  <c r="O184" i="1" s="1"/>
  <c r="G15" i="1"/>
  <c r="H15" i="1"/>
  <c r="I15" i="1"/>
  <c r="L15" i="1"/>
  <c r="M15" i="1"/>
  <c r="N15" i="1"/>
  <c r="F74" i="1" l="1"/>
  <c r="F71" i="1" s="1"/>
  <c r="F184" i="1" s="1"/>
  <c r="F91" i="1" l="1"/>
  <c r="F33" i="1" l="1"/>
  <c r="F29" i="1" l="1"/>
  <c r="H57" i="1" l="1"/>
  <c r="H47" i="1" s="1"/>
  <c r="O142" i="1"/>
  <c r="N134" i="3" s="1"/>
  <c r="K142" i="1"/>
  <c r="J134" i="3" s="1"/>
  <c r="F169" i="1" l="1"/>
  <c r="I169" i="1"/>
  <c r="I166" i="1" s="1"/>
  <c r="F57" i="1"/>
  <c r="F54" i="1" l="1"/>
  <c r="F172" i="1" l="1"/>
  <c r="E114" i="3" s="1"/>
  <c r="O139" i="1"/>
  <c r="O124" i="1" s="1"/>
  <c r="K139" i="1"/>
  <c r="K124" i="1" s="1"/>
  <c r="F147" i="1" l="1"/>
  <c r="F166" i="1"/>
  <c r="F158" i="1"/>
  <c r="F109" i="1"/>
  <c r="F69" i="1"/>
  <c r="F47" i="1"/>
  <c r="E14" i="3" l="1"/>
  <c r="O15" i="1"/>
  <c r="K15" i="1"/>
  <c r="O116" i="1"/>
  <c r="O114" i="1" s="1"/>
  <c r="K147" i="1"/>
  <c r="K116" i="1" l="1"/>
  <c r="K114" i="1" s="1"/>
  <c r="O105" i="1" l="1"/>
  <c r="K105" i="1"/>
  <c r="F117" i="1"/>
  <c r="D142" i="1" l="1"/>
  <c r="F36" i="1" l="1"/>
  <c r="F93" i="1" l="1"/>
  <c r="F180" i="1"/>
  <c r="F174" i="1" s="1"/>
  <c r="F120" i="1" l="1"/>
  <c r="F114" i="1" s="1"/>
  <c r="O77" i="1" l="1"/>
  <c r="K77" i="1"/>
  <c r="O70" i="1" l="1"/>
  <c r="O84" i="1"/>
  <c r="K84" i="1"/>
  <c r="O69" i="1" l="1"/>
  <c r="K70" i="1"/>
  <c r="K69" i="1" s="1"/>
  <c r="E125" i="3"/>
  <c r="F125" i="3"/>
  <c r="G125" i="3"/>
  <c r="H125" i="3"/>
  <c r="J125" i="3"/>
  <c r="K125" i="3"/>
  <c r="L125" i="3"/>
  <c r="M125" i="3"/>
  <c r="N125" i="3"/>
  <c r="J122" i="1"/>
  <c r="E122" i="1"/>
  <c r="C122" i="1"/>
  <c r="D122" i="1"/>
  <c r="B122" i="1"/>
  <c r="P122" i="1" l="1"/>
  <c r="E15" i="3"/>
  <c r="F15" i="3"/>
  <c r="G15" i="3"/>
  <c r="H15" i="3"/>
  <c r="J15" i="3"/>
  <c r="K15" i="3"/>
  <c r="L15" i="3"/>
  <c r="M15" i="3"/>
  <c r="N15" i="3"/>
  <c r="E18" i="3"/>
  <c r="F18" i="3"/>
  <c r="G18" i="3"/>
  <c r="H18" i="3"/>
  <c r="K18" i="3"/>
  <c r="L18" i="3"/>
  <c r="M18" i="3"/>
  <c r="N18" i="3"/>
  <c r="E20" i="3"/>
  <c r="F20" i="3"/>
  <c r="G20" i="3"/>
  <c r="H20" i="3"/>
  <c r="K20" i="3"/>
  <c r="L20" i="3"/>
  <c r="M20" i="3"/>
  <c r="E21" i="3"/>
  <c r="F21" i="3"/>
  <c r="G21" i="3"/>
  <c r="H21" i="3"/>
  <c r="J21" i="3"/>
  <c r="K21" i="3"/>
  <c r="L21" i="3"/>
  <c r="M21" i="3"/>
  <c r="N21" i="3"/>
  <c r="E22" i="3"/>
  <c r="F22" i="3"/>
  <c r="G22" i="3"/>
  <c r="H22" i="3"/>
  <c r="J22" i="3"/>
  <c r="K22" i="3"/>
  <c r="L22" i="3"/>
  <c r="M22" i="3"/>
  <c r="N22" i="3"/>
  <c r="E23" i="3"/>
  <c r="F23" i="3"/>
  <c r="G23" i="3"/>
  <c r="H23" i="3"/>
  <c r="J23" i="3"/>
  <c r="K23" i="3"/>
  <c r="L23" i="3"/>
  <c r="M23" i="3"/>
  <c r="N23" i="3"/>
  <c r="E24" i="3"/>
  <c r="F24" i="3"/>
  <c r="G24" i="3"/>
  <c r="H24" i="3"/>
  <c r="J24" i="3"/>
  <c r="K24" i="3"/>
  <c r="L24" i="3"/>
  <c r="M24" i="3"/>
  <c r="N24" i="3"/>
  <c r="E25" i="3"/>
  <c r="F25" i="3"/>
  <c r="G25" i="3"/>
  <c r="H25" i="3"/>
  <c r="J25" i="3"/>
  <c r="K25" i="3"/>
  <c r="L25" i="3"/>
  <c r="M25" i="3"/>
  <c r="E26" i="3"/>
  <c r="F26" i="3"/>
  <c r="G26" i="3"/>
  <c r="H26" i="3"/>
  <c r="J26" i="3"/>
  <c r="K26" i="3"/>
  <c r="L26" i="3"/>
  <c r="M26" i="3"/>
  <c r="N26" i="3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N30" i="3"/>
  <c r="E31" i="3"/>
  <c r="F31" i="3"/>
  <c r="G31" i="3"/>
  <c r="H31" i="3"/>
  <c r="J31" i="3"/>
  <c r="K31" i="3"/>
  <c r="L31" i="3"/>
  <c r="M31" i="3"/>
  <c r="N31" i="3"/>
  <c r="E35" i="3"/>
  <c r="F35" i="3"/>
  <c r="G35" i="3"/>
  <c r="H35" i="3"/>
  <c r="J35" i="3"/>
  <c r="K35" i="3"/>
  <c r="L35" i="3"/>
  <c r="M35" i="3"/>
  <c r="N35" i="3"/>
  <c r="E36" i="3"/>
  <c r="F36" i="3"/>
  <c r="G36" i="3"/>
  <c r="H36" i="3"/>
  <c r="J36" i="3"/>
  <c r="K36" i="3"/>
  <c r="L36" i="3"/>
  <c r="M36" i="3"/>
  <c r="N36" i="3"/>
  <c r="E37" i="3"/>
  <c r="F37" i="3"/>
  <c r="G37" i="3"/>
  <c r="H37" i="3"/>
  <c r="J37" i="3"/>
  <c r="K37" i="3"/>
  <c r="L37" i="3"/>
  <c r="M37" i="3"/>
  <c r="N37" i="3"/>
  <c r="E38" i="3"/>
  <c r="F38" i="3"/>
  <c r="G38" i="3"/>
  <c r="H38" i="3"/>
  <c r="J38" i="3"/>
  <c r="K38" i="3"/>
  <c r="L38" i="3"/>
  <c r="M38" i="3"/>
  <c r="N38" i="3"/>
  <c r="E39" i="3"/>
  <c r="F39" i="3"/>
  <c r="G39" i="3"/>
  <c r="H39" i="3"/>
  <c r="J39" i="3"/>
  <c r="K39" i="3"/>
  <c r="L39" i="3"/>
  <c r="M39" i="3"/>
  <c r="N39" i="3"/>
  <c r="E40" i="3"/>
  <c r="F40" i="3"/>
  <c r="G40" i="3"/>
  <c r="H40" i="3"/>
  <c r="J40" i="3"/>
  <c r="K40" i="3"/>
  <c r="L40" i="3"/>
  <c r="M40" i="3"/>
  <c r="N40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N45" i="3"/>
  <c r="E47" i="3"/>
  <c r="F47" i="3"/>
  <c r="G47" i="3"/>
  <c r="H47" i="3"/>
  <c r="K47" i="3"/>
  <c r="L47" i="3"/>
  <c r="M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2" i="3"/>
  <c r="F52" i="3"/>
  <c r="G52" i="3"/>
  <c r="H52" i="3"/>
  <c r="J52" i="3"/>
  <c r="K52" i="3"/>
  <c r="L52" i="3"/>
  <c r="M52" i="3"/>
  <c r="N52" i="3"/>
  <c r="E53" i="3"/>
  <c r="F53" i="3"/>
  <c r="G53" i="3"/>
  <c r="H53" i="3"/>
  <c r="J53" i="3"/>
  <c r="K53" i="3"/>
  <c r="L53" i="3"/>
  <c r="M53" i="3"/>
  <c r="N53" i="3"/>
  <c r="E54" i="3"/>
  <c r="F54" i="3"/>
  <c r="G54" i="3"/>
  <c r="H54" i="3"/>
  <c r="J54" i="3"/>
  <c r="K54" i="3"/>
  <c r="L54" i="3"/>
  <c r="M54" i="3"/>
  <c r="N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E62" i="3"/>
  <c r="F62" i="3"/>
  <c r="G62" i="3"/>
  <c r="H62" i="3"/>
  <c r="J62" i="3"/>
  <c r="K62" i="3"/>
  <c r="L62" i="3"/>
  <c r="M62" i="3"/>
  <c r="N62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E69" i="3"/>
  <c r="F69" i="3"/>
  <c r="G69" i="3"/>
  <c r="H69" i="3"/>
  <c r="J69" i="3"/>
  <c r="K69" i="3"/>
  <c r="L69" i="3"/>
  <c r="M69" i="3"/>
  <c r="N69" i="3"/>
  <c r="E71" i="3"/>
  <c r="F71" i="3"/>
  <c r="G71" i="3"/>
  <c r="H71" i="3"/>
  <c r="J71" i="3"/>
  <c r="K71" i="3"/>
  <c r="L71" i="3"/>
  <c r="M71" i="3"/>
  <c r="N71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6" i="3"/>
  <c r="F76" i="3"/>
  <c r="G76" i="3"/>
  <c r="H76" i="3"/>
  <c r="J76" i="3"/>
  <c r="K76" i="3"/>
  <c r="L76" i="3"/>
  <c r="M76" i="3"/>
  <c r="N76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E79" i="3"/>
  <c r="F79" i="3"/>
  <c r="G79" i="3"/>
  <c r="H79" i="3"/>
  <c r="J79" i="3"/>
  <c r="K79" i="3"/>
  <c r="L79" i="3"/>
  <c r="M79" i="3"/>
  <c r="N79" i="3"/>
  <c r="F80" i="3"/>
  <c r="G80" i="3"/>
  <c r="H80" i="3"/>
  <c r="J80" i="3"/>
  <c r="K80" i="3"/>
  <c r="L80" i="3"/>
  <c r="M80" i="3"/>
  <c r="N80" i="3"/>
  <c r="E81" i="3"/>
  <c r="F81" i="3"/>
  <c r="G81" i="3"/>
  <c r="H81" i="3"/>
  <c r="J81" i="3"/>
  <c r="K81" i="3"/>
  <c r="L81" i="3"/>
  <c r="M81" i="3"/>
  <c r="N81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3" i="3"/>
  <c r="E92" i="3" s="1"/>
  <c r="F93" i="3"/>
  <c r="F92" i="3" s="1"/>
  <c r="G93" i="3"/>
  <c r="G92" i="3" s="1"/>
  <c r="H93" i="3"/>
  <c r="H92" i="3" s="1"/>
  <c r="J93" i="3"/>
  <c r="J92" i="3" s="1"/>
  <c r="K93" i="3"/>
  <c r="K92" i="3" s="1"/>
  <c r="L93" i="3"/>
  <c r="L92" i="3" s="1"/>
  <c r="M93" i="3"/>
  <c r="M92" i="3" s="1"/>
  <c r="N93" i="3"/>
  <c r="N92" i="3" s="1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7" i="3"/>
  <c r="F97" i="3"/>
  <c r="G97" i="3"/>
  <c r="H97" i="3"/>
  <c r="J97" i="3"/>
  <c r="K97" i="3"/>
  <c r="L97" i="3"/>
  <c r="M97" i="3"/>
  <c r="N97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E103" i="3"/>
  <c r="E102" i="3" s="1"/>
  <c r="F103" i="3"/>
  <c r="F102" i="3" s="1"/>
  <c r="G103" i="3"/>
  <c r="G102" i="3" s="1"/>
  <c r="H103" i="3"/>
  <c r="H102" i="3" s="1"/>
  <c r="J103" i="3"/>
  <c r="J102" i="3" s="1"/>
  <c r="K103" i="3"/>
  <c r="K102" i="3" s="1"/>
  <c r="L103" i="3"/>
  <c r="L102" i="3" s="1"/>
  <c r="M103" i="3"/>
  <c r="M102" i="3" s="1"/>
  <c r="N103" i="3"/>
  <c r="N102" i="3" s="1"/>
  <c r="E105" i="3"/>
  <c r="E104" i="3" s="1"/>
  <c r="F105" i="3"/>
  <c r="F104" i="3" s="1"/>
  <c r="G105" i="3"/>
  <c r="G104" i="3" s="1"/>
  <c r="H105" i="3"/>
  <c r="H104" i="3" s="1"/>
  <c r="J105" i="3"/>
  <c r="J104" i="3" s="1"/>
  <c r="K105" i="3"/>
  <c r="K104" i="3" s="1"/>
  <c r="L105" i="3"/>
  <c r="L104" i="3" s="1"/>
  <c r="M105" i="3"/>
  <c r="M104" i="3" s="1"/>
  <c r="N105" i="3"/>
  <c r="N104" i="3" s="1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E109" i="3"/>
  <c r="F109" i="3"/>
  <c r="G109" i="3"/>
  <c r="H109" i="3"/>
  <c r="J109" i="3"/>
  <c r="K109" i="3"/>
  <c r="L109" i="3"/>
  <c r="M109" i="3"/>
  <c r="N109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F112" i="3"/>
  <c r="G112" i="3"/>
  <c r="H112" i="3"/>
  <c r="J112" i="3"/>
  <c r="K112" i="3"/>
  <c r="L112" i="3"/>
  <c r="M112" i="3"/>
  <c r="N112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2" i="3"/>
  <c r="E121" i="3" s="1"/>
  <c r="F122" i="3"/>
  <c r="F121" i="3" s="1"/>
  <c r="G122" i="3"/>
  <c r="G121" i="3" s="1"/>
  <c r="H122" i="3"/>
  <c r="H121" i="3" s="1"/>
  <c r="J122" i="3"/>
  <c r="J121" i="3" s="1"/>
  <c r="K122" i="3"/>
  <c r="K121" i="3" s="1"/>
  <c r="L122" i="3"/>
  <c r="L121" i="3" s="1"/>
  <c r="M122" i="3"/>
  <c r="M121" i="3" s="1"/>
  <c r="N122" i="3"/>
  <c r="N121" i="3" s="1"/>
  <c r="E124" i="3"/>
  <c r="E123" i="3" s="1"/>
  <c r="F124" i="3"/>
  <c r="F123" i="3" s="1"/>
  <c r="G124" i="3"/>
  <c r="H124" i="3"/>
  <c r="J124" i="3"/>
  <c r="K124" i="3"/>
  <c r="K123" i="3" s="1"/>
  <c r="L124" i="3"/>
  <c r="M124" i="3"/>
  <c r="M123" i="3" s="1"/>
  <c r="N124" i="3"/>
  <c r="E127" i="3"/>
  <c r="E126" i="3" s="1"/>
  <c r="F127" i="3"/>
  <c r="F126" i="3" s="1"/>
  <c r="G127" i="3"/>
  <c r="G126" i="3" s="1"/>
  <c r="H127" i="3"/>
  <c r="H126" i="3" s="1"/>
  <c r="J127" i="3"/>
  <c r="J126" i="3" s="1"/>
  <c r="K127" i="3"/>
  <c r="K126" i="3" s="1"/>
  <c r="L127" i="3"/>
  <c r="L126" i="3" s="1"/>
  <c r="M127" i="3"/>
  <c r="M126" i="3" s="1"/>
  <c r="N127" i="3"/>
  <c r="N126" i="3" s="1"/>
  <c r="E128" i="3"/>
  <c r="F128" i="3"/>
  <c r="G128" i="3"/>
  <c r="H128" i="3"/>
  <c r="J128" i="3"/>
  <c r="K128" i="3"/>
  <c r="L128" i="3"/>
  <c r="M128" i="3"/>
  <c r="N128" i="3"/>
  <c r="D129" i="3"/>
  <c r="E129" i="3"/>
  <c r="F129" i="3"/>
  <c r="G129" i="3"/>
  <c r="H129" i="3"/>
  <c r="J129" i="3"/>
  <c r="K129" i="3"/>
  <c r="L129" i="3"/>
  <c r="M129" i="3"/>
  <c r="N129" i="3"/>
  <c r="E132" i="3"/>
  <c r="E131" i="3" s="1"/>
  <c r="F132" i="3"/>
  <c r="F131" i="3" s="1"/>
  <c r="G132" i="3"/>
  <c r="G131" i="3" s="1"/>
  <c r="H132" i="3"/>
  <c r="H131" i="3" s="1"/>
  <c r="J132" i="3"/>
  <c r="J131" i="3" s="1"/>
  <c r="K132" i="3"/>
  <c r="K131" i="3" s="1"/>
  <c r="L132" i="3"/>
  <c r="L131" i="3" s="1"/>
  <c r="M132" i="3"/>
  <c r="M131" i="3" s="1"/>
  <c r="M130" i="3" s="1"/>
  <c r="N132" i="3"/>
  <c r="N131" i="3" s="1"/>
  <c r="E133" i="3"/>
  <c r="F133" i="3"/>
  <c r="G133" i="3"/>
  <c r="H133" i="3"/>
  <c r="J133" i="3"/>
  <c r="K133" i="3"/>
  <c r="L133" i="3"/>
  <c r="M133" i="3"/>
  <c r="N133" i="3"/>
  <c r="F32" i="1"/>
  <c r="O156" i="1"/>
  <c r="O147" i="1" s="1"/>
  <c r="L140" i="1"/>
  <c r="J50" i="1"/>
  <c r="I18" i="3" s="1"/>
  <c r="J176" i="1"/>
  <c r="J177" i="1"/>
  <c r="J178" i="1"/>
  <c r="I124" i="3" s="1"/>
  <c r="J179" i="1"/>
  <c r="J180" i="1"/>
  <c r="I128" i="3" s="1"/>
  <c r="J181" i="1"/>
  <c r="I129" i="3" s="1"/>
  <c r="J182" i="1"/>
  <c r="I132" i="3" s="1"/>
  <c r="I131" i="3" s="1"/>
  <c r="J175" i="1"/>
  <c r="J174" i="1" s="1"/>
  <c r="J168" i="1"/>
  <c r="I93" i="3" s="1"/>
  <c r="I92" i="3" s="1"/>
  <c r="J169" i="1"/>
  <c r="J170" i="1"/>
  <c r="I109" i="3" s="1"/>
  <c r="J171" i="1"/>
  <c r="I110" i="3" s="1"/>
  <c r="J172" i="1"/>
  <c r="J167" i="1"/>
  <c r="J164" i="1"/>
  <c r="J149" i="1"/>
  <c r="J150" i="1"/>
  <c r="I89" i="3" s="1"/>
  <c r="J151" i="1"/>
  <c r="J152" i="1"/>
  <c r="I96" i="3" s="1"/>
  <c r="J153" i="1"/>
  <c r="I97" i="3" s="1"/>
  <c r="J155" i="1"/>
  <c r="J159" i="1"/>
  <c r="J160" i="1"/>
  <c r="J161" i="1"/>
  <c r="J148" i="1"/>
  <c r="J145" i="1"/>
  <c r="J126" i="1"/>
  <c r="J127" i="1"/>
  <c r="I83" i="3" s="1"/>
  <c r="J128" i="1"/>
  <c r="I84" i="3" s="1"/>
  <c r="J129" i="1"/>
  <c r="I85" i="3" s="1"/>
  <c r="J130" i="1"/>
  <c r="I86" i="3" s="1"/>
  <c r="J131" i="1"/>
  <c r="I87" i="3" s="1"/>
  <c r="J132" i="1"/>
  <c r="J133" i="1"/>
  <c r="I90" i="3" s="1"/>
  <c r="J134" i="1"/>
  <c r="J135" i="1"/>
  <c r="J136" i="1"/>
  <c r="I100" i="3" s="1"/>
  <c r="J137" i="1"/>
  <c r="I101" i="3" s="1"/>
  <c r="J138" i="1"/>
  <c r="J139" i="1"/>
  <c r="J141" i="1"/>
  <c r="J142" i="1"/>
  <c r="J125" i="1"/>
  <c r="J117" i="1"/>
  <c r="I71" i="3" s="1"/>
  <c r="J118" i="1"/>
  <c r="J119" i="1"/>
  <c r="J120" i="1"/>
  <c r="J121" i="1"/>
  <c r="J115" i="1"/>
  <c r="J111" i="1"/>
  <c r="I55" i="3" s="1"/>
  <c r="J112" i="1"/>
  <c r="I56" i="3" s="1"/>
  <c r="J110" i="1"/>
  <c r="J90" i="1"/>
  <c r="I48" i="3" s="1"/>
  <c r="J91" i="1"/>
  <c r="J92" i="1"/>
  <c r="I50" i="3" s="1"/>
  <c r="J93" i="1"/>
  <c r="J94" i="1"/>
  <c r="I52" i="3" s="1"/>
  <c r="J95" i="1"/>
  <c r="I53" i="3" s="1"/>
  <c r="J96" i="1"/>
  <c r="I54" i="3" s="1"/>
  <c r="J97" i="1"/>
  <c r="I60" i="3" s="1"/>
  <c r="J98" i="1"/>
  <c r="I61" i="3" s="1"/>
  <c r="J99" i="1"/>
  <c r="I62" i="3" s="1"/>
  <c r="J100" i="1"/>
  <c r="I63" i="3" s="1"/>
  <c r="J101" i="1"/>
  <c r="I64" i="3" s="1"/>
  <c r="J102" i="1"/>
  <c r="I65" i="3" s="1"/>
  <c r="J103" i="1"/>
  <c r="I66" i="3" s="1"/>
  <c r="J104" i="1"/>
  <c r="J105" i="1"/>
  <c r="J106" i="1"/>
  <c r="J107" i="1"/>
  <c r="J88" i="1"/>
  <c r="J73" i="1"/>
  <c r="I35" i="3" s="1"/>
  <c r="J74" i="1"/>
  <c r="J75" i="1"/>
  <c r="I37" i="3" s="1"/>
  <c r="J76" i="1"/>
  <c r="I38" i="3" s="1"/>
  <c r="J77" i="1"/>
  <c r="I39" i="3" s="1"/>
  <c r="J78" i="1"/>
  <c r="I40" i="3" s="1"/>
  <c r="J79" i="1"/>
  <c r="I41" i="3" s="1"/>
  <c r="J80" i="1"/>
  <c r="I42" i="3" s="1"/>
  <c r="J81" i="1"/>
  <c r="I43" i="3" s="1"/>
  <c r="J82" i="1"/>
  <c r="I44" i="3" s="1"/>
  <c r="J83" i="1"/>
  <c r="I45" i="3" s="1"/>
  <c r="J72" i="1"/>
  <c r="J53" i="1"/>
  <c r="J54" i="1"/>
  <c r="I22" i="3" s="1"/>
  <c r="J55" i="1"/>
  <c r="I23" i="3" s="1"/>
  <c r="J56" i="1"/>
  <c r="I24" i="3" s="1"/>
  <c r="J57" i="1"/>
  <c r="I26" i="3" s="1"/>
  <c r="J58" i="1"/>
  <c r="I27" i="3" s="1"/>
  <c r="J59" i="1"/>
  <c r="I28" i="3" s="1"/>
  <c r="J60" i="1"/>
  <c r="I29" i="3" s="1"/>
  <c r="J61" i="1"/>
  <c r="I30" i="3" s="1"/>
  <c r="J62" i="1"/>
  <c r="I31" i="3" s="1"/>
  <c r="J64" i="1"/>
  <c r="J65" i="1"/>
  <c r="J66" i="1"/>
  <c r="J67" i="1"/>
  <c r="J68" i="1"/>
  <c r="J49" i="1"/>
  <c r="J17" i="1"/>
  <c r="I15" i="3" s="1"/>
  <c r="J18" i="1"/>
  <c r="J19" i="1"/>
  <c r="J20" i="1"/>
  <c r="I57" i="3" s="1"/>
  <c r="J21" i="1"/>
  <c r="I58" i="3" s="1"/>
  <c r="J22" i="1"/>
  <c r="J23" i="1"/>
  <c r="J24" i="1"/>
  <c r="J25" i="1"/>
  <c r="J26" i="1"/>
  <c r="J27" i="1"/>
  <c r="J28" i="1"/>
  <c r="I76" i="3" s="1"/>
  <c r="J29" i="1"/>
  <c r="I77" i="3" s="1"/>
  <c r="J30" i="1"/>
  <c r="J31" i="1"/>
  <c r="I79" i="3" s="1"/>
  <c r="J32" i="1"/>
  <c r="I80" i="3" s="1"/>
  <c r="J33" i="1"/>
  <c r="I81" i="3" s="1"/>
  <c r="J34" i="1"/>
  <c r="I103" i="3" s="1"/>
  <c r="I102" i="3" s="1"/>
  <c r="J35" i="1"/>
  <c r="I105" i="3" s="1"/>
  <c r="I104" i="3" s="1"/>
  <c r="J36" i="1"/>
  <c r="J37" i="1"/>
  <c r="J38" i="1"/>
  <c r="I112" i="3" s="1"/>
  <c r="J39" i="1"/>
  <c r="J40" i="1"/>
  <c r="J41" i="1"/>
  <c r="I119" i="3" s="1"/>
  <c r="J42" i="1"/>
  <c r="I120" i="3" s="1"/>
  <c r="J43" i="1"/>
  <c r="I122" i="3" s="1"/>
  <c r="I121" i="3" s="1"/>
  <c r="J44" i="1"/>
  <c r="J45" i="1"/>
  <c r="I127" i="3" s="1"/>
  <c r="I126" i="3" s="1"/>
  <c r="J16" i="1"/>
  <c r="K130" i="3" l="1"/>
  <c r="H130" i="3"/>
  <c r="I14" i="3"/>
  <c r="I13" i="3" s="1"/>
  <c r="I114" i="3"/>
  <c r="K113" i="3"/>
  <c r="K106" i="3" s="1"/>
  <c r="L124" i="1"/>
  <c r="N94" i="3"/>
  <c r="L94" i="3"/>
  <c r="J94" i="3"/>
  <c r="G94" i="3"/>
  <c r="G91" i="3" s="1"/>
  <c r="E94" i="3"/>
  <c r="M94" i="3"/>
  <c r="M91" i="3" s="1"/>
  <c r="K94" i="3"/>
  <c r="K91" i="3" s="1"/>
  <c r="H94" i="3"/>
  <c r="F94" i="3"/>
  <c r="J48" i="1"/>
  <c r="I134" i="3"/>
  <c r="I133" i="3" s="1"/>
  <c r="I130" i="3" s="1"/>
  <c r="N17" i="3"/>
  <c r="L17" i="3"/>
  <c r="J17" i="3"/>
  <c r="G17" i="3"/>
  <c r="E17" i="3"/>
  <c r="M17" i="3"/>
  <c r="K17" i="3"/>
  <c r="H17" i="3"/>
  <c r="F17" i="3"/>
  <c r="F136" i="3" s="1"/>
  <c r="F130" i="3"/>
  <c r="N130" i="3"/>
  <c r="L130" i="3"/>
  <c r="J130" i="3"/>
  <c r="G130" i="3"/>
  <c r="E130" i="3"/>
  <c r="N82" i="3"/>
  <c r="L82" i="3"/>
  <c r="J82" i="3"/>
  <c r="G82" i="3"/>
  <c r="M82" i="3"/>
  <c r="K82" i="3"/>
  <c r="H82" i="3"/>
  <c r="F82" i="3"/>
  <c r="L46" i="3"/>
  <c r="H46" i="3"/>
  <c r="F46" i="3"/>
  <c r="M46" i="3"/>
  <c r="K46" i="3"/>
  <c r="G46" i="3"/>
  <c r="I33" i="3"/>
  <c r="M34" i="3"/>
  <c r="K34" i="3"/>
  <c r="H34" i="3"/>
  <c r="F34" i="3"/>
  <c r="N33" i="3"/>
  <c r="L33" i="3"/>
  <c r="J33" i="3"/>
  <c r="G33" i="3"/>
  <c r="E33" i="3"/>
  <c r="N34" i="3"/>
  <c r="L34" i="3"/>
  <c r="J34" i="3"/>
  <c r="G34" i="3"/>
  <c r="E34" i="3"/>
  <c r="M33" i="3"/>
  <c r="K33" i="3"/>
  <c r="H33" i="3"/>
  <c r="F33" i="3"/>
  <c r="L16" i="3"/>
  <c r="H16" i="3"/>
  <c r="F16" i="3"/>
  <c r="M16" i="3"/>
  <c r="K16" i="3"/>
  <c r="G16" i="3"/>
  <c r="E16" i="3"/>
  <c r="I21" i="3"/>
  <c r="I17" i="3" s="1"/>
  <c r="J166" i="1"/>
  <c r="J158" i="1"/>
  <c r="J157" i="1" s="1"/>
  <c r="J156" i="1"/>
  <c r="J147" i="1" s="1"/>
  <c r="J109" i="1"/>
  <c r="I74" i="3"/>
  <c r="I72" i="3"/>
  <c r="I36" i="3"/>
  <c r="I34" i="3" s="1"/>
  <c r="J71" i="1"/>
  <c r="I111" i="3"/>
  <c r="I73" i="3"/>
  <c r="J15" i="1"/>
  <c r="E80" i="3"/>
  <c r="E75" i="3" s="1"/>
  <c r="I99" i="3"/>
  <c r="I95" i="3"/>
  <c r="L118" i="3"/>
  <c r="J118" i="3"/>
  <c r="G118" i="3"/>
  <c r="I69" i="3"/>
  <c r="I49" i="3"/>
  <c r="I125" i="3"/>
  <c r="I123" i="3" s="1"/>
  <c r="I107" i="3"/>
  <c r="I78" i="3"/>
  <c r="I75" i="3" s="1"/>
  <c r="I59" i="3"/>
  <c r="I67" i="3"/>
  <c r="N108" i="3"/>
  <c r="N106" i="3" s="1"/>
  <c r="N118" i="3"/>
  <c r="H118" i="3"/>
  <c r="M118" i="3"/>
  <c r="M117" i="3" s="1"/>
  <c r="K118" i="3"/>
  <c r="K117" i="3" s="1"/>
  <c r="F118" i="3"/>
  <c r="F117" i="3" s="1"/>
  <c r="E118" i="3"/>
  <c r="E117" i="3" s="1"/>
  <c r="L13" i="3"/>
  <c r="I88" i="3"/>
  <c r="I82" i="3" s="1"/>
  <c r="I118" i="3"/>
  <c r="M75" i="3"/>
  <c r="F75" i="3"/>
  <c r="I68" i="3"/>
  <c r="I51" i="3"/>
  <c r="N123" i="3"/>
  <c r="L123" i="3"/>
  <c r="J123" i="3"/>
  <c r="H123" i="3"/>
  <c r="G123" i="3"/>
  <c r="M106" i="3"/>
  <c r="F106" i="3"/>
  <c r="K75" i="3"/>
  <c r="L70" i="3"/>
  <c r="H70" i="3"/>
  <c r="N13" i="3"/>
  <c r="J13" i="3"/>
  <c r="H13" i="3"/>
  <c r="G13" i="3"/>
  <c r="M13" i="3"/>
  <c r="K13" i="3"/>
  <c r="F13" i="3"/>
  <c r="E13" i="3"/>
  <c r="L106" i="3"/>
  <c r="J106" i="3"/>
  <c r="H106" i="3"/>
  <c r="H91" i="3" s="1"/>
  <c r="G106" i="3"/>
  <c r="N70" i="3"/>
  <c r="J70" i="3"/>
  <c r="G70" i="3"/>
  <c r="M70" i="3"/>
  <c r="K70" i="3"/>
  <c r="F70" i="3"/>
  <c r="E70" i="3"/>
  <c r="N75" i="3"/>
  <c r="L75" i="3"/>
  <c r="J75" i="3"/>
  <c r="H75" i="3"/>
  <c r="G75" i="3"/>
  <c r="J140" i="1"/>
  <c r="I113" i="3" s="1"/>
  <c r="L91" i="3" l="1"/>
  <c r="F91" i="3"/>
  <c r="J91" i="3"/>
  <c r="N91" i="3"/>
  <c r="J184" i="1"/>
  <c r="K136" i="3"/>
  <c r="I94" i="3"/>
  <c r="J124" i="1"/>
  <c r="H136" i="3"/>
  <c r="M136" i="3"/>
  <c r="I136" i="3"/>
  <c r="E136" i="3"/>
  <c r="J136" i="3"/>
  <c r="N136" i="3"/>
  <c r="G136" i="3"/>
  <c r="L136" i="3"/>
  <c r="K135" i="3"/>
  <c r="F135" i="3"/>
  <c r="M135" i="3"/>
  <c r="I70" i="3"/>
  <c r="L117" i="3"/>
  <c r="G117" i="3"/>
  <c r="N117" i="3"/>
  <c r="J117" i="3"/>
  <c r="I117" i="3"/>
  <c r="H117" i="3"/>
  <c r="F38" i="1"/>
  <c r="F15" i="1" s="1"/>
  <c r="E178" i="1"/>
  <c r="D124" i="3" s="1"/>
  <c r="C178" i="1"/>
  <c r="D178" i="1"/>
  <c r="B178" i="1"/>
  <c r="E90" i="3" l="1"/>
  <c r="E82" i="3" s="1"/>
  <c r="F124" i="1"/>
  <c r="G135" i="3"/>
  <c r="L135" i="3"/>
  <c r="H135" i="3"/>
  <c r="E112" i="3"/>
  <c r="E106" i="3" s="1"/>
  <c r="E91" i="3" s="1"/>
  <c r="J84" i="1"/>
  <c r="J70" i="1" s="1"/>
  <c r="P178" i="1"/>
  <c r="O124" i="3" s="1"/>
  <c r="I108" i="3" l="1"/>
  <c r="I106" i="3" s="1"/>
  <c r="I91" i="3" s="1"/>
  <c r="J69" i="1"/>
  <c r="E137" i="1" l="1"/>
  <c r="C137" i="1"/>
  <c r="D137" i="1"/>
  <c r="B137" i="1"/>
  <c r="D101" i="3" l="1"/>
  <c r="P137" i="1"/>
  <c r="O101" i="3" s="1"/>
  <c r="F100" i="1"/>
  <c r="E63" i="3" l="1"/>
  <c r="F87" i="1"/>
  <c r="E46" i="3"/>
  <c r="E135" i="3" s="1"/>
  <c r="J18" i="3"/>
  <c r="N20" i="3" l="1"/>
  <c r="O47" i="1"/>
  <c r="J20" i="3"/>
  <c r="J16" i="3" s="1"/>
  <c r="K47" i="1"/>
  <c r="J52" i="1"/>
  <c r="I20" i="3" l="1"/>
  <c r="J47" i="1"/>
  <c r="N25" i="3"/>
  <c r="N16" i="3" s="1"/>
  <c r="J116" i="1"/>
  <c r="J114" i="1" s="1"/>
  <c r="D39" i="1"/>
  <c r="D161" i="1"/>
  <c r="D140" i="1"/>
  <c r="C118" i="1"/>
  <c r="D118" i="1"/>
  <c r="B118" i="1"/>
  <c r="D111" i="1"/>
  <c r="D62" i="1"/>
  <c r="D60" i="1"/>
  <c r="P181" i="1"/>
  <c r="O129" i="3" s="1"/>
  <c r="E176" i="1"/>
  <c r="E177" i="1"/>
  <c r="E179" i="1"/>
  <c r="E180" i="1"/>
  <c r="D128" i="3" s="1"/>
  <c r="E182" i="1"/>
  <c r="D132" i="3" s="1"/>
  <c r="D131" i="3" s="1"/>
  <c r="E175" i="1"/>
  <c r="E174" i="1" s="1"/>
  <c r="K173" i="1"/>
  <c r="L173" i="1"/>
  <c r="M173" i="1"/>
  <c r="N173" i="1"/>
  <c r="O173" i="1"/>
  <c r="F173" i="1"/>
  <c r="G173" i="1"/>
  <c r="H173" i="1"/>
  <c r="I173" i="1"/>
  <c r="E168" i="1"/>
  <c r="D93" i="3" s="1"/>
  <c r="D92" i="3" s="1"/>
  <c r="E169" i="1"/>
  <c r="E170" i="1"/>
  <c r="D109" i="3" s="1"/>
  <c r="E171" i="1"/>
  <c r="D110" i="3" s="1"/>
  <c r="E172" i="1"/>
  <c r="E167" i="1"/>
  <c r="K165" i="1"/>
  <c r="L165" i="1"/>
  <c r="M165" i="1"/>
  <c r="N165" i="1"/>
  <c r="O165" i="1"/>
  <c r="F165" i="1"/>
  <c r="G165" i="1"/>
  <c r="H165" i="1"/>
  <c r="I165" i="1"/>
  <c r="J163" i="1"/>
  <c r="J162" i="1" s="1"/>
  <c r="E164" i="1"/>
  <c r="K163" i="1"/>
  <c r="K162" i="1" s="1"/>
  <c r="L163" i="1"/>
  <c r="L162" i="1" s="1"/>
  <c r="M163" i="1"/>
  <c r="M162" i="1" s="1"/>
  <c r="N163" i="1"/>
  <c r="N162" i="1" s="1"/>
  <c r="O163" i="1"/>
  <c r="O162" i="1" s="1"/>
  <c r="F163" i="1"/>
  <c r="F162" i="1" s="1"/>
  <c r="G163" i="1"/>
  <c r="G162" i="1" s="1"/>
  <c r="H163" i="1"/>
  <c r="H162" i="1" s="1"/>
  <c r="I163" i="1"/>
  <c r="I162" i="1" s="1"/>
  <c r="E163" i="1"/>
  <c r="E162" i="1" s="1"/>
  <c r="E160" i="1"/>
  <c r="E161" i="1"/>
  <c r="E159" i="1"/>
  <c r="K157" i="1"/>
  <c r="L157" i="1"/>
  <c r="M157" i="1"/>
  <c r="N157" i="1"/>
  <c r="O157" i="1"/>
  <c r="F157" i="1"/>
  <c r="G157" i="1"/>
  <c r="H157" i="1"/>
  <c r="I157" i="1"/>
  <c r="E149" i="1"/>
  <c r="E150" i="1"/>
  <c r="D89" i="3" s="1"/>
  <c r="E151" i="1"/>
  <c r="E152" i="1"/>
  <c r="D96" i="3" s="1"/>
  <c r="E153" i="1"/>
  <c r="D97" i="3" s="1"/>
  <c r="E155" i="1"/>
  <c r="E156" i="1"/>
  <c r="E148" i="1"/>
  <c r="K146" i="1"/>
  <c r="M146" i="1"/>
  <c r="N146" i="1"/>
  <c r="O146" i="1"/>
  <c r="F146" i="1"/>
  <c r="G146" i="1"/>
  <c r="H146" i="1"/>
  <c r="I146" i="1"/>
  <c r="J144" i="1"/>
  <c r="J143" i="1" s="1"/>
  <c r="E145" i="1"/>
  <c r="E144" i="1" s="1"/>
  <c r="E143" i="1" s="1"/>
  <c r="K144" i="1"/>
  <c r="K143" i="1" s="1"/>
  <c r="L144" i="1"/>
  <c r="L143" i="1" s="1"/>
  <c r="M144" i="1"/>
  <c r="M143" i="1" s="1"/>
  <c r="N144" i="1"/>
  <c r="N143" i="1" s="1"/>
  <c r="O144" i="1"/>
  <c r="O143" i="1" s="1"/>
  <c r="F144" i="1"/>
  <c r="F143" i="1" s="1"/>
  <c r="G144" i="1"/>
  <c r="G143" i="1" s="1"/>
  <c r="H144" i="1"/>
  <c r="H143" i="1" s="1"/>
  <c r="I144" i="1"/>
  <c r="I143" i="1" s="1"/>
  <c r="E126" i="1"/>
  <c r="P126" i="1" s="1"/>
  <c r="E127" i="1"/>
  <c r="D83" i="3" s="1"/>
  <c r="E128" i="1"/>
  <c r="E129" i="1"/>
  <c r="D85" i="3" s="1"/>
  <c r="E130" i="1"/>
  <c r="D86" i="3" s="1"/>
  <c r="E131" i="1"/>
  <c r="D87" i="3" s="1"/>
  <c r="E132" i="1"/>
  <c r="E133" i="1"/>
  <c r="D90" i="3" s="1"/>
  <c r="E134" i="1"/>
  <c r="E135" i="1"/>
  <c r="P135" i="1" s="1"/>
  <c r="E136" i="1"/>
  <c r="D100" i="3" s="1"/>
  <c r="E138" i="1"/>
  <c r="E139" i="1"/>
  <c r="P139" i="1" s="1"/>
  <c r="E140" i="1"/>
  <c r="P140" i="1" s="1"/>
  <c r="E141" i="1"/>
  <c r="P141" i="1" s="1"/>
  <c r="E142" i="1"/>
  <c r="E125" i="1"/>
  <c r="K123" i="1"/>
  <c r="L123" i="1"/>
  <c r="M123" i="1"/>
  <c r="N123" i="1"/>
  <c r="O123" i="1"/>
  <c r="F123" i="1"/>
  <c r="G123" i="1"/>
  <c r="H123" i="1"/>
  <c r="I123" i="1"/>
  <c r="E116" i="1"/>
  <c r="D25" i="3" s="1"/>
  <c r="E117" i="1"/>
  <c r="D71" i="3" s="1"/>
  <c r="E118" i="1"/>
  <c r="E119" i="1"/>
  <c r="E120" i="1"/>
  <c r="E121" i="1"/>
  <c r="E115" i="1"/>
  <c r="K113" i="1"/>
  <c r="L113" i="1"/>
  <c r="M113" i="1"/>
  <c r="N113" i="1"/>
  <c r="F113" i="1"/>
  <c r="G113" i="1"/>
  <c r="H113" i="1"/>
  <c r="I113" i="1"/>
  <c r="E111" i="1"/>
  <c r="D55" i="3" s="1"/>
  <c r="E112" i="1"/>
  <c r="D56" i="3" s="1"/>
  <c r="E110" i="1"/>
  <c r="K108" i="1"/>
  <c r="L108" i="1"/>
  <c r="M108" i="1"/>
  <c r="N108" i="1"/>
  <c r="O108" i="1"/>
  <c r="F108" i="1"/>
  <c r="G108" i="1"/>
  <c r="H108" i="1"/>
  <c r="I108" i="1"/>
  <c r="E89" i="1"/>
  <c r="D47" i="3" s="1"/>
  <c r="E90" i="1"/>
  <c r="D48" i="3" s="1"/>
  <c r="E91" i="1"/>
  <c r="E92" i="1"/>
  <c r="D50" i="3" s="1"/>
  <c r="E93" i="1"/>
  <c r="E94" i="1"/>
  <c r="D52" i="3" s="1"/>
  <c r="E95" i="1"/>
  <c r="D53" i="3" s="1"/>
  <c r="E96" i="1"/>
  <c r="D54" i="3" s="1"/>
  <c r="E97" i="1"/>
  <c r="D60" i="3" s="1"/>
  <c r="E98" i="1"/>
  <c r="E99" i="1"/>
  <c r="D62" i="3" s="1"/>
  <c r="E100" i="1"/>
  <c r="D63" i="3" s="1"/>
  <c r="E101" i="1"/>
  <c r="D64" i="3" s="1"/>
  <c r="E102" i="1"/>
  <c r="D65" i="3" s="1"/>
  <c r="E103" i="1"/>
  <c r="D66" i="3" s="1"/>
  <c r="E104" i="1"/>
  <c r="E105" i="1"/>
  <c r="E106" i="1"/>
  <c r="P106" i="1" s="1"/>
  <c r="E107" i="1"/>
  <c r="E88" i="1"/>
  <c r="L86" i="1"/>
  <c r="M86" i="1"/>
  <c r="N86" i="1"/>
  <c r="F86" i="1"/>
  <c r="G86" i="1"/>
  <c r="H86" i="1"/>
  <c r="I86" i="1"/>
  <c r="E73" i="1"/>
  <c r="D35" i="3" s="1"/>
  <c r="E74" i="1"/>
  <c r="E75" i="1"/>
  <c r="D37" i="3" s="1"/>
  <c r="E76" i="1"/>
  <c r="D38" i="3" s="1"/>
  <c r="E77" i="1"/>
  <c r="D39" i="3" s="1"/>
  <c r="E78" i="1"/>
  <c r="D40" i="3" s="1"/>
  <c r="E79" i="1"/>
  <c r="D41" i="3" s="1"/>
  <c r="E80" i="1"/>
  <c r="D42" i="3" s="1"/>
  <c r="E81" i="1"/>
  <c r="D43" i="3" s="1"/>
  <c r="E82" i="1"/>
  <c r="D44" i="3" s="1"/>
  <c r="E83" i="1"/>
  <c r="D45" i="3" s="1"/>
  <c r="E84" i="1"/>
  <c r="E72" i="1"/>
  <c r="E70" i="1" s="1"/>
  <c r="K46" i="1"/>
  <c r="L46" i="1"/>
  <c r="M46" i="1"/>
  <c r="N46" i="1"/>
  <c r="O46" i="1"/>
  <c r="F46" i="1"/>
  <c r="G46" i="1"/>
  <c r="H46" i="1"/>
  <c r="I46" i="1"/>
  <c r="E50" i="1"/>
  <c r="D18" i="3" s="1"/>
  <c r="E52" i="1"/>
  <c r="D20" i="3" s="1"/>
  <c r="E53" i="1"/>
  <c r="E54" i="1"/>
  <c r="D22" i="3" s="1"/>
  <c r="E55" i="1"/>
  <c r="D23" i="3" s="1"/>
  <c r="E56" i="1"/>
  <c r="D24" i="3" s="1"/>
  <c r="E57" i="1"/>
  <c r="D26" i="3" s="1"/>
  <c r="E58" i="1"/>
  <c r="D27" i="3" s="1"/>
  <c r="E59" i="1"/>
  <c r="D28" i="3" s="1"/>
  <c r="E60" i="1"/>
  <c r="D29" i="3" s="1"/>
  <c r="E61" i="1"/>
  <c r="D30" i="3" s="1"/>
  <c r="E62" i="1"/>
  <c r="D31" i="3" s="1"/>
  <c r="E64" i="1"/>
  <c r="E65" i="1"/>
  <c r="E66" i="1"/>
  <c r="E67" i="1"/>
  <c r="E68" i="1"/>
  <c r="P68" i="1" s="1"/>
  <c r="E49" i="1"/>
  <c r="E17" i="1"/>
  <c r="D15" i="3" s="1"/>
  <c r="E18" i="1"/>
  <c r="E19" i="1"/>
  <c r="E20" i="1"/>
  <c r="D57" i="3" s="1"/>
  <c r="E21" i="1"/>
  <c r="D58" i="3" s="1"/>
  <c r="E22" i="1"/>
  <c r="E23" i="1"/>
  <c r="E24" i="1"/>
  <c r="E25" i="1"/>
  <c r="E26" i="1"/>
  <c r="E27" i="1"/>
  <c r="E28" i="1"/>
  <c r="D76" i="3" s="1"/>
  <c r="E29" i="1"/>
  <c r="D77" i="3" s="1"/>
  <c r="E30" i="1"/>
  <c r="E31" i="1"/>
  <c r="D79" i="3" s="1"/>
  <c r="E32" i="1"/>
  <c r="D80" i="3" s="1"/>
  <c r="E33" i="1"/>
  <c r="D81" i="3" s="1"/>
  <c r="E34" i="1"/>
  <c r="D103" i="3" s="1"/>
  <c r="D102" i="3" s="1"/>
  <c r="E35" i="1"/>
  <c r="D105" i="3" s="1"/>
  <c r="D104" i="3" s="1"/>
  <c r="E36" i="1"/>
  <c r="E37" i="1"/>
  <c r="E38" i="1"/>
  <c r="D112" i="3" s="1"/>
  <c r="E39" i="1"/>
  <c r="E40" i="1"/>
  <c r="E41" i="1"/>
  <c r="D119" i="3" s="1"/>
  <c r="E42" i="1"/>
  <c r="D120" i="3" s="1"/>
  <c r="E43" i="1"/>
  <c r="D122" i="3" s="1"/>
  <c r="D121" i="3" s="1"/>
  <c r="E44" i="1"/>
  <c r="E45" i="1"/>
  <c r="D127" i="3" s="1"/>
  <c r="D126" i="3" s="1"/>
  <c r="E16" i="1"/>
  <c r="K14" i="1"/>
  <c r="M14" i="1"/>
  <c r="N14" i="1"/>
  <c r="O14" i="1"/>
  <c r="F14" i="1"/>
  <c r="G14" i="1"/>
  <c r="H14" i="1"/>
  <c r="I14" i="1"/>
  <c r="L14" i="1"/>
  <c r="H183" i="1" l="1"/>
  <c r="N183" i="1"/>
  <c r="D114" i="3"/>
  <c r="I183" i="1"/>
  <c r="M183" i="1"/>
  <c r="P142" i="1"/>
  <c r="D134" i="3"/>
  <c r="D133" i="3" s="1"/>
  <c r="D130" i="3" s="1"/>
  <c r="D113" i="3"/>
  <c r="E48" i="1"/>
  <c r="E87" i="1"/>
  <c r="E86" i="1" s="1"/>
  <c r="G183" i="1"/>
  <c r="F183" i="1"/>
  <c r="E47" i="1"/>
  <c r="D14" i="3"/>
  <c r="D13" i="3" s="1"/>
  <c r="D84" i="3"/>
  <c r="E124" i="1"/>
  <c r="E123" i="1" s="1"/>
  <c r="D33" i="3"/>
  <c r="D16" i="3"/>
  <c r="D21" i="3"/>
  <c r="D17" i="3" s="1"/>
  <c r="E158" i="1"/>
  <c r="E157" i="1" s="1"/>
  <c r="E166" i="1"/>
  <c r="E165" i="1" s="1"/>
  <c r="E147" i="1"/>
  <c r="E146" i="1" s="1"/>
  <c r="D88" i="3"/>
  <c r="E114" i="1"/>
  <c r="E113" i="1" s="1"/>
  <c r="E109" i="1"/>
  <c r="E108" i="1" s="1"/>
  <c r="D111" i="3"/>
  <c r="E71" i="1"/>
  <c r="E15" i="1"/>
  <c r="E14" i="1" s="1"/>
  <c r="D36" i="3"/>
  <c r="D34" i="3" s="1"/>
  <c r="D61" i="3"/>
  <c r="D107" i="3"/>
  <c r="P125" i="1"/>
  <c r="O113" i="1"/>
  <c r="D73" i="3"/>
  <c r="D108" i="3"/>
  <c r="D67" i="3"/>
  <c r="D95" i="3"/>
  <c r="D125" i="3"/>
  <c r="D123" i="3" s="1"/>
  <c r="D74" i="3"/>
  <c r="D72" i="3"/>
  <c r="D99" i="3"/>
  <c r="I25" i="3"/>
  <c r="I16" i="3" s="1"/>
  <c r="J113" i="1"/>
  <c r="D118" i="3"/>
  <c r="D69" i="3"/>
  <c r="D78" i="3"/>
  <c r="D75" i="3" s="1"/>
  <c r="D59" i="3"/>
  <c r="P107" i="1"/>
  <c r="D68" i="3"/>
  <c r="D51" i="3"/>
  <c r="D49" i="3"/>
  <c r="P16" i="1"/>
  <c r="P44" i="1"/>
  <c r="P42" i="1"/>
  <c r="O120" i="3" s="1"/>
  <c r="P40" i="1"/>
  <c r="P38" i="1"/>
  <c r="O112" i="3" s="1"/>
  <c r="P36" i="1"/>
  <c r="P66" i="1"/>
  <c r="P64" i="1"/>
  <c r="P62" i="1"/>
  <c r="O31" i="3" s="1"/>
  <c r="P61" i="1"/>
  <c r="O30" i="3" s="1"/>
  <c r="P60" i="1"/>
  <c r="O29" i="3" s="1"/>
  <c r="P58" i="1"/>
  <c r="O27" i="3" s="1"/>
  <c r="P56" i="1"/>
  <c r="O24" i="3" s="1"/>
  <c r="P54" i="1"/>
  <c r="O22" i="3" s="1"/>
  <c r="P52" i="1"/>
  <c r="O20" i="3" s="1"/>
  <c r="P72" i="1"/>
  <c r="E69" i="1"/>
  <c r="P103" i="1"/>
  <c r="O66" i="3" s="1"/>
  <c r="P101" i="1"/>
  <c r="O64" i="3" s="1"/>
  <c r="P99" i="1"/>
  <c r="O62" i="3" s="1"/>
  <c r="P97" i="1"/>
  <c r="O60" i="3" s="1"/>
  <c r="P95" i="1"/>
  <c r="O53" i="3" s="1"/>
  <c r="P93" i="1"/>
  <c r="P91" i="1"/>
  <c r="P133" i="1"/>
  <c r="P131" i="1"/>
  <c r="O87" i="3" s="1"/>
  <c r="P128" i="1"/>
  <c r="O84" i="3" s="1"/>
  <c r="P152" i="1"/>
  <c r="O96" i="3" s="1"/>
  <c r="P182" i="1"/>
  <c r="O132" i="3" s="1"/>
  <c r="O131" i="3" s="1"/>
  <c r="P45" i="1"/>
  <c r="O127" i="3" s="1"/>
  <c r="O126" i="3" s="1"/>
  <c r="P43" i="1"/>
  <c r="O122" i="3" s="1"/>
  <c r="O121" i="3" s="1"/>
  <c r="P41" i="1"/>
  <c r="O119" i="3" s="1"/>
  <c r="P39" i="1"/>
  <c r="P37" i="1"/>
  <c r="O111" i="3" s="1"/>
  <c r="P35" i="1"/>
  <c r="O105" i="3" s="1"/>
  <c r="O104" i="3" s="1"/>
  <c r="P67" i="1"/>
  <c r="P65" i="1"/>
  <c r="P59" i="1"/>
  <c r="O28" i="3" s="1"/>
  <c r="P57" i="1"/>
  <c r="O26" i="3" s="1"/>
  <c r="P55" i="1"/>
  <c r="O23" i="3" s="1"/>
  <c r="P53" i="1"/>
  <c r="P88" i="1"/>
  <c r="P104" i="1"/>
  <c r="O67" i="3" s="1"/>
  <c r="P102" i="1"/>
  <c r="O65" i="3" s="1"/>
  <c r="P100" i="1"/>
  <c r="O63" i="3" s="1"/>
  <c r="P98" i="1"/>
  <c r="O61" i="3" s="1"/>
  <c r="P96" i="1"/>
  <c r="O54" i="3" s="1"/>
  <c r="P94" i="1"/>
  <c r="O52" i="3" s="1"/>
  <c r="P92" i="1"/>
  <c r="O50" i="3" s="1"/>
  <c r="P90" i="1"/>
  <c r="O48" i="3" s="1"/>
  <c r="P136" i="1"/>
  <c r="O100" i="3" s="1"/>
  <c r="P132" i="1"/>
  <c r="P130" i="1"/>
  <c r="O86" i="3" s="1"/>
  <c r="P129" i="1"/>
  <c r="O85" i="3" s="1"/>
  <c r="P153" i="1"/>
  <c r="O97" i="3" s="1"/>
  <c r="P175" i="1"/>
  <c r="E173" i="1"/>
  <c r="J123" i="1"/>
  <c r="P138" i="1"/>
  <c r="P159" i="1"/>
  <c r="P160" i="1"/>
  <c r="P170" i="1"/>
  <c r="O109" i="3" s="1"/>
  <c r="J165" i="1"/>
  <c r="P179" i="1"/>
  <c r="P176" i="1"/>
  <c r="P112" i="1"/>
  <c r="O56" i="3" s="1"/>
  <c r="P111" i="1"/>
  <c r="O55" i="3" s="1"/>
  <c r="P34" i="1"/>
  <c r="O103" i="3" s="1"/>
  <c r="O102" i="3" s="1"/>
  <c r="P30" i="1"/>
  <c r="P28" i="1"/>
  <c r="O76" i="3" s="1"/>
  <c r="P26" i="1"/>
  <c r="P24" i="1"/>
  <c r="P22" i="1"/>
  <c r="P20" i="1"/>
  <c r="O57" i="3" s="1"/>
  <c r="P18" i="1"/>
  <c r="P115" i="1"/>
  <c r="P156" i="1"/>
  <c r="P164" i="1"/>
  <c r="P163" i="1" s="1"/>
  <c r="P162" i="1" s="1"/>
  <c r="P171" i="1"/>
  <c r="O110" i="3" s="1"/>
  <c r="P169" i="1"/>
  <c r="P168" i="1"/>
  <c r="O93" i="3" s="1"/>
  <c r="O92" i="3" s="1"/>
  <c r="P172" i="1"/>
  <c r="P134" i="1"/>
  <c r="P33" i="1"/>
  <c r="O81" i="3" s="1"/>
  <c r="P31" i="1"/>
  <c r="O79" i="3" s="1"/>
  <c r="P29" i="1"/>
  <c r="O77" i="3" s="1"/>
  <c r="P27" i="1"/>
  <c r="P23" i="1"/>
  <c r="P21" i="1"/>
  <c r="O58" i="3" s="1"/>
  <c r="P19" i="1"/>
  <c r="P84" i="1"/>
  <c r="P83" i="1"/>
  <c r="O45" i="3" s="1"/>
  <c r="P82" i="1"/>
  <c r="O44" i="3" s="1"/>
  <c r="P80" i="1"/>
  <c r="O42" i="3" s="1"/>
  <c r="P79" i="1"/>
  <c r="O41" i="3" s="1"/>
  <c r="P77" i="1"/>
  <c r="O39" i="3" s="1"/>
  <c r="P75" i="1"/>
  <c r="O37" i="3" s="1"/>
  <c r="P73" i="1"/>
  <c r="O35" i="3" s="1"/>
  <c r="P81" i="1"/>
  <c r="O43" i="3" s="1"/>
  <c r="P78" i="1"/>
  <c r="O40" i="3" s="1"/>
  <c r="P76" i="1"/>
  <c r="O38" i="3" s="1"/>
  <c r="P74" i="1"/>
  <c r="J108" i="1"/>
  <c r="P120" i="1"/>
  <c r="P121" i="1"/>
  <c r="P117" i="1"/>
  <c r="O71" i="3" s="1"/>
  <c r="P155" i="1"/>
  <c r="O99" i="3" s="1"/>
  <c r="P151" i="1"/>
  <c r="P17" i="1"/>
  <c r="O15" i="3" s="1"/>
  <c r="P25" i="1"/>
  <c r="P127" i="1"/>
  <c r="O83" i="3" s="1"/>
  <c r="P161" i="1"/>
  <c r="P32" i="1"/>
  <c r="O80" i="3" s="1"/>
  <c r="P50" i="1"/>
  <c r="O18" i="3" s="1"/>
  <c r="P110" i="1"/>
  <c r="P119" i="1"/>
  <c r="P118" i="1"/>
  <c r="P177" i="1"/>
  <c r="P148" i="1"/>
  <c r="P149" i="1"/>
  <c r="P180" i="1"/>
  <c r="O128" i="3" s="1"/>
  <c r="J173" i="1"/>
  <c r="J46" i="1"/>
  <c r="E46" i="1"/>
  <c r="P167" i="1"/>
  <c r="P145" i="1"/>
  <c r="P144" i="1" s="1"/>
  <c r="P143" i="1" s="1"/>
  <c r="P49" i="1"/>
  <c r="J14" i="1"/>
  <c r="P105" i="1"/>
  <c r="P116" i="1"/>
  <c r="O25" i="3" s="1"/>
  <c r="P70" i="1" l="1"/>
  <c r="O114" i="3"/>
  <c r="D94" i="3"/>
  <c r="E184" i="1"/>
  <c r="O14" i="3"/>
  <c r="O13" i="3" s="1"/>
  <c r="P48" i="1"/>
  <c r="O113" i="3"/>
  <c r="O90" i="3"/>
  <c r="O134" i="3"/>
  <c r="O133" i="3" s="1"/>
  <c r="O130" i="3" s="1"/>
  <c r="D82" i="3"/>
  <c r="E183" i="1"/>
  <c r="P124" i="1"/>
  <c r="D136" i="3"/>
  <c r="D46" i="3"/>
  <c r="O33" i="3"/>
  <c r="O16" i="3"/>
  <c r="O21" i="3"/>
  <c r="O17" i="3" s="1"/>
  <c r="P47" i="1"/>
  <c r="P46" i="1" s="1"/>
  <c r="P174" i="1"/>
  <c r="P166" i="1"/>
  <c r="P158" i="1"/>
  <c r="P114" i="1"/>
  <c r="P109" i="1"/>
  <c r="O36" i="3"/>
  <c r="O34" i="3" s="1"/>
  <c r="P71" i="1"/>
  <c r="P69" i="1"/>
  <c r="P15" i="1"/>
  <c r="O95" i="3"/>
  <c r="O94" i="3" s="1"/>
  <c r="D106" i="3"/>
  <c r="D91" i="3" s="1"/>
  <c r="O68" i="3"/>
  <c r="D117" i="3"/>
  <c r="D70" i="3"/>
  <c r="O107" i="3"/>
  <c r="O125" i="3"/>
  <c r="O123" i="3" s="1"/>
  <c r="O118" i="3"/>
  <c r="O88" i="3"/>
  <c r="O74" i="3"/>
  <c r="O73" i="3"/>
  <c r="O69" i="3"/>
  <c r="O51" i="3"/>
  <c r="O78" i="3"/>
  <c r="O75" i="3" s="1"/>
  <c r="O72" i="3"/>
  <c r="O108" i="3"/>
  <c r="O49" i="3"/>
  <c r="O59" i="3"/>
  <c r="L146" i="1"/>
  <c r="L183" i="1" s="1"/>
  <c r="P184" i="1" l="1"/>
  <c r="O136" i="3"/>
  <c r="D135" i="3"/>
  <c r="O117" i="3"/>
  <c r="O106" i="3"/>
  <c r="O91" i="3" s="1"/>
  <c r="O70" i="3"/>
  <c r="P150" i="1"/>
  <c r="P147" i="1" s="1"/>
  <c r="J146" i="1"/>
  <c r="O89" i="3" l="1"/>
  <c r="O82" i="3" s="1"/>
  <c r="O89" i="1" l="1"/>
  <c r="K89" i="1"/>
  <c r="J47" i="3" l="1"/>
  <c r="J46" i="3" s="1"/>
  <c r="J135" i="3" s="1"/>
  <c r="K87" i="1"/>
  <c r="K86" i="1" s="1"/>
  <c r="K183" i="1" s="1"/>
  <c r="N47" i="3"/>
  <c r="O87" i="1"/>
  <c r="O86" i="1" s="1"/>
  <c r="O183" i="1" s="1"/>
  <c r="N46" i="3"/>
  <c r="N135" i="3" s="1"/>
  <c r="J89" i="1"/>
  <c r="I47" i="3" l="1"/>
  <c r="I46" i="3" s="1"/>
  <c r="I135" i="3" s="1"/>
  <c r="J87" i="1"/>
  <c r="P89" i="1"/>
  <c r="P14" i="1"/>
  <c r="P157" i="1"/>
  <c r="P173" i="1"/>
  <c r="O47" i="3" l="1"/>
  <c r="P87" i="1"/>
  <c r="P86" i="1" s="1"/>
  <c r="O46" i="3"/>
  <c r="O135" i="3" s="1"/>
  <c r="J86" i="1"/>
  <c r="J183" i="1" s="1"/>
  <c r="P165" i="1"/>
  <c r="P146" i="1"/>
  <c r="P123" i="1"/>
  <c r="P113" i="1"/>
  <c r="P108" i="1"/>
  <c r="P183" i="1" l="1"/>
  <c r="C42" i="1" l="1"/>
  <c r="C177" i="1" l="1"/>
  <c r="D177" i="1"/>
  <c r="B177" i="1"/>
  <c r="C139" i="1"/>
  <c r="D139" i="1"/>
  <c r="B139" i="1"/>
  <c r="C92" i="1" l="1"/>
  <c r="D92" i="1"/>
  <c r="B92" i="1"/>
  <c r="C25" i="1"/>
  <c r="D25" i="1"/>
  <c r="B25" i="1"/>
  <c r="C65" i="1"/>
  <c r="D65" i="1"/>
  <c r="B65" i="1"/>
  <c r="B80" i="1"/>
  <c r="C80" i="1"/>
  <c r="D80" i="1"/>
  <c r="D81" i="1"/>
  <c r="B98" i="1"/>
  <c r="C98" i="1"/>
  <c r="D98" i="1"/>
  <c r="B99" i="1"/>
  <c r="C99" i="1"/>
  <c r="D99" i="1"/>
  <c r="C95" i="1"/>
  <c r="D95" i="1"/>
  <c r="B95" i="1"/>
  <c r="C161" i="1"/>
  <c r="B161" i="1"/>
  <c r="C160" i="1"/>
  <c r="D160" i="1"/>
  <c r="B160" i="1"/>
  <c r="D83" i="1"/>
  <c r="C83" i="1"/>
  <c r="B83" i="1"/>
  <c r="C82" i="1"/>
  <c r="D82" i="1"/>
  <c r="B82" i="1"/>
  <c r="C39" i="1"/>
  <c r="B39" i="1"/>
  <c r="C107" i="1"/>
  <c r="B107" i="1"/>
  <c r="C105" i="1"/>
  <c r="D105" i="1"/>
  <c r="C106" i="1"/>
  <c r="D106" i="1"/>
  <c r="B106" i="1"/>
  <c r="B105" i="1"/>
  <c r="C104" i="1"/>
  <c r="D104" i="1"/>
  <c r="B104" i="1"/>
  <c r="C103" i="1"/>
  <c r="D103" i="1"/>
  <c r="B103" i="1"/>
  <c r="C102" i="1"/>
  <c r="D102" i="1"/>
  <c r="B102" i="1"/>
  <c r="C101" i="1"/>
  <c r="D101" i="1"/>
  <c r="B101" i="1"/>
  <c r="C100" i="1"/>
  <c r="D100" i="1"/>
  <c r="B100" i="1"/>
  <c r="C97" i="1"/>
  <c r="D97" i="1"/>
  <c r="B97" i="1"/>
  <c r="C96" i="1"/>
  <c r="D96" i="1"/>
  <c r="B96" i="1"/>
  <c r="C94" i="1"/>
  <c r="D94" i="1"/>
  <c r="B94" i="1"/>
  <c r="C93" i="1"/>
  <c r="D93" i="1"/>
  <c r="B93" i="1"/>
  <c r="C91" i="1"/>
  <c r="D91" i="1"/>
  <c r="B91" i="1"/>
  <c r="C90" i="1"/>
  <c r="B90" i="1"/>
  <c r="C89" i="1"/>
  <c r="D89" i="1"/>
  <c r="B89" i="1"/>
  <c r="C84" i="1"/>
  <c r="D84" i="1"/>
  <c r="B84" i="1"/>
  <c r="C79" i="1"/>
  <c r="D79" i="1"/>
  <c r="B79" i="1"/>
  <c r="C77" i="1"/>
  <c r="D77" i="1"/>
  <c r="B77" i="1"/>
  <c r="C75" i="1"/>
  <c r="D75" i="1"/>
  <c r="B75" i="1"/>
  <c r="C73" i="1"/>
  <c r="D73" i="1"/>
  <c r="B73" i="1"/>
  <c r="C68" i="1"/>
  <c r="D68" i="1"/>
  <c r="B68" i="1"/>
  <c r="C67" i="1"/>
  <c r="D67" i="1"/>
  <c r="B67" i="1"/>
  <c r="C66" i="1"/>
  <c r="D66" i="1"/>
  <c r="B66" i="1"/>
  <c r="D64" i="1"/>
  <c r="C64" i="1"/>
  <c r="B64" i="1"/>
  <c r="C60" i="1"/>
  <c r="C61" i="1"/>
  <c r="D61" i="1"/>
  <c r="B61" i="1"/>
  <c r="B60" i="1"/>
  <c r="C59" i="1"/>
  <c r="D59" i="1"/>
  <c r="B59" i="1"/>
  <c r="C57" i="1"/>
  <c r="D57" i="1"/>
  <c r="B57" i="1"/>
  <c r="C56" i="1"/>
  <c r="D56" i="1"/>
  <c r="B56" i="1"/>
  <c r="C54" i="1"/>
  <c r="D54" i="1"/>
  <c r="B54" i="1"/>
  <c r="C52" i="1"/>
  <c r="D52" i="1"/>
  <c r="B52" i="1"/>
  <c r="C50" i="1"/>
  <c r="D50" i="1"/>
  <c r="B50" i="1"/>
  <c r="C45" i="1"/>
  <c r="D45" i="1"/>
  <c r="B45" i="1"/>
  <c r="C44" i="1"/>
  <c r="D44" i="1"/>
  <c r="B44" i="1"/>
  <c r="C43" i="1"/>
  <c r="D43" i="1"/>
  <c r="B43" i="1"/>
  <c r="D42" i="1"/>
  <c r="B42" i="1"/>
  <c r="C41" i="1"/>
  <c r="D41" i="1"/>
  <c r="B41" i="1"/>
  <c r="C40" i="1"/>
  <c r="D40" i="1"/>
  <c r="B40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23" i="1"/>
  <c r="D23" i="1"/>
  <c r="C24" i="1"/>
  <c r="D24" i="1"/>
  <c r="B24" i="1"/>
  <c r="B23" i="1"/>
  <c r="C26" i="1"/>
  <c r="D26" i="1"/>
  <c r="C27" i="1"/>
  <c r="D27" i="1"/>
  <c r="B27" i="1"/>
  <c r="B26" i="1"/>
  <c r="C33" i="1"/>
  <c r="D33" i="1"/>
  <c r="B33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D112" i="1"/>
  <c r="C112" i="1"/>
  <c r="B112" i="1"/>
  <c r="C116" i="1"/>
  <c r="D116" i="1"/>
  <c r="B116" i="1"/>
  <c r="C117" i="1"/>
  <c r="D117" i="1"/>
  <c r="B117" i="1"/>
  <c r="C119" i="1"/>
  <c r="D119" i="1"/>
  <c r="C120" i="1"/>
  <c r="D120" i="1"/>
  <c r="B120" i="1"/>
  <c r="B119" i="1"/>
  <c r="C121" i="1"/>
  <c r="D121" i="1"/>
  <c r="B121" i="1"/>
  <c r="C126" i="1"/>
  <c r="D126" i="1"/>
  <c r="B126" i="1"/>
  <c r="C130" i="1"/>
  <c r="D130" i="1"/>
  <c r="B130" i="1"/>
  <c r="C129" i="1"/>
  <c r="D129" i="1"/>
  <c r="B129" i="1"/>
  <c r="C128" i="1"/>
  <c r="D128" i="1"/>
  <c r="B128" i="1"/>
  <c r="C127" i="1"/>
  <c r="D127" i="1"/>
  <c r="B127" i="1"/>
  <c r="C131" i="1"/>
  <c r="D131" i="1"/>
  <c r="B131" i="1"/>
  <c r="C132" i="1"/>
  <c r="D132" i="1"/>
  <c r="B132" i="1"/>
  <c r="C133" i="1"/>
  <c r="D133" i="1"/>
  <c r="B133" i="1"/>
  <c r="C134" i="1"/>
  <c r="D134" i="1"/>
  <c r="B134" i="1"/>
  <c r="C135" i="1"/>
  <c r="D135" i="1"/>
  <c r="B135" i="1"/>
  <c r="C136" i="1"/>
  <c r="D136" i="1"/>
  <c r="B136" i="1"/>
  <c r="C138" i="1"/>
  <c r="D138" i="1"/>
  <c r="B138" i="1"/>
  <c r="C141" i="1"/>
  <c r="D141" i="1"/>
  <c r="B141" i="1"/>
  <c r="C142" i="1"/>
  <c r="B142" i="1"/>
  <c r="C149" i="1"/>
  <c r="D149" i="1"/>
  <c r="B149" i="1"/>
  <c r="C150" i="1"/>
  <c r="D150" i="1"/>
  <c r="B150" i="1"/>
  <c r="C151" i="1"/>
  <c r="D151" i="1"/>
  <c r="B151" i="1"/>
  <c r="C153" i="1"/>
  <c r="D153" i="1"/>
  <c r="B153" i="1"/>
  <c r="C152" i="1"/>
  <c r="D152" i="1"/>
  <c r="B152" i="1"/>
  <c r="C155" i="1"/>
  <c r="D155" i="1"/>
  <c r="B155" i="1"/>
  <c r="C156" i="1"/>
  <c r="D156" i="1"/>
  <c r="B156" i="1"/>
  <c r="C168" i="1"/>
  <c r="D168" i="1"/>
  <c r="B168" i="1"/>
  <c r="C169" i="1"/>
  <c r="D169" i="1"/>
  <c r="B169" i="1"/>
  <c r="C170" i="1"/>
  <c r="D170" i="1"/>
  <c r="B170" i="1"/>
  <c r="C171" i="1"/>
  <c r="D171" i="1"/>
  <c r="B171" i="1"/>
  <c r="C172" i="1"/>
  <c r="D172" i="1"/>
  <c r="B172" i="1"/>
  <c r="C176" i="1"/>
  <c r="D176" i="1"/>
  <c r="B176" i="1"/>
  <c r="C179" i="1"/>
  <c r="D179" i="1"/>
  <c r="B179" i="1"/>
  <c r="C180" i="1"/>
  <c r="D180" i="1"/>
  <c r="B180" i="1"/>
  <c r="C181" i="1"/>
  <c r="D181" i="1"/>
  <c r="B181" i="1"/>
  <c r="C182" i="1"/>
  <c r="D182" i="1"/>
  <c r="B182" i="1"/>
  <c r="C175" i="1"/>
  <c r="B175" i="1"/>
  <c r="C167" i="1"/>
  <c r="B167" i="1"/>
  <c r="C164" i="1"/>
  <c r="B164" i="1"/>
  <c r="C159" i="1"/>
  <c r="B159" i="1"/>
  <c r="C148" i="1"/>
  <c r="B148" i="1"/>
  <c r="C145" i="1"/>
  <c r="B145" i="1"/>
  <c r="C125" i="1"/>
  <c r="B125" i="1"/>
  <c r="C115" i="1"/>
  <c r="B115" i="1"/>
  <c r="C110" i="1"/>
  <c r="B110" i="1"/>
  <c r="C88" i="1"/>
  <c r="B88" i="1"/>
  <c r="C72" i="1"/>
  <c r="B72" i="1"/>
  <c r="C49" i="1"/>
  <c r="B49" i="1"/>
  <c r="C16" i="1"/>
  <c r="B16" i="1"/>
  <c r="D175" i="1"/>
  <c r="D167" i="1"/>
  <c r="D164" i="1"/>
  <c r="D159" i="1"/>
  <c r="D148" i="1"/>
  <c r="D145" i="1"/>
  <c r="D125" i="1"/>
  <c r="D115" i="1"/>
  <c r="D110" i="1"/>
  <c r="D88" i="1"/>
  <c r="D72" i="1"/>
  <c r="D49" i="1"/>
  <c r="D16" i="1"/>
</calcChain>
</file>

<file path=xl/sharedStrings.xml><?xml version="1.0" encoding="utf-8"?>
<sst xmlns="http://schemas.openxmlformats.org/spreadsheetml/2006/main" count="570" uniqueCount="448">
  <si>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</si>
  <si>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</si>
  <si>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</si>
  <si>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</si>
  <si>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</si>
  <si>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</si>
  <si>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</si>
  <si>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</si>
  <si>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</si>
  <si>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</si>
  <si>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</si>
  <si>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</si>
  <si>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</si>
  <si>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</si>
  <si>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</si>
  <si>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</si>
  <si>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</si>
  <si>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</si>
  <si>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</si>
  <si>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</si>
  <si>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</si>
  <si>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</si>
  <si>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</si>
  <si>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</si>
  <si>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</si>
  <si>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</si>
  <si>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</si>
  <si>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</si>
  <si>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</si>
  <si>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</si>
  <si>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</si>
  <si>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</si>
  <si>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</si>
  <si>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</si>
  <si>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</si>
  <si>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</si>
  <si>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</si>
  <si>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</si>
  <si>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</si>
  <si>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</si>
  <si>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</si>
  <si>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</si>
  <si>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</si>
  <si>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</si>
  <si>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</si>
  <si>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</si>
  <si>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</si>
  <si>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</si>
  <si>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</si>
  <si>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</si>
  <si>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</si>
  <si>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</si>
  <si>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</si>
  <si>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</si>
  <si>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</si>
  <si>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</si>
  <si>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</si>
  <si>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</si>
  <si>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</si>
  <si>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</si>
  <si>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</si>
  <si>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</si>
  <si>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</si>
  <si>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</si>
  <si>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</si>
  <si>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</si>
  <si>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</si>
  <si>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</si>
  <si>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</si>
  <si>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</si>
  <si>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</si>
  <si>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</si>
  <si>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</si>
  <si>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</si>
  <si>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</si>
  <si>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</si>
  <si>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</si>
  <si>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</si>
  <si>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</si>
  <si>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</si>
  <si>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</si>
  <si>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</si>
  <si>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</si>
  <si>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</si>
  <si>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</si>
  <si>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</si>
  <si>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</si>
  <si>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</si>
  <si>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</si>
  <si>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</si>
  <si>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</si>
  <si>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</si>
  <si>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</si>
  <si>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</si>
  <si>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</si>
  <si>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</si>
  <si>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</si>
  <si>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</si>
  <si>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</si>
  <si>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</si>
  <si>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</si>
  <si>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</si>
  <si>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</si>
  <si>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</si>
  <si>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</si>
  <si>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</si>
  <si>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</si>
  <si>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</si>
  <si>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</si>
  <si>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</si>
  <si>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</si>
  <si>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</si>
  <si>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</si>
  <si>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</si>
  <si>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</si>
  <si>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</si>
  <si>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</si>
  <si>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</si>
  <si>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</si>
  <si>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</si>
  <si>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</si>
  <si>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</si>
  <si>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</si>
  <si>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</si>
  <si>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</si>
  <si>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</si>
  <si>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</si>
  <si>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</si>
  <si>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</si>
  <si>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</si>
  <si>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</si>
  <si>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</si>
  <si>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</si>
  <si>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</si>
  <si>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</si>
  <si>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</si>
  <si>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</si>
  <si>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</si>
  <si>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</si>
  <si>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</si>
  <si>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</si>
  <si>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</si>
  <si>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</si>
  <si>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</si>
  <si>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</si>
  <si>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</si>
  <si>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</si>
  <si>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</si>
  <si>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</si>
  <si>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</si>
  <si>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</si>
  <si>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</si>
  <si>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</si>
  <si>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</si>
  <si>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</si>
  <si>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</si>
  <si>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</si>
  <si>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</si>
  <si>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</si>
  <si>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</si>
  <si>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</si>
  <si>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</si>
  <si>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</si>
  <si>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</si>
  <si>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</si>
  <si>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</si>
  <si>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</si>
  <si>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</si>
  <si>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</si>
  <si>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</si>
  <si>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</si>
  <si>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</si>
  <si>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</si>
  <si>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</si>
  <si>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</si>
  <si>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</si>
  <si>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</si>
  <si>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</si>
  <si>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</si>
  <si>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</si>
  <si>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</si>
  <si>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</si>
  <si>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</si>
  <si>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</si>
  <si>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</si>
  <si>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</si>
  <si>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</si>
  <si>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</si>
  <si>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</si>
  <si>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</si>
  <si>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</si>
  <si>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</si>
  <si>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</si>
  <si>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</si>
  <si>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</si>
  <si>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</si>
  <si>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</si>
  <si>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</si>
  <si>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</si>
  <si>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</si>
  <si>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</si>
  <si>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</si>
  <si>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</si>
  <si>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</si>
  <si>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</si>
  <si>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</si>
  <si>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</si>
  <si>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</si>
  <si>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</si>
  <si>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</si>
  <si>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</si>
  <si>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</si>
  <si>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</si>
  <si>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</si>
  <si>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</si>
  <si>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</si>
  <si>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</si>
  <si>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</si>
  <si>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</si>
  <si>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</si>
  <si>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</si>
  <si>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</si>
  <si>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</si>
  <si>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</si>
  <si>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</si>
  <si>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</si>
  <si>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</si>
  <si>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</si>
  <si>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</si>
  <si>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</si>
  <si>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</si>
  <si>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</si>
  <si>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</si>
  <si>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</si>
  <si>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</si>
  <si>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</si>
  <si>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</si>
  <si>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</si>
  <si>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</si>
  <si>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</si>
  <si>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</si>
  <si>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</si>
  <si>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</si>
  <si>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</si>
  <si>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</si>
  <si>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</si>
  <si>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</si>
  <si>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</si>
  <si>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</si>
  <si>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</si>
  <si>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</si>
  <si>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</si>
  <si>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</si>
  <si>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</si>
  <si>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</si>
  <si>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</si>
  <si>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</si>
  <si>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</si>
  <si>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</si>
  <si>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</si>
  <si>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</si>
  <si>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</si>
  <si>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</si>
  <si>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</si>
  <si>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</si>
  <si>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</si>
  <si>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</si>
  <si>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</si>
  <si>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</si>
  <si>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</si>
  <si>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</si>
  <si>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</si>
  <si>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</si>
  <si>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</si>
  <si>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</si>
  <si>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</si>
  <si>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</si>
  <si>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</si>
  <si>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</si>
  <si>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</si>
  <si>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</si>
  <si>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</si>
  <si>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</si>
  <si>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</si>
  <si>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</si>
  <si>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</si>
  <si>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</si>
  <si>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</si>
  <si>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</si>
  <si>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</si>
  <si>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</si>
  <si>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</si>
  <si>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</si>
  <si>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</si>
  <si>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</si>
  <si>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</si>
  <si>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</si>
  <si>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</si>
  <si>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</si>
  <si>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</si>
  <si>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</si>
  <si>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</si>
  <si>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</si>
  <si>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</si>
  <si>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</si>
  <si>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</si>
  <si>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</si>
  <si>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</si>
  <si>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</si>
  <si>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</si>
  <si>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</si>
  <si>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</si>
  <si>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</si>
  <si>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</si>
  <si>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</si>
  <si>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</si>
  <si>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</si>
  <si>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</si>
  <si>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</si>
  <si>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</si>
  <si>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</si>
  <si>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</si>
  <si>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</si>
  <si>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</si>
  <si>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</si>
  <si>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</si>
  <si>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</si>
  <si>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</si>
  <si>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</si>
  <si>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</si>
  <si>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</si>
  <si>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</si>
  <si>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</si>
  <si>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</si>
  <si>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</si>
  <si>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</si>
  <si>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</si>
  <si>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</si>
  <si>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</si>
  <si>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</si>
  <si>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</si>
  <si>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</si>
  <si>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</si>
  <si>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</si>
  <si>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</si>
  <si>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</si>
  <si>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</si>
  <si>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</si>
  <si>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</si>
  <si>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</si>
  <si>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</si>
  <si>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</si>
  <si>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</si>
  <si>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</si>
  <si>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</si>
  <si>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</si>
  <si>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</si>
  <si>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</si>
  <si>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</si>
  <si>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</si>
  <si>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</si>
  <si>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</si>
  <si>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</si>
  <si>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</si>
  <si>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</si>
  <si>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</si>
  <si>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</si>
  <si>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</si>
  <si>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</si>
  <si>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</si>
  <si>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</si>
  <si>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</si>
  <si>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</si>
  <si>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</si>
  <si>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</si>
  <si>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</si>
  <si>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</si>
  <si>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</si>
  <si>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</si>
  <si>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</si>
  <si>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</si>
  <si>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</si>
  <si>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</si>
  <si>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</si>
  <si>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</si>
  <si>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</si>
  <si>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</si>
  <si>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</si>
  <si>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</si>
  <si>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</si>
  <si>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</si>
  <si>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</si>
  <si>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</si>
  <si>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</si>
  <si>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</si>
  <si>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</si>
  <si>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</si>
  <si>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</si>
  <si>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</si>
  <si>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</si>
  <si>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</si>
  <si>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</si>
  <si>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</si>
  <si>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</si>
  <si>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</si>
  <si>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</si>
  <si>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</si>
  <si>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</si>
  <si>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</si>
  <si>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</si>
  <si>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</si>
  <si>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</si>
  <si>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</si>
  <si>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</si>
  <si>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</si>
  <si>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</si>
  <si>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</si>
  <si>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</si>
  <si>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</si>
  <si>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</si>
  <si>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</si>
  <si>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</si>
  <si>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</si>
  <si>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</si>
  <si>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</si>
  <si>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 xml:space="preserve">      код бюджету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</si>
  <si>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</si>
  <si>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</si>
  <si>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</si>
  <si>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Секретар Сумської міської ради</t>
  </si>
  <si>
    <t>А.В. Баранов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</si>
  <si>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</si>
  <si>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</si>
  <si>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</si>
  <si>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</si>
  <si>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</si>
  <si>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</si>
  <si>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</si>
  <si>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</si>
  <si>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Виконавець: Липова С.А.</t>
  </si>
  <si>
    <t xml:space="preserve"> __________________</t>
  </si>
  <si>
    <t>«Про бюджет Сумської міської об'єднаної</t>
  </si>
  <si>
    <t xml:space="preserve">                        Додаток № 3</t>
  </si>
  <si>
    <t>територіальної    громади    на   2020   рік»</t>
  </si>
  <si>
    <t>до    рішення     Сумської     міської    ради</t>
  </si>
  <si>
    <t>від  24   грудня  2019  року  №   6248 -  МР</t>
  </si>
  <si>
    <t xml:space="preserve">                        Додаток № 3-1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</si>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</sst>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* #,##0.00;* \-#,##0.00;* &quot;-&quot;??;@"/>
    <numFmt numFmtId="165" formatCode="#,##0.00\ _₴"/>
    <numFmt numFmtId="166" formatCode="#,##0.0"/>
  </numFmts>
  <fonts count="4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50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>
      <alignment horizontal="right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 vertical="center"/>
    </xf>
    <xf numFmtId="4" fontId="40" fillId="0" borderId="0" xfId="0" applyNumberFormat="1" applyFont="1" applyFill="1" applyAlignment="1" applyProtection="1">
      <alignment horizontal="center" vertical="center"/>
    </xf>
    <xf numFmtId="166" fontId="40" fillId="0" borderId="0" xfId="0" applyNumberFormat="1" applyFont="1" applyFill="1" applyAlignment="1" applyProtection="1">
      <alignment horizontal="center" vertical="center"/>
    </xf>
    <xf numFmtId="3" fontId="41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left" wrapText="1"/>
    </xf>
    <xf numFmtId="3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40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3" fontId="45" fillId="0" borderId="0" xfId="0" applyNumberFormat="1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left" wrapText="1"/>
    </xf>
    <xf numFmtId="3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/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/>
    <xf numFmtId="1" fontId="21" fillId="0" borderId="10" xfId="0" applyNumberFormat="1" applyFont="1" applyFill="1" applyBorder="1" applyAlignment="1">
      <alignment horizontal="center" vertical="center" textRotation="180"/>
    </xf>
    <xf numFmtId="1" fontId="21" fillId="0" borderId="0" xfId="0" applyNumberFormat="1" applyFont="1" applyFill="1" applyBorder="1" applyAlignment="1">
      <alignment horizontal="center" vertical="center" textRotation="180"/>
    </xf>
    <xf numFmtId="1" fontId="21" fillId="0" borderId="0" xfId="0" applyNumberFormat="1" applyFont="1" applyFill="1" applyAlignment="1">
      <alignment vertical="center" textRotation="180"/>
    </xf>
    <xf numFmtId="1" fontId="21" fillId="0" borderId="10" xfId="0" applyNumberFormat="1" applyFont="1" applyFill="1" applyBorder="1" applyAlignment="1">
      <alignment vertical="center" textRotation="180"/>
    </xf>
    <xf numFmtId="1" fontId="21" fillId="0" borderId="0" xfId="0" applyNumberFormat="1" applyFont="1" applyFill="1" applyBorder="1" applyAlignment="1">
      <alignment vertical="center" textRotation="180"/>
    </xf>
    <xf numFmtId="1" fontId="21" fillId="0" borderId="10" xfId="0" applyNumberFormat="1" applyFont="1" applyFill="1" applyBorder="1" applyAlignment="1">
      <alignment vertical="center" textRotation="180" wrapText="1"/>
    </xf>
    <xf numFmtId="0" fontId="28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center"/>
    </xf>
    <xf numFmtId="49" fontId="45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3" fontId="28" fillId="0" borderId="0" xfId="0" applyNumberFormat="1" applyFont="1" applyFill="1" applyBorder="1" applyAlignment="1"/>
    <xf numFmtId="0" fontId="28" fillId="0" borderId="0" xfId="0" applyFont="1" applyFill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center" vertical="center"/>
    </xf>
    <xf numFmtId="0" fontId="33" fillId="0" borderId="0" xfId="0" applyNumberFormat="1" applyFont="1" applyFill="1" applyAlignment="1" applyProtection="1">
      <alignment horizontal="left"/>
    </xf>
    <xf numFmtId="3" fontId="33" fillId="0" borderId="0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49" fontId="28" fillId="0" borderId="0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J687"/>
  <sheetViews>
    <sheetView showGridLines="0" showZeros="0" topLeftCell="A148" zoomScale="80" zoomScaleNormal="80" zoomScaleSheetLayoutView="72" workbookViewId="0">
      <selection activeCell="A154" sqref="A154:XFD154"/>
    </sheetView>
  </sheetViews>
  <sheetFormatPr defaultColWidth="9.1640625" defaultRowHeight="15" x14ac:dyDescent="0.25"/>
  <cols>
    <col min="1" max="1" width="16.6640625" style="95" customWidth="1"/>
    <col min="2" max="2" width="17.5" style="18" customWidth="1"/>
    <col min="3" max="3" width="18" style="18" customWidth="1"/>
    <col min="4" max="4" width="62" style="29" customWidth="1"/>
    <col min="5" max="5" width="21.33203125" style="61" customWidth="1"/>
    <col min="6" max="6" width="20.83203125" style="61" customWidth="1"/>
    <col min="7" max="7" width="21" style="61" customWidth="1"/>
    <col min="8" max="8" width="18.33203125" style="61" customWidth="1"/>
    <col min="9" max="9" width="18" style="61" customWidth="1"/>
    <col min="10" max="10" width="20.6640625" style="61" customWidth="1"/>
    <col min="11" max="11" width="22.83203125" style="61" customWidth="1"/>
    <col min="12" max="12" width="20.1640625" style="61" customWidth="1"/>
    <col min="13" max="13" width="18.33203125" style="61" customWidth="1"/>
    <col min="14" max="14" width="19.83203125" style="61" customWidth="1"/>
    <col min="15" max="15" width="18.83203125" style="61" customWidth="1"/>
    <col min="16" max="16" width="24.33203125" style="84" customWidth="1"/>
    <col min="17" max="17" width="9.1640625" style="128"/>
    <col min="18" max="530" width="9.1640625" style="34"/>
    <col min="531" max="16384" width="9.1640625" style="20"/>
  </cols>
  <sheetData>
    <row r="1" spans="1:530" ht="26.25" customHeight="1" x14ac:dyDescent="0.25">
      <c r="L1" s="133" t="s">
        <v>442</v>
      </c>
      <c r="M1" s="133"/>
      <c r="N1" s="133"/>
      <c r="O1" s="133"/>
      <c r="P1" s="133"/>
      <c r="Q1" s="129"/>
    </row>
    <row r="2" spans="1:530" ht="26.25" customHeight="1" x14ac:dyDescent="0.25">
      <c r="L2" s="133" t="s">
        <v>444</v>
      </c>
      <c r="M2" s="133"/>
      <c r="N2" s="133"/>
      <c r="O2" s="133"/>
      <c r="P2" s="110"/>
      <c r="Q2" s="129"/>
    </row>
    <row r="3" spans="1:530" ht="26.25" customHeight="1" x14ac:dyDescent="0.25">
      <c r="L3" s="138" t="s">
        <v>441</v>
      </c>
      <c r="M3" s="138"/>
      <c r="N3" s="138"/>
      <c r="O3" s="138"/>
      <c r="P3" s="138"/>
      <c r="Q3" s="129"/>
    </row>
    <row r="4" spans="1:530" ht="26.25" customHeight="1" x14ac:dyDescent="0.25">
      <c r="L4" s="133" t="s">
        <v>443</v>
      </c>
      <c r="M4" s="133"/>
      <c r="N4" s="133"/>
      <c r="O4" s="133"/>
      <c r="P4" s="133"/>
      <c r="Q4" s="129"/>
    </row>
    <row r="5" spans="1:530" ht="26.25" x14ac:dyDescent="0.4">
      <c r="L5" s="137" t="s">
        <v>445</v>
      </c>
      <c r="M5" s="137"/>
      <c r="N5" s="137"/>
      <c r="O5" s="137"/>
      <c r="P5" s="137"/>
      <c r="Q5" s="129"/>
    </row>
    <row r="6" spans="1:530" x14ac:dyDescent="0.25">
      <c r="P6" s="62"/>
      <c r="Q6" s="129"/>
    </row>
    <row r="7" spans="1:530" s="58" customFormat="1" ht="46.5" customHeight="1" x14ac:dyDescent="0.3">
      <c r="A7" s="140" t="s">
        <v>418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29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</row>
    <row r="8" spans="1:530" s="58" customFormat="1" ht="46.5" customHeight="1" x14ac:dyDescent="0.3">
      <c r="A8" s="142" t="s">
        <v>424</v>
      </c>
      <c r="B8" s="142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29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</row>
    <row r="9" spans="1:530" s="58" customFormat="1" ht="46.5" customHeight="1" x14ac:dyDescent="0.3">
      <c r="A9" s="141" t="s">
        <v>425</v>
      </c>
      <c r="B9" s="141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29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</row>
    <row r="10" spans="1:530" s="60" customFormat="1" ht="14.25" customHeight="1" x14ac:dyDescent="0.25">
      <c r="A10" s="89"/>
      <c r="B10" s="65"/>
      <c r="C10" s="65"/>
      <c r="D10" s="19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 t="s">
        <v>420</v>
      </c>
      <c r="Q10" s="12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</row>
    <row r="11" spans="1:530" s="21" customFormat="1" ht="34.5" customHeight="1" x14ac:dyDescent="0.2">
      <c r="A11" s="145" t="s">
        <v>397</v>
      </c>
      <c r="B11" s="139" t="s">
        <v>398</v>
      </c>
      <c r="C11" s="139" t="s">
        <v>384</v>
      </c>
      <c r="D11" s="139" t="s">
        <v>399</v>
      </c>
      <c r="E11" s="139" t="s">
        <v>265</v>
      </c>
      <c r="F11" s="139"/>
      <c r="G11" s="139"/>
      <c r="H11" s="139"/>
      <c r="I11" s="139"/>
      <c r="J11" s="139" t="s">
        <v>266</v>
      </c>
      <c r="K11" s="139"/>
      <c r="L11" s="139"/>
      <c r="M11" s="139"/>
      <c r="N11" s="139"/>
      <c r="O11" s="139"/>
      <c r="P11" s="139" t="s">
        <v>267</v>
      </c>
      <c r="Q11" s="1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</row>
    <row r="12" spans="1:530" s="21" customFormat="1" ht="19.5" customHeight="1" x14ac:dyDescent="0.2">
      <c r="A12" s="145"/>
      <c r="B12" s="139"/>
      <c r="C12" s="139"/>
      <c r="D12" s="139"/>
      <c r="E12" s="139" t="s">
        <v>385</v>
      </c>
      <c r="F12" s="139" t="s">
        <v>268</v>
      </c>
      <c r="G12" s="139" t="s">
        <v>269</v>
      </c>
      <c r="H12" s="139"/>
      <c r="I12" s="139" t="s">
        <v>270</v>
      </c>
      <c r="J12" s="139" t="s">
        <v>385</v>
      </c>
      <c r="K12" s="139" t="s">
        <v>386</v>
      </c>
      <c r="L12" s="139" t="s">
        <v>268</v>
      </c>
      <c r="M12" s="139" t="s">
        <v>269</v>
      </c>
      <c r="N12" s="139"/>
      <c r="O12" s="139" t="s">
        <v>270</v>
      </c>
      <c r="P12" s="139"/>
      <c r="Q12" s="1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</row>
    <row r="13" spans="1:530" s="21" customFormat="1" ht="54" customHeight="1" x14ac:dyDescent="0.2">
      <c r="A13" s="145"/>
      <c r="B13" s="139"/>
      <c r="C13" s="139"/>
      <c r="D13" s="139"/>
      <c r="E13" s="139"/>
      <c r="F13" s="139"/>
      <c r="G13" s="82" t="s">
        <v>271</v>
      </c>
      <c r="H13" s="82" t="s">
        <v>272</v>
      </c>
      <c r="I13" s="139"/>
      <c r="J13" s="139"/>
      <c r="K13" s="139"/>
      <c r="L13" s="139"/>
      <c r="M13" s="82" t="s">
        <v>271</v>
      </c>
      <c r="N13" s="82" t="s">
        <v>272</v>
      </c>
      <c r="O13" s="139"/>
      <c r="P13" s="139"/>
      <c r="Q13" s="1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</row>
    <row r="14" spans="1:530" s="31" customFormat="1" ht="19.5" customHeight="1" x14ac:dyDescent="0.2">
      <c r="A14" s="90" t="s">
        <v>180</v>
      </c>
      <c r="B14" s="67"/>
      <c r="C14" s="67"/>
      <c r="D14" s="32" t="s">
        <v>48</v>
      </c>
      <c r="E14" s="68">
        <f>E15</f>
        <v>181472531</v>
      </c>
      <c r="F14" s="68">
        <f t="shared" ref="F14:J14" si="0">F15</f>
        <v>171472531</v>
      </c>
      <c r="G14" s="68">
        <f t="shared" si="0"/>
        <v>93258880</v>
      </c>
      <c r="H14" s="68">
        <f t="shared" si="0"/>
        <v>5289300</v>
      </c>
      <c r="I14" s="68">
        <f t="shared" si="0"/>
        <v>10000000</v>
      </c>
      <c r="J14" s="68">
        <f t="shared" si="0"/>
        <v>34174631</v>
      </c>
      <c r="K14" s="68">
        <f t="shared" ref="K14" si="1">K15</f>
        <v>33661300</v>
      </c>
      <c r="L14" s="68">
        <f t="shared" ref="L14" si="2">L15</f>
        <v>513331</v>
      </c>
      <c r="M14" s="68">
        <f t="shared" ref="M14" si="3">M15</f>
        <v>91105</v>
      </c>
      <c r="N14" s="68">
        <f t="shared" ref="N14" si="4">N15</f>
        <v>52450</v>
      </c>
      <c r="O14" s="68">
        <f t="shared" ref="O14:P14" si="5">O15</f>
        <v>33661300</v>
      </c>
      <c r="P14" s="68">
        <f t="shared" si="5"/>
        <v>215647162</v>
      </c>
      <c r="Q14" s="129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</row>
    <row r="15" spans="1:530" s="40" customFormat="1" ht="19.5" customHeight="1" x14ac:dyDescent="0.25">
      <c r="A15" s="79" t="s">
        <v>181</v>
      </c>
      <c r="B15" s="69"/>
      <c r="C15" s="69"/>
      <c r="D15" s="33" t="s">
        <v>48</v>
      </c>
      <c r="E15" s="70">
        <f>E16+E17+E18+E19+E20+E21+E22+E23+E24+E25+E26+E27+E28+E29+E30+E31+E32+E33+E34+E35+E36+E37+E38+E39+E40+E41+E42+E43+E44+E45</f>
        <v>181472531</v>
      </c>
      <c r="F15" s="70">
        <f t="shared" ref="F15:P15" si="6">F16+F17+F18+F19+F20+F21+F22+F23+F24+F25+F26+F27+F28+F29+F30+F31+F32+F33+F34+F35+F36+F37+F38+F39+F40+F41+F42+F43+F44+F45</f>
        <v>171472531</v>
      </c>
      <c r="G15" s="70">
        <f t="shared" si="6"/>
        <v>93258880</v>
      </c>
      <c r="H15" s="70">
        <f t="shared" si="6"/>
        <v>5289300</v>
      </c>
      <c r="I15" s="70">
        <f t="shared" si="6"/>
        <v>10000000</v>
      </c>
      <c r="J15" s="70">
        <f t="shared" si="6"/>
        <v>34174631</v>
      </c>
      <c r="K15" s="70">
        <f t="shared" si="6"/>
        <v>33661300</v>
      </c>
      <c r="L15" s="70">
        <f t="shared" si="6"/>
        <v>513331</v>
      </c>
      <c r="M15" s="70">
        <f t="shared" si="6"/>
        <v>91105</v>
      </c>
      <c r="N15" s="70">
        <f t="shared" si="6"/>
        <v>52450</v>
      </c>
      <c r="O15" s="70">
        <f t="shared" si="6"/>
        <v>33661300</v>
      </c>
      <c r="P15" s="70">
        <f t="shared" si="6"/>
        <v>215647162</v>
      </c>
      <c r="Q15" s="12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</row>
    <row r="16" spans="1:530" s="23" customFormat="1" ht="46.5" customHeight="1" x14ac:dyDescent="0.25">
      <c r="A16" s="43" t="s">
        <v>182</v>
      </c>
      <c r="B16" s="44" t="str">
        <f>'дод 3-1'!A14</f>
        <v>0160</v>
      </c>
      <c r="C16" s="44" t="str">
        <f>'дод 3-1'!B14</f>
        <v>0111</v>
      </c>
      <c r="D16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6" s="71">
        <f t="shared" ref="E16:E45" si="7">F16+I16</f>
        <v>101127900</v>
      </c>
      <c r="F16" s="71">
        <f>105070300+350000+405400-4697800</f>
        <v>101127900</v>
      </c>
      <c r="G16" s="71">
        <f>77144000-3850700</f>
        <v>73293300</v>
      </c>
      <c r="H16" s="71">
        <v>2750400</v>
      </c>
      <c r="I16" s="71"/>
      <c r="J16" s="71">
        <f>L16+O16</f>
        <v>1230200</v>
      </c>
      <c r="K16" s="71">
        <v>1230200</v>
      </c>
      <c r="L16" s="71"/>
      <c r="M16" s="71"/>
      <c r="N16" s="71"/>
      <c r="O16" s="71">
        <v>1230200</v>
      </c>
      <c r="P16" s="71">
        <f t="shared" ref="P16:P45" si="8">E16+J16</f>
        <v>102358100</v>
      </c>
      <c r="Q16" s="129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</row>
    <row r="17" spans="1:530" s="23" customFormat="1" ht="21.75" customHeight="1" x14ac:dyDescent="0.25">
      <c r="A17" s="43" t="s">
        <v>283</v>
      </c>
      <c r="B17" s="44" t="str">
        <f>'дод 3-1'!A15</f>
        <v>0180</v>
      </c>
      <c r="C17" s="44" t="str">
        <f>'дод 3-1'!B15</f>
        <v>0133</v>
      </c>
      <c r="D17" s="24" t="str">
        <f>'дод 3-1'!C15</f>
        <v>Інша діяльність у сфері державного управління</v>
      </c>
      <c r="E17" s="71">
        <f t="shared" si="7"/>
        <v>310000</v>
      </c>
      <c r="F17" s="71">
        <v>310000</v>
      </c>
      <c r="G17" s="71"/>
      <c r="H17" s="71"/>
      <c r="I17" s="71"/>
      <c r="J17" s="71">
        <f t="shared" ref="J17:J45" si="9">L17+O17</f>
        <v>0</v>
      </c>
      <c r="K17" s="71"/>
      <c r="L17" s="71"/>
      <c r="M17" s="71"/>
      <c r="N17" s="71"/>
      <c r="O17" s="71"/>
      <c r="P17" s="71">
        <f t="shared" si="8"/>
        <v>310000</v>
      </c>
      <c r="Q17" s="129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</row>
    <row r="18" spans="1:530" s="23" customFormat="1" ht="43.5" customHeight="1" x14ac:dyDescent="0.25">
      <c r="A18" s="43" t="s">
        <v>299</v>
      </c>
      <c r="B18" s="44" t="str">
        <f>'дод 3-1'!A49</f>
        <v>3033</v>
      </c>
      <c r="C18" s="44" t="str">
        <f>'дод 3-1'!B49</f>
        <v>1070</v>
      </c>
      <c r="D18" s="24" t="str">
        <f>'дод 3-1'!C49</f>
        <v>Компенсаційні виплати на пільговий проїзд автомобільним транспортом окремим категоріям громадян</v>
      </c>
      <c r="E18" s="71">
        <f t="shared" si="7"/>
        <v>124200</v>
      </c>
      <c r="F18" s="71">
        <v>124200</v>
      </c>
      <c r="G18" s="71"/>
      <c r="H18" s="71"/>
      <c r="I18" s="71"/>
      <c r="J18" s="71">
        <f t="shared" si="9"/>
        <v>0</v>
      </c>
      <c r="K18" s="71"/>
      <c r="L18" s="71"/>
      <c r="M18" s="71"/>
      <c r="N18" s="71"/>
      <c r="O18" s="71"/>
      <c r="P18" s="71">
        <f t="shared" si="8"/>
        <v>124200</v>
      </c>
      <c r="Q18" s="129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</row>
    <row r="19" spans="1:530" s="23" customFormat="1" ht="36.75" customHeight="1" x14ac:dyDescent="0.25">
      <c r="A19" s="43" t="s">
        <v>183</v>
      </c>
      <c r="B19" s="44" t="str">
        <f>'дод 3-1'!A51</f>
        <v>3036</v>
      </c>
      <c r="C19" s="44" t="str">
        <f>'дод 3-1'!B51</f>
        <v>1070</v>
      </c>
      <c r="D19" s="24" t="str">
        <f>'дод 3-1'!C51</f>
        <v>Компенсаційні виплати на пільговий проїзд електротранспортом окремим категоріям громадян</v>
      </c>
      <c r="E19" s="71">
        <f t="shared" si="7"/>
        <v>270325</v>
      </c>
      <c r="F19" s="71">
        <v>270325</v>
      </c>
      <c r="G19" s="71"/>
      <c r="H19" s="71"/>
      <c r="I19" s="71"/>
      <c r="J19" s="71">
        <f t="shared" si="9"/>
        <v>0</v>
      </c>
      <c r="K19" s="71"/>
      <c r="L19" s="71"/>
      <c r="M19" s="71"/>
      <c r="N19" s="71"/>
      <c r="O19" s="71"/>
      <c r="P19" s="71">
        <f t="shared" si="8"/>
        <v>270325</v>
      </c>
      <c r="Q19" s="129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</row>
    <row r="20" spans="1:530" s="23" customFormat="1" ht="36" customHeight="1" x14ac:dyDescent="0.25">
      <c r="A20" s="43" t="s">
        <v>184</v>
      </c>
      <c r="B20" s="44" t="str">
        <f>'дод 3-1'!A57</f>
        <v>3121</v>
      </c>
      <c r="C20" s="44" t="str">
        <f>'дод 3-1'!B57</f>
        <v>1040</v>
      </c>
      <c r="D20" s="24" t="str">
        <f>'дод 3-1'!C57</f>
        <v>Утримання та забезпечення діяльності центрів соціальних служб для сім’ї, дітей та молоді</v>
      </c>
      <c r="E20" s="71">
        <f t="shared" si="7"/>
        <v>2487735</v>
      </c>
      <c r="F20" s="71">
        <v>2487735</v>
      </c>
      <c r="G20" s="71">
        <v>1883250</v>
      </c>
      <c r="H20" s="71">
        <v>50170</v>
      </c>
      <c r="I20" s="71"/>
      <c r="J20" s="71">
        <f t="shared" si="9"/>
        <v>0</v>
      </c>
      <c r="K20" s="71"/>
      <c r="L20" s="71"/>
      <c r="M20" s="71"/>
      <c r="N20" s="71"/>
      <c r="O20" s="71"/>
      <c r="P20" s="71">
        <f t="shared" si="8"/>
        <v>2487735</v>
      </c>
      <c r="Q20" s="129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</row>
    <row r="21" spans="1:530" s="23" customFormat="1" ht="48.75" customHeight="1" x14ac:dyDescent="0.25">
      <c r="A21" s="43" t="s">
        <v>185</v>
      </c>
      <c r="B21" s="44" t="str">
        <f>'дод 3-1'!A58</f>
        <v>3131</v>
      </c>
      <c r="C21" s="44" t="str">
        <f>'дод 3-1'!B58</f>
        <v>1040</v>
      </c>
      <c r="D21" s="24" t="str">
        <f>'дод 3-1'!C58</f>
        <v>Здійснення заходів та реалізація проектів на виконання Державної цільової соціальної програми "Молодь України"</v>
      </c>
      <c r="E21" s="71">
        <f t="shared" si="7"/>
        <v>850000</v>
      </c>
      <c r="F21" s="71">
        <v>850000</v>
      </c>
      <c r="G21" s="71"/>
      <c r="H21" s="71"/>
      <c r="I21" s="71"/>
      <c r="J21" s="71">
        <f t="shared" si="9"/>
        <v>0</v>
      </c>
      <c r="K21" s="71"/>
      <c r="L21" s="71"/>
      <c r="M21" s="71"/>
      <c r="N21" s="71"/>
      <c r="O21" s="71"/>
      <c r="P21" s="71">
        <f t="shared" si="8"/>
        <v>850000</v>
      </c>
      <c r="Q21" s="129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</row>
    <row r="22" spans="1:530" s="23" customFormat="1" ht="60" customHeight="1" x14ac:dyDescent="0.25">
      <c r="A22" s="43" t="s">
        <v>186</v>
      </c>
      <c r="B22" s="44" t="str">
        <f>'дод 3-1'!A59</f>
        <v>3140</v>
      </c>
      <c r="C22" s="44" t="str">
        <f>'дод 3-1'!B59</f>
        <v>1040</v>
      </c>
      <c r="D22" s="24" t="str">
        <f>'дод 3-1'!C59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71">
        <f t="shared" si="7"/>
        <v>560000</v>
      </c>
      <c r="F22" s="71">
        <v>560000</v>
      </c>
      <c r="G22" s="71"/>
      <c r="H22" s="71"/>
      <c r="I22" s="71"/>
      <c r="J22" s="71">
        <f t="shared" si="9"/>
        <v>0</v>
      </c>
      <c r="K22" s="71"/>
      <c r="L22" s="71"/>
      <c r="M22" s="71"/>
      <c r="N22" s="71"/>
      <c r="O22" s="71"/>
      <c r="P22" s="71">
        <f t="shared" si="8"/>
        <v>560000</v>
      </c>
      <c r="Q22" s="129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</row>
    <row r="23" spans="1:530" s="23" customFormat="1" ht="37.5" customHeight="1" x14ac:dyDescent="0.25">
      <c r="A23" s="43" t="s">
        <v>355</v>
      </c>
      <c r="B23" s="44" t="str">
        <f>'дод 3-1'!A68</f>
        <v>3241</v>
      </c>
      <c r="C23" s="44" t="str">
        <f>'дод 3-1'!B68</f>
        <v>1090</v>
      </c>
      <c r="D23" s="24" t="str">
        <f>'дод 3-1'!C68</f>
        <v>Забезпечення діяльності інших закладів у сфері соціального захисту і соціального забезпечення</v>
      </c>
      <c r="E23" s="71">
        <f t="shared" si="7"/>
        <v>1198395</v>
      </c>
      <c r="F23" s="71">
        <v>1198395</v>
      </c>
      <c r="G23" s="71">
        <v>852910</v>
      </c>
      <c r="H23" s="71">
        <v>114300</v>
      </c>
      <c r="I23" s="71"/>
      <c r="J23" s="71">
        <f t="shared" si="9"/>
        <v>0</v>
      </c>
      <c r="K23" s="71"/>
      <c r="L23" s="71"/>
      <c r="M23" s="71"/>
      <c r="N23" s="71"/>
      <c r="O23" s="71"/>
      <c r="P23" s="71">
        <f t="shared" si="8"/>
        <v>1198395</v>
      </c>
      <c r="Q23" s="129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</row>
    <row r="24" spans="1:530" s="23" customFormat="1" ht="33.75" customHeight="1" x14ac:dyDescent="0.25">
      <c r="A24" s="43" t="s">
        <v>356</v>
      </c>
      <c r="B24" s="44" t="str">
        <f>'дод 3-1'!A69</f>
        <v>3242</v>
      </c>
      <c r="C24" s="44" t="str">
        <f>'дод 3-1'!B69</f>
        <v>1090</v>
      </c>
      <c r="D24" s="24" t="str">
        <f>'дод 3-1'!C69</f>
        <v>Інші заходи у сфері соціального захисту і соціального забезпечення</v>
      </c>
      <c r="E24" s="71">
        <f t="shared" si="7"/>
        <v>218310</v>
      </c>
      <c r="F24" s="71">
        <v>218310</v>
      </c>
      <c r="G24" s="71"/>
      <c r="H24" s="71"/>
      <c r="I24" s="71"/>
      <c r="J24" s="71">
        <f t="shared" si="9"/>
        <v>0</v>
      </c>
      <c r="K24" s="71"/>
      <c r="L24" s="71"/>
      <c r="M24" s="71"/>
      <c r="N24" s="71"/>
      <c r="O24" s="71"/>
      <c r="P24" s="71">
        <f t="shared" si="8"/>
        <v>218310</v>
      </c>
      <c r="Q24" s="129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</row>
    <row r="25" spans="1:530" s="23" customFormat="1" ht="33.75" customHeight="1" x14ac:dyDescent="0.25">
      <c r="A25" s="43" t="s">
        <v>375</v>
      </c>
      <c r="B25" s="44" t="str">
        <f>'дод 3-1'!A72</f>
        <v>4060</v>
      </c>
      <c r="C25" s="44" t="str">
        <f>'дод 3-1'!B72</f>
        <v>0828</v>
      </c>
      <c r="D25" s="24" t="str">
        <f>'дод 3-1'!C72</f>
        <v>Забезпечення діяльності палаців i будинків культури, клубів, центрів дозвілля та iнших клубних закладів</v>
      </c>
      <c r="E25" s="71">
        <f t="shared" si="7"/>
        <v>4745000</v>
      </c>
      <c r="F25" s="72">
        <v>4745000</v>
      </c>
      <c r="G25" s="71">
        <v>2098000</v>
      </c>
      <c r="H25" s="71">
        <v>727600</v>
      </c>
      <c r="I25" s="71"/>
      <c r="J25" s="71">
        <f t="shared" si="9"/>
        <v>25500</v>
      </c>
      <c r="K25" s="71">
        <v>25500</v>
      </c>
      <c r="L25" s="71"/>
      <c r="M25" s="71"/>
      <c r="N25" s="71"/>
      <c r="O25" s="71">
        <v>25500</v>
      </c>
      <c r="P25" s="71">
        <f t="shared" si="8"/>
        <v>4770500</v>
      </c>
      <c r="Q25" s="129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</row>
    <row r="26" spans="1:530" s="23" customFormat="1" ht="30.75" customHeight="1" x14ac:dyDescent="0.25">
      <c r="A26" s="43" t="s">
        <v>353</v>
      </c>
      <c r="B26" s="44" t="str">
        <f>'дод 3-1'!A73</f>
        <v>4081</v>
      </c>
      <c r="C26" s="44" t="str">
        <f>'дод 3-1'!B73</f>
        <v>0829</v>
      </c>
      <c r="D26" s="24" t="str">
        <f>'дод 3-1'!C73</f>
        <v>Забезпечення діяльності інших закладів в галузі культури і мистецтва</v>
      </c>
      <c r="E26" s="71">
        <f t="shared" si="7"/>
        <v>2950900</v>
      </c>
      <c r="F26" s="71">
        <f>2374900+300000+276000</f>
        <v>2950900</v>
      </c>
      <c r="G26" s="71">
        <v>1389000</v>
      </c>
      <c r="H26" s="71">
        <v>91200</v>
      </c>
      <c r="I26" s="71"/>
      <c r="J26" s="71">
        <f t="shared" si="9"/>
        <v>224000</v>
      </c>
      <c r="K26" s="71">
        <v>224000</v>
      </c>
      <c r="L26" s="71"/>
      <c r="M26" s="71"/>
      <c r="N26" s="71"/>
      <c r="O26" s="71">
        <v>224000</v>
      </c>
      <c r="P26" s="71">
        <f t="shared" si="8"/>
        <v>3174900</v>
      </c>
      <c r="Q26" s="129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</row>
    <row r="27" spans="1:530" s="23" customFormat="1" ht="25.5" customHeight="1" x14ac:dyDescent="0.25">
      <c r="A27" s="43" t="s">
        <v>354</v>
      </c>
      <c r="B27" s="44" t="str">
        <f>'дод 3-1'!A74</f>
        <v>4082</v>
      </c>
      <c r="C27" s="44" t="str">
        <f>'дод 3-1'!B74</f>
        <v>0829</v>
      </c>
      <c r="D27" s="24" t="str">
        <f>'дод 3-1'!C74</f>
        <v>Інші заходи в галузі культури і мистецтва</v>
      </c>
      <c r="E27" s="71">
        <f t="shared" si="7"/>
        <v>465000</v>
      </c>
      <c r="F27" s="71">
        <v>465000</v>
      </c>
      <c r="G27" s="71"/>
      <c r="H27" s="71"/>
      <c r="I27" s="71"/>
      <c r="J27" s="71">
        <f t="shared" si="9"/>
        <v>0</v>
      </c>
      <c r="K27" s="71"/>
      <c r="L27" s="71"/>
      <c r="M27" s="71"/>
      <c r="N27" s="71"/>
      <c r="O27" s="71"/>
      <c r="P27" s="71">
        <f t="shared" si="8"/>
        <v>465000</v>
      </c>
      <c r="Q27" s="129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</row>
    <row r="28" spans="1:530" s="23" customFormat="1" ht="36.75" customHeight="1" x14ac:dyDescent="0.25">
      <c r="A28" s="52" t="s">
        <v>187</v>
      </c>
      <c r="B28" s="45" t="str">
        <f>'дод 3-1'!A76</f>
        <v>5011</v>
      </c>
      <c r="C28" s="45" t="str">
        <f>'дод 3-1'!B76</f>
        <v>0810</v>
      </c>
      <c r="D28" s="22" t="str">
        <f>'дод 3-1'!C76</f>
        <v>Проведення навчально-тренувальних зборів і змагань з олімпійських видів спорту</v>
      </c>
      <c r="E28" s="71">
        <f t="shared" si="7"/>
        <v>750000</v>
      </c>
      <c r="F28" s="71">
        <v>750000</v>
      </c>
      <c r="G28" s="71"/>
      <c r="H28" s="71"/>
      <c r="I28" s="71"/>
      <c r="J28" s="71">
        <f t="shared" si="9"/>
        <v>0</v>
      </c>
      <c r="K28" s="71"/>
      <c r="L28" s="71"/>
      <c r="M28" s="71"/>
      <c r="N28" s="71"/>
      <c r="O28" s="71"/>
      <c r="P28" s="71">
        <f t="shared" si="8"/>
        <v>750000</v>
      </c>
      <c r="Q28" s="129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</row>
    <row r="29" spans="1:530" s="23" customFormat="1" ht="34.5" customHeight="1" x14ac:dyDescent="0.25">
      <c r="A29" s="52" t="s">
        <v>188</v>
      </c>
      <c r="B29" s="45" t="str">
        <f>'дод 3-1'!A77</f>
        <v>5012</v>
      </c>
      <c r="C29" s="45" t="str">
        <f>'дод 3-1'!B77</f>
        <v>0810</v>
      </c>
      <c r="D29" s="22" t="str">
        <f>'дод 3-1'!C77</f>
        <v>Проведення навчально-тренувальних зборів і змагань з неолімпійських видів спорту</v>
      </c>
      <c r="E29" s="71">
        <f t="shared" si="7"/>
        <v>2050000</v>
      </c>
      <c r="F29" s="71">
        <f>750000+1300000</f>
        <v>2050000</v>
      </c>
      <c r="G29" s="71"/>
      <c r="H29" s="71"/>
      <c r="I29" s="71"/>
      <c r="J29" s="71">
        <f t="shared" si="9"/>
        <v>0</v>
      </c>
      <c r="K29" s="71"/>
      <c r="L29" s="71"/>
      <c r="M29" s="71"/>
      <c r="N29" s="71"/>
      <c r="O29" s="71"/>
      <c r="P29" s="71">
        <f t="shared" si="8"/>
        <v>2050000</v>
      </c>
      <c r="Q29" s="129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</row>
    <row r="30" spans="1:530" s="23" customFormat="1" ht="39" customHeight="1" x14ac:dyDescent="0.25">
      <c r="A30" s="52" t="s">
        <v>189</v>
      </c>
      <c r="B30" s="45" t="str">
        <f>'дод 3-1'!A78</f>
        <v>5031</v>
      </c>
      <c r="C30" s="45" t="str">
        <f>'дод 3-1'!B78</f>
        <v>0810</v>
      </c>
      <c r="D30" s="22" t="str">
        <f>'дод 3-1'!C78</f>
        <v>Утримання та навчально-тренувальна робота комунальних дитячо-юнацьких спортивних шкіл</v>
      </c>
      <c r="E30" s="71">
        <f t="shared" si="7"/>
        <v>13106830</v>
      </c>
      <c r="F30" s="71">
        <v>13106830</v>
      </c>
      <c r="G30" s="71">
        <v>9753300</v>
      </c>
      <c r="H30" s="71">
        <v>819990</v>
      </c>
      <c r="I30" s="71">
        <v>0</v>
      </c>
      <c r="J30" s="71">
        <f t="shared" si="9"/>
        <v>500000</v>
      </c>
      <c r="K30" s="71">
        <v>500000</v>
      </c>
      <c r="L30" s="71"/>
      <c r="M30" s="71"/>
      <c r="N30" s="71"/>
      <c r="O30" s="71">
        <v>500000</v>
      </c>
      <c r="P30" s="71">
        <f t="shared" si="8"/>
        <v>13606830</v>
      </c>
      <c r="Q30" s="129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</row>
    <row r="31" spans="1:530" s="23" customFormat="1" ht="33.75" customHeight="1" x14ac:dyDescent="0.25">
      <c r="A31" s="52" t="s">
        <v>419</v>
      </c>
      <c r="B31" s="45" t="str">
        <f>'дод 3-1'!A79</f>
        <v>5032</v>
      </c>
      <c r="C31" s="45" t="str">
        <f>'дод 3-1'!B79</f>
        <v>0810</v>
      </c>
      <c r="D31" s="22" t="str">
        <f>'дод 3-1'!C79</f>
        <v>Фінансова підтримка дитячо-юнацьких спортивних шкіл фізкультурно-спортивних товариств</v>
      </c>
      <c r="E31" s="71">
        <f t="shared" si="7"/>
        <v>11143630</v>
      </c>
      <c r="F31" s="71">
        <v>11143630</v>
      </c>
      <c r="G31" s="71"/>
      <c r="H31" s="71"/>
      <c r="I31" s="71"/>
      <c r="J31" s="71">
        <f t="shared" si="9"/>
        <v>0</v>
      </c>
      <c r="K31" s="71"/>
      <c r="L31" s="71"/>
      <c r="M31" s="71"/>
      <c r="N31" s="71"/>
      <c r="O31" s="71"/>
      <c r="P31" s="71">
        <f t="shared" si="8"/>
        <v>11143630</v>
      </c>
      <c r="Q31" s="129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</row>
    <row r="32" spans="1:530" s="23" customFormat="1" ht="48" customHeight="1" x14ac:dyDescent="0.25">
      <c r="A32" s="52" t="s">
        <v>190</v>
      </c>
      <c r="B32" s="45" t="str">
        <f>'дод 3-1'!A80</f>
        <v>5061</v>
      </c>
      <c r="C32" s="45" t="str">
        <f>'дод 3-1'!B80</f>
        <v>0810</v>
      </c>
      <c r="D32" s="22" t="str">
        <f>'дод 3-1'!C80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2" s="71">
        <f t="shared" si="7"/>
        <v>3893120</v>
      </c>
      <c r="F32" s="71">
        <f>3728120+165000</f>
        <v>3893120</v>
      </c>
      <c r="G32" s="71">
        <v>2446900</v>
      </c>
      <c r="H32" s="71">
        <v>370100</v>
      </c>
      <c r="I32" s="71"/>
      <c r="J32" s="71">
        <f t="shared" si="9"/>
        <v>1079120</v>
      </c>
      <c r="K32" s="71">
        <v>900000</v>
      </c>
      <c r="L32" s="71">
        <v>179120</v>
      </c>
      <c r="M32" s="71">
        <v>91105</v>
      </c>
      <c r="N32" s="71">
        <v>51050</v>
      </c>
      <c r="O32" s="71">
        <v>900000</v>
      </c>
      <c r="P32" s="71">
        <f t="shared" si="8"/>
        <v>4972240</v>
      </c>
      <c r="Q32" s="129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</row>
    <row r="33" spans="1:530" s="23" customFormat="1" ht="39" customHeight="1" x14ac:dyDescent="0.25">
      <c r="A33" s="52" t="s">
        <v>410</v>
      </c>
      <c r="B33" s="45" t="str">
        <f>'дод 3-1'!A81</f>
        <v>5062</v>
      </c>
      <c r="C33" s="45" t="str">
        <f>'дод 3-1'!B81</f>
        <v>0810</v>
      </c>
      <c r="D33" s="22" t="str">
        <f>'дод 3-1'!C81</f>
        <v>Підтримка спорту вищих досягнень та організацій, які здійснюють фізкультурно-спортивну діяльність в регіоні</v>
      </c>
      <c r="E33" s="71">
        <f t="shared" si="7"/>
        <v>6608390</v>
      </c>
      <c r="F33" s="71">
        <f>6608390</f>
        <v>6608390</v>
      </c>
      <c r="G33" s="71"/>
      <c r="H33" s="71"/>
      <c r="I33" s="71"/>
      <c r="J33" s="71">
        <f t="shared" si="9"/>
        <v>0</v>
      </c>
      <c r="K33" s="71"/>
      <c r="L33" s="71"/>
      <c r="M33" s="71"/>
      <c r="N33" s="71"/>
      <c r="O33" s="71"/>
      <c r="P33" s="71">
        <f t="shared" si="8"/>
        <v>6608390</v>
      </c>
      <c r="Q33" s="129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</row>
    <row r="34" spans="1:530" s="23" customFormat="1" ht="24" customHeight="1" x14ac:dyDescent="0.25">
      <c r="A34" s="52" t="s">
        <v>191</v>
      </c>
      <c r="B34" s="45" t="str">
        <f>'дод 3-1'!A103</f>
        <v>7412</v>
      </c>
      <c r="C34" s="45" t="str">
        <f>'дод 3-1'!B103</f>
        <v>0451</v>
      </c>
      <c r="D34" s="22" t="str">
        <f>'дод 3-1'!C103</f>
        <v>Регулювання цін на послуги місцевого автотранспорту</v>
      </c>
      <c r="E34" s="71">
        <f t="shared" si="7"/>
        <v>10000000</v>
      </c>
      <c r="F34" s="71"/>
      <c r="G34" s="71"/>
      <c r="H34" s="71"/>
      <c r="I34" s="71">
        <v>10000000</v>
      </c>
      <c r="J34" s="71">
        <f t="shared" si="9"/>
        <v>0</v>
      </c>
      <c r="K34" s="71"/>
      <c r="L34" s="71"/>
      <c r="M34" s="71"/>
      <c r="N34" s="71"/>
      <c r="O34" s="71"/>
      <c r="P34" s="71">
        <f t="shared" si="8"/>
        <v>10000000</v>
      </c>
      <c r="Q34" s="129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</row>
    <row r="35" spans="1:530" s="23" customFormat="1" ht="19.5" customHeight="1" x14ac:dyDescent="0.25">
      <c r="A35" s="52" t="s">
        <v>275</v>
      </c>
      <c r="B35" s="45" t="str">
        <f>'дод 3-1'!A105</f>
        <v>7530</v>
      </c>
      <c r="C35" s="45" t="str">
        <f>'дод 3-1'!B105</f>
        <v>0460</v>
      </c>
      <c r="D35" s="22" t="str">
        <f>'дод 3-1'!C105</f>
        <v>Інші заходи у сфері зв'язку, телекомунікації та інформатики</v>
      </c>
      <c r="E35" s="71">
        <f t="shared" si="7"/>
        <v>13450000</v>
      </c>
      <c r="F35" s="71">
        <f>10000000+3450000</f>
        <v>13450000</v>
      </c>
      <c r="G35" s="71"/>
      <c r="H35" s="71"/>
      <c r="I35" s="71"/>
      <c r="J35" s="71">
        <f t="shared" si="9"/>
        <v>6050000</v>
      </c>
      <c r="K35" s="71">
        <f>5000000+1050000</f>
        <v>6050000</v>
      </c>
      <c r="L35" s="71"/>
      <c r="M35" s="71"/>
      <c r="N35" s="71"/>
      <c r="O35" s="71">
        <f>5000000+1050000</f>
        <v>6050000</v>
      </c>
      <c r="P35" s="71">
        <f t="shared" si="8"/>
        <v>19500000</v>
      </c>
      <c r="Q35" s="129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</row>
    <row r="36" spans="1:530" s="23" customFormat="1" ht="17.25" customHeight="1" x14ac:dyDescent="0.25">
      <c r="A36" s="52" t="s">
        <v>192</v>
      </c>
      <c r="B36" s="45" t="str">
        <f>'дод 3-1'!A107</f>
        <v>7610</v>
      </c>
      <c r="C36" s="45" t="str">
        <f>'дод 3-1'!B107</f>
        <v>0411</v>
      </c>
      <c r="D36" s="22" t="str">
        <f>'дод 3-1'!C107</f>
        <v>Сприяння розвитку малого та середнього підприємництва</v>
      </c>
      <c r="E36" s="71">
        <f t="shared" si="7"/>
        <v>215000</v>
      </c>
      <c r="F36" s="71">
        <f>115000+100000</f>
        <v>215000</v>
      </c>
      <c r="G36" s="71"/>
      <c r="H36" s="71"/>
      <c r="I36" s="71"/>
      <c r="J36" s="71">
        <f t="shared" si="9"/>
        <v>0</v>
      </c>
      <c r="K36" s="71"/>
      <c r="L36" s="71"/>
      <c r="M36" s="71"/>
      <c r="N36" s="71"/>
      <c r="O36" s="71"/>
      <c r="P36" s="71">
        <f t="shared" si="8"/>
        <v>215000</v>
      </c>
      <c r="Q36" s="129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</row>
    <row r="37" spans="1:530" s="23" customFormat="1" ht="23.25" customHeight="1" x14ac:dyDescent="0.25">
      <c r="A37" s="52" t="s">
        <v>193</v>
      </c>
      <c r="B37" s="45" t="str">
        <f>'дод 3-1'!A111</f>
        <v>7670</v>
      </c>
      <c r="C37" s="45" t="str">
        <f>'дод 3-1'!B111</f>
        <v>0490</v>
      </c>
      <c r="D37" s="22" t="str">
        <f>'дод 3-1'!C111</f>
        <v>Внески до статутного капіталу суб’єктів господарювання</v>
      </c>
      <c r="E37" s="71">
        <f t="shared" si="7"/>
        <v>0</v>
      </c>
      <c r="F37" s="71"/>
      <c r="G37" s="71"/>
      <c r="H37" s="71"/>
      <c r="I37" s="71"/>
      <c r="J37" s="71">
        <f t="shared" si="9"/>
        <v>22572000</v>
      </c>
      <c r="K37" s="71">
        <f>22572000</f>
        <v>22572000</v>
      </c>
      <c r="L37" s="71"/>
      <c r="M37" s="71"/>
      <c r="N37" s="71"/>
      <c r="O37" s="71">
        <f>22572000</f>
        <v>22572000</v>
      </c>
      <c r="P37" s="71">
        <f t="shared" si="8"/>
        <v>22572000</v>
      </c>
      <c r="Q37" s="129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</row>
    <row r="38" spans="1:530" s="23" customFormat="1" ht="36.75" customHeight="1" x14ac:dyDescent="0.25">
      <c r="A38" s="52" t="s">
        <v>289</v>
      </c>
      <c r="B38" s="45" t="str">
        <f>'дод 3-1'!A112</f>
        <v>7680</v>
      </c>
      <c r="C38" s="45" t="str">
        <f>'дод 3-1'!B112</f>
        <v>0490</v>
      </c>
      <c r="D38" s="22" t="str">
        <f>'дод 3-1'!C112</f>
        <v>Членські внески до асоціацій органів місцевого самоврядування</v>
      </c>
      <c r="E38" s="71">
        <f t="shared" si="7"/>
        <v>240069</v>
      </c>
      <c r="F38" s="71">
        <f>158069+82000</f>
        <v>240069</v>
      </c>
      <c r="G38" s="71"/>
      <c r="H38" s="71"/>
      <c r="I38" s="71"/>
      <c r="J38" s="71">
        <f t="shared" si="9"/>
        <v>0</v>
      </c>
      <c r="K38" s="71"/>
      <c r="L38" s="71"/>
      <c r="M38" s="71"/>
      <c r="N38" s="71"/>
      <c r="O38" s="71"/>
      <c r="P38" s="71">
        <f t="shared" si="8"/>
        <v>240069</v>
      </c>
      <c r="Q38" s="129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</row>
    <row r="39" spans="1:530" s="23" customFormat="1" ht="90" customHeight="1" x14ac:dyDescent="0.25">
      <c r="A39" s="52" t="s">
        <v>351</v>
      </c>
      <c r="B39" s="45" t="str">
        <f>'дод 3-1'!A113</f>
        <v>7691</v>
      </c>
      <c r="C39" s="45" t="str">
        <f>'дод 3-1'!B113</f>
        <v>0490</v>
      </c>
      <c r="D39" s="22" t="str">
        <f>'дод 3-1'!C113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9" s="71">
        <f t="shared" si="7"/>
        <v>0</v>
      </c>
      <c r="F39" s="71"/>
      <c r="G39" s="71"/>
      <c r="H39" s="71"/>
      <c r="I39" s="71"/>
      <c r="J39" s="71">
        <f t="shared" si="9"/>
        <v>64711</v>
      </c>
      <c r="K39" s="71"/>
      <c r="L39" s="71">
        <v>64711</v>
      </c>
      <c r="M39" s="71"/>
      <c r="N39" s="71"/>
      <c r="O39" s="71"/>
      <c r="P39" s="71">
        <f t="shared" si="8"/>
        <v>64711</v>
      </c>
      <c r="Q39" s="130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</row>
    <row r="40" spans="1:530" s="23" customFormat="1" ht="23.25" customHeight="1" x14ac:dyDescent="0.25">
      <c r="A40" s="52" t="s">
        <v>282</v>
      </c>
      <c r="B40" s="45" t="str">
        <f>'дод 3-1'!A114</f>
        <v>7693</v>
      </c>
      <c r="C40" s="45" t="str">
        <f>'дод 3-1'!B114</f>
        <v>0490</v>
      </c>
      <c r="D40" s="22" t="str">
        <f>'дод 3-1'!C114</f>
        <v>Інші заходи, пов'язані з економічною діяльністю</v>
      </c>
      <c r="E40" s="71">
        <f t="shared" si="7"/>
        <v>1617587</v>
      </c>
      <c r="F40" s="71">
        <v>1617587</v>
      </c>
      <c r="G40" s="71"/>
      <c r="H40" s="71"/>
      <c r="I40" s="71"/>
      <c r="J40" s="71">
        <f t="shared" si="9"/>
        <v>0</v>
      </c>
      <c r="K40" s="71"/>
      <c r="L40" s="71"/>
      <c r="M40" s="71"/>
      <c r="N40" s="71"/>
      <c r="O40" s="71"/>
      <c r="P40" s="71">
        <f t="shared" si="8"/>
        <v>1617587</v>
      </c>
      <c r="Q40" s="130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</row>
    <row r="41" spans="1:530" s="23" customFormat="1" ht="34.5" customHeight="1" x14ac:dyDescent="0.25">
      <c r="A41" s="52" t="s">
        <v>194</v>
      </c>
      <c r="B41" s="45" t="str">
        <f>'дод 3-1'!A119</f>
        <v>8110</v>
      </c>
      <c r="C41" s="45" t="str">
        <f>'дод 3-1'!B119</f>
        <v>0320</v>
      </c>
      <c r="D41" s="22" t="str">
        <f>'дод 3-1'!C119</f>
        <v>Заходи із запобігання та ліквідації надзвичайних ситуацій та наслідків стихійного лиха</v>
      </c>
      <c r="E41" s="71">
        <f t="shared" si="7"/>
        <v>284500</v>
      </c>
      <c r="F41" s="71">
        <v>284500</v>
      </c>
      <c r="G41" s="71"/>
      <c r="H41" s="71">
        <v>7500</v>
      </c>
      <c r="I41" s="71"/>
      <c r="J41" s="71">
        <f t="shared" si="9"/>
        <v>2159600</v>
      </c>
      <c r="K41" s="71">
        <v>2159600</v>
      </c>
      <c r="L41" s="71"/>
      <c r="M41" s="71"/>
      <c r="N41" s="71"/>
      <c r="O41" s="71">
        <v>2159600</v>
      </c>
      <c r="P41" s="71">
        <f t="shared" si="8"/>
        <v>2444100</v>
      </c>
      <c r="Q41" s="130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</row>
    <row r="42" spans="1:530" s="23" customFormat="1" ht="19.5" customHeight="1" x14ac:dyDescent="0.25">
      <c r="A42" s="52" t="s">
        <v>264</v>
      </c>
      <c r="B42" s="45" t="str">
        <f>'дод 3-1'!A120</f>
        <v>8120</v>
      </c>
      <c r="C42" s="45" t="str">
        <f>'дод 3-1'!B120</f>
        <v>0320</v>
      </c>
      <c r="D42" s="22" t="str">
        <f>'дод 3-1'!C120</f>
        <v>Заходи з організації рятування на водах</v>
      </c>
      <c r="E42" s="71">
        <f t="shared" si="7"/>
        <v>2022280</v>
      </c>
      <c r="F42" s="71">
        <f>1892080+19210+32020+78970</f>
        <v>2022280</v>
      </c>
      <c r="G42" s="71">
        <v>1542220</v>
      </c>
      <c r="H42" s="71">
        <v>79880</v>
      </c>
      <c r="I42" s="71"/>
      <c r="J42" s="71">
        <f t="shared" si="9"/>
        <v>5500</v>
      </c>
      <c r="K42" s="71"/>
      <c r="L42" s="71">
        <v>5500</v>
      </c>
      <c r="M42" s="71"/>
      <c r="N42" s="71">
        <v>1400</v>
      </c>
      <c r="O42" s="71"/>
      <c r="P42" s="71">
        <f t="shared" si="8"/>
        <v>2027780</v>
      </c>
      <c r="Q42" s="130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</row>
    <row r="43" spans="1:530" s="23" customFormat="1" ht="21.75" customHeight="1" x14ac:dyDescent="0.25">
      <c r="A43" s="52" t="s">
        <v>285</v>
      </c>
      <c r="B43" s="45" t="str">
        <f>'дод 3-1'!A122</f>
        <v>8230</v>
      </c>
      <c r="C43" s="45" t="str">
        <f>'дод 3-1'!B122</f>
        <v>0380</v>
      </c>
      <c r="D43" s="22" t="str">
        <f>'дод 3-1'!C122</f>
        <v>Інші заходи громадського порядку та безпеки</v>
      </c>
      <c r="E43" s="71">
        <f t="shared" si="7"/>
        <v>683360</v>
      </c>
      <c r="F43" s="71">
        <v>683360</v>
      </c>
      <c r="G43" s="71"/>
      <c r="H43" s="71">
        <v>278160</v>
      </c>
      <c r="I43" s="71"/>
      <c r="J43" s="71">
        <f t="shared" si="9"/>
        <v>0</v>
      </c>
      <c r="K43" s="71"/>
      <c r="L43" s="71"/>
      <c r="M43" s="71"/>
      <c r="N43" s="71"/>
      <c r="O43" s="71"/>
      <c r="P43" s="71">
        <f t="shared" si="8"/>
        <v>683360</v>
      </c>
      <c r="Q43" s="130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</row>
    <row r="44" spans="1:530" s="23" customFormat="1" ht="23.25" customHeight="1" x14ac:dyDescent="0.25">
      <c r="A44" s="43" t="s">
        <v>195</v>
      </c>
      <c r="B44" s="44" t="str">
        <f>'дод 3-1'!A125</f>
        <v>8340</v>
      </c>
      <c r="C44" s="44" t="str">
        <f>'дод 3-1'!B125</f>
        <v>0540</v>
      </c>
      <c r="D44" s="24" t="str">
        <f>'дод 3-1'!C125</f>
        <v>Природоохоронні заходи за рахунок цільових фондів</v>
      </c>
      <c r="E44" s="71">
        <f t="shared" si="7"/>
        <v>0</v>
      </c>
      <c r="F44" s="71"/>
      <c r="G44" s="71"/>
      <c r="H44" s="71"/>
      <c r="I44" s="71"/>
      <c r="J44" s="71">
        <f t="shared" si="9"/>
        <v>264000</v>
      </c>
      <c r="K44" s="71"/>
      <c r="L44" s="71">
        <v>264000</v>
      </c>
      <c r="M44" s="71"/>
      <c r="N44" s="71"/>
      <c r="O44" s="71"/>
      <c r="P44" s="71">
        <f t="shared" si="8"/>
        <v>264000</v>
      </c>
      <c r="Q44" s="130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</row>
    <row r="45" spans="1:530" s="23" customFormat="1" ht="26.25" customHeight="1" x14ac:dyDescent="0.25">
      <c r="A45" s="52" t="s">
        <v>296</v>
      </c>
      <c r="B45" s="45" t="str">
        <f>'дод 3-1'!A127</f>
        <v>8420</v>
      </c>
      <c r="C45" s="45" t="str">
        <f>'дод 3-1'!B127</f>
        <v>0830</v>
      </c>
      <c r="D45" s="22" t="str">
        <f>'дод 3-1'!C127</f>
        <v>Інші заходи у сфері засобів масової інформації</v>
      </c>
      <c r="E45" s="71">
        <f t="shared" si="7"/>
        <v>100000</v>
      </c>
      <c r="F45" s="71">
        <v>100000</v>
      </c>
      <c r="G45" s="71"/>
      <c r="H45" s="71"/>
      <c r="I45" s="71"/>
      <c r="J45" s="71">
        <f t="shared" si="9"/>
        <v>0</v>
      </c>
      <c r="K45" s="71"/>
      <c r="L45" s="71"/>
      <c r="M45" s="71"/>
      <c r="N45" s="71"/>
      <c r="O45" s="71"/>
      <c r="P45" s="71">
        <f t="shared" si="8"/>
        <v>100000</v>
      </c>
      <c r="Q45" s="130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</row>
    <row r="46" spans="1:530" s="31" customFormat="1" ht="23.25" customHeight="1" x14ac:dyDescent="0.2">
      <c r="A46" s="91" t="s">
        <v>196</v>
      </c>
      <c r="B46" s="74"/>
      <c r="C46" s="74"/>
      <c r="D46" s="30" t="s">
        <v>34</v>
      </c>
      <c r="E46" s="68">
        <f>E47</f>
        <v>965890854</v>
      </c>
      <c r="F46" s="68">
        <f t="shared" ref="F46:J46" si="10">F47</f>
        <v>965890854</v>
      </c>
      <c r="G46" s="68">
        <f t="shared" si="10"/>
        <v>647987480</v>
      </c>
      <c r="H46" s="68">
        <f t="shared" si="10"/>
        <v>83561807</v>
      </c>
      <c r="I46" s="68">
        <f t="shared" si="10"/>
        <v>0</v>
      </c>
      <c r="J46" s="68">
        <f t="shared" si="10"/>
        <v>80177013</v>
      </c>
      <c r="K46" s="68">
        <f t="shared" ref="K46" si="11">K47</f>
        <v>26470505</v>
      </c>
      <c r="L46" s="68">
        <f t="shared" ref="L46" si="12">L47</f>
        <v>53517508</v>
      </c>
      <c r="M46" s="68">
        <f t="shared" ref="M46" si="13">M47</f>
        <v>4208876</v>
      </c>
      <c r="N46" s="68">
        <f t="shared" ref="N46" si="14">N47</f>
        <v>3124191</v>
      </c>
      <c r="O46" s="68">
        <f t="shared" ref="O46:P46" si="15">O47</f>
        <v>26659505</v>
      </c>
      <c r="P46" s="68">
        <f t="shared" si="15"/>
        <v>1046067867</v>
      </c>
      <c r="Q46" s="130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8"/>
      <c r="JG46" s="38"/>
      <c r="JH46" s="38"/>
      <c r="JI46" s="38"/>
      <c r="JJ46" s="38"/>
      <c r="JK46" s="38"/>
      <c r="JL46" s="38"/>
      <c r="JM46" s="38"/>
      <c r="JN46" s="38"/>
      <c r="JO46" s="38"/>
      <c r="JP46" s="38"/>
      <c r="JQ46" s="38"/>
      <c r="JR46" s="38"/>
      <c r="JS46" s="38"/>
      <c r="JT46" s="38"/>
      <c r="JU46" s="38"/>
      <c r="JV46" s="38"/>
      <c r="JW46" s="38"/>
      <c r="JX46" s="38"/>
      <c r="JY46" s="38"/>
      <c r="JZ46" s="38"/>
      <c r="KA46" s="38"/>
      <c r="KB46" s="38"/>
      <c r="KC46" s="38"/>
      <c r="KD46" s="38"/>
      <c r="KE46" s="38"/>
      <c r="KF46" s="38"/>
      <c r="KG46" s="38"/>
      <c r="KH46" s="38"/>
      <c r="KI46" s="38"/>
      <c r="KJ46" s="38"/>
      <c r="KK46" s="38"/>
      <c r="KL46" s="38"/>
      <c r="KM46" s="38"/>
      <c r="KN46" s="38"/>
      <c r="KO46" s="38"/>
      <c r="KP46" s="38"/>
      <c r="KQ46" s="38"/>
      <c r="KR46" s="38"/>
      <c r="KS46" s="38"/>
      <c r="KT46" s="38"/>
      <c r="KU46" s="38"/>
      <c r="KV46" s="38"/>
      <c r="KW46" s="38"/>
      <c r="KX46" s="38"/>
      <c r="KY46" s="38"/>
      <c r="KZ46" s="38"/>
      <c r="LA46" s="38"/>
      <c r="LB46" s="38"/>
      <c r="LC46" s="38"/>
      <c r="LD46" s="38"/>
      <c r="LE46" s="38"/>
      <c r="LF46" s="38"/>
      <c r="LG46" s="38"/>
      <c r="LH46" s="38"/>
      <c r="LI46" s="38"/>
      <c r="LJ46" s="38"/>
      <c r="LK46" s="38"/>
      <c r="LL46" s="38"/>
      <c r="LM46" s="38"/>
      <c r="LN46" s="38"/>
      <c r="LO46" s="38"/>
      <c r="LP46" s="38"/>
      <c r="LQ46" s="38"/>
      <c r="LR46" s="38"/>
      <c r="LS46" s="38"/>
      <c r="LT46" s="38"/>
      <c r="LU46" s="38"/>
      <c r="LV46" s="38"/>
      <c r="LW46" s="38"/>
      <c r="LX46" s="38"/>
      <c r="LY46" s="38"/>
      <c r="LZ46" s="38"/>
      <c r="MA46" s="38"/>
      <c r="MB46" s="38"/>
      <c r="MC46" s="38"/>
      <c r="MD46" s="38"/>
      <c r="ME46" s="38"/>
      <c r="MF46" s="38"/>
      <c r="MG46" s="38"/>
      <c r="MH46" s="38"/>
      <c r="MI46" s="38"/>
      <c r="MJ46" s="38"/>
      <c r="MK46" s="38"/>
      <c r="ML46" s="38"/>
      <c r="MM46" s="38"/>
      <c r="MN46" s="38"/>
      <c r="MO46" s="38"/>
      <c r="MP46" s="38"/>
      <c r="MQ46" s="38"/>
      <c r="MR46" s="38"/>
      <c r="MS46" s="38"/>
      <c r="MT46" s="38"/>
      <c r="MU46" s="38"/>
      <c r="MV46" s="38"/>
      <c r="MW46" s="38"/>
      <c r="MX46" s="38"/>
      <c r="MY46" s="38"/>
      <c r="MZ46" s="38"/>
      <c r="NA46" s="38"/>
      <c r="NB46" s="38"/>
      <c r="NC46" s="38"/>
      <c r="ND46" s="38"/>
      <c r="NE46" s="38"/>
      <c r="NF46" s="38"/>
      <c r="NG46" s="38"/>
      <c r="NH46" s="38"/>
      <c r="NI46" s="38"/>
      <c r="NJ46" s="38"/>
      <c r="NK46" s="38"/>
      <c r="NL46" s="38"/>
      <c r="NM46" s="38"/>
      <c r="NN46" s="38"/>
      <c r="NO46" s="38"/>
      <c r="NP46" s="38"/>
      <c r="NQ46" s="38"/>
      <c r="NR46" s="38"/>
      <c r="NS46" s="38"/>
      <c r="NT46" s="38"/>
      <c r="NU46" s="38"/>
      <c r="NV46" s="38"/>
      <c r="NW46" s="38"/>
      <c r="NX46" s="38"/>
      <c r="NY46" s="38"/>
      <c r="NZ46" s="38"/>
      <c r="OA46" s="38"/>
      <c r="OB46" s="38"/>
      <c r="OC46" s="38"/>
      <c r="OD46" s="38"/>
      <c r="OE46" s="38"/>
      <c r="OF46" s="38"/>
      <c r="OG46" s="38"/>
      <c r="OH46" s="38"/>
      <c r="OI46" s="38"/>
      <c r="OJ46" s="38"/>
      <c r="OK46" s="38"/>
      <c r="OL46" s="38"/>
      <c r="OM46" s="38"/>
      <c r="ON46" s="38"/>
      <c r="OO46" s="38"/>
      <c r="OP46" s="38"/>
      <c r="OQ46" s="38"/>
      <c r="OR46" s="38"/>
      <c r="OS46" s="38"/>
      <c r="OT46" s="38"/>
      <c r="OU46" s="38"/>
      <c r="OV46" s="38"/>
      <c r="OW46" s="38"/>
      <c r="OX46" s="38"/>
      <c r="OY46" s="38"/>
      <c r="OZ46" s="38"/>
      <c r="PA46" s="38"/>
      <c r="PB46" s="38"/>
      <c r="PC46" s="38"/>
      <c r="PD46" s="38"/>
      <c r="PE46" s="38"/>
      <c r="PF46" s="38"/>
      <c r="PG46" s="38"/>
      <c r="PH46" s="38"/>
      <c r="PI46" s="38"/>
      <c r="PJ46" s="38"/>
      <c r="PK46" s="38"/>
      <c r="PL46" s="38"/>
      <c r="PM46" s="38"/>
      <c r="PN46" s="38"/>
      <c r="PO46" s="38"/>
      <c r="PP46" s="38"/>
      <c r="PQ46" s="38"/>
      <c r="PR46" s="38"/>
      <c r="PS46" s="38"/>
      <c r="PT46" s="38"/>
      <c r="PU46" s="38"/>
      <c r="PV46" s="38"/>
      <c r="PW46" s="38"/>
      <c r="PX46" s="38"/>
      <c r="PY46" s="38"/>
      <c r="PZ46" s="38"/>
      <c r="QA46" s="38"/>
      <c r="QB46" s="38"/>
      <c r="QC46" s="38"/>
      <c r="QD46" s="38"/>
      <c r="QE46" s="38"/>
      <c r="QF46" s="38"/>
      <c r="QG46" s="38"/>
      <c r="QH46" s="38"/>
      <c r="QI46" s="38"/>
      <c r="QJ46" s="38"/>
      <c r="QK46" s="38"/>
      <c r="QL46" s="38"/>
      <c r="QM46" s="38"/>
      <c r="QN46" s="38"/>
      <c r="QO46" s="38"/>
      <c r="QP46" s="38"/>
      <c r="QQ46" s="38"/>
      <c r="QR46" s="38"/>
      <c r="QS46" s="38"/>
      <c r="QT46" s="38"/>
      <c r="QU46" s="38"/>
      <c r="QV46" s="38"/>
      <c r="QW46" s="38"/>
      <c r="QX46" s="38"/>
      <c r="QY46" s="38"/>
      <c r="QZ46" s="38"/>
      <c r="RA46" s="38"/>
      <c r="RB46" s="38"/>
      <c r="RC46" s="38"/>
      <c r="RD46" s="38"/>
      <c r="RE46" s="38"/>
      <c r="RF46" s="38"/>
      <c r="RG46" s="38"/>
      <c r="RH46" s="38"/>
      <c r="RI46" s="38"/>
      <c r="RJ46" s="38"/>
      <c r="RK46" s="38"/>
      <c r="RL46" s="38"/>
      <c r="RM46" s="38"/>
      <c r="RN46" s="38"/>
      <c r="RO46" s="38"/>
      <c r="RP46" s="38"/>
      <c r="RQ46" s="38"/>
      <c r="RR46" s="38"/>
      <c r="RS46" s="38"/>
      <c r="RT46" s="38"/>
      <c r="RU46" s="38"/>
      <c r="RV46" s="38"/>
      <c r="RW46" s="38"/>
      <c r="RX46" s="38"/>
      <c r="RY46" s="38"/>
      <c r="RZ46" s="38"/>
      <c r="SA46" s="38"/>
      <c r="SB46" s="38"/>
      <c r="SC46" s="38"/>
      <c r="SD46" s="38"/>
      <c r="SE46" s="38"/>
      <c r="SF46" s="38"/>
      <c r="SG46" s="38"/>
      <c r="SH46" s="38"/>
      <c r="SI46" s="38"/>
      <c r="SJ46" s="38"/>
      <c r="SK46" s="38"/>
      <c r="SL46" s="38"/>
      <c r="SM46" s="38"/>
      <c r="SN46" s="38"/>
      <c r="SO46" s="38"/>
      <c r="SP46" s="38"/>
      <c r="SQ46" s="38"/>
      <c r="SR46" s="38"/>
      <c r="SS46" s="38"/>
      <c r="ST46" s="38"/>
      <c r="SU46" s="38"/>
      <c r="SV46" s="38"/>
      <c r="SW46" s="38"/>
      <c r="SX46" s="38"/>
      <c r="SY46" s="38"/>
      <c r="SZ46" s="38"/>
      <c r="TA46" s="38"/>
      <c r="TB46" s="38"/>
      <c r="TC46" s="38"/>
      <c r="TD46" s="38"/>
      <c r="TE46" s="38"/>
      <c r="TF46" s="38"/>
      <c r="TG46" s="38"/>
      <c r="TH46" s="38"/>
      <c r="TI46" s="38"/>
      <c r="TJ46" s="38"/>
    </row>
    <row r="47" spans="1:530" s="40" customFormat="1" ht="26.25" customHeight="1" x14ac:dyDescent="0.25">
      <c r="A47" s="92" t="s">
        <v>197</v>
      </c>
      <c r="B47" s="75"/>
      <c r="C47" s="75"/>
      <c r="D47" s="33" t="s">
        <v>34</v>
      </c>
      <c r="E47" s="70">
        <f>E49+E50+E52+E54+E56+E57+E59+E60+E61+E62+E64+E65+E66+E67+E68</f>
        <v>965890854</v>
      </c>
      <c r="F47" s="70">
        <f t="shared" ref="F47:P47" si="16">F49+F50+F52+F54+F56+F57+F59+F60+F61+F62+F64+F65+F66+F67+F68</f>
        <v>965890854</v>
      </c>
      <c r="G47" s="70">
        <f t="shared" si="16"/>
        <v>647987480</v>
      </c>
      <c r="H47" s="70">
        <f t="shared" si="16"/>
        <v>83561807</v>
      </c>
      <c r="I47" s="70">
        <f t="shared" si="16"/>
        <v>0</v>
      </c>
      <c r="J47" s="70">
        <f t="shared" si="16"/>
        <v>80177013</v>
      </c>
      <c r="K47" s="70">
        <f t="shared" si="16"/>
        <v>26470505</v>
      </c>
      <c r="L47" s="70">
        <f t="shared" si="16"/>
        <v>53517508</v>
      </c>
      <c r="M47" s="70">
        <f t="shared" si="16"/>
        <v>4208876</v>
      </c>
      <c r="N47" s="70">
        <f t="shared" si="16"/>
        <v>3124191</v>
      </c>
      <c r="O47" s="70">
        <f t="shared" si="16"/>
        <v>26659505</v>
      </c>
      <c r="P47" s="70">
        <f t="shared" si="16"/>
        <v>1046067867</v>
      </c>
      <c r="Q47" s="130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</row>
    <row r="48" spans="1:530" s="40" customFormat="1" ht="18.75" customHeight="1" x14ac:dyDescent="0.25">
      <c r="A48" s="92"/>
      <c r="B48" s="75"/>
      <c r="C48" s="75"/>
      <c r="D48" s="33" t="s">
        <v>308</v>
      </c>
      <c r="E48" s="70">
        <f>E53++E55+E58+E51+E63</f>
        <v>360751654</v>
      </c>
      <c r="F48" s="70">
        <f t="shared" ref="F48:P48" si="17">F53++F55+F58+F51+F63</f>
        <v>360751654</v>
      </c>
      <c r="G48" s="70">
        <f t="shared" si="17"/>
        <v>294458780</v>
      </c>
      <c r="H48" s="70">
        <f t="shared" si="17"/>
        <v>0</v>
      </c>
      <c r="I48" s="70">
        <f t="shared" si="17"/>
        <v>0</v>
      </c>
      <c r="J48" s="70">
        <f t="shared" si="17"/>
        <v>828008</v>
      </c>
      <c r="K48" s="70">
        <f t="shared" si="17"/>
        <v>828008</v>
      </c>
      <c r="L48" s="70">
        <f t="shared" si="17"/>
        <v>0</v>
      </c>
      <c r="M48" s="70">
        <f t="shared" si="17"/>
        <v>0</v>
      </c>
      <c r="N48" s="70">
        <f t="shared" si="17"/>
        <v>0</v>
      </c>
      <c r="O48" s="70">
        <f t="shared" si="17"/>
        <v>828008</v>
      </c>
      <c r="P48" s="70">
        <f t="shared" si="17"/>
        <v>361579662</v>
      </c>
      <c r="Q48" s="130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</row>
    <row r="49" spans="1:530" s="23" customFormat="1" ht="46.5" customHeight="1" x14ac:dyDescent="0.25">
      <c r="A49" s="43" t="s">
        <v>198</v>
      </c>
      <c r="B49" s="44" t="str">
        <f>'дод 3-1'!A14</f>
        <v>0160</v>
      </c>
      <c r="C49" s="44" t="str">
        <f>'дод 3-1'!B14</f>
        <v>0111</v>
      </c>
      <c r="D49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49" s="71">
        <f t="shared" ref="E49:E68" si="18">F49+I49</f>
        <v>3312100</v>
      </c>
      <c r="F49" s="71">
        <f>3470000+3900-161800</f>
        <v>3312100</v>
      </c>
      <c r="G49" s="71">
        <f>2711100-132600</f>
        <v>2578500</v>
      </c>
      <c r="H49" s="71">
        <v>48700</v>
      </c>
      <c r="I49" s="71"/>
      <c r="J49" s="71">
        <f>L49+O49</f>
        <v>0</v>
      </c>
      <c r="K49" s="71"/>
      <c r="L49" s="71"/>
      <c r="M49" s="71"/>
      <c r="N49" s="71"/>
      <c r="O49" s="71"/>
      <c r="P49" s="71">
        <f t="shared" ref="P49:P68" si="19">E49+J49</f>
        <v>3312100</v>
      </c>
      <c r="Q49" s="130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</row>
    <row r="50" spans="1:530" s="23" customFormat="1" ht="21.75" customHeight="1" x14ac:dyDescent="0.25">
      <c r="A50" s="43" t="s">
        <v>199</v>
      </c>
      <c r="B50" s="44" t="str">
        <f>'дод 3-1'!A18</f>
        <v>1010</v>
      </c>
      <c r="C50" s="44" t="str">
        <f>'дод 3-1'!B18</f>
        <v>0910</v>
      </c>
      <c r="D50" s="24" t="str">
        <f>'дод 3-1'!C18</f>
        <v>Надання дошкільної освіти</v>
      </c>
      <c r="E50" s="71">
        <f t="shared" si="18"/>
        <v>244515426</v>
      </c>
      <c r="F50" s="71">
        <f>244339090+176336</f>
        <v>244515426</v>
      </c>
      <c r="G50" s="71">
        <f>159350000+144540</f>
        <v>159494540</v>
      </c>
      <c r="H50" s="71">
        <v>26923940</v>
      </c>
      <c r="I50" s="71"/>
      <c r="J50" s="71">
        <f>L50+O50</f>
        <v>21113792</v>
      </c>
      <c r="K50" s="71">
        <f>4200000+500000+88136</f>
        <v>4788136</v>
      </c>
      <c r="L50" s="71">
        <v>16325656</v>
      </c>
      <c r="M50" s="71"/>
      <c r="N50" s="71"/>
      <c r="O50" s="71">
        <f>4200000+500000+88136</f>
        <v>4788136</v>
      </c>
      <c r="P50" s="71">
        <f t="shared" si="19"/>
        <v>265629218</v>
      </c>
      <c r="Q50" s="130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</row>
    <row r="51" spans="1:530" s="23" customFormat="1" ht="21.75" customHeight="1" x14ac:dyDescent="0.25">
      <c r="A51" s="43"/>
      <c r="B51" s="44"/>
      <c r="C51" s="44"/>
      <c r="D51" s="22" t="s">
        <v>308</v>
      </c>
      <c r="E51" s="71">
        <f t="shared" si="18"/>
        <v>176336</v>
      </c>
      <c r="F51" s="71">
        <v>176336</v>
      </c>
      <c r="G51" s="71">
        <v>144540</v>
      </c>
      <c r="H51" s="71"/>
      <c r="I51" s="71"/>
      <c r="J51" s="71">
        <f>L51+O51</f>
        <v>88136</v>
      </c>
      <c r="K51" s="71">
        <v>88136</v>
      </c>
      <c r="L51" s="71"/>
      <c r="M51" s="71"/>
      <c r="N51" s="71"/>
      <c r="O51" s="71">
        <v>88136</v>
      </c>
      <c r="P51" s="71">
        <f t="shared" si="19"/>
        <v>264472</v>
      </c>
      <c r="Q51" s="130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</row>
    <row r="52" spans="1:530" s="23" customFormat="1" ht="54" customHeight="1" x14ac:dyDescent="0.25">
      <c r="A52" s="43" t="s">
        <v>200</v>
      </c>
      <c r="B52" s="44" t="str">
        <f>'дод 3-1'!A20</f>
        <v>1020</v>
      </c>
      <c r="C52" s="44" t="str">
        <f>'дод 3-1'!B20</f>
        <v>0921</v>
      </c>
      <c r="D52" s="24" t="str">
        <f>'дод 3-1'!C20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2" s="71">
        <f t="shared" si="18"/>
        <v>536778678</v>
      </c>
      <c r="F52" s="71">
        <f>533365430-2738900+2738900-50000+2067000+1396248</f>
        <v>536778678</v>
      </c>
      <c r="G52" s="71">
        <f>373446500+1144470</f>
        <v>374590970</v>
      </c>
      <c r="H52" s="71">
        <v>40458440</v>
      </c>
      <c r="I52" s="71"/>
      <c r="J52" s="71">
        <f t="shared" ref="J52:J68" si="20">L52+O52</f>
        <v>46500916</v>
      </c>
      <c r="K52" s="71">
        <f>11599400+2199897+739872+3050000</f>
        <v>17589169</v>
      </c>
      <c r="L52" s="71">
        <v>28911747</v>
      </c>
      <c r="M52" s="71">
        <v>1713303</v>
      </c>
      <c r="N52" s="71">
        <v>147329</v>
      </c>
      <c r="O52" s="71">
        <f>11599400+2199897+739872+3050000</f>
        <v>17589169</v>
      </c>
      <c r="P52" s="71">
        <f t="shared" si="19"/>
        <v>583279594</v>
      </c>
      <c r="Q52" s="130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</row>
    <row r="53" spans="1:530" s="23" customFormat="1" x14ac:dyDescent="0.25">
      <c r="A53" s="43"/>
      <c r="B53" s="44"/>
      <c r="C53" s="44"/>
      <c r="D53" s="22" t="s">
        <v>308</v>
      </c>
      <c r="E53" s="71">
        <f t="shared" si="18"/>
        <v>335299648</v>
      </c>
      <c r="F53" s="71">
        <f>331836400+2067000+1396248</f>
        <v>335299648</v>
      </c>
      <c r="G53" s="71">
        <f>272443700+1144470</f>
        <v>273588170</v>
      </c>
      <c r="H53" s="71"/>
      <c r="I53" s="71"/>
      <c r="J53" s="71">
        <f t="shared" si="20"/>
        <v>739872</v>
      </c>
      <c r="K53" s="71">
        <f>739872</f>
        <v>739872</v>
      </c>
      <c r="L53" s="71"/>
      <c r="M53" s="71"/>
      <c r="N53" s="71"/>
      <c r="O53" s="71">
        <v>739872</v>
      </c>
      <c r="P53" s="71">
        <f t="shared" si="19"/>
        <v>336039520</v>
      </c>
      <c r="Q53" s="130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</row>
    <row r="54" spans="1:530" s="23" customFormat="1" ht="63.75" customHeight="1" x14ac:dyDescent="0.25">
      <c r="A54" s="43" t="s">
        <v>434</v>
      </c>
      <c r="B54" s="44">
        <f>'дод 3-1'!A22</f>
        <v>1030</v>
      </c>
      <c r="C54" s="44" t="str">
        <f>'дод 3-1'!B22</f>
        <v>0922</v>
      </c>
      <c r="D54" s="24" t="str">
        <f>'дод 3-1'!C22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4" s="71">
        <f t="shared" si="18"/>
        <v>9202880</v>
      </c>
      <c r="F54" s="71">
        <f>9152880+50000</f>
        <v>9202880</v>
      </c>
      <c r="G54" s="71">
        <v>6532300</v>
      </c>
      <c r="H54" s="71">
        <v>709270</v>
      </c>
      <c r="I54" s="71">
        <v>0</v>
      </c>
      <c r="J54" s="71">
        <f t="shared" si="20"/>
        <v>150000</v>
      </c>
      <c r="K54" s="71">
        <v>150000</v>
      </c>
      <c r="L54" s="71"/>
      <c r="M54" s="71"/>
      <c r="N54" s="71"/>
      <c r="O54" s="71">
        <v>150000</v>
      </c>
      <c r="P54" s="71">
        <f t="shared" si="19"/>
        <v>9352880</v>
      </c>
      <c r="Q54" s="130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</row>
    <row r="55" spans="1:530" s="23" customFormat="1" ht="17.25" customHeight="1" x14ac:dyDescent="0.25">
      <c r="A55" s="43"/>
      <c r="B55" s="44"/>
      <c r="C55" s="44"/>
      <c r="D55" s="22" t="s">
        <v>308</v>
      </c>
      <c r="E55" s="71">
        <f t="shared" si="18"/>
        <v>6214300</v>
      </c>
      <c r="F55" s="71">
        <v>6214300</v>
      </c>
      <c r="G55" s="71">
        <v>5102000</v>
      </c>
      <c r="H55" s="71">
        <v>0</v>
      </c>
      <c r="I55" s="71">
        <v>0</v>
      </c>
      <c r="J55" s="71">
        <f t="shared" si="20"/>
        <v>0</v>
      </c>
      <c r="K55" s="71"/>
      <c r="L55" s="71"/>
      <c r="M55" s="71"/>
      <c r="N55" s="71"/>
      <c r="O55" s="71"/>
      <c r="P55" s="71">
        <f t="shared" si="19"/>
        <v>6214300</v>
      </c>
      <c r="Q55" s="130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</row>
    <row r="56" spans="1:530" s="23" customFormat="1" ht="32.25" customHeight="1" x14ac:dyDescent="0.25">
      <c r="A56" s="43" t="s">
        <v>263</v>
      </c>
      <c r="B56" s="44" t="str">
        <f>'дод 3-1'!A24</f>
        <v>1090</v>
      </c>
      <c r="C56" s="44" t="str">
        <f>'дод 3-1'!B24</f>
        <v>0960</v>
      </c>
      <c r="D56" s="24" t="str">
        <f>'дод 3-1'!C24</f>
        <v>Надання позашкільної освіти закладами позашкільної освіти, заходи із позашкільної роботи з дітьми</v>
      </c>
      <c r="E56" s="71">
        <f t="shared" si="18"/>
        <v>27792840</v>
      </c>
      <c r="F56" s="71">
        <v>27792840</v>
      </c>
      <c r="G56" s="71">
        <v>19715700</v>
      </c>
      <c r="H56" s="71">
        <v>3358190</v>
      </c>
      <c r="I56" s="71">
        <v>0</v>
      </c>
      <c r="J56" s="71">
        <f t="shared" si="20"/>
        <v>300000</v>
      </c>
      <c r="K56" s="71">
        <v>300000</v>
      </c>
      <c r="L56" s="71"/>
      <c r="M56" s="71"/>
      <c r="N56" s="71"/>
      <c r="O56" s="71">
        <v>300000</v>
      </c>
      <c r="P56" s="71">
        <f t="shared" si="19"/>
        <v>28092840</v>
      </c>
      <c r="Q56" s="130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</row>
    <row r="57" spans="1:530" s="23" customFormat="1" ht="33.75" customHeight="1" x14ac:dyDescent="0.25">
      <c r="A57" s="43" t="s">
        <v>262</v>
      </c>
      <c r="B57" s="44" t="str">
        <f>'дод 3-1'!A26</f>
        <v>1110</v>
      </c>
      <c r="C57" s="44" t="str">
        <f>'дод 3-1'!B26</f>
        <v>0930</v>
      </c>
      <c r="D57" s="24" t="str">
        <f>'дод 3-1'!C26</f>
        <v>Підготовка кадрів закладами професійної (професійно-технічної) освіти та іншими закладами освіти</v>
      </c>
      <c r="E57" s="71">
        <f t="shared" si="18"/>
        <v>115969900</v>
      </c>
      <c r="F57" s="71">
        <f>116310900-341000</f>
        <v>115969900</v>
      </c>
      <c r="G57" s="71">
        <v>69744500</v>
      </c>
      <c r="H57" s="71">
        <f>11348217-341000</f>
        <v>11007217</v>
      </c>
      <c r="I57" s="71"/>
      <c r="J57" s="71">
        <f t="shared" si="20"/>
        <v>8079105</v>
      </c>
      <c r="K57" s="71"/>
      <c r="L57" s="71">
        <v>7974105</v>
      </c>
      <c r="M57" s="71">
        <v>2495573</v>
      </c>
      <c r="N57" s="71">
        <v>2976862</v>
      </c>
      <c r="O57" s="71">
        <v>105000</v>
      </c>
      <c r="P57" s="71">
        <f t="shared" si="19"/>
        <v>124049005</v>
      </c>
      <c r="Q57" s="130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</row>
    <row r="58" spans="1:530" s="23" customFormat="1" ht="15.75" customHeight="1" x14ac:dyDescent="0.25">
      <c r="A58" s="43"/>
      <c r="B58" s="44"/>
      <c r="C58" s="44"/>
      <c r="D58" s="22" t="s">
        <v>308</v>
      </c>
      <c r="E58" s="71">
        <f t="shared" si="18"/>
        <v>17825000</v>
      </c>
      <c r="F58" s="71">
        <v>17825000</v>
      </c>
      <c r="G58" s="71">
        <v>14610650</v>
      </c>
      <c r="H58" s="71"/>
      <c r="I58" s="71"/>
      <c r="J58" s="71">
        <f t="shared" si="20"/>
        <v>0</v>
      </c>
      <c r="K58" s="71"/>
      <c r="L58" s="71"/>
      <c r="M58" s="71"/>
      <c r="N58" s="71"/>
      <c r="O58" s="71"/>
      <c r="P58" s="71">
        <f t="shared" si="19"/>
        <v>17825000</v>
      </c>
      <c r="Q58" s="130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</row>
    <row r="59" spans="1:530" s="23" customFormat="1" ht="21.75" customHeight="1" x14ac:dyDescent="0.25">
      <c r="A59" s="43" t="s">
        <v>201</v>
      </c>
      <c r="B59" s="44" t="str">
        <f>'дод 3-1'!A28</f>
        <v>1150</v>
      </c>
      <c r="C59" s="44" t="str">
        <f>'дод 3-1'!B28</f>
        <v>0990</v>
      </c>
      <c r="D59" s="24" t="str">
        <f>'дод 3-1'!C28</f>
        <v>Методичне забезпечення діяльності закладів освіти</v>
      </c>
      <c r="E59" s="71">
        <f t="shared" si="18"/>
        <v>2893730</v>
      </c>
      <c r="F59" s="71">
        <v>2893730</v>
      </c>
      <c r="G59" s="71">
        <v>2237500</v>
      </c>
      <c r="H59" s="71">
        <v>120380</v>
      </c>
      <c r="I59" s="71"/>
      <c r="J59" s="71">
        <f t="shared" si="20"/>
        <v>0</v>
      </c>
      <c r="K59" s="71"/>
      <c r="L59" s="71"/>
      <c r="M59" s="71"/>
      <c r="N59" s="71"/>
      <c r="O59" s="71"/>
      <c r="P59" s="71">
        <f t="shared" si="19"/>
        <v>2893730</v>
      </c>
      <c r="Q59" s="130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</row>
    <row r="60" spans="1:530" s="23" customFormat="1" ht="16.5" customHeight="1" x14ac:dyDescent="0.25">
      <c r="A60" s="43" t="s">
        <v>357</v>
      </c>
      <c r="B60" s="44" t="str">
        <f>'дод 3-1'!A29</f>
        <v>1161</v>
      </c>
      <c r="C60" s="44" t="str">
        <f>'дод 3-1'!B29</f>
        <v>0990</v>
      </c>
      <c r="D60" s="24" t="str">
        <f>'дод 3-1'!C29</f>
        <v>Забезпечення діяльності інших закладів у сфері освіти</v>
      </c>
      <c r="E60" s="71">
        <f t="shared" si="18"/>
        <v>9333170</v>
      </c>
      <c r="F60" s="71">
        <v>9333170</v>
      </c>
      <c r="G60" s="71">
        <v>6782550</v>
      </c>
      <c r="H60" s="71">
        <v>613500</v>
      </c>
      <c r="I60" s="71"/>
      <c r="J60" s="71">
        <f t="shared" si="20"/>
        <v>100000</v>
      </c>
      <c r="K60" s="71">
        <v>100000</v>
      </c>
      <c r="L60" s="71"/>
      <c r="M60" s="71"/>
      <c r="N60" s="71"/>
      <c r="O60" s="71">
        <v>100000</v>
      </c>
      <c r="P60" s="71">
        <f t="shared" si="19"/>
        <v>9433170</v>
      </c>
      <c r="Q60" s="130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</row>
    <row r="61" spans="1:530" s="23" customFormat="1" ht="20.25" customHeight="1" x14ac:dyDescent="0.25">
      <c r="A61" s="43" t="s">
        <v>358</v>
      </c>
      <c r="B61" s="44" t="str">
        <f>'дод 3-1'!A30</f>
        <v>1162</v>
      </c>
      <c r="C61" s="44" t="str">
        <f>'дод 3-1'!B30</f>
        <v>0990</v>
      </c>
      <c r="D61" s="24" t="str">
        <f>'дод 3-1'!C30</f>
        <v>Інші програми та заходи у сфері освіти</v>
      </c>
      <c r="E61" s="71">
        <f t="shared" si="18"/>
        <v>107400</v>
      </c>
      <c r="F61" s="71">
        <v>107400</v>
      </c>
      <c r="G61" s="71"/>
      <c r="H61" s="71"/>
      <c r="I61" s="71"/>
      <c r="J61" s="71">
        <f t="shared" si="20"/>
        <v>0</v>
      </c>
      <c r="K61" s="71"/>
      <c r="L61" s="71"/>
      <c r="M61" s="71"/>
      <c r="N61" s="71"/>
      <c r="O61" s="71"/>
      <c r="P61" s="71">
        <f t="shared" si="19"/>
        <v>107400</v>
      </c>
      <c r="Q61" s="130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</row>
    <row r="62" spans="1:530" s="23" customFormat="1" x14ac:dyDescent="0.25">
      <c r="A62" s="43" t="s">
        <v>395</v>
      </c>
      <c r="B62" s="44">
        <v>1170</v>
      </c>
      <c r="C62" s="44" t="s">
        <v>75</v>
      </c>
      <c r="D62" s="22" t="str">
        <f>'дод 3-1'!C31</f>
        <v>Забезпечення діяльності інклюзивно-ресурсних центрів</v>
      </c>
      <c r="E62" s="71">
        <f t="shared" si="18"/>
        <v>1627940</v>
      </c>
      <c r="F62" s="71">
        <v>1627940</v>
      </c>
      <c r="G62" s="71">
        <v>1224320</v>
      </c>
      <c r="H62" s="71">
        <v>81470</v>
      </c>
      <c r="I62" s="71"/>
      <c r="J62" s="71">
        <f t="shared" si="20"/>
        <v>0</v>
      </c>
      <c r="K62" s="71"/>
      <c r="L62" s="71"/>
      <c r="M62" s="71"/>
      <c r="N62" s="71"/>
      <c r="O62" s="71"/>
      <c r="P62" s="71">
        <f t="shared" si="19"/>
        <v>1627940</v>
      </c>
      <c r="Q62" s="130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</row>
    <row r="63" spans="1:530" s="23" customFormat="1" x14ac:dyDescent="0.25">
      <c r="A63" s="43"/>
      <c r="B63" s="44"/>
      <c r="C63" s="44"/>
      <c r="D63" s="22" t="s">
        <v>308</v>
      </c>
      <c r="E63" s="71">
        <f t="shared" si="18"/>
        <v>1236370</v>
      </c>
      <c r="F63" s="71">
        <v>1236370</v>
      </c>
      <c r="G63" s="71">
        <v>1013420</v>
      </c>
      <c r="H63" s="71"/>
      <c r="I63" s="71"/>
      <c r="J63" s="71"/>
      <c r="K63" s="71"/>
      <c r="L63" s="71"/>
      <c r="M63" s="71"/>
      <c r="N63" s="71"/>
      <c r="O63" s="71"/>
      <c r="P63" s="71">
        <f t="shared" si="19"/>
        <v>1236370</v>
      </c>
      <c r="Q63" s="130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</row>
    <row r="64" spans="1:530" s="23" customFormat="1" ht="64.5" customHeight="1" x14ac:dyDescent="0.25">
      <c r="A64" s="43" t="s">
        <v>202</v>
      </c>
      <c r="B64" s="44" t="str">
        <f>'дод 3-1'!A59</f>
        <v>3140</v>
      </c>
      <c r="C64" s="44" t="str">
        <f>'дод 3-1'!B59</f>
        <v>1040</v>
      </c>
      <c r="D64" s="24" t="str">
        <f>'дод 3-1'!C59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4" s="71">
        <f t="shared" si="18"/>
        <v>7000000</v>
      </c>
      <c r="F64" s="71">
        <v>7000000</v>
      </c>
      <c r="G64" s="71"/>
      <c r="H64" s="71"/>
      <c r="I64" s="71"/>
      <c r="J64" s="71">
        <f t="shared" si="20"/>
        <v>0</v>
      </c>
      <c r="K64" s="71"/>
      <c r="L64" s="71"/>
      <c r="M64" s="71"/>
      <c r="N64" s="71"/>
      <c r="O64" s="71"/>
      <c r="P64" s="71">
        <f t="shared" si="19"/>
        <v>7000000</v>
      </c>
      <c r="Q64" s="130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</row>
    <row r="65" spans="1:530" s="23" customFormat="1" ht="31.5" customHeight="1" x14ac:dyDescent="0.25">
      <c r="A65" s="43" t="s">
        <v>374</v>
      </c>
      <c r="B65" s="44" t="str">
        <f>'дод 3-1'!A69</f>
        <v>3242</v>
      </c>
      <c r="C65" s="44" t="str">
        <f>'дод 3-1'!B69</f>
        <v>1090</v>
      </c>
      <c r="D65" s="24" t="str">
        <f>'дод 3-1'!C69</f>
        <v>Інші заходи у сфері соціального захисту і соціального забезпечення</v>
      </c>
      <c r="E65" s="71">
        <f t="shared" si="18"/>
        <v>52490</v>
      </c>
      <c r="F65" s="71">
        <v>52490</v>
      </c>
      <c r="G65" s="71"/>
      <c r="H65" s="71"/>
      <c r="I65" s="71"/>
      <c r="J65" s="71">
        <f t="shared" si="20"/>
        <v>0</v>
      </c>
      <c r="K65" s="71"/>
      <c r="L65" s="71"/>
      <c r="M65" s="71"/>
      <c r="N65" s="71"/>
      <c r="O65" s="71"/>
      <c r="P65" s="71">
        <f t="shared" si="19"/>
        <v>52490</v>
      </c>
      <c r="Q65" s="130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</row>
    <row r="66" spans="1:530" s="23" customFormat="1" ht="33" customHeight="1" x14ac:dyDescent="0.25">
      <c r="A66" s="43" t="s">
        <v>203</v>
      </c>
      <c r="B66" s="44" t="str">
        <f>'дод 3-1'!A78</f>
        <v>5031</v>
      </c>
      <c r="C66" s="44" t="str">
        <f>'дод 3-1'!B78</f>
        <v>0810</v>
      </c>
      <c r="D66" s="24" t="str">
        <f>'дод 3-1'!C78</f>
        <v>Утримання та навчально-тренувальна робота комунальних дитячо-юнацьких спортивних шкіл</v>
      </c>
      <c r="E66" s="71">
        <f t="shared" si="18"/>
        <v>6725500</v>
      </c>
      <c r="F66" s="71">
        <v>6725500</v>
      </c>
      <c r="G66" s="71">
        <v>5086600</v>
      </c>
      <c r="H66" s="71">
        <v>240700</v>
      </c>
      <c r="I66" s="71"/>
      <c r="J66" s="71">
        <f t="shared" si="20"/>
        <v>550000</v>
      </c>
      <c r="K66" s="71">
        <v>550000</v>
      </c>
      <c r="L66" s="71"/>
      <c r="M66" s="71"/>
      <c r="N66" s="71"/>
      <c r="O66" s="71">
        <v>550000</v>
      </c>
      <c r="P66" s="71">
        <f t="shared" si="19"/>
        <v>7275500</v>
      </c>
      <c r="Q66" s="130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</row>
    <row r="67" spans="1:530" s="23" customFormat="1" ht="25.5" customHeight="1" x14ac:dyDescent="0.25">
      <c r="A67" s="43" t="s">
        <v>204</v>
      </c>
      <c r="B67" s="44" t="str">
        <f>'дод 3-1'!A108</f>
        <v>7640</v>
      </c>
      <c r="C67" s="44" t="str">
        <f>'дод 3-1'!B108</f>
        <v>0470</v>
      </c>
      <c r="D67" s="24" t="str">
        <f>'дод 3-1'!C108</f>
        <v>Заходи з енергозбереження</v>
      </c>
      <c r="E67" s="71">
        <f t="shared" si="18"/>
        <v>578800</v>
      </c>
      <c r="F67" s="71">
        <v>578800</v>
      </c>
      <c r="G67" s="71"/>
      <c r="H67" s="71"/>
      <c r="I67" s="71"/>
      <c r="J67" s="71">
        <f t="shared" si="20"/>
        <v>2993200</v>
      </c>
      <c r="K67" s="71">
        <v>2993200</v>
      </c>
      <c r="L67" s="71"/>
      <c r="M67" s="71"/>
      <c r="N67" s="71"/>
      <c r="O67" s="71">
        <v>2993200</v>
      </c>
      <c r="P67" s="71">
        <f t="shared" si="19"/>
        <v>3572000</v>
      </c>
      <c r="Q67" s="130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</row>
    <row r="68" spans="1:530" s="23" customFormat="1" ht="27" customHeight="1" x14ac:dyDescent="0.25">
      <c r="A68" s="43" t="s">
        <v>205</v>
      </c>
      <c r="B68" s="44" t="str">
        <f>'дод 3-1'!A125</f>
        <v>8340</v>
      </c>
      <c r="C68" s="44" t="str">
        <f>'дод 3-1'!B125</f>
        <v>0540</v>
      </c>
      <c r="D68" s="24" t="str">
        <f>'дод 3-1'!C125</f>
        <v>Природоохоронні заходи за рахунок цільових фондів</v>
      </c>
      <c r="E68" s="71">
        <f t="shared" si="18"/>
        <v>0</v>
      </c>
      <c r="F68" s="71"/>
      <c r="G68" s="71"/>
      <c r="H68" s="71"/>
      <c r="I68" s="71"/>
      <c r="J68" s="71">
        <f t="shared" si="20"/>
        <v>390000</v>
      </c>
      <c r="K68" s="71"/>
      <c r="L68" s="71">
        <v>306000</v>
      </c>
      <c r="M68" s="71"/>
      <c r="N68" s="71"/>
      <c r="O68" s="71">
        <v>84000</v>
      </c>
      <c r="P68" s="71">
        <f t="shared" si="19"/>
        <v>390000</v>
      </c>
      <c r="Q68" s="130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</row>
    <row r="69" spans="1:530" s="31" customFormat="1" ht="21" customHeight="1" x14ac:dyDescent="0.2">
      <c r="A69" s="78" t="s">
        <v>206</v>
      </c>
      <c r="B69" s="76"/>
      <c r="C69" s="76"/>
      <c r="D69" s="30" t="s">
        <v>36</v>
      </c>
      <c r="E69" s="68">
        <f>E70</f>
        <v>168221411</v>
      </c>
      <c r="F69" s="68">
        <f t="shared" ref="F69:P69" si="21">F70</f>
        <v>168022411</v>
      </c>
      <c r="G69" s="68">
        <f t="shared" si="21"/>
        <v>1641400</v>
      </c>
      <c r="H69" s="68">
        <f t="shared" si="21"/>
        <v>35400</v>
      </c>
      <c r="I69" s="68">
        <f t="shared" si="21"/>
        <v>199000</v>
      </c>
      <c r="J69" s="68">
        <f t="shared" si="21"/>
        <v>70359904</v>
      </c>
      <c r="K69" s="68">
        <f t="shared" si="21"/>
        <v>69474904</v>
      </c>
      <c r="L69" s="68">
        <f t="shared" si="21"/>
        <v>0</v>
      </c>
      <c r="M69" s="68">
        <f t="shared" si="21"/>
        <v>0</v>
      </c>
      <c r="N69" s="68">
        <f t="shared" si="21"/>
        <v>0</v>
      </c>
      <c r="O69" s="68">
        <f t="shared" si="21"/>
        <v>70359904</v>
      </c>
      <c r="P69" s="68">
        <f t="shared" si="21"/>
        <v>238581315</v>
      </c>
      <c r="Q69" s="130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  <c r="IW69" s="38"/>
      <c r="IX69" s="38"/>
      <c r="IY69" s="38"/>
      <c r="IZ69" s="38"/>
      <c r="JA69" s="38"/>
      <c r="JB69" s="38"/>
      <c r="JC69" s="38"/>
      <c r="JD69" s="38"/>
      <c r="JE69" s="38"/>
      <c r="JF69" s="38"/>
      <c r="JG69" s="38"/>
      <c r="JH69" s="38"/>
      <c r="JI69" s="38"/>
      <c r="JJ69" s="38"/>
      <c r="JK69" s="38"/>
      <c r="JL69" s="38"/>
      <c r="JM69" s="38"/>
      <c r="JN69" s="38"/>
      <c r="JO69" s="38"/>
      <c r="JP69" s="38"/>
      <c r="JQ69" s="38"/>
      <c r="JR69" s="38"/>
      <c r="JS69" s="38"/>
      <c r="JT69" s="38"/>
      <c r="JU69" s="38"/>
      <c r="JV69" s="38"/>
      <c r="JW69" s="38"/>
      <c r="JX69" s="38"/>
      <c r="JY69" s="38"/>
      <c r="JZ69" s="38"/>
      <c r="KA69" s="38"/>
      <c r="KB69" s="38"/>
      <c r="KC69" s="38"/>
      <c r="KD69" s="38"/>
      <c r="KE69" s="38"/>
      <c r="KF69" s="38"/>
      <c r="KG69" s="38"/>
      <c r="KH69" s="38"/>
      <c r="KI69" s="38"/>
      <c r="KJ69" s="38"/>
      <c r="KK69" s="38"/>
      <c r="KL69" s="38"/>
      <c r="KM69" s="38"/>
      <c r="KN69" s="38"/>
      <c r="KO69" s="38"/>
      <c r="KP69" s="38"/>
      <c r="KQ69" s="38"/>
      <c r="KR69" s="38"/>
      <c r="KS69" s="38"/>
      <c r="KT69" s="38"/>
      <c r="KU69" s="38"/>
      <c r="KV69" s="38"/>
      <c r="KW69" s="38"/>
      <c r="KX69" s="38"/>
      <c r="KY69" s="38"/>
      <c r="KZ69" s="38"/>
      <c r="LA69" s="38"/>
      <c r="LB69" s="38"/>
      <c r="LC69" s="38"/>
      <c r="LD69" s="38"/>
      <c r="LE69" s="38"/>
      <c r="LF69" s="38"/>
      <c r="LG69" s="38"/>
      <c r="LH69" s="38"/>
      <c r="LI69" s="38"/>
      <c r="LJ69" s="38"/>
      <c r="LK69" s="38"/>
      <c r="LL69" s="38"/>
      <c r="LM69" s="38"/>
      <c r="LN69" s="38"/>
      <c r="LO69" s="38"/>
      <c r="LP69" s="38"/>
      <c r="LQ69" s="38"/>
      <c r="LR69" s="38"/>
      <c r="LS69" s="38"/>
      <c r="LT69" s="38"/>
      <c r="LU69" s="38"/>
      <c r="LV69" s="38"/>
      <c r="LW69" s="38"/>
      <c r="LX69" s="38"/>
      <c r="LY69" s="38"/>
      <c r="LZ69" s="38"/>
      <c r="MA69" s="38"/>
      <c r="MB69" s="38"/>
      <c r="MC69" s="38"/>
      <c r="MD69" s="38"/>
      <c r="ME69" s="38"/>
      <c r="MF69" s="38"/>
      <c r="MG69" s="38"/>
      <c r="MH69" s="38"/>
      <c r="MI69" s="38"/>
      <c r="MJ69" s="38"/>
      <c r="MK69" s="38"/>
      <c r="ML69" s="38"/>
      <c r="MM69" s="38"/>
      <c r="MN69" s="38"/>
      <c r="MO69" s="38"/>
      <c r="MP69" s="38"/>
      <c r="MQ69" s="38"/>
      <c r="MR69" s="38"/>
      <c r="MS69" s="38"/>
      <c r="MT69" s="38"/>
      <c r="MU69" s="38"/>
      <c r="MV69" s="38"/>
      <c r="MW69" s="38"/>
      <c r="MX69" s="38"/>
      <c r="MY69" s="38"/>
      <c r="MZ69" s="38"/>
      <c r="NA69" s="38"/>
      <c r="NB69" s="38"/>
      <c r="NC69" s="38"/>
      <c r="ND69" s="38"/>
      <c r="NE69" s="38"/>
      <c r="NF69" s="38"/>
      <c r="NG69" s="38"/>
      <c r="NH69" s="38"/>
      <c r="NI69" s="38"/>
      <c r="NJ69" s="38"/>
      <c r="NK69" s="38"/>
      <c r="NL69" s="38"/>
      <c r="NM69" s="38"/>
      <c r="NN69" s="38"/>
      <c r="NO69" s="38"/>
      <c r="NP69" s="38"/>
      <c r="NQ69" s="38"/>
      <c r="NR69" s="38"/>
      <c r="NS69" s="38"/>
      <c r="NT69" s="38"/>
      <c r="NU69" s="38"/>
      <c r="NV69" s="38"/>
      <c r="NW69" s="38"/>
      <c r="NX69" s="38"/>
      <c r="NY69" s="38"/>
      <c r="NZ69" s="38"/>
      <c r="OA69" s="38"/>
      <c r="OB69" s="38"/>
      <c r="OC69" s="38"/>
      <c r="OD69" s="38"/>
      <c r="OE69" s="38"/>
      <c r="OF69" s="38"/>
      <c r="OG69" s="38"/>
      <c r="OH69" s="38"/>
      <c r="OI69" s="38"/>
      <c r="OJ69" s="38"/>
      <c r="OK69" s="38"/>
      <c r="OL69" s="38"/>
      <c r="OM69" s="38"/>
      <c r="ON69" s="38"/>
      <c r="OO69" s="38"/>
      <c r="OP69" s="38"/>
      <c r="OQ69" s="38"/>
      <c r="OR69" s="38"/>
      <c r="OS69" s="38"/>
      <c r="OT69" s="38"/>
      <c r="OU69" s="38"/>
      <c r="OV69" s="38"/>
      <c r="OW69" s="38"/>
      <c r="OX69" s="38"/>
      <c r="OY69" s="38"/>
      <c r="OZ69" s="38"/>
      <c r="PA69" s="38"/>
      <c r="PB69" s="38"/>
      <c r="PC69" s="38"/>
      <c r="PD69" s="38"/>
      <c r="PE69" s="38"/>
      <c r="PF69" s="38"/>
      <c r="PG69" s="38"/>
      <c r="PH69" s="38"/>
      <c r="PI69" s="38"/>
      <c r="PJ69" s="38"/>
      <c r="PK69" s="38"/>
      <c r="PL69" s="38"/>
      <c r="PM69" s="38"/>
      <c r="PN69" s="38"/>
      <c r="PO69" s="38"/>
      <c r="PP69" s="38"/>
      <c r="PQ69" s="38"/>
      <c r="PR69" s="38"/>
      <c r="PS69" s="38"/>
      <c r="PT69" s="38"/>
      <c r="PU69" s="38"/>
      <c r="PV69" s="38"/>
      <c r="PW69" s="38"/>
      <c r="PX69" s="38"/>
      <c r="PY69" s="38"/>
      <c r="PZ69" s="38"/>
      <c r="QA69" s="38"/>
      <c r="QB69" s="38"/>
      <c r="QC69" s="38"/>
      <c r="QD69" s="38"/>
      <c r="QE69" s="38"/>
      <c r="QF69" s="38"/>
      <c r="QG69" s="38"/>
      <c r="QH69" s="38"/>
      <c r="QI69" s="38"/>
      <c r="QJ69" s="38"/>
      <c r="QK69" s="38"/>
      <c r="QL69" s="38"/>
      <c r="QM69" s="38"/>
      <c r="QN69" s="38"/>
      <c r="QO69" s="38"/>
      <c r="QP69" s="38"/>
      <c r="QQ69" s="38"/>
      <c r="QR69" s="38"/>
      <c r="QS69" s="38"/>
      <c r="QT69" s="38"/>
      <c r="QU69" s="38"/>
      <c r="QV69" s="38"/>
      <c r="QW69" s="38"/>
      <c r="QX69" s="38"/>
      <c r="QY69" s="38"/>
      <c r="QZ69" s="38"/>
      <c r="RA69" s="38"/>
      <c r="RB69" s="38"/>
      <c r="RC69" s="38"/>
      <c r="RD69" s="38"/>
      <c r="RE69" s="38"/>
      <c r="RF69" s="38"/>
      <c r="RG69" s="38"/>
      <c r="RH69" s="38"/>
      <c r="RI69" s="38"/>
      <c r="RJ69" s="38"/>
      <c r="RK69" s="38"/>
      <c r="RL69" s="38"/>
      <c r="RM69" s="38"/>
      <c r="RN69" s="38"/>
      <c r="RO69" s="38"/>
      <c r="RP69" s="38"/>
      <c r="RQ69" s="38"/>
      <c r="RR69" s="38"/>
      <c r="RS69" s="38"/>
      <c r="RT69" s="38"/>
      <c r="RU69" s="38"/>
      <c r="RV69" s="38"/>
      <c r="RW69" s="38"/>
      <c r="RX69" s="38"/>
      <c r="RY69" s="38"/>
      <c r="RZ69" s="38"/>
      <c r="SA69" s="38"/>
      <c r="SB69" s="38"/>
      <c r="SC69" s="38"/>
      <c r="SD69" s="38"/>
      <c r="SE69" s="38"/>
      <c r="SF69" s="38"/>
      <c r="SG69" s="38"/>
      <c r="SH69" s="38"/>
      <c r="SI69" s="38"/>
      <c r="SJ69" s="38"/>
      <c r="SK69" s="38"/>
      <c r="SL69" s="38"/>
      <c r="SM69" s="38"/>
      <c r="SN69" s="38"/>
      <c r="SO69" s="38"/>
      <c r="SP69" s="38"/>
      <c r="SQ69" s="38"/>
      <c r="SR69" s="38"/>
      <c r="SS69" s="38"/>
      <c r="ST69" s="38"/>
      <c r="SU69" s="38"/>
      <c r="SV69" s="38"/>
      <c r="SW69" s="38"/>
      <c r="SX69" s="38"/>
      <c r="SY69" s="38"/>
      <c r="SZ69" s="38"/>
      <c r="TA69" s="38"/>
      <c r="TB69" s="38"/>
      <c r="TC69" s="38"/>
      <c r="TD69" s="38"/>
      <c r="TE69" s="38"/>
      <c r="TF69" s="38"/>
      <c r="TG69" s="38"/>
      <c r="TH69" s="38"/>
      <c r="TI69" s="38"/>
      <c r="TJ69" s="38"/>
    </row>
    <row r="70" spans="1:530" s="40" customFormat="1" ht="18.75" customHeight="1" x14ac:dyDescent="0.25">
      <c r="A70" s="79" t="s">
        <v>207</v>
      </c>
      <c r="B70" s="77"/>
      <c r="C70" s="77"/>
      <c r="D70" s="33" t="s">
        <v>36</v>
      </c>
      <c r="E70" s="70">
        <f>E72+E73+E75+E77+E79+E80+E82+E83+E84+E85</f>
        <v>168221411</v>
      </c>
      <c r="F70" s="70">
        <f t="shared" ref="F70:P70" si="22">F72+F73+F75+F77+F79+F80+F82+F83+F84+F85</f>
        <v>168022411</v>
      </c>
      <c r="G70" s="70">
        <f t="shared" si="22"/>
        <v>1641400</v>
      </c>
      <c r="H70" s="70">
        <f t="shared" si="22"/>
        <v>35400</v>
      </c>
      <c r="I70" s="70">
        <f t="shared" si="22"/>
        <v>199000</v>
      </c>
      <c r="J70" s="70">
        <f t="shared" si="22"/>
        <v>70359904</v>
      </c>
      <c r="K70" s="70">
        <f t="shared" si="22"/>
        <v>69474904</v>
      </c>
      <c r="L70" s="70">
        <f t="shared" si="22"/>
        <v>0</v>
      </c>
      <c r="M70" s="70">
        <f t="shared" si="22"/>
        <v>0</v>
      </c>
      <c r="N70" s="70">
        <f t="shared" si="22"/>
        <v>0</v>
      </c>
      <c r="O70" s="70">
        <f t="shared" si="22"/>
        <v>70359904</v>
      </c>
      <c r="P70" s="70">
        <f t="shared" si="22"/>
        <v>238581315</v>
      </c>
      <c r="Q70" s="130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</row>
    <row r="71" spans="1:530" s="40" customFormat="1" ht="18.75" customHeight="1" x14ac:dyDescent="0.25">
      <c r="A71" s="79"/>
      <c r="B71" s="77"/>
      <c r="C71" s="77"/>
      <c r="D71" s="33" t="s">
        <v>308</v>
      </c>
      <c r="E71" s="70">
        <f>E74+E76+E78+E81</f>
        <v>57007811</v>
      </c>
      <c r="F71" s="70">
        <f t="shared" ref="F71:P71" si="23">F74+F76+F78+F81</f>
        <v>57007811</v>
      </c>
      <c r="G71" s="70">
        <f t="shared" si="23"/>
        <v>0</v>
      </c>
      <c r="H71" s="70">
        <f t="shared" si="23"/>
        <v>0</v>
      </c>
      <c r="I71" s="70">
        <f t="shared" si="23"/>
        <v>0</v>
      </c>
      <c r="J71" s="70">
        <f t="shared" si="23"/>
        <v>0</v>
      </c>
      <c r="K71" s="70">
        <f t="shared" si="23"/>
        <v>0</v>
      </c>
      <c r="L71" s="70">
        <f t="shared" si="23"/>
        <v>0</v>
      </c>
      <c r="M71" s="70">
        <f t="shared" si="23"/>
        <v>0</v>
      </c>
      <c r="N71" s="70">
        <f t="shared" si="23"/>
        <v>0</v>
      </c>
      <c r="O71" s="70">
        <f t="shared" si="23"/>
        <v>0</v>
      </c>
      <c r="P71" s="70">
        <f t="shared" si="23"/>
        <v>57007811</v>
      </c>
      <c r="Q71" s="130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</row>
    <row r="72" spans="1:530" s="23" customFormat="1" ht="50.25" customHeight="1" x14ac:dyDescent="0.25">
      <c r="A72" s="43" t="s">
        <v>208</v>
      </c>
      <c r="B72" s="44" t="str">
        <f>'дод 3-1'!A14</f>
        <v>0160</v>
      </c>
      <c r="C72" s="44" t="str">
        <f>'дод 3-1'!B14</f>
        <v>0111</v>
      </c>
      <c r="D72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72" s="71">
        <f t="shared" ref="E72:E85" si="24">F72+I72</f>
        <v>2154200</v>
      </c>
      <c r="F72" s="71">
        <f>2218500+30000+3500-97800</f>
        <v>2154200</v>
      </c>
      <c r="G72" s="71">
        <f>1721600-80200</f>
        <v>1641400</v>
      </c>
      <c r="H72" s="71">
        <v>35400</v>
      </c>
      <c r="I72" s="71"/>
      <c r="J72" s="71">
        <f>L72+O72</f>
        <v>0</v>
      </c>
      <c r="K72" s="71"/>
      <c r="L72" s="71"/>
      <c r="M72" s="71"/>
      <c r="N72" s="71"/>
      <c r="O72" s="71"/>
      <c r="P72" s="71">
        <f t="shared" ref="P72:P85" si="25">E72+J72</f>
        <v>2154200</v>
      </c>
      <c r="Q72" s="130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</row>
    <row r="73" spans="1:530" s="23" customFormat="1" ht="21" customHeight="1" x14ac:dyDescent="0.25">
      <c r="A73" s="43" t="s">
        <v>209</v>
      </c>
      <c r="B73" s="44" t="str">
        <f>'дод 3-1'!A35</f>
        <v>2010</v>
      </c>
      <c r="C73" s="44" t="str">
        <f>'дод 3-1'!B35</f>
        <v>0731</v>
      </c>
      <c r="D73" s="24" t="str">
        <f>'дод 3-1'!C35</f>
        <v>Багатопрофільна стаціонарна медична допомога населенню</v>
      </c>
      <c r="E73" s="71">
        <f t="shared" si="24"/>
        <v>118457491</v>
      </c>
      <c r="F73" s="71">
        <v>118457491</v>
      </c>
      <c r="G73" s="71"/>
      <c r="H73" s="71"/>
      <c r="I73" s="73"/>
      <c r="J73" s="71">
        <f t="shared" ref="J73:J85" si="26">L73+O73</f>
        <v>27530000</v>
      </c>
      <c r="K73" s="71">
        <v>27530000</v>
      </c>
      <c r="L73" s="71"/>
      <c r="M73" s="71"/>
      <c r="N73" s="71"/>
      <c r="O73" s="71">
        <v>27530000</v>
      </c>
      <c r="P73" s="71">
        <f t="shared" si="25"/>
        <v>145987491</v>
      </c>
      <c r="Q73" s="127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</row>
    <row r="74" spans="1:530" s="23" customFormat="1" ht="17.25" customHeight="1" x14ac:dyDescent="0.25">
      <c r="A74" s="43"/>
      <c r="B74" s="44"/>
      <c r="C74" s="44"/>
      <c r="D74" s="22" t="s">
        <v>308</v>
      </c>
      <c r="E74" s="71">
        <f t="shared" si="24"/>
        <v>48037871</v>
      </c>
      <c r="F74" s="71">
        <f>45209900+2680300+147671</f>
        <v>48037871</v>
      </c>
      <c r="G74" s="71"/>
      <c r="H74" s="71"/>
      <c r="I74" s="73"/>
      <c r="J74" s="71">
        <f t="shared" si="26"/>
        <v>0</v>
      </c>
      <c r="K74" s="71"/>
      <c r="L74" s="71"/>
      <c r="M74" s="71"/>
      <c r="N74" s="71"/>
      <c r="O74" s="71"/>
      <c r="P74" s="71">
        <f t="shared" si="25"/>
        <v>48037871</v>
      </c>
      <c r="Q74" s="127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</row>
    <row r="75" spans="1:530" s="23" customFormat="1" ht="36.75" customHeight="1" x14ac:dyDescent="0.25">
      <c r="A75" s="43" t="s">
        <v>214</v>
      </c>
      <c r="B75" s="44" t="str">
        <f>'дод 3-1'!A37</f>
        <v>2030</v>
      </c>
      <c r="C75" s="44" t="str">
        <f>'дод 3-1'!B37</f>
        <v>0733</v>
      </c>
      <c r="D75" s="24" t="str">
        <f>'дод 3-1'!C37</f>
        <v>Лікарсько-акушерська допомога вагітним, породіллям та новонародженим</v>
      </c>
      <c r="E75" s="71">
        <f t="shared" si="24"/>
        <v>15275473</v>
      </c>
      <c r="F75" s="71">
        <v>15275473</v>
      </c>
      <c r="G75" s="73"/>
      <c r="H75" s="73"/>
      <c r="I75" s="73"/>
      <c r="J75" s="71">
        <f t="shared" si="26"/>
        <v>15040600</v>
      </c>
      <c r="K75" s="71">
        <v>15040600</v>
      </c>
      <c r="L75" s="71"/>
      <c r="M75" s="71"/>
      <c r="N75" s="71"/>
      <c r="O75" s="71">
        <v>15040600</v>
      </c>
      <c r="P75" s="71">
        <f t="shared" si="25"/>
        <v>30316073</v>
      </c>
      <c r="Q75" s="130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</row>
    <row r="76" spans="1:530" s="23" customFormat="1" ht="16.5" customHeight="1" x14ac:dyDescent="0.25">
      <c r="A76" s="43"/>
      <c r="B76" s="44"/>
      <c r="C76" s="44"/>
      <c r="D76" s="22" t="s">
        <v>308</v>
      </c>
      <c r="E76" s="71">
        <f t="shared" si="24"/>
        <v>6347600</v>
      </c>
      <c r="F76" s="71">
        <v>6347600</v>
      </c>
      <c r="G76" s="73"/>
      <c r="H76" s="73"/>
      <c r="I76" s="73"/>
      <c r="J76" s="71">
        <f t="shared" si="26"/>
        <v>0</v>
      </c>
      <c r="K76" s="71"/>
      <c r="L76" s="71"/>
      <c r="M76" s="71"/>
      <c r="N76" s="71"/>
      <c r="O76" s="71"/>
      <c r="P76" s="71">
        <f t="shared" si="25"/>
        <v>6347600</v>
      </c>
      <c r="Q76" s="130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</row>
    <row r="77" spans="1:530" s="23" customFormat="1" ht="24" customHeight="1" x14ac:dyDescent="0.25">
      <c r="A77" s="43" t="s">
        <v>213</v>
      </c>
      <c r="B77" s="44" t="str">
        <f>'дод 3-1'!A39</f>
        <v>2100</v>
      </c>
      <c r="C77" s="44" t="str">
        <f>'дод 3-1'!B39</f>
        <v>0722</v>
      </c>
      <c r="D77" s="24" t="str">
        <f>'дод 3-1'!C39</f>
        <v>Стоматологічна допомога населенню</v>
      </c>
      <c r="E77" s="71">
        <f t="shared" si="24"/>
        <v>6663426</v>
      </c>
      <c r="F77" s="71">
        <v>6663426</v>
      </c>
      <c r="G77" s="73"/>
      <c r="H77" s="73"/>
      <c r="I77" s="73"/>
      <c r="J77" s="71">
        <f t="shared" si="26"/>
        <v>1130000</v>
      </c>
      <c r="K77" s="71">
        <f>1210600-80600</f>
        <v>1130000</v>
      </c>
      <c r="L77" s="71"/>
      <c r="M77" s="71"/>
      <c r="N77" s="71"/>
      <c r="O77" s="71">
        <f>1210600-80600</f>
        <v>1130000</v>
      </c>
      <c r="P77" s="71">
        <f t="shared" si="25"/>
        <v>7793426</v>
      </c>
      <c r="Q77" s="130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</row>
    <row r="78" spans="1:530" s="23" customFormat="1" ht="15" customHeight="1" x14ac:dyDescent="0.25">
      <c r="A78" s="43"/>
      <c r="B78" s="44"/>
      <c r="C78" s="44"/>
      <c r="D78" s="22" t="s">
        <v>308</v>
      </c>
      <c r="E78" s="71">
        <f t="shared" si="24"/>
        <v>1132200</v>
      </c>
      <c r="F78" s="71">
        <v>1132200</v>
      </c>
      <c r="G78" s="73"/>
      <c r="H78" s="73"/>
      <c r="I78" s="73"/>
      <c r="J78" s="71">
        <f t="shared" si="26"/>
        <v>0</v>
      </c>
      <c r="K78" s="71"/>
      <c r="L78" s="71"/>
      <c r="M78" s="71"/>
      <c r="N78" s="71"/>
      <c r="O78" s="71"/>
      <c r="P78" s="71">
        <f t="shared" si="25"/>
        <v>1132200</v>
      </c>
      <c r="Q78" s="130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</row>
    <row r="79" spans="1:530" s="23" customFormat="1" ht="40.5" customHeight="1" x14ac:dyDescent="0.25">
      <c r="A79" s="43" t="s">
        <v>212</v>
      </c>
      <c r="B79" s="44" t="str">
        <f>'дод 3-1'!A41</f>
        <v>2111</v>
      </c>
      <c r="C79" s="44" t="str">
        <f>'дод 3-1'!B41</f>
        <v>0726</v>
      </c>
      <c r="D79" s="24" t="str">
        <f>'дод 3-1'!C41</f>
        <v>Первинна медична допомога населенню, що надається центрами первинної медичної (медико-санітарної) допомоги</v>
      </c>
      <c r="E79" s="71">
        <f t="shared" si="24"/>
        <v>1672468</v>
      </c>
      <c r="F79" s="71">
        <v>1672468</v>
      </c>
      <c r="G79" s="73"/>
      <c r="H79" s="73"/>
      <c r="I79" s="73"/>
      <c r="J79" s="71">
        <f t="shared" si="26"/>
        <v>0</v>
      </c>
      <c r="K79" s="71"/>
      <c r="L79" s="71"/>
      <c r="M79" s="71"/>
      <c r="N79" s="71"/>
      <c r="O79" s="71"/>
      <c r="P79" s="71">
        <f t="shared" si="25"/>
        <v>1672468</v>
      </c>
      <c r="Q79" s="130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</row>
    <row r="80" spans="1:530" s="23" customFormat="1" ht="32.25" customHeight="1" x14ac:dyDescent="0.25">
      <c r="A80" s="43" t="s">
        <v>211</v>
      </c>
      <c r="B80" s="44">
        <f>'дод 3-1'!A42</f>
        <v>2144</v>
      </c>
      <c r="C80" s="44" t="str">
        <f>'дод 3-1'!B42</f>
        <v>0763</v>
      </c>
      <c r="D80" s="25" t="str">
        <f>'дод 3-1'!C42</f>
        <v>Централізовані заходи з лікування хворих на цукровий та нецукровий діабет</v>
      </c>
      <c r="E80" s="71">
        <f t="shared" si="24"/>
        <v>2090140</v>
      </c>
      <c r="F80" s="71">
        <v>2090140</v>
      </c>
      <c r="G80" s="73"/>
      <c r="H80" s="73"/>
      <c r="I80" s="73"/>
      <c r="J80" s="71">
        <f t="shared" si="26"/>
        <v>0</v>
      </c>
      <c r="K80" s="71"/>
      <c r="L80" s="71"/>
      <c r="M80" s="71"/>
      <c r="N80" s="71"/>
      <c r="O80" s="71"/>
      <c r="P80" s="71">
        <f t="shared" si="25"/>
        <v>2090140</v>
      </c>
      <c r="Q80" s="130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  <c r="TJ80" s="26"/>
    </row>
    <row r="81" spans="1:530" s="23" customFormat="1" ht="18.75" customHeight="1" x14ac:dyDescent="0.25">
      <c r="A81" s="43"/>
      <c r="B81" s="44"/>
      <c r="C81" s="44"/>
      <c r="D81" s="25" t="str">
        <f>'дод 3-1'!C43</f>
        <v>у т.ч. за рахунок субвенцій з держбюджету</v>
      </c>
      <c r="E81" s="71">
        <f t="shared" si="24"/>
        <v>1490140</v>
      </c>
      <c r="F81" s="71">
        <v>1490140</v>
      </c>
      <c r="G81" s="73"/>
      <c r="H81" s="73"/>
      <c r="I81" s="73"/>
      <c r="J81" s="71">
        <f t="shared" si="26"/>
        <v>0</v>
      </c>
      <c r="K81" s="71"/>
      <c r="L81" s="71"/>
      <c r="M81" s="71"/>
      <c r="N81" s="71"/>
      <c r="O81" s="71"/>
      <c r="P81" s="71">
        <f t="shared" si="25"/>
        <v>1490140</v>
      </c>
      <c r="Q81" s="130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</row>
    <row r="82" spans="1:530" s="23" customFormat="1" ht="30" customHeight="1" x14ac:dyDescent="0.25">
      <c r="A82" s="43" t="s">
        <v>382</v>
      </c>
      <c r="B82" s="45" t="str">
        <f>'дод 3-1'!A44</f>
        <v>2151</v>
      </c>
      <c r="C82" s="45" t="str">
        <f>'дод 3-1'!B44</f>
        <v>0763</v>
      </c>
      <c r="D82" s="24" t="str">
        <f>'дод 3-1'!C44</f>
        <v>Забезпечення діяльності інших закладів у сфері охорони здоров’я</v>
      </c>
      <c r="E82" s="71">
        <f t="shared" si="24"/>
        <v>2894213</v>
      </c>
      <c r="F82" s="71">
        <v>2894213</v>
      </c>
      <c r="G82" s="73"/>
      <c r="H82" s="73"/>
      <c r="I82" s="73"/>
      <c r="J82" s="71">
        <f t="shared" si="26"/>
        <v>0</v>
      </c>
      <c r="K82" s="71"/>
      <c r="L82" s="71"/>
      <c r="M82" s="71"/>
      <c r="N82" s="71"/>
      <c r="O82" s="71"/>
      <c r="P82" s="71">
        <f t="shared" si="25"/>
        <v>2894213</v>
      </c>
      <c r="Q82" s="130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  <c r="TJ82" s="26"/>
    </row>
    <row r="83" spans="1:530" s="23" customFormat="1" ht="24.75" customHeight="1" x14ac:dyDescent="0.25">
      <c r="A83" s="43" t="s">
        <v>383</v>
      </c>
      <c r="B83" s="45" t="str">
        <f>'дод 3-1'!A45</f>
        <v>2152</v>
      </c>
      <c r="C83" s="45" t="str">
        <f>'дод 3-1'!B45</f>
        <v>0763</v>
      </c>
      <c r="D83" s="22" t="str">
        <f>'дод 3-1'!C45</f>
        <v>Інші програми та заходи у сфері охорони здоров’я</v>
      </c>
      <c r="E83" s="71">
        <f t="shared" si="24"/>
        <v>18815000</v>
      </c>
      <c r="F83" s="71">
        <v>18815000</v>
      </c>
      <c r="G83" s="71"/>
      <c r="H83" s="71"/>
      <c r="I83" s="71"/>
      <c r="J83" s="71">
        <f t="shared" si="26"/>
        <v>0</v>
      </c>
      <c r="K83" s="71"/>
      <c r="L83" s="71"/>
      <c r="M83" s="71"/>
      <c r="N83" s="71"/>
      <c r="O83" s="71"/>
      <c r="P83" s="71">
        <f t="shared" si="25"/>
        <v>18815000</v>
      </c>
      <c r="Q83" s="130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</row>
    <row r="84" spans="1:530" s="23" customFormat="1" ht="18.75" customHeight="1" x14ac:dyDescent="0.25">
      <c r="A84" s="43" t="s">
        <v>210</v>
      </c>
      <c r="B84" s="44" t="str">
        <f>'дод 3-1'!A108</f>
        <v>7640</v>
      </c>
      <c r="C84" s="44" t="str">
        <f>'дод 3-1'!B108</f>
        <v>0470</v>
      </c>
      <c r="D84" s="24" t="str">
        <f>'дод 3-1'!C108</f>
        <v>Заходи з енергозбереження</v>
      </c>
      <c r="E84" s="71">
        <f t="shared" si="24"/>
        <v>199000</v>
      </c>
      <c r="F84" s="71"/>
      <c r="G84" s="71"/>
      <c r="H84" s="71"/>
      <c r="I84" s="71">
        <v>199000</v>
      </c>
      <c r="J84" s="71">
        <f t="shared" si="26"/>
        <v>25774304</v>
      </c>
      <c r="K84" s="71">
        <f>17559604+14714700-6500000</f>
        <v>25774304</v>
      </c>
      <c r="L84" s="71"/>
      <c r="M84" s="71"/>
      <c r="N84" s="71"/>
      <c r="O84" s="71">
        <f>17559604+14714700-6500000</f>
        <v>25774304</v>
      </c>
      <c r="P84" s="71">
        <f t="shared" si="25"/>
        <v>25973304</v>
      </c>
      <c r="Q84" s="130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</row>
    <row r="85" spans="1:530" s="23" customFormat="1" ht="45" customHeight="1" x14ac:dyDescent="0.25">
      <c r="A85" s="43" t="s">
        <v>426</v>
      </c>
      <c r="B85" s="44">
        <v>7700</v>
      </c>
      <c r="C85" s="43" t="s">
        <v>113</v>
      </c>
      <c r="D85" s="24" t="s">
        <v>427</v>
      </c>
      <c r="E85" s="71">
        <f t="shared" si="24"/>
        <v>0</v>
      </c>
      <c r="F85" s="71"/>
      <c r="G85" s="71"/>
      <c r="H85" s="71"/>
      <c r="I85" s="71"/>
      <c r="J85" s="71">
        <f t="shared" si="26"/>
        <v>885000</v>
      </c>
      <c r="K85" s="71"/>
      <c r="L85" s="71"/>
      <c r="M85" s="71"/>
      <c r="N85" s="71"/>
      <c r="O85" s="71">
        <v>885000</v>
      </c>
      <c r="P85" s="71">
        <f t="shared" si="25"/>
        <v>885000</v>
      </c>
      <c r="Q85" s="130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  <c r="TJ85" s="26"/>
    </row>
    <row r="86" spans="1:530" s="31" customFormat="1" ht="36" customHeight="1" x14ac:dyDescent="0.2">
      <c r="A86" s="78" t="s">
        <v>215</v>
      </c>
      <c r="B86" s="76"/>
      <c r="C86" s="76"/>
      <c r="D86" s="30" t="s">
        <v>51</v>
      </c>
      <c r="E86" s="68">
        <f>E87</f>
        <v>181325058</v>
      </c>
      <c r="F86" s="68">
        <f t="shared" ref="F86:J86" si="27">F87</f>
        <v>181325058</v>
      </c>
      <c r="G86" s="68">
        <f t="shared" si="27"/>
        <v>55579225</v>
      </c>
      <c r="H86" s="68">
        <f t="shared" si="27"/>
        <v>1615490</v>
      </c>
      <c r="I86" s="68">
        <f t="shared" si="27"/>
        <v>0</v>
      </c>
      <c r="J86" s="68">
        <f t="shared" si="27"/>
        <v>843740</v>
      </c>
      <c r="K86" s="68">
        <f t="shared" ref="K86" si="28">K87</f>
        <v>735640</v>
      </c>
      <c r="L86" s="68">
        <f t="shared" ref="L86" si="29">L87</f>
        <v>108100</v>
      </c>
      <c r="M86" s="68">
        <f t="shared" ref="M86" si="30">M87</f>
        <v>85100</v>
      </c>
      <c r="N86" s="68">
        <f t="shared" ref="N86" si="31">N87</f>
        <v>0</v>
      </c>
      <c r="O86" s="68">
        <f t="shared" ref="O86:P86" si="32">O87</f>
        <v>735640</v>
      </c>
      <c r="P86" s="68">
        <f t="shared" si="32"/>
        <v>182168798</v>
      </c>
      <c r="Q86" s="130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  <c r="IW86" s="38"/>
      <c r="IX86" s="38"/>
      <c r="IY86" s="38"/>
      <c r="IZ86" s="38"/>
      <c r="JA86" s="38"/>
      <c r="JB86" s="38"/>
      <c r="JC86" s="38"/>
      <c r="JD86" s="38"/>
      <c r="JE86" s="38"/>
      <c r="JF86" s="38"/>
      <c r="JG86" s="38"/>
      <c r="JH86" s="38"/>
      <c r="JI86" s="38"/>
      <c r="JJ86" s="38"/>
      <c r="JK86" s="38"/>
      <c r="JL86" s="38"/>
      <c r="JM86" s="38"/>
      <c r="JN86" s="38"/>
      <c r="JO86" s="38"/>
      <c r="JP86" s="38"/>
      <c r="JQ86" s="38"/>
      <c r="JR86" s="38"/>
      <c r="JS86" s="38"/>
      <c r="JT86" s="38"/>
      <c r="JU86" s="38"/>
      <c r="JV86" s="38"/>
      <c r="JW86" s="38"/>
      <c r="JX86" s="38"/>
      <c r="JY86" s="38"/>
      <c r="JZ86" s="38"/>
      <c r="KA86" s="38"/>
      <c r="KB86" s="38"/>
      <c r="KC86" s="38"/>
      <c r="KD86" s="38"/>
      <c r="KE86" s="38"/>
      <c r="KF86" s="38"/>
      <c r="KG86" s="38"/>
      <c r="KH86" s="38"/>
      <c r="KI86" s="38"/>
      <c r="KJ86" s="38"/>
      <c r="KK86" s="38"/>
      <c r="KL86" s="38"/>
      <c r="KM86" s="38"/>
      <c r="KN86" s="38"/>
      <c r="KO86" s="38"/>
      <c r="KP86" s="38"/>
      <c r="KQ86" s="38"/>
      <c r="KR86" s="38"/>
      <c r="KS86" s="38"/>
      <c r="KT86" s="38"/>
      <c r="KU86" s="38"/>
      <c r="KV86" s="38"/>
      <c r="KW86" s="38"/>
      <c r="KX86" s="38"/>
      <c r="KY86" s="38"/>
      <c r="KZ86" s="38"/>
      <c r="LA86" s="38"/>
      <c r="LB86" s="38"/>
      <c r="LC86" s="38"/>
      <c r="LD86" s="38"/>
      <c r="LE86" s="38"/>
      <c r="LF86" s="38"/>
      <c r="LG86" s="38"/>
      <c r="LH86" s="38"/>
      <c r="LI86" s="38"/>
      <c r="LJ86" s="38"/>
      <c r="LK86" s="38"/>
      <c r="LL86" s="38"/>
      <c r="LM86" s="38"/>
      <c r="LN86" s="38"/>
      <c r="LO86" s="38"/>
      <c r="LP86" s="38"/>
      <c r="LQ86" s="38"/>
      <c r="LR86" s="38"/>
      <c r="LS86" s="38"/>
      <c r="LT86" s="38"/>
      <c r="LU86" s="38"/>
      <c r="LV86" s="38"/>
      <c r="LW86" s="38"/>
      <c r="LX86" s="38"/>
      <c r="LY86" s="38"/>
      <c r="LZ86" s="38"/>
      <c r="MA86" s="38"/>
      <c r="MB86" s="38"/>
      <c r="MC86" s="38"/>
      <c r="MD86" s="38"/>
      <c r="ME86" s="38"/>
      <c r="MF86" s="38"/>
      <c r="MG86" s="38"/>
      <c r="MH86" s="38"/>
      <c r="MI86" s="38"/>
      <c r="MJ86" s="38"/>
      <c r="MK86" s="38"/>
      <c r="ML86" s="38"/>
      <c r="MM86" s="38"/>
      <c r="MN86" s="38"/>
      <c r="MO86" s="38"/>
      <c r="MP86" s="38"/>
      <c r="MQ86" s="38"/>
      <c r="MR86" s="38"/>
      <c r="MS86" s="38"/>
      <c r="MT86" s="38"/>
      <c r="MU86" s="38"/>
      <c r="MV86" s="38"/>
      <c r="MW86" s="38"/>
      <c r="MX86" s="38"/>
      <c r="MY86" s="38"/>
      <c r="MZ86" s="38"/>
      <c r="NA86" s="38"/>
      <c r="NB86" s="38"/>
      <c r="NC86" s="38"/>
      <c r="ND86" s="38"/>
      <c r="NE86" s="38"/>
      <c r="NF86" s="38"/>
      <c r="NG86" s="38"/>
      <c r="NH86" s="38"/>
      <c r="NI86" s="38"/>
      <c r="NJ86" s="38"/>
      <c r="NK86" s="38"/>
      <c r="NL86" s="38"/>
      <c r="NM86" s="38"/>
      <c r="NN86" s="38"/>
      <c r="NO86" s="38"/>
      <c r="NP86" s="38"/>
      <c r="NQ86" s="38"/>
      <c r="NR86" s="38"/>
      <c r="NS86" s="38"/>
      <c r="NT86" s="38"/>
      <c r="NU86" s="38"/>
      <c r="NV86" s="38"/>
      <c r="NW86" s="38"/>
      <c r="NX86" s="38"/>
      <c r="NY86" s="38"/>
      <c r="NZ86" s="38"/>
      <c r="OA86" s="38"/>
      <c r="OB86" s="38"/>
      <c r="OC86" s="38"/>
      <c r="OD86" s="38"/>
      <c r="OE86" s="38"/>
      <c r="OF86" s="38"/>
      <c r="OG86" s="38"/>
      <c r="OH86" s="38"/>
      <c r="OI86" s="38"/>
      <c r="OJ86" s="38"/>
      <c r="OK86" s="38"/>
      <c r="OL86" s="38"/>
      <c r="OM86" s="38"/>
      <c r="ON86" s="38"/>
      <c r="OO86" s="38"/>
      <c r="OP86" s="38"/>
      <c r="OQ86" s="38"/>
      <c r="OR86" s="38"/>
      <c r="OS86" s="38"/>
      <c r="OT86" s="38"/>
      <c r="OU86" s="38"/>
      <c r="OV86" s="38"/>
      <c r="OW86" s="38"/>
      <c r="OX86" s="38"/>
      <c r="OY86" s="38"/>
      <c r="OZ86" s="38"/>
      <c r="PA86" s="38"/>
      <c r="PB86" s="38"/>
      <c r="PC86" s="38"/>
      <c r="PD86" s="38"/>
      <c r="PE86" s="38"/>
      <c r="PF86" s="38"/>
      <c r="PG86" s="38"/>
      <c r="PH86" s="38"/>
      <c r="PI86" s="38"/>
      <c r="PJ86" s="38"/>
      <c r="PK86" s="38"/>
      <c r="PL86" s="38"/>
      <c r="PM86" s="38"/>
      <c r="PN86" s="38"/>
      <c r="PO86" s="38"/>
      <c r="PP86" s="38"/>
      <c r="PQ86" s="38"/>
      <c r="PR86" s="38"/>
      <c r="PS86" s="38"/>
      <c r="PT86" s="38"/>
      <c r="PU86" s="38"/>
      <c r="PV86" s="38"/>
      <c r="PW86" s="38"/>
      <c r="PX86" s="38"/>
      <c r="PY86" s="38"/>
      <c r="PZ86" s="38"/>
      <c r="QA86" s="38"/>
      <c r="QB86" s="38"/>
      <c r="QC86" s="38"/>
      <c r="QD86" s="38"/>
      <c r="QE86" s="38"/>
      <c r="QF86" s="38"/>
      <c r="QG86" s="38"/>
      <c r="QH86" s="38"/>
      <c r="QI86" s="38"/>
      <c r="QJ86" s="38"/>
      <c r="QK86" s="38"/>
      <c r="QL86" s="38"/>
      <c r="QM86" s="38"/>
      <c r="QN86" s="38"/>
      <c r="QO86" s="38"/>
      <c r="QP86" s="38"/>
      <c r="QQ86" s="38"/>
      <c r="QR86" s="38"/>
      <c r="QS86" s="38"/>
      <c r="QT86" s="38"/>
      <c r="QU86" s="38"/>
      <c r="QV86" s="38"/>
      <c r="QW86" s="38"/>
      <c r="QX86" s="38"/>
      <c r="QY86" s="38"/>
      <c r="QZ86" s="38"/>
      <c r="RA86" s="38"/>
      <c r="RB86" s="38"/>
      <c r="RC86" s="38"/>
      <c r="RD86" s="38"/>
      <c r="RE86" s="38"/>
      <c r="RF86" s="38"/>
      <c r="RG86" s="38"/>
      <c r="RH86" s="38"/>
      <c r="RI86" s="38"/>
      <c r="RJ86" s="38"/>
      <c r="RK86" s="38"/>
      <c r="RL86" s="38"/>
      <c r="RM86" s="38"/>
      <c r="RN86" s="38"/>
      <c r="RO86" s="38"/>
      <c r="RP86" s="38"/>
      <c r="RQ86" s="38"/>
      <c r="RR86" s="38"/>
      <c r="RS86" s="38"/>
      <c r="RT86" s="38"/>
      <c r="RU86" s="38"/>
      <c r="RV86" s="38"/>
      <c r="RW86" s="38"/>
      <c r="RX86" s="38"/>
      <c r="RY86" s="38"/>
      <c r="RZ86" s="38"/>
      <c r="SA86" s="38"/>
      <c r="SB86" s="38"/>
      <c r="SC86" s="38"/>
      <c r="SD86" s="38"/>
      <c r="SE86" s="38"/>
      <c r="SF86" s="38"/>
      <c r="SG86" s="38"/>
      <c r="SH86" s="38"/>
      <c r="SI86" s="38"/>
      <c r="SJ86" s="38"/>
      <c r="SK86" s="38"/>
      <c r="SL86" s="38"/>
      <c r="SM86" s="38"/>
      <c r="SN86" s="38"/>
      <c r="SO86" s="38"/>
      <c r="SP86" s="38"/>
      <c r="SQ86" s="38"/>
      <c r="SR86" s="38"/>
      <c r="SS86" s="38"/>
      <c r="ST86" s="38"/>
      <c r="SU86" s="38"/>
      <c r="SV86" s="38"/>
      <c r="SW86" s="38"/>
      <c r="SX86" s="38"/>
      <c r="SY86" s="38"/>
      <c r="SZ86" s="38"/>
      <c r="TA86" s="38"/>
      <c r="TB86" s="38"/>
      <c r="TC86" s="38"/>
      <c r="TD86" s="38"/>
      <c r="TE86" s="38"/>
      <c r="TF86" s="38"/>
      <c r="TG86" s="38"/>
      <c r="TH86" s="38"/>
      <c r="TI86" s="38"/>
      <c r="TJ86" s="38"/>
    </row>
    <row r="87" spans="1:530" s="40" customFormat="1" ht="32.25" customHeight="1" x14ac:dyDescent="0.25">
      <c r="A87" s="79" t="s">
        <v>216</v>
      </c>
      <c r="B87" s="77"/>
      <c r="C87" s="77"/>
      <c r="D87" s="33" t="s">
        <v>51</v>
      </c>
      <c r="E87" s="70">
        <f>E88+E89+E90+E91+E92+E93+E94+E95+E96+E97+E98+E99+E100+E101+E102+E103+E104+E105+E106+E107</f>
        <v>181325058</v>
      </c>
      <c r="F87" s="70">
        <f t="shared" ref="F87:P87" si="33">F88+F89+F90+F91+F92+F93+F94+F95+F96+F97+F98+F99+F100+F101+F102+F103+F104+F105+F106+F107</f>
        <v>181325058</v>
      </c>
      <c r="G87" s="70">
        <f t="shared" si="33"/>
        <v>55579225</v>
      </c>
      <c r="H87" s="70">
        <f t="shared" si="33"/>
        <v>1615490</v>
      </c>
      <c r="I87" s="70">
        <f t="shared" si="33"/>
        <v>0</v>
      </c>
      <c r="J87" s="70">
        <f t="shared" si="33"/>
        <v>843740</v>
      </c>
      <c r="K87" s="70">
        <f t="shared" si="33"/>
        <v>735640</v>
      </c>
      <c r="L87" s="70">
        <f t="shared" si="33"/>
        <v>108100</v>
      </c>
      <c r="M87" s="70">
        <f t="shared" si="33"/>
        <v>85100</v>
      </c>
      <c r="N87" s="70">
        <f t="shared" si="33"/>
        <v>0</v>
      </c>
      <c r="O87" s="70">
        <f t="shared" si="33"/>
        <v>735640</v>
      </c>
      <c r="P87" s="70">
        <f t="shared" si="33"/>
        <v>182168798</v>
      </c>
      <c r="Q87" s="130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  <c r="ME87" s="39"/>
      <c r="MF87" s="39"/>
      <c r="MG87" s="39"/>
      <c r="MH87" s="39"/>
      <c r="MI87" s="39"/>
      <c r="MJ87" s="39"/>
      <c r="MK87" s="39"/>
      <c r="ML87" s="39"/>
      <c r="MM87" s="39"/>
      <c r="MN87" s="39"/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/>
      <c r="NE87" s="39"/>
      <c r="NF87" s="39"/>
      <c r="NG87" s="39"/>
      <c r="NH87" s="39"/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/>
      <c r="NT87" s="39"/>
      <c r="NU87" s="39"/>
      <c r="NV87" s="39"/>
      <c r="NW87" s="39"/>
      <c r="NX87" s="39"/>
      <c r="NY87" s="39"/>
      <c r="NZ87" s="39"/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9"/>
      <c r="RK87" s="39"/>
      <c r="RL87" s="39"/>
      <c r="RM87" s="39"/>
      <c r="RN87" s="39"/>
      <c r="RO87" s="39"/>
      <c r="RP87" s="39"/>
      <c r="RQ87" s="39"/>
      <c r="RR87" s="39"/>
      <c r="RS87" s="39"/>
      <c r="RT87" s="39"/>
      <c r="RU87" s="39"/>
      <c r="RV87" s="39"/>
      <c r="RW87" s="39"/>
      <c r="RX87" s="39"/>
      <c r="RY87" s="39"/>
      <c r="RZ87" s="39"/>
      <c r="SA87" s="39"/>
      <c r="SB87" s="39"/>
      <c r="SC87" s="39"/>
      <c r="SD87" s="39"/>
      <c r="SE87" s="39"/>
      <c r="SF87" s="39"/>
      <c r="SG87" s="39"/>
      <c r="SH87" s="39"/>
      <c r="SI87" s="39"/>
      <c r="SJ87" s="39"/>
      <c r="SK87" s="39"/>
      <c r="SL87" s="39"/>
      <c r="SM87" s="39"/>
      <c r="SN87" s="39"/>
      <c r="SO87" s="39"/>
      <c r="SP87" s="39"/>
      <c r="SQ87" s="39"/>
      <c r="SR87" s="39"/>
      <c r="SS87" s="39"/>
      <c r="ST87" s="39"/>
      <c r="SU87" s="39"/>
      <c r="SV87" s="39"/>
      <c r="SW87" s="39"/>
      <c r="SX87" s="39"/>
      <c r="SY87" s="39"/>
      <c r="SZ87" s="39"/>
      <c r="TA87" s="39"/>
      <c r="TB87" s="39"/>
      <c r="TC87" s="39"/>
      <c r="TD87" s="39"/>
      <c r="TE87" s="39"/>
      <c r="TF87" s="39"/>
      <c r="TG87" s="39"/>
      <c r="TH87" s="39"/>
      <c r="TI87" s="39"/>
      <c r="TJ87" s="39"/>
    </row>
    <row r="88" spans="1:530" s="23" customFormat="1" ht="45.75" customHeight="1" x14ac:dyDescent="0.25">
      <c r="A88" s="43" t="s">
        <v>217</v>
      </c>
      <c r="B88" s="44" t="str">
        <f>'дод 3-1'!A14</f>
        <v>0160</v>
      </c>
      <c r="C88" s="44" t="str">
        <f>'дод 3-1'!B14</f>
        <v>0111</v>
      </c>
      <c r="D88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88" s="71">
        <f t="shared" ref="E88:E107" si="34">F88+I88</f>
        <v>53190200</v>
      </c>
      <c r="F88" s="71">
        <f>55432800+254000-2496600</f>
        <v>53190200</v>
      </c>
      <c r="G88" s="71">
        <f>43728800-2046400</f>
        <v>41682400</v>
      </c>
      <c r="H88" s="71">
        <v>841800</v>
      </c>
      <c r="I88" s="71"/>
      <c r="J88" s="71">
        <f>L88+O88</f>
        <v>0</v>
      </c>
      <c r="K88" s="71"/>
      <c r="L88" s="71"/>
      <c r="M88" s="71"/>
      <c r="N88" s="71"/>
      <c r="O88" s="71"/>
      <c r="P88" s="71">
        <f t="shared" ref="P88:P107" si="35">E88+J88</f>
        <v>53190200</v>
      </c>
      <c r="Q88" s="130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  <c r="TJ88" s="26"/>
    </row>
    <row r="89" spans="1:530" s="26" customFormat="1" ht="36" customHeight="1" x14ac:dyDescent="0.25">
      <c r="A89" s="43" t="s">
        <v>218</v>
      </c>
      <c r="B89" s="44" t="str">
        <f>'дод 3-1'!A47</f>
        <v>3031</v>
      </c>
      <c r="C89" s="44" t="str">
        <f>'дод 3-1'!B47</f>
        <v>1030</v>
      </c>
      <c r="D89" s="24" t="str">
        <f>'дод 3-1'!C47</f>
        <v>Надання інших пільг окремим категоріям громадян відповідно до законодавства</v>
      </c>
      <c r="E89" s="71">
        <f t="shared" si="34"/>
        <v>582400</v>
      </c>
      <c r="F89" s="71">
        <v>582400</v>
      </c>
      <c r="G89" s="71"/>
      <c r="H89" s="71"/>
      <c r="I89" s="71"/>
      <c r="J89" s="71">
        <f t="shared" ref="J89:J104" si="36">L89+O89</f>
        <v>0</v>
      </c>
      <c r="K89" s="71">
        <f>232600-190600-42000</f>
        <v>0</v>
      </c>
      <c r="L89" s="71"/>
      <c r="M89" s="71"/>
      <c r="N89" s="71"/>
      <c r="O89" s="71">
        <f>232600-190600-42000</f>
        <v>0</v>
      </c>
      <c r="P89" s="71">
        <f t="shared" si="35"/>
        <v>582400</v>
      </c>
      <c r="Q89" s="130"/>
    </row>
    <row r="90" spans="1:530" s="26" customFormat="1" ht="42.75" customHeight="1" x14ac:dyDescent="0.25">
      <c r="A90" s="43" t="s">
        <v>219</v>
      </c>
      <c r="B90" s="44" t="str">
        <f>'дод 3-1'!A48</f>
        <v>3032</v>
      </c>
      <c r="C90" s="44" t="str">
        <f>'дод 3-1'!B48</f>
        <v>1070</v>
      </c>
      <c r="D90" s="24" t="str">
        <f>'дод 3-1'!C48</f>
        <v>Надання пільг окремим категоріям громадян з оплати послуг зв'язку</v>
      </c>
      <c r="E90" s="71">
        <f t="shared" si="34"/>
        <v>1300000</v>
      </c>
      <c r="F90" s="71">
        <v>1300000</v>
      </c>
      <c r="G90" s="71"/>
      <c r="H90" s="71"/>
      <c r="I90" s="71"/>
      <c r="J90" s="71">
        <f t="shared" si="36"/>
        <v>0</v>
      </c>
      <c r="K90" s="71"/>
      <c r="L90" s="71"/>
      <c r="M90" s="71"/>
      <c r="N90" s="71"/>
      <c r="O90" s="71"/>
      <c r="P90" s="71">
        <f t="shared" si="35"/>
        <v>1300000</v>
      </c>
      <c r="Q90" s="130"/>
    </row>
    <row r="91" spans="1:530" s="26" customFormat="1" ht="51.75" customHeight="1" x14ac:dyDescent="0.25">
      <c r="A91" s="43" t="s">
        <v>413</v>
      </c>
      <c r="B91" s="44" t="str">
        <f>'дод 3-1'!A49</f>
        <v>3033</v>
      </c>
      <c r="C91" s="44" t="str">
        <f>'дод 3-1'!B49</f>
        <v>1070</v>
      </c>
      <c r="D91" s="24" t="str">
        <f>'дод 3-1'!C49</f>
        <v>Компенсаційні виплати на пільговий проїзд автомобільним транспортом окремим категоріям громадян</v>
      </c>
      <c r="E91" s="71">
        <f t="shared" si="34"/>
        <v>24597100</v>
      </c>
      <c r="F91" s="71">
        <f>24500000+97100</f>
        <v>24597100</v>
      </c>
      <c r="G91" s="71"/>
      <c r="H91" s="71"/>
      <c r="I91" s="71"/>
      <c r="J91" s="71">
        <f t="shared" si="36"/>
        <v>0</v>
      </c>
      <c r="K91" s="71"/>
      <c r="L91" s="71"/>
      <c r="M91" s="71"/>
      <c r="N91" s="71"/>
      <c r="O91" s="71"/>
      <c r="P91" s="71">
        <f t="shared" si="35"/>
        <v>24597100</v>
      </c>
      <c r="Q91" s="130"/>
    </row>
    <row r="92" spans="1:530" s="26" customFormat="1" ht="30" x14ac:dyDescent="0.25">
      <c r="A92" s="43" t="s">
        <v>381</v>
      </c>
      <c r="B92" s="44" t="str">
        <f>'дод 3-1'!A50</f>
        <v>3035</v>
      </c>
      <c r="C92" s="44" t="str">
        <f>'дод 3-1'!B50</f>
        <v>1070</v>
      </c>
      <c r="D92" s="24" t="str">
        <f>'дод 3-1'!C50</f>
        <v>Компенсаційні виплати за пільговий проїзд окремих категорій громадян на залізничному транспорті</v>
      </c>
      <c r="E92" s="71">
        <f t="shared" si="34"/>
        <v>1000000</v>
      </c>
      <c r="F92" s="71">
        <v>1000000</v>
      </c>
      <c r="G92" s="71"/>
      <c r="H92" s="71"/>
      <c r="I92" s="71"/>
      <c r="J92" s="71">
        <f t="shared" si="36"/>
        <v>0</v>
      </c>
      <c r="K92" s="71"/>
      <c r="L92" s="71"/>
      <c r="M92" s="71"/>
      <c r="N92" s="71"/>
      <c r="O92" s="71"/>
      <c r="P92" s="71">
        <f t="shared" si="35"/>
        <v>1000000</v>
      </c>
      <c r="Q92" s="130"/>
    </row>
    <row r="93" spans="1:530" s="26" customFormat="1" ht="36" customHeight="1" x14ac:dyDescent="0.25">
      <c r="A93" s="43" t="s">
        <v>220</v>
      </c>
      <c r="B93" s="44" t="str">
        <f>'дод 3-1'!A51</f>
        <v>3036</v>
      </c>
      <c r="C93" s="44" t="str">
        <f>'дод 3-1'!B51</f>
        <v>1070</v>
      </c>
      <c r="D93" s="24" t="str">
        <f>'дод 3-1'!C51</f>
        <v>Компенсаційні виплати на пільговий проїзд електротранспортом окремим категоріям громадян</v>
      </c>
      <c r="E93" s="71">
        <f t="shared" si="34"/>
        <v>40470500</v>
      </c>
      <c r="F93" s="71">
        <f>39098112+1372388</f>
        <v>40470500</v>
      </c>
      <c r="G93" s="71"/>
      <c r="H93" s="71"/>
      <c r="I93" s="71"/>
      <c r="J93" s="71">
        <f t="shared" si="36"/>
        <v>0</v>
      </c>
      <c r="K93" s="71"/>
      <c r="L93" s="71"/>
      <c r="M93" s="71"/>
      <c r="N93" s="71"/>
      <c r="O93" s="71"/>
      <c r="P93" s="71">
        <f t="shared" si="35"/>
        <v>40470500</v>
      </c>
      <c r="Q93" s="130"/>
    </row>
    <row r="94" spans="1:530" s="23" customFormat="1" ht="44.25" customHeight="1" x14ac:dyDescent="0.25">
      <c r="A94" s="43" t="s">
        <v>411</v>
      </c>
      <c r="B94" s="44" t="str">
        <f>'дод 3-1'!A52</f>
        <v>3050</v>
      </c>
      <c r="C94" s="44" t="str">
        <f>'дод 3-1'!B52</f>
        <v>1070</v>
      </c>
      <c r="D94" s="24" t="str">
        <f>'дод 3-1'!C52</f>
        <v>Пільгове медичне обслуговування осіб, які постраждали внаслідок Чорнобильської катастрофи</v>
      </c>
      <c r="E94" s="71">
        <f t="shared" si="34"/>
        <v>853000</v>
      </c>
      <c r="F94" s="71">
        <v>853000</v>
      </c>
      <c r="G94" s="71"/>
      <c r="H94" s="71"/>
      <c r="I94" s="71"/>
      <c r="J94" s="71">
        <f t="shared" si="36"/>
        <v>0</v>
      </c>
      <c r="K94" s="71"/>
      <c r="L94" s="71"/>
      <c r="M94" s="71"/>
      <c r="N94" s="71"/>
      <c r="O94" s="71"/>
      <c r="P94" s="71">
        <f t="shared" si="35"/>
        <v>853000</v>
      </c>
      <c r="Q94" s="130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</row>
    <row r="95" spans="1:530" s="23" customFormat="1" ht="38.25" customHeight="1" x14ac:dyDescent="0.25">
      <c r="A95" s="43" t="s">
        <v>412</v>
      </c>
      <c r="B95" s="44" t="str">
        <f>'дод 3-1'!A53</f>
        <v>3090</v>
      </c>
      <c r="C95" s="44" t="str">
        <f>'дод 3-1'!B53</f>
        <v>1030</v>
      </c>
      <c r="D95" s="24" t="str">
        <f>'дод 3-1'!C53</f>
        <v>Видатки на поховання учасників бойових дій та осіб з інвалідністю внаслідок війни</v>
      </c>
      <c r="E95" s="71">
        <f t="shared" si="34"/>
        <v>228400</v>
      </c>
      <c r="F95" s="71">
        <v>228400</v>
      </c>
      <c r="G95" s="71"/>
      <c r="H95" s="71"/>
      <c r="I95" s="71"/>
      <c r="J95" s="71">
        <f t="shared" si="36"/>
        <v>0</v>
      </c>
      <c r="K95" s="71"/>
      <c r="L95" s="71"/>
      <c r="M95" s="71"/>
      <c r="N95" s="71"/>
      <c r="O95" s="71"/>
      <c r="P95" s="71">
        <f t="shared" si="35"/>
        <v>228400</v>
      </c>
      <c r="Q95" s="130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</row>
    <row r="96" spans="1:530" s="23" customFormat="1" ht="50.25" customHeight="1" x14ac:dyDescent="0.25">
      <c r="A96" s="43" t="s">
        <v>221</v>
      </c>
      <c r="B96" s="44" t="str">
        <f>'дод 3-1'!A54</f>
        <v>3104</v>
      </c>
      <c r="C96" s="44" t="str">
        <f>'дод 3-1'!B54</f>
        <v>1020</v>
      </c>
      <c r="D96" s="24" t="str">
        <f>'дод 3-1'!C54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96" s="71">
        <f t="shared" si="34"/>
        <v>13527630</v>
      </c>
      <c r="F96" s="71">
        <v>13527630</v>
      </c>
      <c r="G96" s="71">
        <v>10389550</v>
      </c>
      <c r="H96" s="71">
        <v>230060</v>
      </c>
      <c r="I96" s="71"/>
      <c r="J96" s="71">
        <f t="shared" si="36"/>
        <v>108100</v>
      </c>
      <c r="K96" s="71"/>
      <c r="L96" s="71">
        <v>108100</v>
      </c>
      <c r="M96" s="71">
        <v>85100</v>
      </c>
      <c r="N96" s="71"/>
      <c r="O96" s="71"/>
      <c r="P96" s="71">
        <f t="shared" si="35"/>
        <v>13635730</v>
      </c>
      <c r="Q96" s="130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</row>
    <row r="97" spans="1:530" s="23" customFormat="1" ht="87" customHeight="1" x14ac:dyDescent="0.25">
      <c r="A97" s="43" t="s">
        <v>222</v>
      </c>
      <c r="B97" s="44" t="str">
        <f>'дод 3-1'!A60</f>
        <v>3160</v>
      </c>
      <c r="C97" s="44">
        <f>'дод 3-1'!B60</f>
        <v>1010</v>
      </c>
      <c r="D97" s="24" t="str">
        <f>'дод 3-1'!C60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97" s="71">
        <f t="shared" si="34"/>
        <v>1911000</v>
      </c>
      <c r="F97" s="71">
        <v>1911000</v>
      </c>
      <c r="G97" s="71"/>
      <c r="H97" s="71"/>
      <c r="I97" s="71"/>
      <c r="J97" s="71">
        <f t="shared" si="36"/>
        <v>0</v>
      </c>
      <c r="K97" s="71"/>
      <c r="L97" s="71"/>
      <c r="M97" s="71"/>
      <c r="N97" s="71"/>
      <c r="O97" s="71"/>
      <c r="P97" s="71">
        <f t="shared" si="35"/>
        <v>1911000</v>
      </c>
      <c r="Q97" s="130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</row>
    <row r="98" spans="1:530" s="23" customFormat="1" ht="63.75" customHeight="1" x14ac:dyDescent="0.25">
      <c r="A98" s="43" t="s">
        <v>414</v>
      </c>
      <c r="B98" s="44" t="str">
        <f>'дод 3-1'!A61</f>
        <v>3171</v>
      </c>
      <c r="C98" s="44">
        <f>'дод 3-1'!B61</f>
        <v>1010</v>
      </c>
      <c r="D98" s="24" t="str">
        <f>'дод 3-1'!C61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98" s="71">
        <f t="shared" si="34"/>
        <v>228095</v>
      </c>
      <c r="F98" s="71">
        <v>228095</v>
      </c>
      <c r="G98" s="71"/>
      <c r="H98" s="71"/>
      <c r="I98" s="71"/>
      <c r="J98" s="71">
        <f t="shared" si="36"/>
        <v>0</v>
      </c>
      <c r="K98" s="71"/>
      <c r="L98" s="71"/>
      <c r="M98" s="71"/>
      <c r="N98" s="71"/>
      <c r="O98" s="71"/>
      <c r="P98" s="71">
        <f t="shared" si="35"/>
        <v>228095</v>
      </c>
      <c r="Q98" s="130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</row>
    <row r="99" spans="1:530" s="23" customFormat="1" ht="43.5" customHeight="1" x14ac:dyDescent="0.25">
      <c r="A99" s="43" t="s">
        <v>415</v>
      </c>
      <c r="B99" s="44" t="str">
        <f>'дод 3-1'!A62</f>
        <v>3172</v>
      </c>
      <c r="C99" s="44">
        <f>'дод 3-1'!B62</f>
        <v>1010</v>
      </c>
      <c r="D99" s="24" t="str">
        <f>'дод 3-1'!C62</f>
        <v>Встановлення телефонів особам з інвалідністю I і II груп</v>
      </c>
      <c r="E99" s="71">
        <f t="shared" si="34"/>
        <v>90</v>
      </c>
      <c r="F99" s="71">
        <v>90</v>
      </c>
      <c r="G99" s="71"/>
      <c r="H99" s="71"/>
      <c r="I99" s="71"/>
      <c r="J99" s="71">
        <f t="shared" si="36"/>
        <v>0</v>
      </c>
      <c r="K99" s="71"/>
      <c r="L99" s="71"/>
      <c r="M99" s="71"/>
      <c r="N99" s="71"/>
      <c r="O99" s="71"/>
      <c r="P99" s="71">
        <f t="shared" si="35"/>
        <v>90</v>
      </c>
      <c r="Q99" s="130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</row>
    <row r="100" spans="1:530" s="23" customFormat="1" ht="77.25" customHeight="1" x14ac:dyDescent="0.25">
      <c r="A100" s="43" t="s">
        <v>223</v>
      </c>
      <c r="B100" s="44" t="str">
        <f>'дод 3-1'!A63</f>
        <v>3180</v>
      </c>
      <c r="C100" s="44" t="str">
        <f>'дод 3-1'!B63</f>
        <v>1060</v>
      </c>
      <c r="D100" s="24" t="str">
        <f>'дод 3-1'!C63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00" s="71">
        <f t="shared" si="34"/>
        <v>2075000</v>
      </c>
      <c r="F100" s="71">
        <f>1876300+198700</f>
        <v>2075000</v>
      </c>
      <c r="G100" s="71"/>
      <c r="H100" s="71"/>
      <c r="I100" s="71"/>
      <c r="J100" s="71">
        <f t="shared" si="36"/>
        <v>0</v>
      </c>
      <c r="K100" s="71"/>
      <c r="L100" s="71"/>
      <c r="M100" s="71"/>
      <c r="N100" s="71"/>
      <c r="O100" s="71"/>
      <c r="P100" s="71">
        <f t="shared" si="35"/>
        <v>2075000</v>
      </c>
      <c r="Q100" s="130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</row>
    <row r="101" spans="1:530" s="23" customFormat="1" ht="24" customHeight="1" x14ac:dyDescent="0.25">
      <c r="A101" s="43" t="s">
        <v>360</v>
      </c>
      <c r="B101" s="44" t="str">
        <f>'дод 3-1'!A64</f>
        <v>3191</v>
      </c>
      <c r="C101" s="44" t="str">
        <f>'дод 3-1'!B64</f>
        <v>1030</v>
      </c>
      <c r="D101" s="24" t="str">
        <f>'дод 3-1'!C64</f>
        <v>Інші видатки на соціальний захист ветеранів війни та праці</v>
      </c>
      <c r="E101" s="71">
        <f t="shared" si="34"/>
        <v>2178000</v>
      </c>
      <c r="F101" s="71">
        <v>2178000</v>
      </c>
      <c r="G101" s="71"/>
      <c r="H101" s="71"/>
      <c r="I101" s="71"/>
      <c r="J101" s="71">
        <f t="shared" si="36"/>
        <v>0</v>
      </c>
      <c r="K101" s="71"/>
      <c r="L101" s="71"/>
      <c r="M101" s="71"/>
      <c r="N101" s="71"/>
      <c r="O101" s="71"/>
      <c r="P101" s="71">
        <f t="shared" si="35"/>
        <v>2178000</v>
      </c>
      <c r="Q101" s="130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</row>
    <row r="102" spans="1:530" s="23" customFormat="1" ht="45" x14ac:dyDescent="0.25">
      <c r="A102" s="43" t="s">
        <v>361</v>
      </c>
      <c r="B102" s="44" t="str">
        <f>'дод 3-1'!A65</f>
        <v>3192</v>
      </c>
      <c r="C102" s="44" t="str">
        <f>'дод 3-1'!B65</f>
        <v>1030</v>
      </c>
      <c r="D102" s="24" t="str">
        <f>'дод 3-1'!C65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02" s="71">
        <f t="shared" si="34"/>
        <v>1892237</v>
      </c>
      <c r="F102" s="71">
        <f>1478776+413461</f>
        <v>1892237</v>
      </c>
      <c r="G102" s="71"/>
      <c r="H102" s="71"/>
      <c r="I102" s="71"/>
      <c r="J102" s="71">
        <f t="shared" si="36"/>
        <v>0</v>
      </c>
      <c r="K102" s="71"/>
      <c r="L102" s="71"/>
      <c r="M102" s="71"/>
      <c r="N102" s="71"/>
      <c r="O102" s="71"/>
      <c r="P102" s="71">
        <f t="shared" si="35"/>
        <v>1892237</v>
      </c>
      <c r="Q102" s="130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</row>
    <row r="103" spans="1:530" s="23" customFormat="1" ht="41.25" customHeight="1" x14ac:dyDescent="0.25">
      <c r="A103" s="43" t="s">
        <v>224</v>
      </c>
      <c r="B103" s="44" t="str">
        <f>'дод 3-1'!A66</f>
        <v>3200</v>
      </c>
      <c r="C103" s="44" t="str">
        <f>'дод 3-1'!B66</f>
        <v>1090</v>
      </c>
      <c r="D103" s="24" t="str">
        <f>'дод 3-1'!C66</f>
        <v>Забезпечення обробки інформації з нарахування та виплати допомог і компенсацій</v>
      </c>
      <c r="E103" s="71">
        <f t="shared" si="34"/>
        <v>86500</v>
      </c>
      <c r="F103" s="71">
        <v>86500</v>
      </c>
      <c r="G103" s="71"/>
      <c r="H103" s="71"/>
      <c r="I103" s="71"/>
      <c r="J103" s="71">
        <f t="shared" si="36"/>
        <v>0</v>
      </c>
      <c r="K103" s="71"/>
      <c r="L103" s="71"/>
      <c r="M103" s="71"/>
      <c r="N103" s="71"/>
      <c r="O103" s="71"/>
      <c r="P103" s="71">
        <f t="shared" si="35"/>
        <v>86500</v>
      </c>
      <c r="Q103" s="130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</row>
    <row r="104" spans="1:530" s="23" customFormat="1" ht="19.5" customHeight="1" x14ac:dyDescent="0.25">
      <c r="A104" s="52" t="s">
        <v>362</v>
      </c>
      <c r="B104" s="45" t="str">
        <f>'дод 3-1'!A67</f>
        <v>3210</v>
      </c>
      <c r="C104" s="45" t="str">
        <f>'дод 3-1'!B67</f>
        <v>1050</v>
      </c>
      <c r="D104" s="22" t="str">
        <f>'дод 3-1'!C67</f>
        <v>Організація та проведення громадських робіт</v>
      </c>
      <c r="E104" s="71">
        <f t="shared" si="34"/>
        <v>200000</v>
      </c>
      <c r="F104" s="71">
        <v>200000</v>
      </c>
      <c r="G104" s="71">
        <v>163935</v>
      </c>
      <c r="H104" s="71"/>
      <c r="I104" s="71"/>
      <c r="J104" s="71">
        <f t="shared" si="36"/>
        <v>0</v>
      </c>
      <c r="K104" s="71"/>
      <c r="L104" s="71"/>
      <c r="M104" s="71"/>
      <c r="N104" s="71"/>
      <c r="O104" s="71"/>
      <c r="P104" s="71">
        <f t="shared" si="35"/>
        <v>200000</v>
      </c>
      <c r="Q104" s="130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</row>
    <row r="105" spans="1:530" s="23" customFormat="1" ht="31.5" customHeight="1" x14ac:dyDescent="0.25">
      <c r="A105" s="43" t="s">
        <v>359</v>
      </c>
      <c r="B105" s="44" t="str">
        <f>'дод 3-1'!A68</f>
        <v>3241</v>
      </c>
      <c r="C105" s="44" t="str">
        <f>'дод 3-1'!B68</f>
        <v>1090</v>
      </c>
      <c r="D105" s="24" t="str">
        <f>'дод 3-1'!C68</f>
        <v>Забезпечення діяльності інших закладів у сфері соціального захисту і соціального забезпечення</v>
      </c>
      <c r="E105" s="71">
        <f t="shared" si="34"/>
        <v>5445830</v>
      </c>
      <c r="F105" s="71">
        <v>5445830</v>
      </c>
      <c r="G105" s="71">
        <v>3343340</v>
      </c>
      <c r="H105" s="71">
        <v>543630</v>
      </c>
      <c r="I105" s="71"/>
      <c r="J105" s="71">
        <f t="shared" ref="J105:J107" si="37">L105+O105</f>
        <v>700000</v>
      </c>
      <c r="K105" s="71">
        <f>200000+500000</f>
        <v>700000</v>
      </c>
      <c r="L105" s="71"/>
      <c r="M105" s="71"/>
      <c r="N105" s="71"/>
      <c r="O105" s="71">
        <f>200000+500000</f>
        <v>700000</v>
      </c>
      <c r="P105" s="71">
        <f t="shared" si="35"/>
        <v>6145830</v>
      </c>
      <c r="Q105" s="130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</row>
    <row r="106" spans="1:530" s="23" customFormat="1" ht="33" customHeight="1" x14ac:dyDescent="0.25">
      <c r="A106" s="43" t="s">
        <v>416</v>
      </c>
      <c r="B106" s="44" t="str">
        <f>'дод 3-1'!A69</f>
        <v>3242</v>
      </c>
      <c r="C106" s="44" t="str">
        <f>'дод 3-1'!B69</f>
        <v>1090</v>
      </c>
      <c r="D106" s="24" t="str">
        <f>'дод 3-1'!C69</f>
        <v>Інші заходи у сфері соціального захисту і соціального забезпечення</v>
      </c>
      <c r="E106" s="71">
        <f t="shared" si="34"/>
        <v>30489076</v>
      </c>
      <c r="F106" s="71">
        <f>29645360-11+360800-350000+439024+43903+350000</f>
        <v>30489076</v>
      </c>
      <c r="G106" s="71"/>
      <c r="H106" s="71"/>
      <c r="I106" s="71"/>
      <c r="J106" s="71">
        <f t="shared" si="37"/>
        <v>35640</v>
      </c>
      <c r="K106" s="71">
        <v>35640</v>
      </c>
      <c r="L106" s="71"/>
      <c r="M106" s="71"/>
      <c r="N106" s="71"/>
      <c r="O106" s="71">
        <v>35640</v>
      </c>
      <c r="P106" s="71">
        <f t="shared" si="35"/>
        <v>30524716</v>
      </c>
      <c r="Q106" s="130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</row>
    <row r="107" spans="1:530" s="23" customFormat="1" ht="31.5" customHeight="1" x14ac:dyDescent="0.25">
      <c r="A107" s="43" t="s">
        <v>307</v>
      </c>
      <c r="B107" s="44" t="str">
        <f>'дод 3-1'!A134</f>
        <v>9770</v>
      </c>
      <c r="C107" s="44" t="str">
        <f>'дод 3-1'!B134</f>
        <v>0180</v>
      </c>
      <c r="D107" s="24" t="str">
        <f>'дод 3-1'!C134</f>
        <v>Інші субвенції з місцевого бюджету</v>
      </c>
      <c r="E107" s="71">
        <f t="shared" si="34"/>
        <v>1070000</v>
      </c>
      <c r="F107" s="71">
        <v>1070000</v>
      </c>
      <c r="G107" s="71"/>
      <c r="H107" s="71"/>
      <c r="I107" s="71"/>
      <c r="J107" s="71">
        <f t="shared" si="37"/>
        <v>0</v>
      </c>
      <c r="K107" s="71"/>
      <c r="L107" s="71"/>
      <c r="M107" s="71"/>
      <c r="N107" s="71"/>
      <c r="O107" s="71"/>
      <c r="P107" s="71">
        <f t="shared" si="35"/>
        <v>1070000</v>
      </c>
      <c r="Q107" s="130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  <c r="TJ107" s="26"/>
    </row>
    <row r="108" spans="1:530" s="31" customFormat="1" ht="28.5" customHeight="1" x14ac:dyDescent="0.2">
      <c r="A108" s="91" t="s">
        <v>225</v>
      </c>
      <c r="B108" s="74"/>
      <c r="C108" s="74"/>
      <c r="D108" s="30" t="s">
        <v>428</v>
      </c>
      <c r="E108" s="68">
        <f>E109</f>
        <v>5088200</v>
      </c>
      <c r="F108" s="68">
        <f t="shared" ref="F108:J108" si="38">F109</f>
        <v>5088200</v>
      </c>
      <c r="G108" s="68">
        <f t="shared" si="38"/>
        <v>3942800</v>
      </c>
      <c r="H108" s="68">
        <f t="shared" si="38"/>
        <v>57500</v>
      </c>
      <c r="I108" s="68">
        <f t="shared" si="38"/>
        <v>0</v>
      </c>
      <c r="J108" s="68">
        <f t="shared" si="38"/>
        <v>20000</v>
      </c>
      <c r="K108" s="68">
        <f t="shared" ref="K108" si="39">K109</f>
        <v>20000</v>
      </c>
      <c r="L108" s="68">
        <f t="shared" ref="L108" si="40">L109</f>
        <v>0</v>
      </c>
      <c r="M108" s="68">
        <f t="shared" ref="M108" si="41">M109</f>
        <v>0</v>
      </c>
      <c r="N108" s="68">
        <f t="shared" ref="N108" si="42">N109</f>
        <v>0</v>
      </c>
      <c r="O108" s="68">
        <f t="shared" ref="O108:P108" si="43">O109</f>
        <v>20000</v>
      </c>
      <c r="P108" s="68">
        <f t="shared" si="43"/>
        <v>5108200</v>
      </c>
      <c r="Q108" s="12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  <c r="MI108" s="38"/>
      <c r="MJ108" s="38"/>
      <c r="MK108" s="38"/>
      <c r="ML108" s="38"/>
      <c r="MM108" s="38"/>
      <c r="MN108" s="38"/>
      <c r="MO108" s="38"/>
      <c r="MP108" s="38"/>
      <c r="MQ108" s="38"/>
      <c r="MR108" s="38"/>
      <c r="MS108" s="38"/>
      <c r="MT108" s="38"/>
      <c r="MU108" s="38"/>
      <c r="MV108" s="38"/>
      <c r="MW108" s="38"/>
      <c r="MX108" s="38"/>
      <c r="MY108" s="38"/>
      <c r="MZ108" s="38"/>
      <c r="NA108" s="38"/>
      <c r="NB108" s="38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38"/>
      <c r="OI108" s="38"/>
      <c r="OJ108" s="38"/>
      <c r="OK108" s="38"/>
      <c r="OL108" s="38"/>
      <c r="OM108" s="38"/>
      <c r="ON108" s="38"/>
      <c r="OO108" s="38"/>
      <c r="OP108" s="38"/>
      <c r="OQ108" s="38"/>
      <c r="OR108" s="38"/>
      <c r="OS108" s="38"/>
      <c r="OT108" s="38"/>
      <c r="OU108" s="38"/>
      <c r="OV108" s="38"/>
      <c r="OW108" s="38"/>
      <c r="OX108" s="38"/>
      <c r="OY108" s="38"/>
      <c r="OZ108" s="38"/>
      <c r="PA108" s="38"/>
      <c r="PB108" s="38"/>
      <c r="PC108" s="38"/>
      <c r="PD108" s="38"/>
      <c r="PE108" s="38"/>
      <c r="PF108" s="38"/>
      <c r="PG108" s="38"/>
      <c r="PH108" s="38"/>
      <c r="PI108" s="38"/>
      <c r="PJ108" s="38"/>
      <c r="PK108" s="38"/>
      <c r="PL108" s="38"/>
      <c r="PM108" s="38"/>
      <c r="PN108" s="38"/>
      <c r="PO108" s="38"/>
      <c r="PP108" s="38"/>
      <c r="PQ108" s="38"/>
      <c r="PR108" s="38"/>
      <c r="PS108" s="38"/>
      <c r="PT108" s="38"/>
      <c r="PU108" s="38"/>
      <c r="PV108" s="38"/>
      <c r="PW108" s="38"/>
      <c r="PX108" s="38"/>
      <c r="PY108" s="38"/>
      <c r="PZ108" s="38"/>
      <c r="QA108" s="38"/>
      <c r="QB108" s="38"/>
      <c r="QC108" s="38"/>
      <c r="QD108" s="38"/>
      <c r="QE108" s="38"/>
      <c r="QF108" s="38"/>
      <c r="QG108" s="38"/>
      <c r="QH108" s="38"/>
      <c r="QI108" s="38"/>
      <c r="QJ108" s="38"/>
      <c r="QK108" s="38"/>
      <c r="QL108" s="38"/>
      <c r="QM108" s="38"/>
      <c r="QN108" s="38"/>
      <c r="QO108" s="38"/>
      <c r="QP108" s="38"/>
      <c r="QQ108" s="38"/>
      <c r="QR108" s="38"/>
      <c r="QS108" s="38"/>
      <c r="QT108" s="38"/>
      <c r="QU108" s="38"/>
      <c r="QV108" s="38"/>
      <c r="QW108" s="38"/>
      <c r="QX108" s="38"/>
      <c r="QY108" s="38"/>
      <c r="QZ108" s="38"/>
      <c r="RA108" s="38"/>
      <c r="RB108" s="38"/>
      <c r="RC108" s="38"/>
      <c r="RD108" s="38"/>
      <c r="RE108" s="38"/>
      <c r="RF108" s="38"/>
      <c r="RG108" s="38"/>
      <c r="RH108" s="38"/>
      <c r="RI108" s="38"/>
      <c r="RJ108" s="38"/>
      <c r="RK108" s="38"/>
      <c r="RL108" s="38"/>
      <c r="RM108" s="38"/>
      <c r="RN108" s="38"/>
      <c r="RO108" s="38"/>
      <c r="RP108" s="38"/>
      <c r="RQ108" s="38"/>
      <c r="RR108" s="38"/>
      <c r="RS108" s="38"/>
      <c r="RT108" s="38"/>
      <c r="RU108" s="38"/>
      <c r="RV108" s="38"/>
      <c r="RW108" s="38"/>
      <c r="RX108" s="38"/>
      <c r="RY108" s="38"/>
      <c r="RZ108" s="38"/>
      <c r="SA108" s="38"/>
      <c r="SB108" s="38"/>
      <c r="SC108" s="38"/>
      <c r="SD108" s="38"/>
      <c r="SE108" s="38"/>
      <c r="SF108" s="38"/>
      <c r="SG108" s="38"/>
      <c r="SH108" s="38"/>
      <c r="SI108" s="38"/>
      <c r="SJ108" s="38"/>
      <c r="SK108" s="38"/>
      <c r="SL108" s="38"/>
      <c r="SM108" s="38"/>
      <c r="SN108" s="38"/>
      <c r="SO108" s="38"/>
      <c r="SP108" s="38"/>
      <c r="SQ108" s="38"/>
      <c r="SR108" s="38"/>
      <c r="SS108" s="38"/>
      <c r="ST108" s="38"/>
      <c r="SU108" s="38"/>
      <c r="SV108" s="38"/>
      <c r="SW108" s="38"/>
      <c r="SX108" s="38"/>
      <c r="SY108" s="38"/>
      <c r="SZ108" s="38"/>
      <c r="TA108" s="38"/>
      <c r="TB108" s="38"/>
      <c r="TC108" s="38"/>
      <c r="TD108" s="38"/>
      <c r="TE108" s="38"/>
      <c r="TF108" s="38"/>
      <c r="TG108" s="38"/>
      <c r="TH108" s="38"/>
      <c r="TI108" s="38"/>
      <c r="TJ108" s="38"/>
    </row>
    <row r="109" spans="1:530" s="40" customFormat="1" ht="29.25" customHeight="1" x14ac:dyDescent="0.25">
      <c r="A109" s="92" t="s">
        <v>226</v>
      </c>
      <c r="B109" s="75"/>
      <c r="C109" s="75"/>
      <c r="D109" s="33" t="s">
        <v>428</v>
      </c>
      <c r="E109" s="70">
        <f>E110+E111+E112</f>
        <v>5088200</v>
      </c>
      <c r="F109" s="70">
        <f t="shared" ref="F109:P109" si="44">F110+F111+F112</f>
        <v>5088200</v>
      </c>
      <c r="G109" s="70">
        <f t="shared" si="44"/>
        <v>3942800</v>
      </c>
      <c r="H109" s="70">
        <f t="shared" si="44"/>
        <v>57500</v>
      </c>
      <c r="I109" s="70">
        <f t="shared" si="44"/>
        <v>0</v>
      </c>
      <c r="J109" s="70">
        <f t="shared" si="44"/>
        <v>20000</v>
      </c>
      <c r="K109" s="70">
        <f t="shared" si="44"/>
        <v>20000</v>
      </c>
      <c r="L109" s="70">
        <f t="shared" si="44"/>
        <v>0</v>
      </c>
      <c r="M109" s="70">
        <f t="shared" si="44"/>
        <v>0</v>
      </c>
      <c r="N109" s="70">
        <f t="shared" si="44"/>
        <v>0</v>
      </c>
      <c r="O109" s="70">
        <f t="shared" si="44"/>
        <v>20000</v>
      </c>
      <c r="P109" s="70">
        <f t="shared" si="44"/>
        <v>5108200</v>
      </c>
      <c r="Q109" s="128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</row>
    <row r="110" spans="1:530" s="23" customFormat="1" ht="42.75" customHeight="1" x14ac:dyDescent="0.25">
      <c r="A110" s="43" t="s">
        <v>227</v>
      </c>
      <c r="B110" s="44" t="str">
        <f>'дод 3-1'!A14</f>
        <v>0160</v>
      </c>
      <c r="C110" s="44" t="str">
        <f>'дод 3-1'!B14</f>
        <v>0111</v>
      </c>
      <c r="D110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10" s="71">
        <f>F110+I110</f>
        <v>4997700</v>
      </c>
      <c r="F110" s="71">
        <f>5240600+10300-253200</f>
        <v>4997700</v>
      </c>
      <c r="G110" s="71">
        <f>4150400-207600</f>
        <v>3942800</v>
      </c>
      <c r="H110" s="71">
        <v>57500</v>
      </c>
      <c r="I110" s="71"/>
      <c r="J110" s="71">
        <f>L110+O110</f>
        <v>0</v>
      </c>
      <c r="K110" s="71"/>
      <c r="L110" s="71"/>
      <c r="M110" s="71"/>
      <c r="N110" s="71"/>
      <c r="O110" s="71"/>
      <c r="P110" s="71">
        <f>E110+J110</f>
        <v>4997700</v>
      </c>
      <c r="Q110" s="130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</row>
    <row r="111" spans="1:530" s="23" customFormat="1" ht="60" x14ac:dyDescent="0.25">
      <c r="A111" s="43" t="s">
        <v>394</v>
      </c>
      <c r="B111" s="44">
        <v>3111</v>
      </c>
      <c r="C111" s="44">
        <v>1040</v>
      </c>
      <c r="D111" s="22" t="str">
        <f>'дод 3-1'!C55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11" s="71">
        <f>F111+I111</f>
        <v>0</v>
      </c>
      <c r="F111" s="71"/>
      <c r="G111" s="71"/>
      <c r="H111" s="71"/>
      <c r="I111" s="71"/>
      <c r="J111" s="71">
        <f t="shared" ref="J111:J112" si="45">L111+O111</f>
        <v>20000</v>
      </c>
      <c r="K111" s="71">
        <v>20000</v>
      </c>
      <c r="L111" s="71"/>
      <c r="M111" s="71"/>
      <c r="N111" s="71"/>
      <c r="O111" s="71">
        <v>20000</v>
      </c>
      <c r="P111" s="71">
        <f>E111+J111</f>
        <v>20000</v>
      </c>
      <c r="Q111" s="130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  <c r="TJ111" s="26"/>
    </row>
    <row r="112" spans="1:530" s="23" customFormat="1" ht="36.75" customHeight="1" x14ac:dyDescent="0.25">
      <c r="A112" s="43" t="s">
        <v>228</v>
      </c>
      <c r="B112" s="44" t="str">
        <f>'дод 3-1'!A56</f>
        <v>3112</v>
      </c>
      <c r="C112" s="44" t="str">
        <f>'дод 3-1'!B56</f>
        <v>1040</v>
      </c>
      <c r="D112" s="24" t="str">
        <f>'дод 3-1'!C56</f>
        <v>Заходи державної політики з питань дітей та їх соціального захисту</v>
      </c>
      <c r="E112" s="71">
        <f>F112+I112</f>
        <v>90500</v>
      </c>
      <c r="F112" s="71">
        <v>90500</v>
      </c>
      <c r="G112" s="71"/>
      <c r="H112" s="71"/>
      <c r="I112" s="71"/>
      <c r="J112" s="71">
        <f t="shared" si="45"/>
        <v>0</v>
      </c>
      <c r="K112" s="71"/>
      <c r="L112" s="71"/>
      <c r="M112" s="71"/>
      <c r="N112" s="71"/>
      <c r="O112" s="71"/>
      <c r="P112" s="71">
        <f>E112+J112</f>
        <v>90500</v>
      </c>
      <c r="Q112" s="130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  <c r="TJ112" s="26"/>
    </row>
    <row r="113" spans="1:530" s="31" customFormat="1" ht="22.5" customHeight="1" x14ac:dyDescent="0.2">
      <c r="A113" s="78" t="s">
        <v>35</v>
      </c>
      <c r="B113" s="76"/>
      <c r="C113" s="76"/>
      <c r="D113" s="30" t="s">
        <v>396</v>
      </c>
      <c r="E113" s="68">
        <f>E114</f>
        <v>64473880</v>
      </c>
      <c r="F113" s="68">
        <f t="shared" ref="F113:J113" si="46">F114</f>
        <v>64473880</v>
      </c>
      <c r="G113" s="68">
        <f t="shared" si="46"/>
        <v>47809400</v>
      </c>
      <c r="H113" s="68">
        <f t="shared" si="46"/>
        <v>2201760</v>
      </c>
      <c r="I113" s="68">
        <f t="shared" si="46"/>
        <v>0</v>
      </c>
      <c r="J113" s="68">
        <f t="shared" si="46"/>
        <v>3814640</v>
      </c>
      <c r="K113" s="68">
        <f t="shared" ref="K113" si="47">K114</f>
        <v>996000</v>
      </c>
      <c r="L113" s="68">
        <f t="shared" ref="L113" si="48">L114</f>
        <v>2813920</v>
      </c>
      <c r="M113" s="68">
        <f t="shared" ref="M113" si="49">M114</f>
        <v>2279416</v>
      </c>
      <c r="N113" s="68">
        <f t="shared" ref="N113" si="50">N114</f>
        <v>3300</v>
      </c>
      <c r="O113" s="68">
        <f t="shared" ref="O113:P113" si="51">O114</f>
        <v>1000720</v>
      </c>
      <c r="P113" s="68">
        <f t="shared" si="51"/>
        <v>68288520</v>
      </c>
      <c r="Q113" s="13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  <c r="ME113" s="38"/>
      <c r="MF113" s="38"/>
      <c r="MG113" s="38"/>
      <c r="MH113" s="38"/>
      <c r="MI113" s="38"/>
      <c r="MJ113" s="38"/>
      <c r="MK113" s="38"/>
      <c r="ML113" s="38"/>
      <c r="MM113" s="38"/>
      <c r="MN113" s="38"/>
      <c r="MO113" s="38"/>
      <c r="MP113" s="38"/>
      <c r="MQ113" s="38"/>
      <c r="MR113" s="38"/>
      <c r="MS113" s="38"/>
      <c r="MT113" s="38"/>
      <c r="MU113" s="38"/>
      <c r="MV113" s="38"/>
      <c r="MW113" s="38"/>
      <c r="MX113" s="38"/>
      <c r="MY113" s="38"/>
      <c r="MZ113" s="38"/>
      <c r="NA113" s="38"/>
      <c r="NB113" s="38"/>
      <c r="NC113" s="38"/>
      <c r="ND113" s="38"/>
      <c r="NE113" s="38"/>
      <c r="NF113" s="38"/>
      <c r="NG113" s="38"/>
      <c r="NH113" s="3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"/>
      <c r="OC113" s="38"/>
      <c r="OD113" s="38"/>
      <c r="OE113" s="38"/>
      <c r="OF113" s="38"/>
      <c r="OG113" s="38"/>
      <c r="OH113" s="38"/>
      <c r="OI113" s="38"/>
      <c r="OJ113" s="38"/>
      <c r="OK113" s="38"/>
      <c r="OL113" s="38"/>
      <c r="OM113" s="38"/>
      <c r="ON113" s="38"/>
      <c r="OO113" s="38"/>
      <c r="OP113" s="38"/>
      <c r="OQ113" s="38"/>
      <c r="OR113" s="38"/>
      <c r="OS113" s="38"/>
      <c r="OT113" s="38"/>
      <c r="OU113" s="38"/>
      <c r="OV113" s="38"/>
      <c r="OW113" s="38"/>
      <c r="OX113" s="38"/>
      <c r="OY113" s="38"/>
      <c r="OZ113" s="38"/>
      <c r="PA113" s="38"/>
      <c r="PB113" s="38"/>
      <c r="PC113" s="38"/>
      <c r="PD113" s="38"/>
      <c r="PE113" s="38"/>
      <c r="PF113" s="38"/>
      <c r="PG113" s="38"/>
      <c r="PH113" s="38"/>
      <c r="PI113" s="38"/>
      <c r="PJ113" s="38"/>
      <c r="PK113" s="38"/>
      <c r="PL113" s="38"/>
      <c r="PM113" s="38"/>
      <c r="PN113" s="38"/>
      <c r="PO113" s="38"/>
      <c r="PP113" s="38"/>
      <c r="PQ113" s="38"/>
      <c r="PR113" s="38"/>
      <c r="PS113" s="38"/>
      <c r="PT113" s="38"/>
      <c r="PU113" s="38"/>
      <c r="PV113" s="38"/>
      <c r="PW113" s="38"/>
      <c r="PX113" s="38"/>
      <c r="PY113" s="38"/>
      <c r="PZ113" s="38"/>
      <c r="QA113" s="38"/>
      <c r="QB113" s="38"/>
      <c r="QC113" s="38"/>
      <c r="QD113" s="38"/>
      <c r="QE113" s="38"/>
      <c r="QF113" s="38"/>
      <c r="QG113" s="38"/>
      <c r="QH113" s="38"/>
      <c r="QI113" s="38"/>
      <c r="QJ113" s="38"/>
      <c r="QK113" s="38"/>
      <c r="QL113" s="38"/>
      <c r="QM113" s="38"/>
      <c r="QN113" s="38"/>
      <c r="QO113" s="38"/>
      <c r="QP113" s="38"/>
      <c r="QQ113" s="38"/>
      <c r="QR113" s="38"/>
      <c r="QS113" s="38"/>
      <c r="QT113" s="38"/>
      <c r="QU113" s="38"/>
      <c r="QV113" s="38"/>
      <c r="QW113" s="38"/>
      <c r="QX113" s="38"/>
      <c r="QY113" s="38"/>
      <c r="QZ113" s="38"/>
      <c r="RA113" s="38"/>
      <c r="RB113" s="38"/>
      <c r="RC113" s="38"/>
      <c r="RD113" s="38"/>
      <c r="RE113" s="38"/>
      <c r="RF113" s="38"/>
      <c r="RG113" s="38"/>
      <c r="RH113" s="38"/>
      <c r="RI113" s="38"/>
      <c r="RJ113" s="38"/>
      <c r="RK113" s="38"/>
      <c r="RL113" s="38"/>
      <c r="RM113" s="38"/>
      <c r="RN113" s="38"/>
      <c r="RO113" s="38"/>
      <c r="RP113" s="38"/>
      <c r="RQ113" s="38"/>
      <c r="RR113" s="38"/>
      <c r="RS113" s="38"/>
      <c r="RT113" s="38"/>
      <c r="RU113" s="38"/>
      <c r="RV113" s="38"/>
      <c r="RW113" s="38"/>
      <c r="RX113" s="38"/>
      <c r="RY113" s="38"/>
      <c r="RZ113" s="38"/>
      <c r="SA113" s="38"/>
      <c r="SB113" s="38"/>
      <c r="SC113" s="38"/>
      <c r="SD113" s="38"/>
      <c r="SE113" s="38"/>
      <c r="SF113" s="38"/>
      <c r="SG113" s="38"/>
      <c r="SH113" s="38"/>
      <c r="SI113" s="38"/>
      <c r="SJ113" s="38"/>
      <c r="SK113" s="38"/>
      <c r="SL113" s="38"/>
      <c r="SM113" s="38"/>
      <c r="SN113" s="38"/>
      <c r="SO113" s="38"/>
      <c r="SP113" s="38"/>
      <c r="SQ113" s="38"/>
      <c r="SR113" s="38"/>
      <c r="SS113" s="38"/>
      <c r="ST113" s="38"/>
      <c r="SU113" s="38"/>
      <c r="SV113" s="38"/>
      <c r="SW113" s="38"/>
      <c r="SX113" s="38"/>
      <c r="SY113" s="38"/>
      <c r="SZ113" s="38"/>
      <c r="TA113" s="38"/>
      <c r="TB113" s="38"/>
      <c r="TC113" s="38"/>
      <c r="TD113" s="38"/>
      <c r="TE113" s="38"/>
      <c r="TF113" s="38"/>
      <c r="TG113" s="38"/>
      <c r="TH113" s="38"/>
      <c r="TI113" s="38"/>
      <c r="TJ113" s="38"/>
    </row>
    <row r="114" spans="1:530" s="40" customFormat="1" ht="21.75" customHeight="1" x14ac:dyDescent="0.25">
      <c r="A114" s="79" t="s">
        <v>229</v>
      </c>
      <c r="B114" s="77"/>
      <c r="C114" s="77"/>
      <c r="D114" s="33" t="s">
        <v>396</v>
      </c>
      <c r="E114" s="70">
        <f>E115+E116+E117+E119+E120++E121+E118+E122</f>
        <v>64473880</v>
      </c>
      <c r="F114" s="70">
        <f t="shared" ref="F114:P114" si="52">F115+F116+F117+F119+F120++F121+F118+F122</f>
        <v>64473880</v>
      </c>
      <c r="G114" s="70">
        <f t="shared" si="52"/>
        <v>47809400</v>
      </c>
      <c r="H114" s="70">
        <f t="shared" si="52"/>
        <v>2201760</v>
      </c>
      <c r="I114" s="70">
        <f t="shared" si="52"/>
        <v>0</v>
      </c>
      <c r="J114" s="70">
        <f t="shared" si="52"/>
        <v>3814640</v>
      </c>
      <c r="K114" s="70">
        <f t="shared" si="52"/>
        <v>996000</v>
      </c>
      <c r="L114" s="70">
        <f t="shared" si="52"/>
        <v>2813920</v>
      </c>
      <c r="M114" s="70">
        <f t="shared" si="52"/>
        <v>2279416</v>
      </c>
      <c r="N114" s="70">
        <f t="shared" si="52"/>
        <v>3300</v>
      </c>
      <c r="O114" s="70">
        <f t="shared" si="52"/>
        <v>1000720</v>
      </c>
      <c r="P114" s="70">
        <f t="shared" si="52"/>
        <v>68288520</v>
      </c>
      <c r="Q114" s="130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  <c r="TJ114" s="39"/>
    </row>
    <row r="115" spans="1:530" s="23" customFormat="1" ht="48" customHeight="1" x14ac:dyDescent="0.25">
      <c r="A115" s="43" t="s">
        <v>169</v>
      </c>
      <c r="B115" s="44" t="str">
        <f>'дод 3-1'!A14</f>
        <v>0160</v>
      </c>
      <c r="C115" s="44" t="str">
        <f>'дод 3-1'!B14</f>
        <v>0111</v>
      </c>
      <c r="D115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15" s="71">
        <f t="shared" ref="E115:E122" si="53">F115+I115</f>
        <v>1776700</v>
      </c>
      <c r="F115" s="71">
        <f>1862800+4400-90500</f>
        <v>1776700</v>
      </c>
      <c r="G115" s="71">
        <f>1461200-74200</f>
        <v>1387000</v>
      </c>
      <c r="H115" s="71">
        <v>17700</v>
      </c>
      <c r="I115" s="71"/>
      <c r="J115" s="71">
        <f>L115+O115</f>
        <v>0</v>
      </c>
      <c r="K115" s="71"/>
      <c r="L115" s="71"/>
      <c r="M115" s="71"/>
      <c r="N115" s="71"/>
      <c r="O115" s="71"/>
      <c r="P115" s="71">
        <f t="shared" ref="P115:P122" si="54">E115+J115</f>
        <v>1776700</v>
      </c>
      <c r="Q115" s="130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  <c r="TJ115" s="26"/>
    </row>
    <row r="116" spans="1:530" s="23" customFormat="1" ht="48.75" customHeight="1" x14ac:dyDescent="0.25">
      <c r="A116" s="43" t="s">
        <v>260</v>
      </c>
      <c r="B116" s="44" t="str">
        <f>'дод 3-1'!A25</f>
        <v>1100</v>
      </c>
      <c r="C116" s="44" t="str">
        <f>'дод 3-1'!B25</f>
        <v>0960</v>
      </c>
      <c r="D116" s="24" t="str">
        <f>'дод 3-1'!C25</f>
        <v>Надання спеціальної освіти мистецькими школами</v>
      </c>
      <c r="E116" s="71">
        <f t="shared" si="53"/>
        <v>38963600</v>
      </c>
      <c r="F116" s="71">
        <v>38963600</v>
      </c>
      <c r="G116" s="71">
        <v>30830000</v>
      </c>
      <c r="H116" s="71">
        <v>793600</v>
      </c>
      <c r="I116" s="71"/>
      <c r="J116" s="71">
        <f t="shared" ref="J116:J122" si="55">L116+O116</f>
        <v>3279640</v>
      </c>
      <c r="K116" s="71">
        <f>100000+400000</f>
        <v>500000</v>
      </c>
      <c r="L116" s="71">
        <v>2774920</v>
      </c>
      <c r="M116" s="71">
        <v>2267316</v>
      </c>
      <c r="N116" s="71"/>
      <c r="O116" s="71">
        <f>4720+500000</f>
        <v>504720</v>
      </c>
      <c r="P116" s="71">
        <f t="shared" si="54"/>
        <v>42243240</v>
      </c>
      <c r="Q116" s="130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  <c r="TJ116" s="26"/>
    </row>
    <row r="117" spans="1:530" s="23" customFormat="1" ht="21" customHeight="1" x14ac:dyDescent="0.25">
      <c r="A117" s="43" t="s">
        <v>230</v>
      </c>
      <c r="B117" s="44" t="str">
        <f>'дод 3-1'!A71</f>
        <v>4030</v>
      </c>
      <c r="C117" s="44" t="str">
        <f>'дод 3-1'!B71</f>
        <v>0824</v>
      </c>
      <c r="D117" s="24" t="str">
        <f>'дод 3-1'!C71</f>
        <v>Забезпечення діяльності бібліотек</v>
      </c>
      <c r="E117" s="71">
        <f t="shared" si="53"/>
        <v>19118200</v>
      </c>
      <c r="F117" s="71">
        <f>19098200+20000</f>
        <v>19118200</v>
      </c>
      <c r="G117" s="71">
        <v>13804000</v>
      </c>
      <c r="H117" s="71">
        <v>1346200</v>
      </c>
      <c r="I117" s="71"/>
      <c r="J117" s="71">
        <f t="shared" si="55"/>
        <v>130000</v>
      </c>
      <c r="K117" s="71">
        <v>100000</v>
      </c>
      <c r="L117" s="71">
        <v>30000</v>
      </c>
      <c r="M117" s="71">
        <v>12100</v>
      </c>
      <c r="N117" s="71"/>
      <c r="O117" s="71">
        <v>100000</v>
      </c>
      <c r="P117" s="71">
        <f t="shared" si="54"/>
        <v>19248200</v>
      </c>
      <c r="Q117" s="130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  <c r="TJ117" s="26"/>
    </row>
    <row r="118" spans="1:530" s="23" customFormat="1" ht="27.75" customHeight="1" x14ac:dyDescent="0.25">
      <c r="A118" s="43">
        <v>1014060</v>
      </c>
      <c r="B118" s="44" t="str">
        <f>'дод 3-1'!A72</f>
        <v>4060</v>
      </c>
      <c r="C118" s="44" t="str">
        <f>'дод 3-1'!B72</f>
        <v>0828</v>
      </c>
      <c r="D118" s="24" t="str">
        <f>'дод 3-1'!C72</f>
        <v>Забезпечення діяльності палаців i будинків культури, клубів, центрів дозвілля та iнших клубних закладів</v>
      </c>
      <c r="E118" s="71">
        <f t="shared" si="53"/>
        <v>546680</v>
      </c>
      <c r="F118" s="71">
        <v>546680</v>
      </c>
      <c r="G118" s="71">
        <v>424400</v>
      </c>
      <c r="H118" s="71">
        <v>11360</v>
      </c>
      <c r="I118" s="71"/>
      <c r="J118" s="71">
        <f t="shared" si="55"/>
        <v>6000</v>
      </c>
      <c r="K118" s="71"/>
      <c r="L118" s="71">
        <v>6000</v>
      </c>
      <c r="M118" s="71"/>
      <c r="N118" s="71">
        <v>3300</v>
      </c>
      <c r="O118" s="71"/>
      <c r="P118" s="71">
        <f t="shared" si="54"/>
        <v>552680</v>
      </c>
      <c r="Q118" s="130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  <c r="TJ118" s="26"/>
    </row>
    <row r="119" spans="1:530" s="27" customFormat="1" ht="33.75" customHeight="1" x14ac:dyDescent="0.25">
      <c r="A119" s="43">
        <v>1014081</v>
      </c>
      <c r="B119" s="44" t="str">
        <f>'дод 3-1'!A73</f>
        <v>4081</v>
      </c>
      <c r="C119" s="44" t="str">
        <f>'дод 3-1'!B73</f>
        <v>0829</v>
      </c>
      <c r="D119" s="24" t="str">
        <f>'дод 3-1'!C73</f>
        <v>Забезпечення діяльності інших закладів в галузі культури і мистецтва</v>
      </c>
      <c r="E119" s="71">
        <f t="shared" si="53"/>
        <v>1803000</v>
      </c>
      <c r="F119" s="71">
        <v>1803000</v>
      </c>
      <c r="G119" s="71">
        <v>1364000</v>
      </c>
      <c r="H119" s="71">
        <v>32900</v>
      </c>
      <c r="I119" s="71"/>
      <c r="J119" s="71">
        <f t="shared" si="55"/>
        <v>0</v>
      </c>
      <c r="K119" s="71"/>
      <c r="L119" s="71"/>
      <c r="M119" s="71"/>
      <c r="N119" s="71"/>
      <c r="O119" s="71"/>
      <c r="P119" s="71">
        <f t="shared" si="54"/>
        <v>1803000</v>
      </c>
      <c r="Q119" s="130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  <c r="TJ119" s="36"/>
    </row>
    <row r="120" spans="1:530" s="27" customFormat="1" ht="25.5" customHeight="1" x14ac:dyDescent="0.25">
      <c r="A120" s="43">
        <v>1014082</v>
      </c>
      <c r="B120" s="44" t="str">
        <f>'дод 3-1'!A74</f>
        <v>4082</v>
      </c>
      <c r="C120" s="44" t="str">
        <f>'дод 3-1'!B74</f>
        <v>0829</v>
      </c>
      <c r="D120" s="24" t="str">
        <f>'дод 3-1'!C74</f>
        <v>Інші заходи в галузі культури і мистецтва</v>
      </c>
      <c r="E120" s="71">
        <f t="shared" si="53"/>
        <v>2265700</v>
      </c>
      <c r="F120" s="71">
        <f>2265700</f>
        <v>2265700</v>
      </c>
      <c r="G120" s="71"/>
      <c r="H120" s="71"/>
      <c r="I120" s="71"/>
      <c r="J120" s="71">
        <f t="shared" si="55"/>
        <v>0</v>
      </c>
      <c r="K120" s="71"/>
      <c r="L120" s="71"/>
      <c r="M120" s="71"/>
      <c r="N120" s="71"/>
      <c r="O120" s="71"/>
      <c r="P120" s="71">
        <f t="shared" si="54"/>
        <v>2265700</v>
      </c>
      <c r="Q120" s="130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  <c r="JM120" s="36"/>
      <c r="JN120" s="36"/>
      <c r="JO120" s="36"/>
      <c r="JP120" s="36"/>
      <c r="JQ120" s="36"/>
      <c r="JR120" s="36"/>
      <c r="JS120" s="36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  <c r="KD120" s="36"/>
      <c r="KE120" s="36"/>
      <c r="KF120" s="36"/>
      <c r="KG120" s="36"/>
      <c r="KH120" s="36"/>
      <c r="KI120" s="36"/>
      <c r="KJ120" s="36"/>
      <c r="KK120" s="36"/>
      <c r="KL120" s="36"/>
      <c r="KM120" s="36"/>
      <c r="KN120" s="36"/>
      <c r="KO120" s="36"/>
      <c r="KP120" s="36"/>
      <c r="KQ120" s="36"/>
      <c r="KR120" s="36"/>
      <c r="KS120" s="36"/>
      <c r="KT120" s="36"/>
      <c r="KU120" s="36"/>
      <c r="KV120" s="36"/>
      <c r="KW120" s="36"/>
      <c r="KX120" s="36"/>
      <c r="KY120" s="36"/>
      <c r="KZ120" s="36"/>
      <c r="LA120" s="36"/>
      <c r="LB120" s="36"/>
      <c r="LC120" s="36"/>
      <c r="LD120" s="36"/>
      <c r="LE120" s="36"/>
      <c r="LF120" s="36"/>
      <c r="LG120" s="36"/>
      <c r="LH120" s="36"/>
      <c r="LI120" s="36"/>
      <c r="LJ120" s="36"/>
      <c r="LK120" s="36"/>
      <c r="LL120" s="36"/>
      <c r="LM120" s="36"/>
      <c r="LN120" s="36"/>
      <c r="LO120" s="36"/>
      <c r="LP120" s="36"/>
      <c r="LQ120" s="36"/>
      <c r="LR120" s="36"/>
      <c r="LS120" s="36"/>
      <c r="LT120" s="36"/>
      <c r="LU120" s="36"/>
      <c r="LV120" s="36"/>
      <c r="LW120" s="36"/>
      <c r="LX120" s="36"/>
      <c r="LY120" s="36"/>
      <c r="LZ120" s="36"/>
      <c r="MA120" s="36"/>
      <c r="MB120" s="36"/>
      <c r="MC120" s="36"/>
      <c r="MD120" s="36"/>
      <c r="ME120" s="36"/>
      <c r="MF120" s="36"/>
      <c r="MG120" s="36"/>
      <c r="MH120" s="36"/>
      <c r="MI120" s="36"/>
      <c r="MJ120" s="36"/>
      <c r="MK120" s="36"/>
      <c r="ML120" s="36"/>
      <c r="MM120" s="36"/>
      <c r="MN120" s="36"/>
      <c r="MO120" s="36"/>
      <c r="MP120" s="36"/>
      <c r="MQ120" s="36"/>
      <c r="MR120" s="36"/>
      <c r="MS120" s="36"/>
      <c r="MT120" s="36"/>
      <c r="MU120" s="36"/>
      <c r="MV120" s="36"/>
      <c r="MW120" s="36"/>
      <c r="MX120" s="36"/>
      <c r="MY120" s="36"/>
      <c r="MZ120" s="36"/>
      <c r="NA120" s="36"/>
      <c r="NB120" s="36"/>
      <c r="NC120" s="36"/>
      <c r="ND120" s="36"/>
      <c r="NE120" s="36"/>
      <c r="NF120" s="36"/>
      <c r="NG120" s="36"/>
      <c r="NH120" s="36"/>
      <c r="NI120" s="36"/>
      <c r="NJ120" s="36"/>
      <c r="NK120" s="36"/>
      <c r="NL120" s="36"/>
      <c r="NM120" s="36"/>
      <c r="NN120" s="36"/>
      <c r="NO120" s="36"/>
      <c r="NP120" s="36"/>
      <c r="NQ120" s="36"/>
      <c r="NR120" s="36"/>
      <c r="NS120" s="36"/>
      <c r="NT120" s="36"/>
      <c r="NU120" s="36"/>
      <c r="NV120" s="36"/>
      <c r="NW120" s="36"/>
      <c r="NX120" s="36"/>
      <c r="NY120" s="36"/>
      <c r="NZ120" s="36"/>
      <c r="OA120" s="36"/>
      <c r="OB120" s="36"/>
      <c r="OC120" s="36"/>
      <c r="OD120" s="36"/>
      <c r="OE120" s="36"/>
      <c r="OF120" s="36"/>
      <c r="OG120" s="36"/>
      <c r="OH120" s="36"/>
      <c r="OI120" s="36"/>
      <c r="OJ120" s="36"/>
      <c r="OK120" s="36"/>
      <c r="OL120" s="36"/>
      <c r="OM120" s="36"/>
      <c r="ON120" s="36"/>
      <c r="OO120" s="36"/>
      <c r="OP120" s="36"/>
      <c r="OQ120" s="36"/>
      <c r="OR120" s="36"/>
      <c r="OS120" s="36"/>
      <c r="OT120" s="36"/>
      <c r="OU120" s="36"/>
      <c r="OV120" s="36"/>
      <c r="OW120" s="36"/>
      <c r="OX120" s="36"/>
      <c r="OY120" s="36"/>
      <c r="OZ120" s="36"/>
      <c r="PA120" s="36"/>
      <c r="PB120" s="36"/>
      <c r="PC120" s="36"/>
      <c r="PD120" s="36"/>
      <c r="PE120" s="36"/>
      <c r="PF120" s="36"/>
      <c r="PG120" s="36"/>
      <c r="PH120" s="36"/>
      <c r="PI120" s="36"/>
      <c r="PJ120" s="36"/>
      <c r="PK120" s="36"/>
      <c r="PL120" s="36"/>
      <c r="PM120" s="36"/>
      <c r="PN120" s="36"/>
      <c r="PO120" s="36"/>
      <c r="PP120" s="36"/>
      <c r="PQ120" s="36"/>
      <c r="PR120" s="36"/>
      <c r="PS120" s="36"/>
      <c r="PT120" s="36"/>
      <c r="PU120" s="36"/>
      <c r="PV120" s="36"/>
      <c r="PW120" s="36"/>
      <c r="PX120" s="36"/>
      <c r="PY120" s="36"/>
      <c r="PZ120" s="36"/>
      <c r="QA120" s="36"/>
      <c r="QB120" s="36"/>
      <c r="QC120" s="36"/>
      <c r="QD120" s="36"/>
      <c r="QE120" s="36"/>
      <c r="QF120" s="36"/>
      <c r="QG120" s="36"/>
      <c r="QH120" s="36"/>
      <c r="QI120" s="36"/>
      <c r="QJ120" s="36"/>
      <c r="QK120" s="36"/>
      <c r="QL120" s="36"/>
      <c r="QM120" s="36"/>
      <c r="QN120" s="36"/>
      <c r="QO120" s="36"/>
      <c r="QP120" s="36"/>
      <c r="QQ120" s="36"/>
      <c r="QR120" s="36"/>
      <c r="QS120" s="36"/>
      <c r="QT120" s="36"/>
      <c r="QU120" s="36"/>
      <c r="QV120" s="36"/>
      <c r="QW120" s="36"/>
      <c r="QX120" s="36"/>
      <c r="QY120" s="36"/>
      <c r="QZ120" s="36"/>
      <c r="RA120" s="36"/>
      <c r="RB120" s="36"/>
      <c r="RC120" s="36"/>
      <c r="RD120" s="36"/>
      <c r="RE120" s="36"/>
      <c r="RF120" s="36"/>
      <c r="RG120" s="36"/>
      <c r="RH120" s="36"/>
      <c r="RI120" s="36"/>
      <c r="RJ120" s="36"/>
      <c r="RK120" s="36"/>
      <c r="RL120" s="36"/>
      <c r="RM120" s="36"/>
      <c r="RN120" s="36"/>
      <c r="RO120" s="36"/>
      <c r="RP120" s="36"/>
      <c r="RQ120" s="36"/>
      <c r="RR120" s="36"/>
      <c r="RS120" s="36"/>
      <c r="RT120" s="36"/>
      <c r="RU120" s="36"/>
      <c r="RV120" s="36"/>
      <c r="RW120" s="36"/>
      <c r="RX120" s="36"/>
      <c r="RY120" s="36"/>
      <c r="RZ120" s="36"/>
      <c r="SA120" s="36"/>
      <c r="SB120" s="36"/>
      <c r="SC120" s="36"/>
      <c r="SD120" s="36"/>
      <c r="SE120" s="36"/>
      <c r="SF120" s="36"/>
      <c r="SG120" s="36"/>
      <c r="SH120" s="36"/>
      <c r="SI120" s="36"/>
      <c r="SJ120" s="36"/>
      <c r="SK120" s="36"/>
      <c r="SL120" s="36"/>
      <c r="SM120" s="36"/>
      <c r="SN120" s="36"/>
      <c r="SO120" s="36"/>
      <c r="SP120" s="36"/>
      <c r="SQ120" s="36"/>
      <c r="SR120" s="36"/>
      <c r="SS120" s="36"/>
      <c r="ST120" s="36"/>
      <c r="SU120" s="36"/>
      <c r="SV120" s="36"/>
      <c r="SW120" s="36"/>
      <c r="SX120" s="36"/>
      <c r="SY120" s="36"/>
      <c r="SZ120" s="36"/>
      <c r="TA120" s="36"/>
      <c r="TB120" s="36"/>
      <c r="TC120" s="36"/>
      <c r="TD120" s="36"/>
      <c r="TE120" s="36"/>
      <c r="TF120" s="36"/>
      <c r="TG120" s="36"/>
      <c r="TH120" s="36"/>
      <c r="TI120" s="36"/>
      <c r="TJ120" s="36"/>
    </row>
    <row r="121" spans="1:530" s="23" customFormat="1" ht="22.5" customHeight="1" x14ac:dyDescent="0.25">
      <c r="A121" s="43" t="s">
        <v>176</v>
      </c>
      <c r="B121" s="44" t="str">
        <f>'дод 3-1'!A108</f>
        <v>7640</v>
      </c>
      <c r="C121" s="44" t="str">
        <f>'дод 3-1'!B108</f>
        <v>0470</v>
      </c>
      <c r="D121" s="24" t="str">
        <f>'дод 3-1'!C108</f>
        <v>Заходи з енергозбереження</v>
      </c>
      <c r="E121" s="71">
        <f t="shared" si="53"/>
        <v>0</v>
      </c>
      <c r="F121" s="71"/>
      <c r="G121" s="71"/>
      <c r="H121" s="71"/>
      <c r="I121" s="71"/>
      <c r="J121" s="71">
        <f t="shared" si="55"/>
        <v>396000</v>
      </c>
      <c r="K121" s="71">
        <v>396000</v>
      </c>
      <c r="L121" s="71"/>
      <c r="M121" s="71"/>
      <c r="N121" s="71"/>
      <c r="O121" s="71">
        <v>396000</v>
      </c>
      <c r="P121" s="71">
        <f t="shared" si="54"/>
        <v>396000</v>
      </c>
      <c r="Q121" s="130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  <c r="TJ121" s="26"/>
    </row>
    <row r="122" spans="1:530" s="23" customFormat="1" ht="22.5" customHeight="1" x14ac:dyDescent="0.25">
      <c r="A122" s="43">
        <v>1018340</v>
      </c>
      <c r="B122" s="44" t="str">
        <f>'дод 3-1'!A125</f>
        <v>8340</v>
      </c>
      <c r="C122" s="44" t="str">
        <f>'дод 3-1'!B125</f>
        <v>0540</v>
      </c>
      <c r="D122" s="80" t="str">
        <f>'дод 3-1'!C125</f>
        <v>Природоохоронні заходи за рахунок цільових фондів</v>
      </c>
      <c r="E122" s="71">
        <f t="shared" si="53"/>
        <v>0</v>
      </c>
      <c r="F122" s="71"/>
      <c r="G122" s="71"/>
      <c r="H122" s="71"/>
      <c r="I122" s="71"/>
      <c r="J122" s="71">
        <f t="shared" si="55"/>
        <v>3000</v>
      </c>
      <c r="K122" s="71"/>
      <c r="L122" s="71">
        <v>3000</v>
      </c>
      <c r="M122" s="71"/>
      <c r="N122" s="71"/>
      <c r="O122" s="71"/>
      <c r="P122" s="71">
        <f t="shared" si="54"/>
        <v>3000</v>
      </c>
      <c r="Q122" s="130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  <c r="TJ122" s="26"/>
    </row>
    <row r="123" spans="1:530" s="31" customFormat="1" ht="34.5" customHeight="1" x14ac:dyDescent="0.2">
      <c r="A123" s="78" t="s">
        <v>231</v>
      </c>
      <c r="B123" s="76"/>
      <c r="C123" s="76"/>
      <c r="D123" s="30" t="s">
        <v>44</v>
      </c>
      <c r="E123" s="68">
        <f>E124</f>
        <v>283666898</v>
      </c>
      <c r="F123" s="68">
        <f t="shared" ref="F123:J123" si="56">F124</f>
        <v>249571666</v>
      </c>
      <c r="G123" s="68">
        <f t="shared" si="56"/>
        <v>10434500</v>
      </c>
      <c r="H123" s="68">
        <f t="shared" si="56"/>
        <v>28077306</v>
      </c>
      <c r="I123" s="68">
        <f t="shared" si="56"/>
        <v>34095232</v>
      </c>
      <c r="J123" s="68">
        <f t="shared" si="56"/>
        <v>138087989</v>
      </c>
      <c r="K123" s="68">
        <f t="shared" ref="K123" si="57">K124</f>
        <v>134017289</v>
      </c>
      <c r="L123" s="68">
        <f t="shared" ref="L123" si="58">L124</f>
        <v>1911000</v>
      </c>
      <c r="M123" s="68">
        <f t="shared" ref="M123" si="59">M124</f>
        <v>0</v>
      </c>
      <c r="N123" s="68">
        <f t="shared" ref="N123" si="60">N124</f>
        <v>0</v>
      </c>
      <c r="O123" s="68">
        <f t="shared" ref="O123:P123" si="61">O124</f>
        <v>136176989</v>
      </c>
      <c r="P123" s="68">
        <f t="shared" si="61"/>
        <v>421754887</v>
      </c>
      <c r="Q123" s="130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R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  <c r="TJ123" s="38"/>
    </row>
    <row r="124" spans="1:530" s="40" customFormat="1" ht="36.75" customHeight="1" x14ac:dyDescent="0.25">
      <c r="A124" s="79" t="s">
        <v>232</v>
      </c>
      <c r="B124" s="77"/>
      <c r="C124" s="77"/>
      <c r="D124" s="33" t="s">
        <v>44</v>
      </c>
      <c r="E124" s="81">
        <f>E125+E126+E127+E128+E129+E130+E131+E132+E133+E134+E135+E136+E138+E139+E140+E141+E142+E137</f>
        <v>283666898</v>
      </c>
      <c r="F124" s="81">
        <f t="shared" ref="F124:P124" si="62">F125+F126+F127+F128+F129+F130+F131+F132+F133+F134+F135+F136+F138+F139+F140+F141+F142+F137</f>
        <v>249571666</v>
      </c>
      <c r="G124" s="81">
        <f t="shared" si="62"/>
        <v>10434500</v>
      </c>
      <c r="H124" s="81">
        <f t="shared" si="62"/>
        <v>28077306</v>
      </c>
      <c r="I124" s="81">
        <f t="shared" si="62"/>
        <v>34095232</v>
      </c>
      <c r="J124" s="81">
        <f t="shared" si="62"/>
        <v>138087989</v>
      </c>
      <c r="K124" s="81">
        <f t="shared" si="62"/>
        <v>134017289</v>
      </c>
      <c r="L124" s="81">
        <f t="shared" si="62"/>
        <v>1911000</v>
      </c>
      <c r="M124" s="81">
        <f t="shared" si="62"/>
        <v>0</v>
      </c>
      <c r="N124" s="81">
        <f t="shared" si="62"/>
        <v>0</v>
      </c>
      <c r="O124" s="81">
        <f t="shared" si="62"/>
        <v>136176989</v>
      </c>
      <c r="P124" s="81">
        <f t="shared" si="62"/>
        <v>421754887</v>
      </c>
      <c r="Q124" s="130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  <c r="TJ124" s="39"/>
    </row>
    <row r="125" spans="1:530" s="23" customFormat="1" ht="48.75" customHeight="1" x14ac:dyDescent="0.25">
      <c r="A125" s="43" t="s">
        <v>233</v>
      </c>
      <c r="B125" s="44" t="str">
        <f>'дод 3-1'!A14</f>
        <v>0160</v>
      </c>
      <c r="C125" s="44" t="str">
        <f>'дод 3-1'!B14</f>
        <v>0111</v>
      </c>
      <c r="D125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25" s="71">
        <f t="shared" ref="E125:E142" si="63">F125+I125</f>
        <v>13286000</v>
      </c>
      <c r="F125" s="71">
        <f>13873900+90800-678700</f>
        <v>13286000</v>
      </c>
      <c r="G125" s="71">
        <f>10990800-556300</f>
        <v>10434500</v>
      </c>
      <c r="H125" s="71">
        <v>164000</v>
      </c>
      <c r="I125" s="71"/>
      <c r="J125" s="71">
        <f>L125+O125</f>
        <v>0</v>
      </c>
      <c r="K125" s="71"/>
      <c r="L125" s="71"/>
      <c r="M125" s="71"/>
      <c r="N125" s="71"/>
      <c r="O125" s="71"/>
      <c r="P125" s="71">
        <f t="shared" ref="P125:P142" si="64">E125+J125</f>
        <v>13286000</v>
      </c>
      <c r="Q125" s="130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  <c r="TJ125" s="26"/>
    </row>
    <row r="126" spans="1:530" s="23" customFormat="1" ht="19.5" customHeight="1" x14ac:dyDescent="0.25">
      <c r="A126" s="52" t="s">
        <v>352</v>
      </c>
      <c r="B126" s="45" t="str">
        <f>'дод 3-1'!A67</f>
        <v>3210</v>
      </c>
      <c r="C126" s="45" t="str">
        <f>'дод 3-1'!B67</f>
        <v>1050</v>
      </c>
      <c r="D126" s="22" t="str">
        <f>'дод 3-1'!C67</f>
        <v>Організація та проведення громадських робіт</v>
      </c>
      <c r="E126" s="71">
        <f t="shared" si="63"/>
        <v>400000</v>
      </c>
      <c r="F126" s="71">
        <v>400000</v>
      </c>
      <c r="G126" s="71"/>
      <c r="H126" s="71"/>
      <c r="I126" s="71"/>
      <c r="J126" s="71">
        <f t="shared" ref="J126:J142" si="65">L126+O126</f>
        <v>0</v>
      </c>
      <c r="K126" s="71"/>
      <c r="L126" s="71"/>
      <c r="M126" s="71"/>
      <c r="N126" s="71"/>
      <c r="O126" s="71"/>
      <c r="P126" s="71">
        <f t="shared" si="64"/>
        <v>400000</v>
      </c>
      <c r="Q126" s="130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  <c r="IW126" s="26"/>
      <c r="IX126" s="26"/>
      <c r="IY126" s="26"/>
      <c r="IZ126" s="26"/>
      <c r="JA126" s="26"/>
      <c r="JB126" s="26"/>
      <c r="JC126" s="26"/>
      <c r="JD126" s="26"/>
      <c r="JE126" s="26"/>
      <c r="JF126" s="26"/>
      <c r="JG126" s="26"/>
      <c r="JH126" s="26"/>
      <c r="JI126" s="26"/>
      <c r="JJ126" s="26"/>
      <c r="JK126" s="26"/>
      <c r="JL126" s="26"/>
      <c r="JM126" s="26"/>
      <c r="JN126" s="26"/>
      <c r="JO126" s="26"/>
      <c r="JP126" s="26"/>
      <c r="JQ126" s="26"/>
      <c r="JR126" s="26"/>
      <c r="JS126" s="26"/>
      <c r="JT126" s="26"/>
      <c r="JU126" s="26"/>
      <c r="JV126" s="26"/>
      <c r="JW126" s="26"/>
      <c r="JX126" s="26"/>
      <c r="JY126" s="26"/>
      <c r="JZ126" s="26"/>
      <c r="KA126" s="26"/>
      <c r="KB126" s="26"/>
      <c r="KC126" s="26"/>
      <c r="KD126" s="26"/>
      <c r="KE126" s="26"/>
      <c r="KF126" s="26"/>
      <c r="KG126" s="26"/>
      <c r="KH126" s="26"/>
      <c r="KI126" s="26"/>
      <c r="KJ126" s="26"/>
      <c r="KK126" s="26"/>
      <c r="KL126" s="26"/>
      <c r="KM126" s="26"/>
      <c r="KN126" s="26"/>
      <c r="KO126" s="26"/>
      <c r="KP126" s="26"/>
      <c r="KQ126" s="26"/>
      <c r="KR126" s="26"/>
      <c r="KS126" s="26"/>
      <c r="KT126" s="26"/>
      <c r="KU126" s="26"/>
      <c r="KV126" s="26"/>
      <c r="KW126" s="26"/>
      <c r="KX126" s="26"/>
      <c r="KY126" s="26"/>
      <c r="KZ126" s="26"/>
      <c r="LA126" s="26"/>
      <c r="LB126" s="26"/>
      <c r="LC126" s="26"/>
      <c r="LD126" s="26"/>
      <c r="LE126" s="26"/>
      <c r="LF126" s="26"/>
      <c r="LG126" s="26"/>
      <c r="LH126" s="26"/>
      <c r="LI126" s="26"/>
      <c r="LJ126" s="26"/>
      <c r="LK126" s="26"/>
      <c r="LL126" s="26"/>
      <c r="LM126" s="26"/>
      <c r="LN126" s="26"/>
      <c r="LO126" s="26"/>
      <c r="LP126" s="26"/>
      <c r="LQ126" s="26"/>
      <c r="LR126" s="26"/>
      <c r="LS126" s="26"/>
      <c r="LT126" s="26"/>
      <c r="LU126" s="26"/>
      <c r="LV126" s="26"/>
      <c r="LW126" s="26"/>
      <c r="LX126" s="26"/>
      <c r="LY126" s="26"/>
      <c r="LZ126" s="26"/>
      <c r="MA126" s="26"/>
      <c r="MB126" s="26"/>
      <c r="MC126" s="26"/>
      <c r="MD126" s="26"/>
      <c r="ME126" s="26"/>
      <c r="MF126" s="26"/>
      <c r="MG126" s="26"/>
      <c r="MH126" s="26"/>
      <c r="MI126" s="26"/>
      <c r="MJ126" s="26"/>
      <c r="MK126" s="26"/>
      <c r="ML126" s="26"/>
      <c r="MM126" s="26"/>
      <c r="MN126" s="26"/>
      <c r="MO126" s="26"/>
      <c r="MP126" s="26"/>
      <c r="MQ126" s="26"/>
      <c r="MR126" s="26"/>
      <c r="MS126" s="26"/>
      <c r="MT126" s="26"/>
      <c r="MU126" s="26"/>
      <c r="MV126" s="26"/>
      <c r="MW126" s="26"/>
      <c r="MX126" s="26"/>
      <c r="MY126" s="26"/>
      <c r="MZ126" s="26"/>
      <c r="NA126" s="26"/>
      <c r="NB126" s="26"/>
      <c r="NC126" s="26"/>
      <c r="ND126" s="26"/>
      <c r="NE126" s="26"/>
      <c r="NF126" s="26"/>
      <c r="NG126" s="26"/>
      <c r="NH126" s="26"/>
      <c r="NI126" s="26"/>
      <c r="NJ126" s="26"/>
      <c r="NK126" s="26"/>
      <c r="NL126" s="26"/>
      <c r="NM126" s="26"/>
      <c r="NN126" s="26"/>
      <c r="NO126" s="26"/>
      <c r="NP126" s="26"/>
      <c r="NQ126" s="26"/>
      <c r="NR126" s="26"/>
      <c r="NS126" s="26"/>
      <c r="NT126" s="26"/>
      <c r="NU126" s="26"/>
      <c r="NV126" s="26"/>
      <c r="NW126" s="26"/>
      <c r="NX126" s="26"/>
      <c r="NY126" s="26"/>
      <c r="NZ126" s="26"/>
      <c r="OA126" s="26"/>
      <c r="OB126" s="26"/>
      <c r="OC126" s="26"/>
      <c r="OD126" s="26"/>
      <c r="OE126" s="26"/>
      <c r="OF126" s="26"/>
      <c r="OG126" s="26"/>
      <c r="OH126" s="26"/>
      <c r="OI126" s="26"/>
      <c r="OJ126" s="26"/>
      <c r="OK126" s="26"/>
      <c r="OL126" s="26"/>
      <c r="OM126" s="26"/>
      <c r="ON126" s="26"/>
      <c r="OO126" s="26"/>
      <c r="OP126" s="26"/>
      <c r="OQ126" s="26"/>
      <c r="OR126" s="26"/>
      <c r="OS126" s="26"/>
      <c r="OT126" s="26"/>
      <c r="OU126" s="26"/>
      <c r="OV126" s="26"/>
      <c r="OW126" s="26"/>
      <c r="OX126" s="26"/>
      <c r="OY126" s="26"/>
      <c r="OZ126" s="26"/>
      <c r="PA126" s="26"/>
      <c r="PB126" s="26"/>
      <c r="PC126" s="26"/>
      <c r="PD126" s="26"/>
      <c r="PE126" s="26"/>
      <c r="PF126" s="26"/>
      <c r="PG126" s="26"/>
      <c r="PH126" s="26"/>
      <c r="PI126" s="26"/>
      <c r="PJ126" s="26"/>
      <c r="PK126" s="26"/>
      <c r="PL126" s="26"/>
      <c r="PM126" s="26"/>
      <c r="PN126" s="26"/>
      <c r="PO126" s="26"/>
      <c r="PP126" s="26"/>
      <c r="PQ126" s="26"/>
      <c r="PR126" s="26"/>
      <c r="PS126" s="26"/>
      <c r="PT126" s="26"/>
      <c r="PU126" s="26"/>
      <c r="PV126" s="26"/>
      <c r="PW126" s="26"/>
      <c r="PX126" s="26"/>
      <c r="PY126" s="26"/>
      <c r="PZ126" s="26"/>
      <c r="QA126" s="26"/>
      <c r="QB126" s="26"/>
      <c r="QC126" s="26"/>
      <c r="QD126" s="26"/>
      <c r="QE126" s="26"/>
      <c r="QF126" s="26"/>
      <c r="QG126" s="26"/>
      <c r="QH126" s="26"/>
      <c r="QI126" s="26"/>
      <c r="QJ126" s="26"/>
      <c r="QK126" s="26"/>
      <c r="QL126" s="26"/>
      <c r="QM126" s="26"/>
      <c r="QN126" s="26"/>
      <c r="QO126" s="26"/>
      <c r="QP126" s="26"/>
      <c r="QQ126" s="26"/>
      <c r="QR126" s="26"/>
      <c r="QS126" s="26"/>
      <c r="QT126" s="26"/>
      <c r="QU126" s="26"/>
      <c r="QV126" s="26"/>
      <c r="QW126" s="26"/>
      <c r="QX126" s="26"/>
      <c r="QY126" s="26"/>
      <c r="QZ126" s="26"/>
      <c r="RA126" s="26"/>
      <c r="RB126" s="26"/>
      <c r="RC126" s="26"/>
      <c r="RD126" s="26"/>
      <c r="RE126" s="26"/>
      <c r="RF126" s="26"/>
      <c r="RG126" s="26"/>
      <c r="RH126" s="26"/>
      <c r="RI126" s="26"/>
      <c r="RJ126" s="26"/>
      <c r="RK126" s="26"/>
      <c r="RL126" s="26"/>
      <c r="RM126" s="26"/>
      <c r="RN126" s="26"/>
      <c r="RO126" s="26"/>
      <c r="RP126" s="26"/>
      <c r="RQ126" s="26"/>
      <c r="RR126" s="26"/>
      <c r="RS126" s="26"/>
      <c r="RT126" s="26"/>
      <c r="RU126" s="26"/>
      <c r="RV126" s="26"/>
      <c r="RW126" s="26"/>
      <c r="RX126" s="26"/>
      <c r="RY126" s="26"/>
      <c r="RZ126" s="26"/>
      <c r="SA126" s="26"/>
      <c r="SB126" s="26"/>
      <c r="SC126" s="26"/>
      <c r="SD126" s="26"/>
      <c r="SE126" s="26"/>
      <c r="SF126" s="26"/>
      <c r="SG126" s="26"/>
      <c r="SH126" s="26"/>
      <c r="SI126" s="26"/>
      <c r="SJ126" s="26"/>
      <c r="SK126" s="26"/>
      <c r="SL126" s="26"/>
      <c r="SM126" s="26"/>
      <c r="SN126" s="26"/>
      <c r="SO126" s="26"/>
      <c r="SP126" s="26"/>
      <c r="SQ126" s="26"/>
      <c r="SR126" s="26"/>
      <c r="SS126" s="26"/>
      <c r="ST126" s="26"/>
      <c r="SU126" s="26"/>
      <c r="SV126" s="26"/>
      <c r="SW126" s="26"/>
      <c r="SX126" s="26"/>
      <c r="SY126" s="26"/>
      <c r="SZ126" s="26"/>
      <c r="TA126" s="26"/>
      <c r="TB126" s="26"/>
      <c r="TC126" s="26"/>
      <c r="TD126" s="26"/>
      <c r="TE126" s="26"/>
      <c r="TF126" s="26"/>
      <c r="TG126" s="26"/>
      <c r="TH126" s="26"/>
      <c r="TI126" s="26"/>
      <c r="TJ126" s="26"/>
    </row>
    <row r="127" spans="1:530" s="23" customFormat="1" ht="38.25" customHeight="1" x14ac:dyDescent="0.25">
      <c r="A127" s="43" t="s">
        <v>234</v>
      </c>
      <c r="B127" s="44" t="str">
        <f>'дод 3-1'!A83</f>
        <v>6011</v>
      </c>
      <c r="C127" s="44" t="str">
        <f>'дод 3-1'!B83</f>
        <v>0610</v>
      </c>
      <c r="D127" s="24" t="str">
        <f>'дод 3-1'!C83</f>
        <v>Експлуатація та технічне обслуговування житлового фонду</v>
      </c>
      <c r="E127" s="71">
        <f t="shared" si="63"/>
        <v>0</v>
      </c>
      <c r="F127" s="71"/>
      <c r="G127" s="71"/>
      <c r="H127" s="71"/>
      <c r="I127" s="71"/>
      <c r="J127" s="71">
        <f t="shared" si="65"/>
        <v>10530000</v>
      </c>
      <c r="K127" s="71">
        <f>20000000-4500000-5000000</f>
        <v>10500000</v>
      </c>
      <c r="L127" s="71"/>
      <c r="M127" s="71"/>
      <c r="N127" s="71"/>
      <c r="O127" s="71">
        <f>20000000+30000-4500000-5000000</f>
        <v>10530000</v>
      </c>
      <c r="P127" s="71">
        <f t="shared" si="64"/>
        <v>10530000</v>
      </c>
      <c r="Q127" s="130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  <c r="TJ127" s="26"/>
    </row>
    <row r="128" spans="1:530" s="23" customFormat="1" ht="33" customHeight="1" x14ac:dyDescent="0.25">
      <c r="A128" s="43" t="s">
        <v>235</v>
      </c>
      <c r="B128" s="44" t="str">
        <f>'дод 3-1'!A84</f>
        <v>6013</v>
      </c>
      <c r="C128" s="44" t="str">
        <f>'дод 3-1'!B84</f>
        <v>0620</v>
      </c>
      <c r="D128" s="24" t="str">
        <f>'дод 3-1'!C84</f>
        <v>Забезпечення діяльності водопровідно-каналізаційного господарства</v>
      </c>
      <c r="E128" s="71">
        <f t="shared" si="63"/>
        <v>30925000</v>
      </c>
      <c r="F128" s="71">
        <f>775000-350000</f>
        <v>425000</v>
      </c>
      <c r="G128" s="71"/>
      <c r="H128" s="71"/>
      <c r="I128" s="71">
        <f>30150000+350000</f>
        <v>30500000</v>
      </c>
      <c r="J128" s="71">
        <f t="shared" si="65"/>
        <v>1720000</v>
      </c>
      <c r="K128" s="71">
        <f>1700000+20000</f>
        <v>1720000</v>
      </c>
      <c r="L128" s="71"/>
      <c r="M128" s="71"/>
      <c r="N128" s="71"/>
      <c r="O128" s="71">
        <f>1700000+20000</f>
        <v>1720000</v>
      </c>
      <c r="P128" s="71">
        <f t="shared" si="64"/>
        <v>32645000</v>
      </c>
      <c r="Q128" s="130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  <c r="TJ128" s="26"/>
    </row>
    <row r="129" spans="1:530" s="23" customFormat="1" ht="27.75" customHeight="1" x14ac:dyDescent="0.25">
      <c r="A129" s="43" t="s">
        <v>301</v>
      </c>
      <c r="B129" s="44" t="str">
        <f>'дод 3-1'!A85</f>
        <v>6015</v>
      </c>
      <c r="C129" s="44" t="str">
        <f>'дод 3-1'!B85</f>
        <v>0620</v>
      </c>
      <c r="D129" s="24" t="str">
        <f>'дод 3-1'!C85</f>
        <v>Забезпечення надійної та безперебійної експлуатації ліфтів</v>
      </c>
      <c r="E129" s="71">
        <f t="shared" si="63"/>
        <v>200000</v>
      </c>
      <c r="F129" s="71">
        <v>200000</v>
      </c>
      <c r="G129" s="71"/>
      <c r="H129" s="71"/>
      <c r="I129" s="71"/>
      <c r="J129" s="71">
        <f t="shared" si="65"/>
        <v>13550009</v>
      </c>
      <c r="K129" s="71">
        <f>15000000+9-1500000</f>
        <v>13500009</v>
      </c>
      <c r="L129" s="71"/>
      <c r="M129" s="71"/>
      <c r="N129" s="71"/>
      <c r="O129" s="71">
        <f>15000000+50000+9-1500000</f>
        <v>13550009</v>
      </c>
      <c r="P129" s="71">
        <f t="shared" si="64"/>
        <v>13750009</v>
      </c>
      <c r="Q129" s="130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  <c r="TJ129" s="26"/>
    </row>
    <row r="130" spans="1:530" s="23" customFormat="1" ht="38.25" customHeight="1" x14ac:dyDescent="0.25">
      <c r="A130" s="43" t="s">
        <v>304</v>
      </c>
      <c r="B130" s="44" t="str">
        <f>'дод 3-1'!A86</f>
        <v>6017</v>
      </c>
      <c r="C130" s="44" t="str">
        <f>'дод 3-1'!B86</f>
        <v>0620</v>
      </c>
      <c r="D130" s="24" t="str">
        <f>'дод 3-1'!C86</f>
        <v>Інша діяльність, пов’язана з експлуатацією об’єктів житлово-комунального господарства</v>
      </c>
      <c r="E130" s="71">
        <f t="shared" si="63"/>
        <v>100000</v>
      </c>
      <c r="F130" s="71">
        <v>100000</v>
      </c>
      <c r="G130" s="71"/>
      <c r="H130" s="71"/>
      <c r="I130" s="71"/>
      <c r="J130" s="71">
        <f t="shared" si="65"/>
        <v>0</v>
      </c>
      <c r="K130" s="71"/>
      <c r="L130" s="71"/>
      <c r="M130" s="71"/>
      <c r="N130" s="71"/>
      <c r="O130" s="71"/>
      <c r="P130" s="71">
        <f t="shared" si="64"/>
        <v>100000</v>
      </c>
      <c r="Q130" s="130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  <c r="TJ130" s="26"/>
    </row>
    <row r="131" spans="1:530" s="23" customFormat="1" ht="45" x14ac:dyDescent="0.25">
      <c r="A131" s="43" t="s">
        <v>236</v>
      </c>
      <c r="B131" s="44" t="str">
        <f>'дод 3-1'!A87</f>
        <v>6020</v>
      </c>
      <c r="C131" s="44" t="str">
        <f>'дод 3-1'!B87</f>
        <v>0620</v>
      </c>
      <c r="D131" s="24" t="str">
        <f>'дод 3-1'!C87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31" s="71">
        <f t="shared" si="63"/>
        <v>2595232</v>
      </c>
      <c r="F131" s="71"/>
      <c r="G131" s="71"/>
      <c r="H131" s="71"/>
      <c r="I131" s="71">
        <v>2595232</v>
      </c>
      <c r="J131" s="71">
        <f t="shared" si="65"/>
        <v>0</v>
      </c>
      <c r="K131" s="71"/>
      <c r="L131" s="71"/>
      <c r="M131" s="71"/>
      <c r="N131" s="71"/>
      <c r="O131" s="71"/>
      <c r="P131" s="71">
        <f t="shared" si="64"/>
        <v>2595232</v>
      </c>
      <c r="Q131" s="130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  <c r="TJ131" s="26"/>
    </row>
    <row r="132" spans="1:530" s="23" customFormat="1" ht="21.75" customHeight="1" x14ac:dyDescent="0.25">
      <c r="A132" s="43" t="s">
        <v>237</v>
      </c>
      <c r="B132" s="44" t="str">
        <f>'дод 3-1'!A88</f>
        <v>6030</v>
      </c>
      <c r="C132" s="44" t="str">
        <f>'дод 3-1'!B88</f>
        <v>0620</v>
      </c>
      <c r="D132" s="24" t="str">
        <f>'дод 3-1'!C88</f>
        <v>Організація благоустрою населених пунктів</v>
      </c>
      <c r="E132" s="71">
        <f t="shared" si="63"/>
        <v>189703836</v>
      </c>
      <c r="F132" s="71">
        <f>191911836-108000-2000000-100000</f>
        <v>189703836</v>
      </c>
      <c r="G132" s="71"/>
      <c r="H132" s="71">
        <v>27870906</v>
      </c>
      <c r="I132" s="71"/>
      <c r="J132" s="71">
        <f t="shared" si="65"/>
        <v>30600000</v>
      </c>
      <c r="K132" s="71">
        <f>27800000+1000000+5000000+5550000-5000000+150000+100000-4000000</f>
        <v>30600000</v>
      </c>
      <c r="L132" s="73"/>
      <c r="M132" s="71"/>
      <c r="N132" s="71"/>
      <c r="O132" s="71">
        <f>27800000+1000000+5000000+5550000-5000000+150000+100000-4000000</f>
        <v>30600000</v>
      </c>
      <c r="P132" s="71">
        <f t="shared" si="64"/>
        <v>220303836</v>
      </c>
      <c r="Q132" s="130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  <c r="TJ132" s="26"/>
    </row>
    <row r="133" spans="1:530" s="23" customFormat="1" ht="31.5" customHeight="1" x14ac:dyDescent="0.25">
      <c r="A133" s="43" t="s">
        <v>294</v>
      </c>
      <c r="B133" s="44" t="str">
        <f>'дод 3-1'!A90</f>
        <v>6090</v>
      </c>
      <c r="C133" s="44" t="str">
        <f>'дод 3-1'!B90</f>
        <v>0640</v>
      </c>
      <c r="D133" s="24" t="str">
        <f>'дод 3-1'!C90</f>
        <v>Інша діяльність у сфері житлово-комунального господарства</v>
      </c>
      <c r="E133" s="71">
        <f t="shared" si="63"/>
        <v>44588830</v>
      </c>
      <c r="F133" s="71">
        <f>16709746+579084+27300000</f>
        <v>44588830</v>
      </c>
      <c r="G133" s="71"/>
      <c r="H133" s="71">
        <v>42400</v>
      </c>
      <c r="I133" s="71"/>
      <c r="J133" s="71">
        <f t="shared" si="65"/>
        <v>21793738</v>
      </c>
      <c r="K133" s="71">
        <v>21793738</v>
      </c>
      <c r="L133" s="71"/>
      <c r="M133" s="71"/>
      <c r="N133" s="71"/>
      <c r="O133" s="71">
        <v>21793738</v>
      </c>
      <c r="P133" s="71">
        <f t="shared" si="64"/>
        <v>66382568</v>
      </c>
      <c r="Q133" s="130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  <c r="TJ133" s="26"/>
    </row>
    <row r="134" spans="1:530" s="23" customFormat="1" ht="33" customHeight="1" x14ac:dyDescent="0.25">
      <c r="A134" s="43" t="s">
        <v>314</v>
      </c>
      <c r="B134" s="44" t="str">
        <f>'дод 3-1'!A95</f>
        <v>7310</v>
      </c>
      <c r="C134" s="44" t="str">
        <f>'дод 3-1'!B95</f>
        <v>0443</v>
      </c>
      <c r="D134" s="24" t="str">
        <f>'дод 3-1'!C95</f>
        <v>Будівництво об'єктів житлово-комунального господарства</v>
      </c>
      <c r="E134" s="71">
        <f t="shared" si="63"/>
        <v>0</v>
      </c>
      <c r="F134" s="71"/>
      <c r="G134" s="71"/>
      <c r="H134" s="71"/>
      <c r="I134" s="71"/>
      <c r="J134" s="71">
        <f t="shared" si="65"/>
        <v>17473612</v>
      </c>
      <c r="K134" s="71">
        <f>12540000-60000+40000+8953612-4000000</f>
        <v>17473612</v>
      </c>
      <c r="L134" s="71"/>
      <c r="M134" s="71"/>
      <c r="N134" s="71"/>
      <c r="O134" s="71">
        <f>12540000-60000+40000+8953612-4000000</f>
        <v>17473612</v>
      </c>
      <c r="P134" s="71">
        <f t="shared" si="64"/>
        <v>17473612</v>
      </c>
      <c r="Q134" s="130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</row>
    <row r="135" spans="1:530" s="23" customFormat="1" ht="21.75" customHeight="1" x14ac:dyDescent="0.25">
      <c r="A135" s="43" t="s">
        <v>316</v>
      </c>
      <c r="B135" s="44" t="str">
        <f>'дод 3-1'!A99</f>
        <v>7330</v>
      </c>
      <c r="C135" s="44" t="str">
        <f>'дод 3-1'!B99</f>
        <v>0443</v>
      </c>
      <c r="D135" s="24" t="str">
        <f>'дод 3-1'!C99</f>
        <v>Будівництво інших об'єктів комунальної власності</v>
      </c>
      <c r="E135" s="71">
        <f t="shared" si="63"/>
        <v>0</v>
      </c>
      <c r="F135" s="71"/>
      <c r="G135" s="71"/>
      <c r="H135" s="71"/>
      <c r="I135" s="71"/>
      <c r="J135" s="71">
        <f t="shared" si="65"/>
        <v>10680000</v>
      </c>
      <c r="K135" s="71">
        <f>15750000+4777000+3000-50000-100000-5550000-700000+550000-4000000</f>
        <v>10680000</v>
      </c>
      <c r="L135" s="71"/>
      <c r="M135" s="71"/>
      <c r="N135" s="71"/>
      <c r="O135" s="71">
        <f>15750000+4777000+3000-50000-100000-5550000-700000+550000-4000000</f>
        <v>10680000</v>
      </c>
      <c r="P135" s="71">
        <f t="shared" si="64"/>
        <v>10680000</v>
      </c>
      <c r="Q135" s="130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  <c r="TJ135" s="26"/>
    </row>
    <row r="136" spans="1:530" s="23" customFormat="1" ht="29.25" customHeight="1" x14ac:dyDescent="0.25">
      <c r="A136" s="43" t="s">
        <v>238</v>
      </c>
      <c r="B136" s="44" t="str">
        <f>'дод 3-1'!A100</f>
        <v>7340</v>
      </c>
      <c r="C136" s="44" t="str">
        <f>'дод 3-1'!B100</f>
        <v>0443</v>
      </c>
      <c r="D136" s="24" t="str">
        <f>'дод 3-1'!C100</f>
        <v>Проектування, реставрація та охорона пам'яток архітектури</v>
      </c>
      <c r="E136" s="71">
        <f t="shared" si="63"/>
        <v>0</v>
      </c>
      <c r="F136" s="71"/>
      <c r="G136" s="71"/>
      <c r="H136" s="71"/>
      <c r="I136" s="71"/>
      <c r="J136" s="71">
        <f t="shared" si="65"/>
        <v>3000000</v>
      </c>
      <c r="K136" s="71">
        <v>3000000</v>
      </c>
      <c r="L136" s="71"/>
      <c r="M136" s="71"/>
      <c r="N136" s="71"/>
      <c r="O136" s="71">
        <v>3000000</v>
      </c>
      <c r="P136" s="71">
        <f t="shared" si="64"/>
        <v>3000000</v>
      </c>
      <c r="Q136" s="130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  <c r="TJ136" s="26"/>
    </row>
    <row r="137" spans="1:530" s="23" customFormat="1" ht="30" x14ac:dyDescent="0.25">
      <c r="A137" s="43">
        <v>1217362</v>
      </c>
      <c r="B137" s="44">
        <f>'дод 3-1'!A101</f>
        <v>7362</v>
      </c>
      <c r="C137" s="44" t="str">
        <f>'дод 3-1'!B101</f>
        <v>0490</v>
      </c>
      <c r="D137" s="24" t="str">
        <f>'дод 3-1'!C101</f>
        <v>Виконання інвестиційних проектів в рамках підтримки розвитку об'єднаних територіальних громад</v>
      </c>
      <c r="E137" s="71">
        <f t="shared" si="63"/>
        <v>0</v>
      </c>
      <c r="F137" s="71"/>
      <c r="G137" s="71"/>
      <c r="H137" s="71"/>
      <c r="I137" s="71"/>
      <c r="J137" s="71">
        <f t="shared" si="65"/>
        <v>75600</v>
      </c>
      <c r="K137" s="71">
        <v>75600</v>
      </c>
      <c r="L137" s="71"/>
      <c r="M137" s="71"/>
      <c r="N137" s="71"/>
      <c r="O137" s="71">
        <v>75600</v>
      </c>
      <c r="P137" s="71">
        <f t="shared" si="64"/>
        <v>75600</v>
      </c>
      <c r="Q137" s="130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  <c r="TJ137" s="26"/>
    </row>
    <row r="138" spans="1:530" s="23" customFormat="1" ht="20.25" customHeight="1" x14ac:dyDescent="0.25">
      <c r="A138" s="43" t="s">
        <v>239</v>
      </c>
      <c r="B138" s="44" t="str">
        <f>'дод 3-1'!A108</f>
        <v>7640</v>
      </c>
      <c r="C138" s="44" t="str">
        <f>'дод 3-1'!B108</f>
        <v>0470</v>
      </c>
      <c r="D138" s="24" t="str">
        <f>'дод 3-1'!C108</f>
        <v>Заходи з енергозбереження</v>
      </c>
      <c r="E138" s="71">
        <f t="shared" si="63"/>
        <v>1500000</v>
      </c>
      <c r="F138" s="71">
        <f>750000-250000</f>
        <v>500000</v>
      </c>
      <c r="G138" s="71"/>
      <c r="H138" s="71"/>
      <c r="I138" s="71">
        <f>750000+250000</f>
        <v>1000000</v>
      </c>
      <c r="J138" s="71">
        <f t="shared" si="65"/>
        <v>0</v>
      </c>
      <c r="K138" s="71"/>
      <c r="L138" s="71"/>
      <c r="M138" s="71"/>
      <c r="N138" s="71"/>
      <c r="O138" s="71"/>
      <c r="P138" s="71">
        <f t="shared" si="64"/>
        <v>1500000</v>
      </c>
      <c r="Q138" s="130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  <c r="TJ138" s="26"/>
    </row>
    <row r="139" spans="1:530" s="23" customFormat="1" ht="23.25" customHeight="1" x14ac:dyDescent="0.25">
      <c r="A139" s="43" t="s">
        <v>388</v>
      </c>
      <c r="B139" s="44" t="str">
        <f>'дод 3-1'!A111</f>
        <v>7670</v>
      </c>
      <c r="C139" s="44" t="str">
        <f>'дод 3-1'!B111</f>
        <v>0490</v>
      </c>
      <c r="D139" s="24" t="str">
        <f>'дод 3-1'!C111</f>
        <v>Внески до статутного капіталу суб’єктів господарювання</v>
      </c>
      <c r="E139" s="71">
        <f t="shared" si="63"/>
        <v>0</v>
      </c>
      <c r="F139" s="71"/>
      <c r="G139" s="71"/>
      <c r="H139" s="71"/>
      <c r="I139" s="71"/>
      <c r="J139" s="71">
        <f t="shared" si="65"/>
        <v>17042330</v>
      </c>
      <c r="K139" s="71">
        <f>7042330+10000000</f>
        <v>17042330</v>
      </c>
      <c r="L139" s="71"/>
      <c r="M139" s="71"/>
      <c r="N139" s="71"/>
      <c r="O139" s="71">
        <f>7042330+10000000</f>
        <v>17042330</v>
      </c>
      <c r="P139" s="71">
        <f t="shared" si="64"/>
        <v>17042330</v>
      </c>
      <c r="Q139" s="130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  <c r="TJ139" s="26"/>
    </row>
    <row r="140" spans="1:530" s="23" customFormat="1" ht="102" customHeight="1" x14ac:dyDescent="0.25">
      <c r="A140" s="52" t="s">
        <v>350</v>
      </c>
      <c r="B140" s="45">
        <v>7691</v>
      </c>
      <c r="C140" s="45" t="s">
        <v>102</v>
      </c>
      <c r="D140" s="22" t="str">
        <f>'дод 3-1'!C113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40" s="71">
        <f t="shared" si="63"/>
        <v>0</v>
      </c>
      <c r="F140" s="71"/>
      <c r="G140" s="71"/>
      <c r="H140" s="71"/>
      <c r="I140" s="71"/>
      <c r="J140" s="71">
        <f t="shared" si="65"/>
        <v>174200</v>
      </c>
      <c r="K140" s="71"/>
      <c r="L140" s="71">
        <f>41000</f>
        <v>41000</v>
      </c>
      <c r="M140" s="71"/>
      <c r="N140" s="71"/>
      <c r="O140" s="71">
        <v>133200</v>
      </c>
      <c r="P140" s="71">
        <f t="shared" si="64"/>
        <v>174200</v>
      </c>
      <c r="Q140" s="130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  <c r="TJ140" s="26"/>
    </row>
    <row r="141" spans="1:530" s="23" customFormat="1" ht="24.75" customHeight="1" x14ac:dyDescent="0.25">
      <c r="A141" s="43" t="s">
        <v>240</v>
      </c>
      <c r="B141" s="44" t="str">
        <f>'дод 3-1'!A125</f>
        <v>8340</v>
      </c>
      <c r="C141" s="44" t="str">
        <f>'дод 3-1'!B125</f>
        <v>0540</v>
      </c>
      <c r="D141" s="24" t="str">
        <f>'дод 3-1'!C125</f>
        <v>Природоохоронні заходи за рахунок цільових фондів</v>
      </c>
      <c r="E141" s="71">
        <f t="shared" si="63"/>
        <v>0</v>
      </c>
      <c r="F141" s="71"/>
      <c r="G141" s="71"/>
      <c r="H141" s="71"/>
      <c r="I141" s="71"/>
      <c r="J141" s="71">
        <f t="shared" si="65"/>
        <v>3816500</v>
      </c>
      <c r="K141" s="71"/>
      <c r="L141" s="71">
        <v>1870000</v>
      </c>
      <c r="M141" s="71"/>
      <c r="N141" s="71"/>
      <c r="O141" s="71">
        <v>1946500</v>
      </c>
      <c r="P141" s="71">
        <f t="shared" si="64"/>
        <v>3816500</v>
      </c>
      <c r="Q141" s="132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  <c r="TJ141" s="26"/>
    </row>
    <row r="142" spans="1:530" s="23" customFormat="1" ht="23.25" customHeight="1" x14ac:dyDescent="0.25">
      <c r="A142" s="43" t="s">
        <v>241</v>
      </c>
      <c r="B142" s="44" t="str">
        <f>'дод 3-1'!A134</f>
        <v>9770</v>
      </c>
      <c r="C142" s="44" t="str">
        <f>'дод 3-1'!B134</f>
        <v>0180</v>
      </c>
      <c r="D142" s="24" t="str">
        <f>'дод 3-1'!C134</f>
        <v>Інші субвенції з місцевого бюджету</v>
      </c>
      <c r="E142" s="71">
        <f t="shared" si="63"/>
        <v>368000</v>
      </c>
      <c r="F142" s="71">
        <v>368000</v>
      </c>
      <c r="G142" s="71"/>
      <c r="H142" s="71"/>
      <c r="I142" s="71"/>
      <c r="J142" s="71">
        <f t="shared" si="65"/>
        <v>7632000</v>
      </c>
      <c r="K142" s="71">
        <f>8000000-368000</f>
        <v>7632000</v>
      </c>
      <c r="L142" s="71"/>
      <c r="M142" s="71"/>
      <c r="N142" s="71"/>
      <c r="O142" s="71">
        <f>8000000-368000</f>
        <v>7632000</v>
      </c>
      <c r="P142" s="71">
        <f t="shared" si="64"/>
        <v>8000000</v>
      </c>
      <c r="Q142" s="132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  <c r="TJ142" s="26"/>
    </row>
    <row r="143" spans="1:530" s="31" customFormat="1" ht="33.75" customHeight="1" x14ac:dyDescent="0.2">
      <c r="A143" s="78" t="s">
        <v>37</v>
      </c>
      <c r="B143" s="76"/>
      <c r="C143" s="76"/>
      <c r="D143" s="30" t="s">
        <v>47</v>
      </c>
      <c r="E143" s="68">
        <f>E144</f>
        <v>6157500</v>
      </c>
      <c r="F143" s="68">
        <f t="shared" ref="F143:J144" si="66">F144</f>
        <v>6157500</v>
      </c>
      <c r="G143" s="68">
        <f t="shared" si="66"/>
        <v>4788800</v>
      </c>
      <c r="H143" s="68">
        <f t="shared" si="66"/>
        <v>98300</v>
      </c>
      <c r="I143" s="68">
        <f t="shared" si="66"/>
        <v>0</v>
      </c>
      <c r="J143" s="68">
        <f t="shared" si="66"/>
        <v>160000</v>
      </c>
      <c r="K143" s="68">
        <f t="shared" ref="K143:K144" si="67">K144</f>
        <v>160000</v>
      </c>
      <c r="L143" s="68">
        <f t="shared" ref="L143:L144" si="68">L144</f>
        <v>0</v>
      </c>
      <c r="M143" s="68">
        <f t="shared" ref="M143:M144" si="69">M144</f>
        <v>0</v>
      </c>
      <c r="N143" s="68">
        <f t="shared" ref="N143:N144" si="70">N144</f>
        <v>0</v>
      </c>
      <c r="O143" s="68">
        <f t="shared" ref="O143:P144" si="71">O144</f>
        <v>160000</v>
      </c>
      <c r="P143" s="68">
        <f t="shared" si="71"/>
        <v>6317500</v>
      </c>
      <c r="Q143" s="132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  <c r="IV143" s="38"/>
      <c r="IW143" s="38"/>
      <c r="IX143" s="38"/>
      <c r="IY143" s="38"/>
      <c r="IZ143" s="38"/>
      <c r="JA143" s="38"/>
      <c r="JB143" s="38"/>
      <c r="JC143" s="38"/>
      <c r="JD143" s="38"/>
      <c r="JE143" s="38"/>
      <c r="JF143" s="38"/>
      <c r="JG143" s="38"/>
      <c r="JH143" s="38"/>
      <c r="JI143" s="38"/>
      <c r="JJ143" s="38"/>
      <c r="JK143" s="38"/>
      <c r="JL143" s="38"/>
      <c r="JM143" s="38"/>
      <c r="JN143" s="38"/>
      <c r="JO143" s="38"/>
      <c r="JP143" s="38"/>
      <c r="JQ143" s="38"/>
      <c r="JR143" s="38"/>
      <c r="JS143" s="38"/>
      <c r="JT143" s="38"/>
      <c r="JU143" s="38"/>
      <c r="JV143" s="38"/>
      <c r="JW143" s="38"/>
      <c r="JX143" s="38"/>
      <c r="JY143" s="38"/>
      <c r="JZ143" s="38"/>
      <c r="KA143" s="38"/>
      <c r="KB143" s="38"/>
      <c r="KC143" s="38"/>
      <c r="KD143" s="38"/>
      <c r="KE143" s="38"/>
      <c r="KF143" s="38"/>
      <c r="KG143" s="38"/>
      <c r="KH143" s="38"/>
      <c r="KI143" s="38"/>
      <c r="KJ143" s="38"/>
      <c r="KK143" s="38"/>
      <c r="KL143" s="38"/>
      <c r="KM143" s="38"/>
      <c r="KN143" s="38"/>
      <c r="KO143" s="38"/>
      <c r="KP143" s="38"/>
      <c r="KQ143" s="38"/>
      <c r="KR143" s="38"/>
      <c r="KS143" s="38"/>
      <c r="KT143" s="38"/>
      <c r="KU143" s="38"/>
      <c r="KV143" s="38"/>
      <c r="KW143" s="38"/>
      <c r="KX143" s="38"/>
      <c r="KY143" s="38"/>
      <c r="KZ143" s="38"/>
      <c r="LA143" s="38"/>
      <c r="LB143" s="38"/>
      <c r="LC143" s="38"/>
      <c r="LD143" s="38"/>
      <c r="LE143" s="38"/>
      <c r="LF143" s="38"/>
      <c r="LG143" s="38"/>
      <c r="LH143" s="38"/>
      <c r="LI143" s="38"/>
      <c r="LJ143" s="38"/>
      <c r="LK143" s="38"/>
      <c r="LL143" s="38"/>
      <c r="LM143" s="38"/>
      <c r="LN143" s="38"/>
      <c r="LO143" s="38"/>
      <c r="LP143" s="38"/>
      <c r="LQ143" s="38"/>
      <c r="LR143" s="38"/>
      <c r="LS143" s="38"/>
      <c r="LT143" s="38"/>
      <c r="LU143" s="38"/>
      <c r="LV143" s="38"/>
      <c r="LW143" s="38"/>
      <c r="LX143" s="38"/>
      <c r="LY143" s="38"/>
      <c r="LZ143" s="38"/>
      <c r="MA143" s="38"/>
      <c r="MB143" s="38"/>
      <c r="MC143" s="38"/>
      <c r="MD143" s="38"/>
      <c r="ME143" s="38"/>
      <c r="MF143" s="38"/>
      <c r="MG143" s="38"/>
      <c r="MH143" s="38"/>
      <c r="MI143" s="38"/>
      <c r="MJ143" s="38"/>
      <c r="MK143" s="38"/>
      <c r="ML143" s="38"/>
      <c r="MM143" s="38"/>
      <c r="MN143" s="38"/>
      <c r="MO143" s="38"/>
      <c r="MP143" s="38"/>
      <c r="MQ143" s="38"/>
      <c r="MR143" s="38"/>
      <c r="MS143" s="38"/>
      <c r="MT143" s="38"/>
      <c r="MU143" s="38"/>
      <c r="MV143" s="38"/>
      <c r="MW143" s="38"/>
      <c r="MX143" s="38"/>
      <c r="MY143" s="38"/>
      <c r="MZ143" s="38"/>
      <c r="NA143" s="38"/>
      <c r="NB143" s="38"/>
      <c r="NC143" s="38"/>
      <c r="ND143" s="38"/>
      <c r="NE143" s="38"/>
      <c r="NF143" s="38"/>
      <c r="NG143" s="38"/>
      <c r="NH143" s="38"/>
      <c r="NI143" s="38"/>
      <c r="NJ143" s="38"/>
      <c r="NK143" s="38"/>
      <c r="NL143" s="38"/>
      <c r="NM143" s="38"/>
      <c r="NN143" s="38"/>
      <c r="NO143" s="38"/>
      <c r="NP143" s="38"/>
      <c r="NQ143" s="38"/>
      <c r="NR143" s="38"/>
      <c r="NS143" s="38"/>
      <c r="NT143" s="38"/>
      <c r="NU143" s="38"/>
      <c r="NV143" s="38"/>
      <c r="NW143" s="38"/>
      <c r="NX143" s="38"/>
      <c r="NY143" s="38"/>
      <c r="NZ143" s="38"/>
      <c r="OA143" s="38"/>
      <c r="OB143" s="38"/>
      <c r="OC143" s="38"/>
      <c r="OD143" s="38"/>
      <c r="OE143" s="38"/>
      <c r="OF143" s="38"/>
      <c r="OG143" s="38"/>
      <c r="OH143" s="38"/>
      <c r="OI143" s="38"/>
      <c r="OJ143" s="38"/>
      <c r="OK143" s="38"/>
      <c r="OL143" s="38"/>
      <c r="OM143" s="38"/>
      <c r="ON143" s="38"/>
      <c r="OO143" s="38"/>
      <c r="OP143" s="38"/>
      <c r="OQ143" s="38"/>
      <c r="OR143" s="38"/>
      <c r="OS143" s="38"/>
      <c r="OT143" s="38"/>
      <c r="OU143" s="38"/>
      <c r="OV143" s="38"/>
      <c r="OW143" s="38"/>
      <c r="OX143" s="38"/>
      <c r="OY143" s="38"/>
      <c r="OZ143" s="38"/>
      <c r="PA143" s="38"/>
      <c r="PB143" s="38"/>
      <c r="PC143" s="38"/>
      <c r="PD143" s="38"/>
      <c r="PE143" s="38"/>
      <c r="PF143" s="38"/>
      <c r="PG143" s="38"/>
      <c r="PH143" s="38"/>
      <c r="PI143" s="38"/>
      <c r="PJ143" s="38"/>
      <c r="PK143" s="38"/>
      <c r="PL143" s="38"/>
      <c r="PM143" s="38"/>
      <c r="PN143" s="38"/>
      <c r="PO143" s="38"/>
      <c r="PP143" s="38"/>
      <c r="PQ143" s="38"/>
      <c r="PR143" s="38"/>
      <c r="PS143" s="38"/>
      <c r="PT143" s="38"/>
      <c r="PU143" s="38"/>
      <c r="PV143" s="38"/>
      <c r="PW143" s="38"/>
      <c r="PX143" s="38"/>
      <c r="PY143" s="38"/>
      <c r="PZ143" s="38"/>
      <c r="QA143" s="38"/>
      <c r="QB143" s="38"/>
      <c r="QC143" s="38"/>
      <c r="QD143" s="38"/>
      <c r="QE143" s="38"/>
      <c r="QF143" s="38"/>
      <c r="QG143" s="38"/>
      <c r="QH143" s="38"/>
      <c r="QI143" s="38"/>
      <c r="QJ143" s="38"/>
      <c r="QK143" s="38"/>
      <c r="QL143" s="38"/>
      <c r="QM143" s="38"/>
      <c r="QN143" s="38"/>
      <c r="QO143" s="38"/>
      <c r="QP143" s="38"/>
      <c r="QQ143" s="38"/>
      <c r="QR143" s="38"/>
      <c r="QS143" s="38"/>
      <c r="QT143" s="38"/>
      <c r="QU143" s="38"/>
      <c r="QV143" s="38"/>
      <c r="QW143" s="38"/>
      <c r="QX143" s="38"/>
      <c r="QY143" s="38"/>
      <c r="QZ143" s="38"/>
      <c r="RA143" s="38"/>
      <c r="RB143" s="38"/>
      <c r="RC143" s="38"/>
      <c r="RD143" s="38"/>
      <c r="RE143" s="38"/>
      <c r="RF143" s="38"/>
      <c r="RG143" s="38"/>
      <c r="RH143" s="38"/>
      <c r="RI143" s="38"/>
      <c r="RJ143" s="38"/>
      <c r="RK143" s="38"/>
      <c r="RL143" s="38"/>
      <c r="RM143" s="38"/>
      <c r="RN143" s="38"/>
      <c r="RO143" s="38"/>
      <c r="RP143" s="38"/>
      <c r="RQ143" s="38"/>
      <c r="RR143" s="38"/>
      <c r="RS143" s="38"/>
      <c r="RT143" s="38"/>
      <c r="RU143" s="38"/>
      <c r="RV143" s="38"/>
      <c r="RW143" s="38"/>
      <c r="RX143" s="38"/>
      <c r="RY143" s="38"/>
      <c r="RZ143" s="38"/>
      <c r="SA143" s="38"/>
      <c r="SB143" s="38"/>
      <c r="SC143" s="38"/>
      <c r="SD143" s="38"/>
      <c r="SE143" s="38"/>
      <c r="SF143" s="38"/>
      <c r="SG143" s="38"/>
      <c r="SH143" s="38"/>
      <c r="SI143" s="38"/>
      <c r="SJ143" s="38"/>
      <c r="SK143" s="38"/>
      <c r="SL143" s="38"/>
      <c r="SM143" s="38"/>
      <c r="SN143" s="38"/>
      <c r="SO143" s="38"/>
      <c r="SP143" s="38"/>
      <c r="SQ143" s="38"/>
      <c r="SR143" s="38"/>
      <c r="SS143" s="38"/>
      <c r="ST143" s="38"/>
      <c r="SU143" s="38"/>
      <c r="SV143" s="38"/>
      <c r="SW143" s="38"/>
      <c r="SX143" s="38"/>
      <c r="SY143" s="38"/>
      <c r="SZ143" s="38"/>
      <c r="TA143" s="38"/>
      <c r="TB143" s="38"/>
      <c r="TC143" s="38"/>
      <c r="TD143" s="38"/>
      <c r="TE143" s="38"/>
      <c r="TF143" s="38"/>
      <c r="TG143" s="38"/>
      <c r="TH143" s="38"/>
      <c r="TI143" s="38"/>
      <c r="TJ143" s="38"/>
    </row>
    <row r="144" spans="1:530" s="40" customFormat="1" ht="36.75" customHeight="1" x14ac:dyDescent="0.25">
      <c r="A144" s="79" t="s">
        <v>139</v>
      </c>
      <c r="B144" s="77"/>
      <c r="C144" s="77"/>
      <c r="D144" s="33" t="s">
        <v>47</v>
      </c>
      <c r="E144" s="70">
        <f>E145</f>
        <v>6157500</v>
      </c>
      <c r="F144" s="70">
        <f t="shared" si="66"/>
        <v>6157500</v>
      </c>
      <c r="G144" s="70">
        <f t="shared" si="66"/>
        <v>4788800</v>
      </c>
      <c r="H144" s="70">
        <f t="shared" si="66"/>
        <v>98300</v>
      </c>
      <c r="I144" s="70">
        <f t="shared" si="66"/>
        <v>0</v>
      </c>
      <c r="J144" s="70">
        <f t="shared" si="66"/>
        <v>160000</v>
      </c>
      <c r="K144" s="70">
        <f t="shared" si="67"/>
        <v>160000</v>
      </c>
      <c r="L144" s="70">
        <f t="shared" si="68"/>
        <v>0</v>
      </c>
      <c r="M144" s="70">
        <f t="shared" si="69"/>
        <v>0</v>
      </c>
      <c r="N144" s="70">
        <f t="shared" si="70"/>
        <v>0</v>
      </c>
      <c r="O144" s="70">
        <f t="shared" si="71"/>
        <v>160000</v>
      </c>
      <c r="P144" s="70">
        <f t="shared" si="71"/>
        <v>6317500</v>
      </c>
      <c r="Q144" s="132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  <c r="IX144" s="39"/>
      <c r="IY144" s="39"/>
      <c r="IZ144" s="39"/>
      <c r="JA144" s="39"/>
      <c r="JB144" s="39"/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/>
      <c r="KN144" s="39"/>
      <c r="KO144" s="39"/>
      <c r="KP144" s="39"/>
      <c r="KQ144" s="39"/>
      <c r="KR144" s="39"/>
      <c r="KS144" s="39"/>
      <c r="KT144" s="39"/>
      <c r="KU144" s="39"/>
      <c r="KV144" s="39"/>
      <c r="KW144" s="39"/>
      <c r="KX144" s="39"/>
      <c r="KY144" s="39"/>
      <c r="KZ144" s="39"/>
      <c r="LA144" s="39"/>
      <c r="LB144" s="39"/>
      <c r="LC144" s="39"/>
      <c r="LD144" s="39"/>
      <c r="LE144" s="39"/>
      <c r="LF144" s="39"/>
      <c r="LG144" s="39"/>
      <c r="LH144" s="39"/>
      <c r="LI144" s="39"/>
      <c r="LJ144" s="39"/>
      <c r="LK144" s="39"/>
      <c r="LL144" s="39"/>
      <c r="LM144" s="39"/>
      <c r="LN144" s="39"/>
      <c r="LO144" s="39"/>
      <c r="LP144" s="39"/>
      <c r="LQ144" s="39"/>
      <c r="LR144" s="39"/>
      <c r="LS144" s="39"/>
      <c r="LT144" s="39"/>
      <c r="LU144" s="39"/>
      <c r="LV144" s="39"/>
      <c r="LW144" s="39"/>
      <c r="LX144" s="39"/>
      <c r="LY144" s="39"/>
      <c r="LZ144" s="39"/>
      <c r="MA144" s="39"/>
      <c r="MB144" s="39"/>
      <c r="MC144" s="39"/>
      <c r="MD144" s="39"/>
      <c r="ME144" s="39"/>
      <c r="MF144" s="39"/>
      <c r="MG144" s="39"/>
      <c r="MH144" s="39"/>
      <c r="MI144" s="39"/>
      <c r="MJ144" s="39"/>
      <c r="MK144" s="39"/>
      <c r="ML144" s="39"/>
      <c r="MM144" s="39"/>
      <c r="MN144" s="39"/>
      <c r="MO144" s="39"/>
      <c r="MP144" s="39"/>
      <c r="MQ144" s="39"/>
      <c r="MR144" s="39"/>
      <c r="MS144" s="39"/>
      <c r="MT144" s="39"/>
      <c r="MU144" s="39"/>
      <c r="MV144" s="39"/>
      <c r="MW144" s="39"/>
      <c r="MX144" s="39"/>
      <c r="MY144" s="39"/>
      <c r="MZ144" s="39"/>
      <c r="NA144" s="39"/>
      <c r="NB144" s="39"/>
      <c r="NC144" s="39"/>
      <c r="ND144" s="39"/>
      <c r="NE144" s="39"/>
      <c r="NF144" s="39"/>
      <c r="NG144" s="39"/>
      <c r="NH144" s="39"/>
      <c r="NI144" s="39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/>
      <c r="NT144" s="39"/>
      <c r="NU144" s="39"/>
      <c r="NV144" s="39"/>
      <c r="NW144" s="39"/>
      <c r="NX144" s="39"/>
      <c r="NY144" s="39"/>
      <c r="NZ144" s="39"/>
      <c r="OA144" s="39"/>
      <c r="OB144" s="39"/>
      <c r="OC144" s="39"/>
      <c r="OD144" s="39"/>
      <c r="OE144" s="39"/>
      <c r="OF144" s="39"/>
      <c r="OG144" s="39"/>
      <c r="OH144" s="39"/>
      <c r="OI144" s="39"/>
      <c r="OJ144" s="39"/>
      <c r="OK144" s="39"/>
      <c r="OL144" s="39"/>
      <c r="OM144" s="39"/>
      <c r="ON144" s="39"/>
      <c r="OO144" s="39"/>
      <c r="OP144" s="39"/>
      <c r="OQ144" s="39"/>
      <c r="OR144" s="39"/>
      <c r="OS144" s="39"/>
      <c r="OT144" s="39"/>
      <c r="OU144" s="39"/>
      <c r="OV144" s="39"/>
      <c r="OW144" s="39"/>
      <c r="OX144" s="39"/>
      <c r="OY144" s="39"/>
      <c r="OZ144" s="39"/>
      <c r="PA144" s="39"/>
      <c r="PB144" s="39"/>
      <c r="PC144" s="39"/>
      <c r="PD144" s="39"/>
      <c r="PE144" s="39"/>
      <c r="PF144" s="39"/>
      <c r="PG144" s="39"/>
      <c r="PH144" s="39"/>
      <c r="PI144" s="39"/>
      <c r="PJ144" s="39"/>
      <c r="PK144" s="39"/>
      <c r="PL144" s="39"/>
      <c r="PM144" s="39"/>
      <c r="PN144" s="39"/>
      <c r="PO144" s="39"/>
      <c r="PP144" s="39"/>
      <c r="PQ144" s="39"/>
      <c r="PR144" s="39"/>
      <c r="PS144" s="39"/>
      <c r="PT144" s="39"/>
      <c r="PU144" s="39"/>
      <c r="PV144" s="39"/>
      <c r="PW144" s="39"/>
      <c r="PX144" s="39"/>
      <c r="PY144" s="39"/>
      <c r="PZ144" s="39"/>
      <c r="QA144" s="39"/>
      <c r="QB144" s="39"/>
      <c r="QC144" s="39"/>
      <c r="QD144" s="39"/>
      <c r="QE144" s="39"/>
      <c r="QF144" s="39"/>
      <c r="QG144" s="39"/>
      <c r="QH144" s="39"/>
      <c r="QI144" s="39"/>
      <c r="QJ144" s="39"/>
      <c r="QK144" s="39"/>
      <c r="QL144" s="39"/>
      <c r="QM144" s="39"/>
      <c r="QN144" s="39"/>
      <c r="QO144" s="39"/>
      <c r="QP144" s="39"/>
      <c r="QQ144" s="39"/>
      <c r="QR144" s="39"/>
      <c r="QS144" s="39"/>
      <c r="QT144" s="39"/>
      <c r="QU144" s="39"/>
      <c r="QV144" s="39"/>
      <c r="QW144" s="39"/>
      <c r="QX144" s="39"/>
      <c r="QY144" s="39"/>
      <c r="QZ144" s="39"/>
      <c r="RA144" s="39"/>
      <c r="RB144" s="39"/>
      <c r="RC144" s="39"/>
      <c r="RD144" s="39"/>
      <c r="RE144" s="39"/>
      <c r="RF144" s="39"/>
      <c r="RG144" s="39"/>
      <c r="RH144" s="39"/>
      <c r="RI144" s="39"/>
      <c r="RJ144" s="39"/>
      <c r="RK144" s="39"/>
      <c r="RL144" s="39"/>
      <c r="RM144" s="39"/>
      <c r="RN144" s="39"/>
      <c r="RO144" s="39"/>
      <c r="RP144" s="39"/>
      <c r="RQ144" s="39"/>
      <c r="RR144" s="39"/>
      <c r="RS144" s="39"/>
      <c r="RT144" s="39"/>
      <c r="RU144" s="39"/>
      <c r="RV144" s="39"/>
      <c r="RW144" s="39"/>
      <c r="RX144" s="39"/>
      <c r="RY144" s="39"/>
      <c r="RZ144" s="39"/>
      <c r="SA144" s="39"/>
      <c r="SB144" s="39"/>
      <c r="SC144" s="39"/>
      <c r="SD144" s="39"/>
      <c r="SE144" s="39"/>
      <c r="SF144" s="39"/>
      <c r="SG144" s="39"/>
      <c r="SH144" s="39"/>
      <c r="SI144" s="39"/>
      <c r="SJ144" s="39"/>
      <c r="SK144" s="39"/>
      <c r="SL144" s="39"/>
      <c r="SM144" s="39"/>
      <c r="SN144" s="39"/>
      <c r="SO144" s="39"/>
      <c r="SP144" s="39"/>
      <c r="SQ144" s="39"/>
      <c r="SR144" s="39"/>
      <c r="SS144" s="39"/>
      <c r="ST144" s="39"/>
      <c r="SU144" s="39"/>
      <c r="SV144" s="39"/>
      <c r="SW144" s="39"/>
      <c r="SX144" s="39"/>
      <c r="SY144" s="39"/>
      <c r="SZ144" s="39"/>
      <c r="TA144" s="39"/>
      <c r="TB144" s="39"/>
      <c r="TC144" s="39"/>
      <c r="TD144" s="39"/>
      <c r="TE144" s="39"/>
      <c r="TF144" s="39"/>
      <c r="TG144" s="39"/>
      <c r="TH144" s="39"/>
      <c r="TI144" s="39"/>
      <c r="TJ144" s="39"/>
    </row>
    <row r="145" spans="1:530" s="23" customFormat="1" ht="45" x14ac:dyDescent="0.25">
      <c r="A145" s="43" t="s">
        <v>0</v>
      </c>
      <c r="B145" s="44" t="str">
        <f>'дод 3-1'!A14</f>
        <v>0160</v>
      </c>
      <c r="C145" s="44" t="str">
        <f>'дод 3-1'!B14</f>
        <v>0111</v>
      </c>
      <c r="D145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45" s="71">
        <f>F145+I145</f>
        <v>6157500</v>
      </c>
      <c r="F145" s="71">
        <f>6462800+10100-315400</f>
        <v>6157500</v>
      </c>
      <c r="G145" s="71">
        <f>5047300-258500</f>
        <v>4788800</v>
      </c>
      <c r="H145" s="71">
        <v>98300</v>
      </c>
      <c r="I145" s="71"/>
      <c r="J145" s="71">
        <f>L145+O145</f>
        <v>160000</v>
      </c>
      <c r="K145" s="71">
        <v>160000</v>
      </c>
      <c r="L145" s="71"/>
      <c r="M145" s="71"/>
      <c r="N145" s="71"/>
      <c r="O145" s="71">
        <v>160000</v>
      </c>
      <c r="P145" s="71">
        <f>E145+J145</f>
        <v>6317500</v>
      </c>
      <c r="Q145" s="132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  <c r="TJ145" s="26"/>
    </row>
    <row r="146" spans="1:530" s="31" customFormat="1" ht="34.5" customHeight="1" x14ac:dyDescent="0.2">
      <c r="A146" s="78" t="s">
        <v>39</v>
      </c>
      <c r="B146" s="76"/>
      <c r="C146" s="76"/>
      <c r="D146" s="30" t="s">
        <v>46</v>
      </c>
      <c r="E146" s="68">
        <f>E147</f>
        <v>3706717</v>
      </c>
      <c r="F146" s="68">
        <f t="shared" ref="F146:J146" si="72">F147</f>
        <v>3621811</v>
      </c>
      <c r="G146" s="68">
        <f t="shared" si="72"/>
        <v>1552300</v>
      </c>
      <c r="H146" s="68">
        <f t="shared" si="72"/>
        <v>0</v>
      </c>
      <c r="I146" s="68">
        <f t="shared" si="72"/>
        <v>84906</v>
      </c>
      <c r="J146" s="68">
        <f t="shared" si="72"/>
        <v>198385724</v>
      </c>
      <c r="K146" s="68">
        <f t="shared" ref="K146" si="73">K147</f>
        <v>185402548</v>
      </c>
      <c r="L146" s="68">
        <f t="shared" ref="L146" si="74">L147</f>
        <v>3200000</v>
      </c>
      <c r="M146" s="68">
        <f t="shared" ref="M146" si="75">M147</f>
        <v>2348000</v>
      </c>
      <c r="N146" s="68">
        <f t="shared" ref="N146" si="76">N147</f>
        <v>90600</v>
      </c>
      <c r="O146" s="68">
        <f t="shared" ref="O146:P146" si="77">O147</f>
        <v>195185724</v>
      </c>
      <c r="P146" s="68">
        <f t="shared" si="77"/>
        <v>202092441</v>
      </c>
      <c r="Q146" s="132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  <c r="IV146" s="38"/>
      <c r="IW146" s="38"/>
      <c r="IX146" s="38"/>
      <c r="IY146" s="38"/>
      <c r="IZ146" s="38"/>
      <c r="JA146" s="38"/>
      <c r="JB146" s="38"/>
      <c r="JC146" s="38"/>
      <c r="JD146" s="38"/>
      <c r="JE146" s="38"/>
      <c r="JF146" s="38"/>
      <c r="JG146" s="38"/>
      <c r="JH146" s="38"/>
      <c r="JI146" s="38"/>
      <c r="JJ146" s="38"/>
      <c r="JK146" s="38"/>
      <c r="JL146" s="38"/>
      <c r="JM146" s="38"/>
      <c r="JN146" s="38"/>
      <c r="JO146" s="38"/>
      <c r="JP146" s="38"/>
      <c r="JQ146" s="38"/>
      <c r="JR146" s="38"/>
      <c r="JS146" s="38"/>
      <c r="JT146" s="38"/>
      <c r="JU146" s="38"/>
      <c r="JV146" s="38"/>
      <c r="JW146" s="38"/>
      <c r="JX146" s="38"/>
      <c r="JY146" s="38"/>
      <c r="JZ146" s="38"/>
      <c r="KA146" s="38"/>
      <c r="KB146" s="38"/>
      <c r="KC146" s="38"/>
      <c r="KD146" s="38"/>
      <c r="KE146" s="38"/>
      <c r="KF146" s="38"/>
      <c r="KG146" s="38"/>
      <c r="KH146" s="38"/>
      <c r="KI146" s="38"/>
      <c r="KJ146" s="38"/>
      <c r="KK146" s="38"/>
      <c r="KL146" s="38"/>
      <c r="KM146" s="38"/>
      <c r="KN146" s="38"/>
      <c r="KO146" s="38"/>
      <c r="KP146" s="38"/>
      <c r="KQ146" s="38"/>
      <c r="KR146" s="38"/>
      <c r="KS146" s="38"/>
      <c r="KT146" s="38"/>
      <c r="KU146" s="38"/>
      <c r="KV146" s="38"/>
      <c r="KW146" s="38"/>
      <c r="KX146" s="38"/>
      <c r="KY146" s="38"/>
      <c r="KZ146" s="38"/>
      <c r="LA146" s="38"/>
      <c r="LB146" s="38"/>
      <c r="LC146" s="38"/>
      <c r="LD146" s="38"/>
      <c r="LE146" s="38"/>
      <c r="LF146" s="38"/>
      <c r="LG146" s="38"/>
      <c r="LH146" s="38"/>
      <c r="LI146" s="38"/>
      <c r="LJ146" s="38"/>
      <c r="LK146" s="38"/>
      <c r="LL146" s="38"/>
      <c r="LM146" s="38"/>
      <c r="LN146" s="38"/>
      <c r="LO146" s="38"/>
      <c r="LP146" s="38"/>
      <c r="LQ146" s="38"/>
      <c r="LR146" s="38"/>
      <c r="LS146" s="38"/>
      <c r="LT146" s="38"/>
      <c r="LU146" s="38"/>
      <c r="LV146" s="38"/>
      <c r="LW146" s="38"/>
      <c r="LX146" s="38"/>
      <c r="LY146" s="38"/>
      <c r="LZ146" s="38"/>
      <c r="MA146" s="38"/>
      <c r="MB146" s="38"/>
      <c r="MC146" s="38"/>
      <c r="MD146" s="38"/>
      <c r="ME146" s="38"/>
      <c r="MF146" s="38"/>
      <c r="MG146" s="38"/>
      <c r="MH146" s="38"/>
      <c r="MI146" s="38"/>
      <c r="MJ146" s="38"/>
      <c r="MK146" s="38"/>
      <c r="ML146" s="38"/>
      <c r="MM146" s="38"/>
      <c r="MN146" s="38"/>
      <c r="MO146" s="38"/>
      <c r="MP146" s="38"/>
      <c r="MQ146" s="38"/>
      <c r="MR146" s="38"/>
      <c r="MS146" s="38"/>
      <c r="MT146" s="38"/>
      <c r="MU146" s="38"/>
      <c r="MV146" s="38"/>
      <c r="MW146" s="38"/>
      <c r="MX146" s="38"/>
      <c r="MY146" s="38"/>
      <c r="MZ146" s="38"/>
      <c r="NA146" s="38"/>
      <c r="NB146" s="38"/>
      <c r="NC146" s="38"/>
      <c r="ND146" s="38"/>
      <c r="NE146" s="38"/>
      <c r="NF146" s="38"/>
      <c r="NG146" s="38"/>
      <c r="NH146" s="38"/>
      <c r="NI146" s="38"/>
      <c r="NJ146" s="38"/>
      <c r="NK146" s="38"/>
      <c r="NL146" s="38"/>
      <c r="NM146" s="38"/>
      <c r="NN146" s="38"/>
      <c r="NO146" s="38"/>
      <c r="NP146" s="38"/>
      <c r="NQ146" s="38"/>
      <c r="NR146" s="38"/>
      <c r="NS146" s="38"/>
      <c r="NT146" s="38"/>
      <c r="NU146" s="38"/>
      <c r="NV146" s="38"/>
      <c r="NW146" s="38"/>
      <c r="NX146" s="38"/>
      <c r="NY146" s="38"/>
      <c r="NZ146" s="38"/>
      <c r="OA146" s="38"/>
      <c r="OB146" s="38"/>
      <c r="OC146" s="38"/>
      <c r="OD146" s="38"/>
      <c r="OE146" s="38"/>
      <c r="OF146" s="38"/>
      <c r="OG146" s="38"/>
      <c r="OH146" s="38"/>
      <c r="OI146" s="38"/>
      <c r="OJ146" s="38"/>
      <c r="OK146" s="38"/>
      <c r="OL146" s="38"/>
      <c r="OM146" s="38"/>
      <c r="ON146" s="38"/>
      <c r="OO146" s="38"/>
      <c r="OP146" s="38"/>
      <c r="OQ146" s="38"/>
      <c r="OR146" s="38"/>
      <c r="OS146" s="38"/>
      <c r="OT146" s="38"/>
      <c r="OU146" s="38"/>
      <c r="OV146" s="38"/>
      <c r="OW146" s="38"/>
      <c r="OX146" s="38"/>
      <c r="OY146" s="38"/>
      <c r="OZ146" s="38"/>
      <c r="PA146" s="38"/>
      <c r="PB146" s="38"/>
      <c r="PC146" s="38"/>
      <c r="PD146" s="38"/>
      <c r="PE146" s="38"/>
      <c r="PF146" s="38"/>
      <c r="PG146" s="38"/>
      <c r="PH146" s="38"/>
      <c r="PI146" s="38"/>
      <c r="PJ146" s="38"/>
      <c r="PK146" s="38"/>
      <c r="PL146" s="38"/>
      <c r="PM146" s="38"/>
      <c r="PN146" s="38"/>
      <c r="PO146" s="38"/>
      <c r="PP146" s="38"/>
      <c r="PQ146" s="38"/>
      <c r="PR146" s="38"/>
      <c r="PS146" s="38"/>
      <c r="PT146" s="38"/>
      <c r="PU146" s="38"/>
      <c r="PV146" s="38"/>
      <c r="PW146" s="38"/>
      <c r="PX146" s="38"/>
      <c r="PY146" s="38"/>
      <c r="PZ146" s="38"/>
      <c r="QA146" s="38"/>
      <c r="QB146" s="38"/>
      <c r="QC146" s="38"/>
      <c r="QD146" s="38"/>
      <c r="QE146" s="38"/>
      <c r="QF146" s="38"/>
      <c r="QG146" s="38"/>
      <c r="QH146" s="38"/>
      <c r="QI146" s="38"/>
      <c r="QJ146" s="38"/>
      <c r="QK146" s="38"/>
      <c r="QL146" s="38"/>
      <c r="QM146" s="38"/>
      <c r="QN146" s="38"/>
      <c r="QO146" s="38"/>
      <c r="QP146" s="38"/>
      <c r="QQ146" s="38"/>
      <c r="QR146" s="38"/>
      <c r="QS146" s="38"/>
      <c r="QT146" s="38"/>
      <c r="QU146" s="38"/>
      <c r="QV146" s="38"/>
      <c r="QW146" s="38"/>
      <c r="QX146" s="38"/>
      <c r="QY146" s="38"/>
      <c r="QZ146" s="38"/>
      <c r="RA146" s="38"/>
      <c r="RB146" s="38"/>
      <c r="RC146" s="38"/>
      <c r="RD146" s="38"/>
      <c r="RE146" s="38"/>
      <c r="RF146" s="38"/>
      <c r="RG146" s="38"/>
      <c r="RH146" s="38"/>
      <c r="RI146" s="38"/>
      <c r="RJ146" s="38"/>
      <c r="RK146" s="38"/>
      <c r="RL146" s="38"/>
      <c r="RM146" s="38"/>
      <c r="RN146" s="38"/>
      <c r="RO146" s="38"/>
      <c r="RP146" s="38"/>
      <c r="RQ146" s="38"/>
      <c r="RR146" s="38"/>
      <c r="RS146" s="38"/>
      <c r="RT146" s="38"/>
      <c r="RU146" s="38"/>
      <c r="RV146" s="38"/>
      <c r="RW146" s="38"/>
      <c r="RX146" s="38"/>
      <c r="RY146" s="38"/>
      <c r="RZ146" s="38"/>
      <c r="SA146" s="38"/>
      <c r="SB146" s="38"/>
      <c r="SC146" s="38"/>
      <c r="SD146" s="38"/>
      <c r="SE146" s="38"/>
      <c r="SF146" s="38"/>
      <c r="SG146" s="38"/>
      <c r="SH146" s="38"/>
      <c r="SI146" s="38"/>
      <c r="SJ146" s="38"/>
      <c r="SK146" s="38"/>
      <c r="SL146" s="38"/>
      <c r="SM146" s="38"/>
      <c r="SN146" s="38"/>
      <c r="SO146" s="38"/>
      <c r="SP146" s="38"/>
      <c r="SQ146" s="38"/>
      <c r="SR146" s="38"/>
      <c r="SS146" s="38"/>
      <c r="ST146" s="38"/>
      <c r="SU146" s="38"/>
      <c r="SV146" s="38"/>
      <c r="SW146" s="38"/>
      <c r="SX146" s="38"/>
      <c r="SY146" s="38"/>
      <c r="SZ146" s="38"/>
      <c r="TA146" s="38"/>
      <c r="TB146" s="38"/>
      <c r="TC146" s="38"/>
      <c r="TD146" s="38"/>
      <c r="TE146" s="38"/>
      <c r="TF146" s="38"/>
      <c r="TG146" s="38"/>
      <c r="TH146" s="38"/>
      <c r="TI146" s="38"/>
      <c r="TJ146" s="38"/>
    </row>
    <row r="147" spans="1:530" s="40" customFormat="1" ht="38.25" customHeight="1" x14ac:dyDescent="0.25">
      <c r="A147" s="79" t="s">
        <v>40</v>
      </c>
      <c r="B147" s="77"/>
      <c r="C147" s="77"/>
      <c r="D147" s="33" t="s">
        <v>46</v>
      </c>
      <c r="E147" s="70">
        <f>SUM(E148+E149+E150+E151+E152+E153+E155+E156)</f>
        <v>3706717</v>
      </c>
      <c r="F147" s="70">
        <f>SUM(F148+F149+F150+F151+F152+F153+F155+F156+F154)</f>
        <v>3621811</v>
      </c>
      <c r="G147" s="70">
        <f t="shared" ref="G147:P147" si="78">SUM(G148+G149+G150+G151+G152+G153+G155+G156+G154)</f>
        <v>1552300</v>
      </c>
      <c r="H147" s="70">
        <f t="shared" si="78"/>
        <v>0</v>
      </c>
      <c r="I147" s="70">
        <f t="shared" si="78"/>
        <v>84906</v>
      </c>
      <c r="J147" s="70">
        <f t="shared" si="78"/>
        <v>198385724</v>
      </c>
      <c r="K147" s="70">
        <f t="shared" si="78"/>
        <v>185402548</v>
      </c>
      <c r="L147" s="70">
        <f t="shared" si="78"/>
        <v>3200000</v>
      </c>
      <c r="M147" s="70">
        <f t="shared" si="78"/>
        <v>2348000</v>
      </c>
      <c r="N147" s="70">
        <f t="shared" si="78"/>
        <v>90600</v>
      </c>
      <c r="O147" s="70">
        <f t="shared" si="78"/>
        <v>195185724</v>
      </c>
      <c r="P147" s="70">
        <f t="shared" si="78"/>
        <v>202092441</v>
      </c>
      <c r="Q147" s="132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  <c r="IW147" s="39"/>
      <c r="IX147" s="39"/>
      <c r="IY147" s="39"/>
      <c r="IZ147" s="39"/>
      <c r="JA147" s="39"/>
      <c r="JB147" s="39"/>
      <c r="JC147" s="39"/>
      <c r="JD147" s="39"/>
      <c r="JE147" s="39"/>
      <c r="JF147" s="39"/>
      <c r="JG147" s="39"/>
      <c r="JH147" s="39"/>
      <c r="JI147" s="39"/>
      <c r="JJ147" s="39"/>
      <c r="JK147" s="39"/>
      <c r="JL147" s="39"/>
      <c r="JM147" s="39"/>
      <c r="JN147" s="39"/>
      <c r="JO147" s="39"/>
      <c r="JP147" s="39"/>
      <c r="JQ147" s="39"/>
      <c r="JR147" s="39"/>
      <c r="JS147" s="39"/>
      <c r="JT147" s="39"/>
      <c r="JU147" s="39"/>
      <c r="JV147" s="39"/>
      <c r="JW147" s="39"/>
      <c r="JX147" s="39"/>
      <c r="JY147" s="39"/>
      <c r="JZ147" s="39"/>
      <c r="KA147" s="39"/>
      <c r="KB147" s="39"/>
      <c r="KC147" s="39"/>
      <c r="KD147" s="39"/>
      <c r="KE147" s="39"/>
      <c r="KF147" s="39"/>
      <c r="KG147" s="39"/>
      <c r="KH147" s="39"/>
      <c r="KI147" s="39"/>
      <c r="KJ147" s="39"/>
      <c r="KK147" s="39"/>
      <c r="KL147" s="39"/>
      <c r="KM147" s="39"/>
      <c r="KN147" s="39"/>
      <c r="KO147" s="39"/>
      <c r="KP147" s="39"/>
      <c r="KQ147" s="39"/>
      <c r="KR147" s="39"/>
      <c r="KS147" s="39"/>
      <c r="KT147" s="39"/>
      <c r="KU147" s="39"/>
      <c r="KV147" s="39"/>
      <c r="KW147" s="39"/>
      <c r="KX147" s="39"/>
      <c r="KY147" s="39"/>
      <c r="KZ147" s="39"/>
      <c r="LA147" s="39"/>
      <c r="LB147" s="39"/>
      <c r="LC147" s="39"/>
      <c r="LD147" s="39"/>
      <c r="LE147" s="39"/>
      <c r="LF147" s="39"/>
      <c r="LG147" s="39"/>
      <c r="LH147" s="39"/>
      <c r="LI147" s="39"/>
      <c r="LJ147" s="39"/>
      <c r="LK147" s="39"/>
      <c r="LL147" s="39"/>
      <c r="LM147" s="39"/>
      <c r="LN147" s="39"/>
      <c r="LO147" s="39"/>
      <c r="LP147" s="39"/>
      <c r="LQ147" s="39"/>
      <c r="LR147" s="39"/>
      <c r="LS147" s="39"/>
      <c r="LT147" s="39"/>
      <c r="LU147" s="39"/>
      <c r="LV147" s="39"/>
      <c r="LW147" s="39"/>
      <c r="LX147" s="39"/>
      <c r="LY147" s="39"/>
      <c r="LZ147" s="39"/>
      <c r="MA147" s="39"/>
      <c r="MB147" s="39"/>
      <c r="MC147" s="39"/>
      <c r="MD147" s="39"/>
      <c r="ME147" s="39"/>
      <c r="MF147" s="39"/>
      <c r="MG147" s="39"/>
      <c r="MH147" s="39"/>
      <c r="MI147" s="39"/>
      <c r="MJ147" s="39"/>
      <c r="MK147" s="39"/>
      <c r="ML147" s="39"/>
      <c r="MM147" s="39"/>
      <c r="MN147" s="39"/>
      <c r="MO147" s="39"/>
      <c r="MP147" s="39"/>
      <c r="MQ147" s="39"/>
      <c r="MR147" s="39"/>
      <c r="MS147" s="39"/>
      <c r="MT147" s="39"/>
      <c r="MU147" s="39"/>
      <c r="MV147" s="39"/>
      <c r="MW147" s="39"/>
      <c r="MX147" s="39"/>
      <c r="MY147" s="39"/>
      <c r="MZ147" s="39"/>
      <c r="NA147" s="39"/>
      <c r="NB147" s="39"/>
      <c r="NC147" s="39"/>
      <c r="ND147" s="39"/>
      <c r="NE147" s="39"/>
      <c r="NF147" s="39"/>
      <c r="NG147" s="39"/>
      <c r="NH147" s="39"/>
      <c r="NI147" s="39"/>
      <c r="NJ147" s="39"/>
      <c r="NK147" s="39"/>
      <c r="NL147" s="39"/>
      <c r="NM147" s="39"/>
      <c r="NN147" s="39"/>
      <c r="NO147" s="39"/>
      <c r="NP147" s="39"/>
      <c r="NQ147" s="39"/>
      <c r="NR147" s="39"/>
      <c r="NS147" s="39"/>
      <c r="NT147" s="39"/>
      <c r="NU147" s="39"/>
      <c r="NV147" s="39"/>
      <c r="NW147" s="39"/>
      <c r="NX147" s="39"/>
      <c r="NY147" s="39"/>
      <c r="NZ147" s="39"/>
      <c r="OA147" s="39"/>
      <c r="OB147" s="39"/>
      <c r="OC147" s="39"/>
      <c r="OD147" s="39"/>
      <c r="OE147" s="39"/>
      <c r="OF147" s="39"/>
      <c r="OG147" s="39"/>
      <c r="OH147" s="39"/>
      <c r="OI147" s="39"/>
      <c r="OJ147" s="39"/>
      <c r="OK147" s="39"/>
      <c r="OL147" s="39"/>
      <c r="OM147" s="39"/>
      <c r="ON147" s="39"/>
      <c r="OO147" s="39"/>
      <c r="OP147" s="39"/>
      <c r="OQ147" s="39"/>
      <c r="OR147" s="39"/>
      <c r="OS147" s="39"/>
      <c r="OT147" s="39"/>
      <c r="OU147" s="39"/>
      <c r="OV147" s="39"/>
      <c r="OW147" s="39"/>
      <c r="OX147" s="39"/>
      <c r="OY147" s="39"/>
      <c r="OZ147" s="39"/>
      <c r="PA147" s="39"/>
      <c r="PB147" s="39"/>
      <c r="PC147" s="39"/>
      <c r="PD147" s="39"/>
      <c r="PE147" s="39"/>
      <c r="PF147" s="39"/>
      <c r="PG147" s="39"/>
      <c r="PH147" s="39"/>
      <c r="PI147" s="39"/>
      <c r="PJ147" s="39"/>
      <c r="PK147" s="39"/>
      <c r="PL147" s="39"/>
      <c r="PM147" s="39"/>
      <c r="PN147" s="39"/>
      <c r="PO147" s="39"/>
      <c r="PP147" s="39"/>
      <c r="PQ147" s="39"/>
      <c r="PR147" s="39"/>
      <c r="PS147" s="39"/>
      <c r="PT147" s="39"/>
      <c r="PU147" s="39"/>
      <c r="PV147" s="39"/>
      <c r="PW147" s="39"/>
      <c r="PX147" s="39"/>
      <c r="PY147" s="39"/>
      <c r="PZ147" s="39"/>
      <c r="QA147" s="39"/>
      <c r="QB147" s="39"/>
      <c r="QC147" s="39"/>
      <c r="QD147" s="39"/>
      <c r="QE147" s="39"/>
      <c r="QF147" s="39"/>
      <c r="QG147" s="39"/>
      <c r="QH147" s="39"/>
      <c r="QI147" s="39"/>
      <c r="QJ147" s="39"/>
      <c r="QK147" s="39"/>
      <c r="QL147" s="39"/>
      <c r="QM147" s="39"/>
      <c r="QN147" s="39"/>
      <c r="QO147" s="39"/>
      <c r="QP147" s="39"/>
      <c r="QQ147" s="39"/>
      <c r="QR147" s="39"/>
      <c r="QS147" s="39"/>
      <c r="QT147" s="39"/>
      <c r="QU147" s="39"/>
      <c r="QV147" s="39"/>
      <c r="QW147" s="39"/>
      <c r="QX147" s="39"/>
      <c r="QY147" s="39"/>
      <c r="QZ147" s="39"/>
      <c r="RA147" s="39"/>
      <c r="RB147" s="39"/>
      <c r="RC147" s="39"/>
      <c r="RD147" s="39"/>
      <c r="RE147" s="39"/>
      <c r="RF147" s="39"/>
      <c r="RG147" s="39"/>
      <c r="RH147" s="39"/>
      <c r="RI147" s="39"/>
      <c r="RJ147" s="39"/>
      <c r="RK147" s="39"/>
      <c r="RL147" s="39"/>
      <c r="RM147" s="39"/>
      <c r="RN147" s="39"/>
      <c r="RO147" s="39"/>
      <c r="RP147" s="39"/>
      <c r="RQ147" s="39"/>
      <c r="RR147" s="39"/>
      <c r="RS147" s="39"/>
      <c r="RT147" s="39"/>
      <c r="RU147" s="39"/>
      <c r="RV147" s="39"/>
      <c r="RW147" s="39"/>
      <c r="RX147" s="39"/>
      <c r="RY147" s="39"/>
      <c r="RZ147" s="39"/>
      <c r="SA147" s="39"/>
      <c r="SB147" s="39"/>
      <c r="SC147" s="39"/>
      <c r="SD147" s="39"/>
      <c r="SE147" s="39"/>
      <c r="SF147" s="39"/>
      <c r="SG147" s="39"/>
      <c r="SH147" s="39"/>
      <c r="SI147" s="39"/>
      <c r="SJ147" s="39"/>
      <c r="SK147" s="39"/>
      <c r="SL147" s="39"/>
      <c r="SM147" s="39"/>
      <c r="SN147" s="39"/>
      <c r="SO147" s="39"/>
      <c r="SP147" s="39"/>
      <c r="SQ147" s="39"/>
      <c r="SR147" s="39"/>
      <c r="SS147" s="39"/>
      <c r="ST147" s="39"/>
      <c r="SU147" s="39"/>
      <c r="SV147" s="39"/>
      <c r="SW147" s="39"/>
      <c r="SX147" s="39"/>
      <c r="SY147" s="39"/>
      <c r="SZ147" s="39"/>
      <c r="TA147" s="39"/>
      <c r="TB147" s="39"/>
      <c r="TC147" s="39"/>
      <c r="TD147" s="39"/>
      <c r="TE147" s="39"/>
      <c r="TF147" s="39"/>
      <c r="TG147" s="39"/>
      <c r="TH147" s="39"/>
      <c r="TI147" s="39"/>
      <c r="TJ147" s="39"/>
    </row>
    <row r="148" spans="1:530" s="23" customFormat="1" ht="44.25" customHeight="1" x14ac:dyDescent="0.25">
      <c r="A148" s="43" t="s">
        <v>170</v>
      </c>
      <c r="B148" s="44" t="str">
        <f>'дод 3-1'!A14</f>
        <v>0160</v>
      </c>
      <c r="C148" s="44" t="str">
        <f>'дод 3-1'!B14</f>
        <v>0111</v>
      </c>
      <c r="D148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48" s="71">
        <f t="shared" ref="E148:E156" si="79">F148+I148</f>
        <v>1893800</v>
      </c>
      <c r="F148" s="71">
        <f>1976700-82900</f>
        <v>1893800</v>
      </c>
      <c r="G148" s="71">
        <f>1620200-67900</f>
        <v>1552300</v>
      </c>
      <c r="H148" s="71"/>
      <c r="I148" s="71"/>
      <c r="J148" s="71">
        <f>L148+O148</f>
        <v>3200000</v>
      </c>
      <c r="K148" s="71"/>
      <c r="L148" s="71">
        <v>3200000</v>
      </c>
      <c r="M148" s="71">
        <v>2348000</v>
      </c>
      <c r="N148" s="71">
        <v>90600</v>
      </c>
      <c r="O148" s="71"/>
      <c r="P148" s="71">
        <f t="shared" ref="P148:P156" si="80">E148+J148</f>
        <v>5093800</v>
      </c>
      <c r="Q148" s="132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  <c r="TJ148" s="26"/>
    </row>
    <row r="149" spans="1:530" s="23" customFormat="1" ht="22.5" customHeight="1" x14ac:dyDescent="0.25">
      <c r="A149" s="43" t="s">
        <v>242</v>
      </c>
      <c r="B149" s="44" t="str">
        <f>'дод 3-1'!A88</f>
        <v>6030</v>
      </c>
      <c r="C149" s="44" t="str">
        <f>'дод 3-1'!B88</f>
        <v>0620</v>
      </c>
      <c r="D149" s="24" t="str">
        <f>'дод 3-1'!C88</f>
        <v>Організація благоустрою населених пунктів</v>
      </c>
      <c r="E149" s="71">
        <f t="shared" si="79"/>
        <v>0</v>
      </c>
      <c r="F149" s="71"/>
      <c r="G149" s="71"/>
      <c r="H149" s="71"/>
      <c r="I149" s="71"/>
      <c r="J149" s="71">
        <f t="shared" ref="J149:J161" si="81">L149+O149</f>
        <v>51250000</v>
      </c>
      <c r="K149" s="71">
        <f>60000000-5000000-3750000</f>
        <v>51250000</v>
      </c>
      <c r="L149" s="71"/>
      <c r="M149" s="71"/>
      <c r="N149" s="71"/>
      <c r="O149" s="71">
        <f>60000000-5000000-3750000</f>
        <v>51250000</v>
      </c>
      <c r="P149" s="71">
        <f t="shared" si="80"/>
        <v>51250000</v>
      </c>
      <c r="Q149" s="132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  <c r="TJ149" s="26"/>
    </row>
    <row r="150" spans="1:530" s="23" customFormat="1" ht="54.75" customHeight="1" x14ac:dyDescent="0.25">
      <c r="A150" s="43" t="s">
        <v>243</v>
      </c>
      <c r="B150" s="44" t="str">
        <f>'дод 3-1'!A89</f>
        <v>6084</v>
      </c>
      <c r="C150" s="44" t="str">
        <f>'дод 3-1'!B89</f>
        <v>0610</v>
      </c>
      <c r="D150" s="24" t="str">
        <f>'дод 3-1'!C89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50" s="71">
        <f t="shared" si="79"/>
        <v>84906</v>
      </c>
      <c r="F150" s="71"/>
      <c r="G150" s="71"/>
      <c r="H150" s="71"/>
      <c r="I150" s="71">
        <v>84906</v>
      </c>
      <c r="J150" s="71">
        <f t="shared" si="81"/>
        <v>46724</v>
      </c>
      <c r="K150" s="71"/>
      <c r="L150" s="73"/>
      <c r="M150" s="71"/>
      <c r="N150" s="71"/>
      <c r="O150" s="71">
        <v>46724</v>
      </c>
      <c r="P150" s="71">
        <f t="shared" si="80"/>
        <v>131630</v>
      </c>
      <c r="Q150" s="132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  <c r="TJ150" s="26"/>
    </row>
    <row r="151" spans="1:530" s="23" customFormat="1" ht="33.75" customHeight="1" x14ac:dyDescent="0.25">
      <c r="A151" s="43" t="s">
        <v>318</v>
      </c>
      <c r="B151" s="44" t="str">
        <f>'дод 3-1'!A95</f>
        <v>7310</v>
      </c>
      <c r="C151" s="44" t="str">
        <f>'дод 3-1'!B95</f>
        <v>0443</v>
      </c>
      <c r="D151" s="24" t="str">
        <f>'дод 3-1'!C95</f>
        <v>Будівництво об'єктів житлово-комунального господарства</v>
      </c>
      <c r="E151" s="71">
        <f t="shared" si="79"/>
        <v>0</v>
      </c>
      <c r="F151" s="71"/>
      <c r="G151" s="71"/>
      <c r="H151" s="71"/>
      <c r="I151" s="71"/>
      <c r="J151" s="71">
        <f t="shared" si="81"/>
        <v>3000000</v>
      </c>
      <c r="K151" s="71">
        <v>3000000</v>
      </c>
      <c r="L151" s="71"/>
      <c r="M151" s="71"/>
      <c r="N151" s="71"/>
      <c r="O151" s="71">
        <v>3000000</v>
      </c>
      <c r="P151" s="71">
        <f t="shared" si="80"/>
        <v>3000000</v>
      </c>
      <c r="Q151" s="132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  <c r="TJ151" s="26"/>
    </row>
    <row r="152" spans="1:530" s="23" customFormat="1" ht="21.75" customHeight="1" x14ac:dyDescent="0.25">
      <c r="A152" s="43" t="s">
        <v>319</v>
      </c>
      <c r="B152" s="44" t="str">
        <f>'дод 3-1'!A96</f>
        <v>7321</v>
      </c>
      <c r="C152" s="44" t="str">
        <f>'дод 3-1'!B96</f>
        <v>0443</v>
      </c>
      <c r="D152" s="24" t="str">
        <f>'дод 3-1'!C96</f>
        <v>Будівництво освітніх установ та закладів</v>
      </c>
      <c r="E152" s="71">
        <f t="shared" si="79"/>
        <v>0</v>
      </c>
      <c r="F152" s="71"/>
      <c r="G152" s="71"/>
      <c r="H152" s="71"/>
      <c r="I152" s="71"/>
      <c r="J152" s="71">
        <f t="shared" si="81"/>
        <v>9000000</v>
      </c>
      <c r="K152" s="71">
        <v>9000000</v>
      </c>
      <c r="L152" s="71"/>
      <c r="M152" s="71"/>
      <c r="N152" s="71"/>
      <c r="O152" s="71">
        <v>9000000</v>
      </c>
      <c r="P152" s="71">
        <f t="shared" si="80"/>
        <v>9000000</v>
      </c>
      <c r="Q152" s="132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  <c r="TJ152" s="26"/>
    </row>
    <row r="153" spans="1:530" s="23" customFormat="1" ht="18" customHeight="1" x14ac:dyDescent="0.25">
      <c r="A153" s="43" t="s">
        <v>321</v>
      </c>
      <c r="B153" s="44" t="str">
        <f>'дод 3-1'!A97</f>
        <v>7322</v>
      </c>
      <c r="C153" s="44" t="str">
        <f>'дод 3-1'!B97</f>
        <v>0443</v>
      </c>
      <c r="D153" s="24" t="str">
        <f>'дод 3-1'!C97</f>
        <v>Будівництво медичних установ та закладів</v>
      </c>
      <c r="E153" s="71">
        <f t="shared" si="79"/>
        <v>0</v>
      </c>
      <c r="F153" s="71"/>
      <c r="G153" s="71"/>
      <c r="H153" s="71"/>
      <c r="I153" s="71"/>
      <c r="J153" s="71">
        <f t="shared" si="81"/>
        <v>7000000</v>
      </c>
      <c r="K153" s="71">
        <v>7000000</v>
      </c>
      <c r="L153" s="71"/>
      <c r="M153" s="71"/>
      <c r="N153" s="71"/>
      <c r="O153" s="71">
        <v>7000000</v>
      </c>
      <c r="P153" s="71">
        <f t="shared" si="80"/>
        <v>7000000</v>
      </c>
      <c r="Q153" s="132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  <c r="TJ153" s="26"/>
    </row>
    <row r="154" spans="1:530" s="23" customFormat="1" ht="31.5" hidden="1" customHeight="1" x14ac:dyDescent="0.25">
      <c r="A154" s="43" t="s">
        <v>421</v>
      </c>
      <c r="B154" s="44">
        <f>'дод 3-1'!A98</f>
        <v>7325</v>
      </c>
      <c r="C154" s="44">
        <f>'дод 3-1'!B98</f>
        <v>443</v>
      </c>
      <c r="D154" s="24" t="str">
        <f>'дод 3-1'!C98</f>
        <v>Будівництво споруд, установ та закладів фізичної культури і спорту</v>
      </c>
      <c r="E154" s="71"/>
      <c r="F154" s="71"/>
      <c r="G154" s="71"/>
      <c r="H154" s="71"/>
      <c r="I154" s="71"/>
      <c r="J154" s="71">
        <f t="shared" si="81"/>
        <v>0</v>
      </c>
      <c r="K154" s="71">
        <f>7000000-7000000</f>
        <v>0</v>
      </c>
      <c r="L154" s="71"/>
      <c r="M154" s="71"/>
      <c r="N154" s="71"/>
      <c r="O154" s="71">
        <f>7000000-7000000</f>
        <v>0</v>
      </c>
      <c r="P154" s="71">
        <f t="shared" si="80"/>
        <v>0</v>
      </c>
      <c r="Q154" s="132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  <c r="TJ154" s="26"/>
    </row>
    <row r="155" spans="1:530" s="23" customFormat="1" ht="23.25" customHeight="1" x14ac:dyDescent="0.25">
      <c r="A155" s="43" t="s">
        <v>323</v>
      </c>
      <c r="B155" s="44" t="str">
        <f>'дод 3-1'!A99</f>
        <v>7330</v>
      </c>
      <c r="C155" s="44" t="str">
        <f>'дод 3-1'!B99</f>
        <v>0443</v>
      </c>
      <c r="D155" s="24" t="str">
        <f>'дод 3-1'!C99</f>
        <v>Будівництво інших об'єктів комунальної власності</v>
      </c>
      <c r="E155" s="71">
        <f t="shared" si="79"/>
        <v>0</v>
      </c>
      <c r="F155" s="71"/>
      <c r="G155" s="71"/>
      <c r="H155" s="71"/>
      <c r="I155" s="71"/>
      <c r="J155" s="71">
        <f t="shared" si="81"/>
        <v>40800000</v>
      </c>
      <c r="K155" s="71">
        <f>41200000+100000-1000000+300000+1000000+1000000-1800000</f>
        <v>40800000</v>
      </c>
      <c r="L155" s="71"/>
      <c r="M155" s="71"/>
      <c r="N155" s="71"/>
      <c r="O155" s="71">
        <f>41200000+100000-1000000+300000+1000000+1000000-1800000</f>
        <v>40800000</v>
      </c>
      <c r="P155" s="71">
        <f t="shared" si="80"/>
        <v>40800000</v>
      </c>
      <c r="Q155" s="132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  <c r="TJ155" s="26"/>
    </row>
    <row r="156" spans="1:530" s="23" customFormat="1" ht="21.75" customHeight="1" x14ac:dyDescent="0.25">
      <c r="A156" s="43" t="s">
        <v>177</v>
      </c>
      <c r="B156" s="44" t="str">
        <f>'дод 3-1'!A108</f>
        <v>7640</v>
      </c>
      <c r="C156" s="44" t="str">
        <f>'дод 3-1'!B108</f>
        <v>0470</v>
      </c>
      <c r="D156" s="24" t="str">
        <f>'дод 3-1'!C108</f>
        <v>Заходи з енергозбереження</v>
      </c>
      <c r="E156" s="71">
        <f t="shared" si="79"/>
        <v>1728011</v>
      </c>
      <c r="F156" s="71">
        <v>1728011</v>
      </c>
      <c r="G156" s="71"/>
      <c r="H156" s="71"/>
      <c r="I156" s="71"/>
      <c r="J156" s="71">
        <f t="shared" si="81"/>
        <v>84089000</v>
      </c>
      <c r="K156" s="71">
        <v>74352548</v>
      </c>
      <c r="L156" s="73"/>
      <c r="M156" s="71"/>
      <c r="N156" s="71"/>
      <c r="O156" s="71">
        <f>74352548+9736452</f>
        <v>84089000</v>
      </c>
      <c r="P156" s="71">
        <f t="shared" si="80"/>
        <v>85817011</v>
      </c>
      <c r="Q156" s="132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  <c r="TJ156" s="26"/>
    </row>
    <row r="157" spans="1:530" s="31" customFormat="1" ht="35.25" customHeight="1" x14ac:dyDescent="0.2">
      <c r="A157" s="78" t="s">
        <v>244</v>
      </c>
      <c r="B157" s="76"/>
      <c r="C157" s="76"/>
      <c r="D157" s="30" t="s">
        <v>53</v>
      </c>
      <c r="E157" s="68">
        <f>E158</f>
        <v>9017800</v>
      </c>
      <c r="F157" s="68">
        <f t="shared" ref="F157:J157" si="82">F158</f>
        <v>9017800</v>
      </c>
      <c r="G157" s="68">
        <f t="shared" si="82"/>
        <v>6950200</v>
      </c>
      <c r="H157" s="68">
        <f t="shared" si="82"/>
        <v>92400</v>
      </c>
      <c r="I157" s="68">
        <f t="shared" si="82"/>
        <v>0</v>
      </c>
      <c r="J157" s="68">
        <f t="shared" si="82"/>
        <v>1321371</v>
      </c>
      <c r="K157" s="68">
        <f t="shared" ref="K157" si="83">K158</f>
        <v>0</v>
      </c>
      <c r="L157" s="68">
        <f t="shared" ref="L157" si="84">L158</f>
        <v>1321371</v>
      </c>
      <c r="M157" s="68">
        <f t="shared" ref="M157" si="85">M158</f>
        <v>0</v>
      </c>
      <c r="N157" s="68">
        <f t="shared" ref="N157" si="86">N158</f>
        <v>0</v>
      </c>
      <c r="O157" s="68">
        <f t="shared" ref="O157:P157" si="87">O158</f>
        <v>0</v>
      </c>
      <c r="P157" s="68">
        <f t="shared" si="87"/>
        <v>10339171</v>
      </c>
      <c r="Q157" s="132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  <c r="IW157" s="38"/>
      <c r="IX157" s="38"/>
      <c r="IY157" s="38"/>
      <c r="IZ157" s="38"/>
      <c r="JA157" s="38"/>
      <c r="JB157" s="38"/>
      <c r="JC157" s="38"/>
      <c r="JD157" s="38"/>
      <c r="JE157" s="38"/>
      <c r="JF157" s="38"/>
      <c r="JG157" s="38"/>
      <c r="JH157" s="38"/>
      <c r="JI157" s="38"/>
      <c r="JJ157" s="38"/>
      <c r="JK157" s="38"/>
      <c r="JL157" s="38"/>
      <c r="JM157" s="38"/>
      <c r="JN157" s="38"/>
      <c r="JO157" s="38"/>
      <c r="JP157" s="38"/>
      <c r="JQ157" s="38"/>
      <c r="JR157" s="38"/>
      <c r="JS157" s="38"/>
      <c r="JT157" s="38"/>
      <c r="JU157" s="38"/>
      <c r="JV157" s="38"/>
      <c r="JW157" s="38"/>
      <c r="JX157" s="38"/>
      <c r="JY157" s="38"/>
      <c r="JZ157" s="38"/>
      <c r="KA157" s="38"/>
      <c r="KB157" s="38"/>
      <c r="KC157" s="38"/>
      <c r="KD157" s="38"/>
      <c r="KE157" s="38"/>
      <c r="KF157" s="38"/>
      <c r="KG157" s="38"/>
      <c r="KH157" s="38"/>
      <c r="KI157" s="38"/>
      <c r="KJ157" s="38"/>
      <c r="KK157" s="38"/>
      <c r="KL157" s="38"/>
      <c r="KM157" s="38"/>
      <c r="KN157" s="38"/>
      <c r="KO157" s="38"/>
      <c r="KP157" s="38"/>
      <c r="KQ157" s="38"/>
      <c r="KR157" s="38"/>
      <c r="KS157" s="38"/>
      <c r="KT157" s="38"/>
      <c r="KU157" s="38"/>
      <c r="KV157" s="38"/>
      <c r="KW157" s="38"/>
      <c r="KX157" s="38"/>
      <c r="KY157" s="38"/>
      <c r="KZ157" s="38"/>
      <c r="LA157" s="38"/>
      <c r="LB157" s="38"/>
      <c r="LC157" s="38"/>
      <c r="LD157" s="38"/>
      <c r="LE157" s="38"/>
      <c r="LF157" s="38"/>
      <c r="LG157" s="38"/>
      <c r="LH157" s="38"/>
      <c r="LI157" s="38"/>
      <c r="LJ157" s="38"/>
      <c r="LK157" s="38"/>
      <c r="LL157" s="38"/>
      <c r="LM157" s="38"/>
      <c r="LN157" s="38"/>
      <c r="LO157" s="38"/>
      <c r="LP157" s="38"/>
      <c r="LQ157" s="38"/>
      <c r="LR157" s="38"/>
      <c r="LS157" s="38"/>
      <c r="LT157" s="38"/>
      <c r="LU157" s="38"/>
      <c r="LV157" s="38"/>
      <c r="LW157" s="38"/>
      <c r="LX157" s="38"/>
      <c r="LY157" s="38"/>
      <c r="LZ157" s="38"/>
      <c r="MA157" s="38"/>
      <c r="MB157" s="38"/>
      <c r="MC157" s="38"/>
      <c r="MD157" s="38"/>
      <c r="ME157" s="38"/>
      <c r="MF157" s="38"/>
      <c r="MG157" s="38"/>
      <c r="MH157" s="38"/>
      <c r="MI157" s="38"/>
      <c r="MJ157" s="38"/>
      <c r="MK157" s="38"/>
      <c r="ML157" s="38"/>
      <c r="MM157" s="38"/>
      <c r="MN157" s="38"/>
      <c r="MO157" s="38"/>
      <c r="MP157" s="38"/>
      <c r="MQ157" s="38"/>
      <c r="MR157" s="38"/>
      <c r="MS157" s="38"/>
      <c r="MT157" s="38"/>
      <c r="MU157" s="38"/>
      <c r="MV157" s="38"/>
      <c r="MW157" s="38"/>
      <c r="MX157" s="38"/>
      <c r="MY157" s="38"/>
      <c r="MZ157" s="38"/>
      <c r="NA157" s="38"/>
      <c r="NB157" s="38"/>
      <c r="NC157" s="38"/>
      <c r="ND157" s="38"/>
      <c r="NE157" s="38"/>
      <c r="NF157" s="38"/>
      <c r="NG157" s="38"/>
      <c r="NH157" s="38"/>
      <c r="NI157" s="38"/>
      <c r="NJ157" s="38"/>
      <c r="NK157" s="38"/>
      <c r="NL157" s="38"/>
      <c r="NM157" s="38"/>
      <c r="NN157" s="38"/>
      <c r="NO157" s="38"/>
      <c r="NP157" s="38"/>
      <c r="NQ157" s="38"/>
      <c r="NR157" s="38"/>
      <c r="NS157" s="38"/>
      <c r="NT157" s="38"/>
      <c r="NU157" s="38"/>
      <c r="NV157" s="38"/>
      <c r="NW157" s="38"/>
      <c r="NX157" s="38"/>
      <c r="NY157" s="38"/>
      <c r="NZ157" s="38"/>
      <c r="OA157" s="38"/>
      <c r="OB157" s="38"/>
      <c r="OC157" s="38"/>
      <c r="OD157" s="38"/>
      <c r="OE157" s="38"/>
      <c r="OF157" s="38"/>
      <c r="OG157" s="38"/>
      <c r="OH157" s="38"/>
      <c r="OI157" s="38"/>
      <c r="OJ157" s="38"/>
      <c r="OK157" s="38"/>
      <c r="OL157" s="38"/>
      <c r="OM157" s="38"/>
      <c r="ON157" s="38"/>
      <c r="OO157" s="38"/>
      <c r="OP157" s="38"/>
      <c r="OQ157" s="38"/>
      <c r="OR157" s="38"/>
      <c r="OS157" s="38"/>
      <c r="OT157" s="38"/>
      <c r="OU157" s="38"/>
      <c r="OV157" s="38"/>
      <c r="OW157" s="38"/>
      <c r="OX157" s="38"/>
      <c r="OY157" s="38"/>
      <c r="OZ157" s="38"/>
      <c r="PA157" s="38"/>
      <c r="PB157" s="38"/>
      <c r="PC157" s="38"/>
      <c r="PD157" s="38"/>
      <c r="PE157" s="38"/>
      <c r="PF157" s="38"/>
      <c r="PG157" s="38"/>
      <c r="PH157" s="38"/>
      <c r="PI157" s="38"/>
      <c r="PJ157" s="38"/>
      <c r="PK157" s="38"/>
      <c r="PL157" s="38"/>
      <c r="PM157" s="38"/>
      <c r="PN157" s="38"/>
      <c r="PO157" s="38"/>
      <c r="PP157" s="38"/>
      <c r="PQ157" s="38"/>
      <c r="PR157" s="38"/>
      <c r="PS157" s="38"/>
      <c r="PT157" s="38"/>
      <c r="PU157" s="38"/>
      <c r="PV157" s="38"/>
      <c r="PW157" s="38"/>
      <c r="PX157" s="38"/>
      <c r="PY157" s="38"/>
      <c r="PZ157" s="38"/>
      <c r="QA157" s="38"/>
      <c r="QB157" s="38"/>
      <c r="QC157" s="38"/>
      <c r="QD157" s="38"/>
      <c r="QE157" s="38"/>
      <c r="QF157" s="38"/>
      <c r="QG157" s="38"/>
      <c r="QH157" s="38"/>
      <c r="QI157" s="38"/>
      <c r="QJ157" s="38"/>
      <c r="QK157" s="38"/>
      <c r="QL157" s="38"/>
      <c r="QM157" s="38"/>
      <c r="QN157" s="38"/>
      <c r="QO157" s="38"/>
      <c r="QP157" s="38"/>
      <c r="QQ157" s="38"/>
      <c r="QR157" s="38"/>
      <c r="QS157" s="38"/>
      <c r="QT157" s="38"/>
      <c r="QU157" s="38"/>
      <c r="QV157" s="38"/>
      <c r="QW157" s="38"/>
      <c r="QX157" s="38"/>
      <c r="QY157" s="38"/>
      <c r="QZ157" s="38"/>
      <c r="RA157" s="38"/>
      <c r="RB157" s="38"/>
      <c r="RC157" s="38"/>
      <c r="RD157" s="38"/>
      <c r="RE157" s="38"/>
      <c r="RF157" s="38"/>
      <c r="RG157" s="38"/>
      <c r="RH157" s="38"/>
      <c r="RI157" s="38"/>
      <c r="RJ157" s="38"/>
      <c r="RK157" s="38"/>
      <c r="RL157" s="38"/>
      <c r="RM157" s="38"/>
      <c r="RN157" s="38"/>
      <c r="RO157" s="38"/>
      <c r="RP157" s="38"/>
      <c r="RQ157" s="38"/>
      <c r="RR157" s="38"/>
      <c r="RS157" s="38"/>
      <c r="RT157" s="38"/>
      <c r="RU157" s="38"/>
      <c r="RV157" s="38"/>
      <c r="RW157" s="38"/>
      <c r="RX157" s="38"/>
      <c r="RY157" s="38"/>
      <c r="RZ157" s="38"/>
      <c r="SA157" s="38"/>
      <c r="SB157" s="38"/>
      <c r="SC157" s="38"/>
      <c r="SD157" s="38"/>
      <c r="SE157" s="38"/>
      <c r="SF157" s="38"/>
      <c r="SG157" s="38"/>
      <c r="SH157" s="38"/>
      <c r="SI157" s="38"/>
      <c r="SJ157" s="38"/>
      <c r="SK157" s="38"/>
      <c r="SL157" s="38"/>
      <c r="SM157" s="38"/>
      <c r="SN157" s="38"/>
      <c r="SO157" s="38"/>
      <c r="SP157" s="38"/>
      <c r="SQ157" s="38"/>
      <c r="SR157" s="38"/>
      <c r="SS157" s="38"/>
      <c r="ST157" s="38"/>
      <c r="SU157" s="38"/>
      <c r="SV157" s="38"/>
      <c r="SW157" s="38"/>
      <c r="SX157" s="38"/>
      <c r="SY157" s="38"/>
      <c r="SZ157" s="38"/>
      <c r="TA157" s="38"/>
      <c r="TB157" s="38"/>
      <c r="TC157" s="38"/>
      <c r="TD157" s="38"/>
      <c r="TE157" s="38"/>
      <c r="TF157" s="38"/>
      <c r="TG157" s="38"/>
      <c r="TH157" s="38"/>
      <c r="TI157" s="38"/>
      <c r="TJ157" s="38"/>
    </row>
    <row r="158" spans="1:530" s="40" customFormat="1" ht="41.25" customHeight="1" x14ac:dyDescent="0.25">
      <c r="A158" s="79" t="s">
        <v>245</v>
      </c>
      <c r="B158" s="77"/>
      <c r="C158" s="77"/>
      <c r="D158" s="33" t="s">
        <v>53</v>
      </c>
      <c r="E158" s="70">
        <f>E159+E160+E161</f>
        <v>9017800</v>
      </c>
      <c r="F158" s="70">
        <f t="shared" ref="F158:P158" si="88">F159+F160+F161</f>
        <v>9017800</v>
      </c>
      <c r="G158" s="70">
        <f t="shared" si="88"/>
        <v>6950200</v>
      </c>
      <c r="H158" s="70">
        <f t="shared" si="88"/>
        <v>92400</v>
      </c>
      <c r="I158" s="70">
        <f t="shared" si="88"/>
        <v>0</v>
      </c>
      <c r="J158" s="70">
        <f t="shared" si="88"/>
        <v>1321371</v>
      </c>
      <c r="K158" s="70">
        <f t="shared" si="88"/>
        <v>0</v>
      </c>
      <c r="L158" s="70">
        <f t="shared" si="88"/>
        <v>1321371</v>
      </c>
      <c r="M158" s="70">
        <f t="shared" si="88"/>
        <v>0</v>
      </c>
      <c r="N158" s="70">
        <f t="shared" si="88"/>
        <v>0</v>
      </c>
      <c r="O158" s="70">
        <f t="shared" si="88"/>
        <v>0</v>
      </c>
      <c r="P158" s="70">
        <f t="shared" si="88"/>
        <v>10339171</v>
      </c>
      <c r="Q158" s="132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  <c r="IW158" s="39"/>
      <c r="IX158" s="39"/>
      <c r="IY158" s="39"/>
      <c r="IZ158" s="39"/>
      <c r="JA158" s="39"/>
      <c r="JB158" s="39"/>
      <c r="JC158" s="39"/>
      <c r="JD158" s="39"/>
      <c r="JE158" s="39"/>
      <c r="JF158" s="39"/>
      <c r="JG158" s="39"/>
      <c r="JH158" s="39"/>
      <c r="JI158" s="39"/>
      <c r="JJ158" s="39"/>
      <c r="JK158" s="39"/>
      <c r="JL158" s="39"/>
      <c r="JM158" s="39"/>
      <c r="JN158" s="39"/>
      <c r="JO158" s="39"/>
      <c r="JP158" s="39"/>
      <c r="JQ158" s="39"/>
      <c r="JR158" s="39"/>
      <c r="JS158" s="39"/>
      <c r="JT158" s="39"/>
      <c r="JU158" s="39"/>
      <c r="JV158" s="39"/>
      <c r="JW158" s="39"/>
      <c r="JX158" s="39"/>
      <c r="JY158" s="39"/>
      <c r="JZ158" s="39"/>
      <c r="KA158" s="39"/>
      <c r="KB158" s="39"/>
      <c r="KC158" s="39"/>
      <c r="KD158" s="39"/>
      <c r="KE158" s="39"/>
      <c r="KF158" s="39"/>
      <c r="KG158" s="39"/>
      <c r="KH158" s="39"/>
      <c r="KI158" s="39"/>
      <c r="KJ158" s="39"/>
      <c r="KK158" s="39"/>
      <c r="KL158" s="39"/>
      <c r="KM158" s="39"/>
      <c r="KN158" s="39"/>
      <c r="KO158" s="39"/>
      <c r="KP158" s="39"/>
      <c r="KQ158" s="39"/>
      <c r="KR158" s="39"/>
      <c r="KS158" s="39"/>
      <c r="KT158" s="39"/>
      <c r="KU158" s="39"/>
      <c r="KV158" s="39"/>
      <c r="KW158" s="39"/>
      <c r="KX158" s="39"/>
      <c r="KY158" s="39"/>
      <c r="KZ158" s="39"/>
      <c r="LA158" s="39"/>
      <c r="LB158" s="39"/>
      <c r="LC158" s="39"/>
      <c r="LD158" s="39"/>
      <c r="LE158" s="39"/>
      <c r="LF158" s="39"/>
      <c r="LG158" s="39"/>
      <c r="LH158" s="39"/>
      <c r="LI158" s="39"/>
      <c r="LJ158" s="39"/>
      <c r="LK158" s="39"/>
      <c r="LL158" s="39"/>
      <c r="LM158" s="39"/>
      <c r="LN158" s="39"/>
      <c r="LO158" s="39"/>
      <c r="LP158" s="39"/>
      <c r="LQ158" s="39"/>
      <c r="LR158" s="39"/>
      <c r="LS158" s="39"/>
      <c r="LT158" s="39"/>
      <c r="LU158" s="39"/>
      <c r="LV158" s="39"/>
      <c r="LW158" s="39"/>
      <c r="LX158" s="39"/>
      <c r="LY158" s="39"/>
      <c r="LZ158" s="39"/>
      <c r="MA158" s="39"/>
      <c r="MB158" s="39"/>
      <c r="MC158" s="39"/>
      <c r="MD158" s="39"/>
      <c r="ME158" s="39"/>
      <c r="MF158" s="39"/>
      <c r="MG158" s="39"/>
      <c r="MH158" s="39"/>
      <c r="MI158" s="39"/>
      <c r="MJ158" s="39"/>
      <c r="MK158" s="39"/>
      <c r="ML158" s="39"/>
      <c r="MM158" s="39"/>
      <c r="MN158" s="39"/>
      <c r="MO158" s="39"/>
      <c r="MP158" s="39"/>
      <c r="MQ158" s="39"/>
      <c r="MR158" s="39"/>
      <c r="MS158" s="39"/>
      <c r="MT158" s="39"/>
      <c r="MU158" s="39"/>
      <c r="MV158" s="39"/>
      <c r="MW158" s="39"/>
      <c r="MX158" s="39"/>
      <c r="MY158" s="39"/>
      <c r="MZ158" s="39"/>
      <c r="NA158" s="39"/>
      <c r="NB158" s="39"/>
      <c r="NC158" s="39"/>
      <c r="ND158" s="39"/>
      <c r="NE158" s="39"/>
      <c r="NF158" s="39"/>
      <c r="NG158" s="39"/>
      <c r="NH158" s="39"/>
      <c r="NI158" s="39"/>
      <c r="NJ158" s="39"/>
      <c r="NK158" s="39"/>
      <c r="NL158" s="39"/>
      <c r="NM158" s="39"/>
      <c r="NN158" s="39"/>
      <c r="NO158" s="39"/>
      <c r="NP158" s="39"/>
      <c r="NQ158" s="39"/>
      <c r="NR158" s="39"/>
      <c r="NS158" s="39"/>
      <c r="NT158" s="39"/>
      <c r="NU158" s="39"/>
      <c r="NV158" s="39"/>
      <c r="NW158" s="39"/>
      <c r="NX158" s="39"/>
      <c r="NY158" s="39"/>
      <c r="NZ158" s="39"/>
      <c r="OA158" s="39"/>
      <c r="OB158" s="39"/>
      <c r="OC158" s="39"/>
      <c r="OD158" s="39"/>
      <c r="OE158" s="39"/>
      <c r="OF158" s="39"/>
      <c r="OG158" s="39"/>
      <c r="OH158" s="39"/>
      <c r="OI158" s="39"/>
      <c r="OJ158" s="39"/>
      <c r="OK158" s="39"/>
      <c r="OL158" s="39"/>
      <c r="OM158" s="39"/>
      <c r="ON158" s="39"/>
      <c r="OO158" s="39"/>
      <c r="OP158" s="39"/>
      <c r="OQ158" s="39"/>
      <c r="OR158" s="39"/>
      <c r="OS158" s="39"/>
      <c r="OT158" s="39"/>
      <c r="OU158" s="39"/>
      <c r="OV158" s="39"/>
      <c r="OW158" s="39"/>
      <c r="OX158" s="39"/>
      <c r="OY158" s="39"/>
      <c r="OZ158" s="39"/>
      <c r="PA158" s="39"/>
      <c r="PB158" s="39"/>
      <c r="PC158" s="39"/>
      <c r="PD158" s="39"/>
      <c r="PE158" s="39"/>
      <c r="PF158" s="39"/>
      <c r="PG158" s="39"/>
      <c r="PH158" s="39"/>
      <c r="PI158" s="39"/>
      <c r="PJ158" s="39"/>
      <c r="PK158" s="39"/>
      <c r="PL158" s="39"/>
      <c r="PM158" s="39"/>
      <c r="PN158" s="39"/>
      <c r="PO158" s="39"/>
      <c r="PP158" s="39"/>
      <c r="PQ158" s="39"/>
      <c r="PR158" s="39"/>
      <c r="PS158" s="39"/>
      <c r="PT158" s="39"/>
      <c r="PU158" s="39"/>
      <c r="PV158" s="39"/>
      <c r="PW158" s="39"/>
      <c r="PX158" s="39"/>
      <c r="PY158" s="39"/>
      <c r="PZ158" s="39"/>
      <c r="QA158" s="39"/>
      <c r="QB158" s="39"/>
      <c r="QC158" s="39"/>
      <c r="QD158" s="39"/>
      <c r="QE158" s="39"/>
      <c r="QF158" s="39"/>
      <c r="QG158" s="39"/>
      <c r="QH158" s="39"/>
      <c r="QI158" s="39"/>
      <c r="QJ158" s="39"/>
      <c r="QK158" s="39"/>
      <c r="QL158" s="39"/>
      <c r="QM158" s="39"/>
      <c r="QN158" s="39"/>
      <c r="QO158" s="39"/>
      <c r="QP158" s="39"/>
      <c r="QQ158" s="39"/>
      <c r="QR158" s="39"/>
      <c r="QS158" s="39"/>
      <c r="QT158" s="39"/>
      <c r="QU158" s="39"/>
      <c r="QV158" s="39"/>
      <c r="QW158" s="39"/>
      <c r="QX158" s="39"/>
      <c r="QY158" s="39"/>
      <c r="QZ158" s="39"/>
      <c r="RA158" s="39"/>
      <c r="RB158" s="39"/>
      <c r="RC158" s="39"/>
      <c r="RD158" s="39"/>
      <c r="RE158" s="39"/>
      <c r="RF158" s="39"/>
      <c r="RG158" s="39"/>
      <c r="RH158" s="39"/>
      <c r="RI158" s="39"/>
      <c r="RJ158" s="39"/>
      <c r="RK158" s="39"/>
      <c r="RL158" s="39"/>
      <c r="RM158" s="39"/>
      <c r="RN158" s="39"/>
      <c r="RO158" s="39"/>
      <c r="RP158" s="39"/>
      <c r="RQ158" s="39"/>
      <c r="RR158" s="39"/>
      <c r="RS158" s="39"/>
      <c r="RT158" s="39"/>
      <c r="RU158" s="39"/>
      <c r="RV158" s="39"/>
      <c r="RW158" s="39"/>
      <c r="RX158" s="39"/>
      <c r="RY158" s="39"/>
      <c r="RZ158" s="39"/>
      <c r="SA158" s="39"/>
      <c r="SB158" s="39"/>
      <c r="SC158" s="39"/>
      <c r="SD158" s="39"/>
      <c r="SE158" s="39"/>
      <c r="SF158" s="39"/>
      <c r="SG158" s="39"/>
      <c r="SH158" s="39"/>
      <c r="SI158" s="39"/>
      <c r="SJ158" s="39"/>
      <c r="SK158" s="39"/>
      <c r="SL158" s="39"/>
      <c r="SM158" s="39"/>
      <c r="SN158" s="39"/>
      <c r="SO158" s="39"/>
      <c r="SP158" s="39"/>
      <c r="SQ158" s="39"/>
      <c r="SR158" s="39"/>
      <c r="SS158" s="39"/>
      <c r="ST158" s="39"/>
      <c r="SU158" s="39"/>
      <c r="SV158" s="39"/>
      <c r="SW158" s="39"/>
      <c r="SX158" s="39"/>
      <c r="SY158" s="39"/>
      <c r="SZ158" s="39"/>
      <c r="TA158" s="39"/>
      <c r="TB158" s="39"/>
      <c r="TC158" s="39"/>
      <c r="TD158" s="39"/>
      <c r="TE158" s="39"/>
      <c r="TF158" s="39"/>
      <c r="TG158" s="39"/>
      <c r="TH158" s="39"/>
      <c r="TI158" s="39"/>
      <c r="TJ158" s="39"/>
    </row>
    <row r="159" spans="1:530" s="23" customFormat="1" ht="45" customHeight="1" x14ac:dyDescent="0.25">
      <c r="A159" s="43" t="s">
        <v>246</v>
      </c>
      <c r="B159" s="44" t="str">
        <f>'дод 3-1'!A14</f>
        <v>0160</v>
      </c>
      <c r="C159" s="44" t="str">
        <f>'дод 3-1'!B14</f>
        <v>0111</v>
      </c>
      <c r="D159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59" s="71">
        <f>F159+I159</f>
        <v>8842800</v>
      </c>
      <c r="F159" s="71">
        <f>8936200+12100+288619-394119</f>
        <v>8842800</v>
      </c>
      <c r="G159" s="71">
        <f>7036700+236573-323073</f>
        <v>6950200</v>
      </c>
      <c r="H159" s="71">
        <v>92400</v>
      </c>
      <c r="I159" s="71"/>
      <c r="J159" s="71">
        <f t="shared" si="81"/>
        <v>0</v>
      </c>
      <c r="K159" s="71"/>
      <c r="L159" s="71"/>
      <c r="M159" s="71"/>
      <c r="N159" s="71"/>
      <c r="O159" s="71"/>
      <c r="P159" s="71">
        <f>E159+J159</f>
        <v>8842800</v>
      </c>
      <c r="Q159" s="132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</row>
    <row r="160" spans="1:530" s="23" customFormat="1" ht="34.5" customHeight="1" x14ac:dyDescent="0.25">
      <c r="A160" s="43" t="s">
        <v>363</v>
      </c>
      <c r="B160" s="44" t="str">
        <f>'дод 3-1'!A90</f>
        <v>6090</v>
      </c>
      <c r="C160" s="44" t="str">
        <f>'дод 3-1'!B90</f>
        <v>0640</v>
      </c>
      <c r="D160" s="24" t="str">
        <f>'дод 3-1'!C90</f>
        <v>Інша діяльність у сфері житлово-комунального господарства</v>
      </c>
      <c r="E160" s="71">
        <f>F160+I160</f>
        <v>175000</v>
      </c>
      <c r="F160" s="71">
        <v>175000</v>
      </c>
      <c r="G160" s="71"/>
      <c r="H160" s="71"/>
      <c r="I160" s="71"/>
      <c r="J160" s="71">
        <f t="shared" si="81"/>
        <v>0</v>
      </c>
      <c r="K160" s="71"/>
      <c r="L160" s="71"/>
      <c r="M160" s="71"/>
      <c r="N160" s="71"/>
      <c r="O160" s="71"/>
      <c r="P160" s="71">
        <f>E160+J160</f>
        <v>175000</v>
      </c>
      <c r="Q160" s="132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  <c r="TJ160" s="26"/>
    </row>
    <row r="161" spans="1:530" s="23" customFormat="1" ht="87.75" customHeight="1" x14ac:dyDescent="0.25">
      <c r="A161" s="52" t="s">
        <v>349</v>
      </c>
      <c r="B161" s="45" t="str">
        <f>'дод 3-1'!A113</f>
        <v>7691</v>
      </c>
      <c r="C161" s="45" t="str">
        <f>'дод 3-1'!B113</f>
        <v>0490</v>
      </c>
      <c r="D161" s="22" t="str">
        <f>'дод 3-1'!C113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61" s="71">
        <f>F161+I161</f>
        <v>0</v>
      </c>
      <c r="F161" s="71"/>
      <c r="G161" s="71"/>
      <c r="H161" s="71"/>
      <c r="I161" s="71"/>
      <c r="J161" s="71">
        <f t="shared" si="81"/>
        <v>1321371</v>
      </c>
      <c r="K161" s="71"/>
      <c r="L161" s="71">
        <v>1321371</v>
      </c>
      <c r="M161" s="71"/>
      <c r="N161" s="71"/>
      <c r="O161" s="71"/>
      <c r="P161" s="71">
        <f>E161+J161</f>
        <v>1321371</v>
      </c>
      <c r="Q161" s="132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  <c r="TJ161" s="26"/>
    </row>
    <row r="162" spans="1:530" s="31" customFormat="1" ht="36.75" customHeight="1" x14ac:dyDescent="0.2">
      <c r="A162" s="78" t="s">
        <v>249</v>
      </c>
      <c r="B162" s="76"/>
      <c r="C162" s="76"/>
      <c r="D162" s="30" t="s">
        <v>56</v>
      </c>
      <c r="E162" s="68">
        <f>E163</f>
        <v>4774500</v>
      </c>
      <c r="F162" s="68">
        <f t="shared" ref="F162:J163" si="89">F163</f>
        <v>4774500</v>
      </c>
      <c r="G162" s="68">
        <f t="shared" si="89"/>
        <v>3716000</v>
      </c>
      <c r="H162" s="68">
        <f t="shared" si="89"/>
        <v>52700</v>
      </c>
      <c r="I162" s="68">
        <f t="shared" si="89"/>
        <v>0</v>
      </c>
      <c r="J162" s="68">
        <f t="shared" si="89"/>
        <v>0</v>
      </c>
      <c r="K162" s="68">
        <f t="shared" ref="K162:K163" si="90">K163</f>
        <v>0</v>
      </c>
      <c r="L162" s="68">
        <f t="shared" ref="L162:L163" si="91">L163</f>
        <v>0</v>
      </c>
      <c r="M162" s="68">
        <f t="shared" ref="M162:M163" si="92">M163</f>
        <v>0</v>
      </c>
      <c r="N162" s="68">
        <f t="shared" ref="N162:N163" si="93">N163</f>
        <v>0</v>
      </c>
      <c r="O162" s="68">
        <f t="shared" ref="O162:P163" si="94">O163</f>
        <v>0</v>
      </c>
      <c r="P162" s="68">
        <f t="shared" si="94"/>
        <v>4774500</v>
      </c>
      <c r="Q162" s="132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  <c r="IW162" s="38"/>
      <c r="IX162" s="38"/>
      <c r="IY162" s="38"/>
      <c r="IZ162" s="38"/>
      <c r="JA162" s="38"/>
      <c r="JB162" s="38"/>
      <c r="JC162" s="38"/>
      <c r="JD162" s="38"/>
      <c r="JE162" s="38"/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8"/>
      <c r="KK162" s="38"/>
      <c r="KL162" s="38"/>
      <c r="KM162" s="38"/>
      <c r="KN162" s="38"/>
      <c r="KO162" s="38"/>
      <c r="KP162" s="38"/>
      <c r="KQ162" s="38"/>
      <c r="KR162" s="38"/>
      <c r="KS162" s="38"/>
      <c r="KT162" s="38"/>
      <c r="KU162" s="38"/>
      <c r="KV162" s="38"/>
      <c r="KW162" s="38"/>
      <c r="KX162" s="38"/>
      <c r="KY162" s="38"/>
      <c r="KZ162" s="38"/>
      <c r="LA162" s="38"/>
      <c r="LB162" s="38"/>
      <c r="LC162" s="38"/>
      <c r="LD162" s="38"/>
      <c r="LE162" s="38"/>
      <c r="LF162" s="38"/>
      <c r="LG162" s="38"/>
      <c r="LH162" s="38"/>
      <c r="LI162" s="38"/>
      <c r="LJ162" s="38"/>
      <c r="LK162" s="38"/>
      <c r="LL162" s="38"/>
      <c r="LM162" s="38"/>
      <c r="LN162" s="38"/>
      <c r="LO162" s="38"/>
      <c r="LP162" s="38"/>
      <c r="LQ162" s="38"/>
      <c r="LR162" s="38"/>
      <c r="LS162" s="38"/>
      <c r="LT162" s="38"/>
      <c r="LU162" s="38"/>
      <c r="LV162" s="38"/>
      <c r="LW162" s="38"/>
      <c r="LX162" s="38"/>
      <c r="LY162" s="38"/>
      <c r="LZ162" s="38"/>
      <c r="MA162" s="38"/>
      <c r="MB162" s="38"/>
      <c r="MC162" s="38"/>
      <c r="MD162" s="38"/>
      <c r="ME162" s="38"/>
      <c r="MF162" s="38"/>
      <c r="MG162" s="38"/>
      <c r="MH162" s="38"/>
      <c r="MI162" s="38"/>
      <c r="MJ162" s="38"/>
      <c r="MK162" s="38"/>
      <c r="ML162" s="38"/>
      <c r="MM162" s="38"/>
      <c r="MN162" s="38"/>
      <c r="MO162" s="38"/>
      <c r="MP162" s="38"/>
      <c r="MQ162" s="38"/>
      <c r="MR162" s="38"/>
      <c r="MS162" s="38"/>
      <c r="MT162" s="38"/>
      <c r="MU162" s="38"/>
      <c r="MV162" s="38"/>
      <c r="MW162" s="38"/>
      <c r="MX162" s="38"/>
      <c r="MY162" s="38"/>
      <c r="MZ162" s="38"/>
      <c r="NA162" s="38"/>
      <c r="NB162" s="38"/>
      <c r="NC162" s="38"/>
      <c r="ND162" s="38"/>
      <c r="NE162" s="38"/>
      <c r="NF162" s="38"/>
      <c r="NG162" s="38"/>
      <c r="NH162" s="3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38"/>
      <c r="OC162" s="38"/>
      <c r="OD162" s="38"/>
      <c r="OE162" s="38"/>
      <c r="OF162" s="38"/>
      <c r="OG162" s="38"/>
      <c r="OH162" s="38"/>
      <c r="OI162" s="38"/>
      <c r="OJ162" s="38"/>
      <c r="OK162" s="38"/>
      <c r="OL162" s="38"/>
      <c r="OM162" s="38"/>
      <c r="ON162" s="38"/>
      <c r="OO162" s="38"/>
      <c r="OP162" s="38"/>
      <c r="OQ162" s="38"/>
      <c r="OR162" s="38"/>
      <c r="OS162" s="38"/>
      <c r="OT162" s="38"/>
      <c r="OU162" s="38"/>
      <c r="OV162" s="38"/>
      <c r="OW162" s="38"/>
      <c r="OX162" s="38"/>
      <c r="OY162" s="38"/>
      <c r="OZ162" s="38"/>
      <c r="PA162" s="38"/>
      <c r="PB162" s="38"/>
      <c r="PC162" s="38"/>
      <c r="PD162" s="38"/>
      <c r="PE162" s="38"/>
      <c r="PF162" s="38"/>
      <c r="PG162" s="38"/>
      <c r="PH162" s="38"/>
      <c r="PI162" s="38"/>
      <c r="PJ162" s="38"/>
      <c r="PK162" s="38"/>
      <c r="PL162" s="38"/>
      <c r="PM162" s="38"/>
      <c r="PN162" s="38"/>
      <c r="PO162" s="38"/>
      <c r="PP162" s="38"/>
      <c r="PQ162" s="38"/>
      <c r="PR162" s="38"/>
      <c r="PS162" s="38"/>
      <c r="PT162" s="38"/>
      <c r="PU162" s="38"/>
      <c r="PV162" s="38"/>
      <c r="PW162" s="38"/>
      <c r="PX162" s="38"/>
      <c r="PY162" s="38"/>
      <c r="PZ162" s="38"/>
      <c r="QA162" s="38"/>
      <c r="QB162" s="38"/>
      <c r="QC162" s="38"/>
      <c r="QD162" s="38"/>
      <c r="QE162" s="38"/>
      <c r="QF162" s="38"/>
      <c r="QG162" s="38"/>
      <c r="QH162" s="38"/>
      <c r="QI162" s="38"/>
      <c r="QJ162" s="38"/>
      <c r="QK162" s="38"/>
      <c r="QL162" s="38"/>
      <c r="QM162" s="38"/>
      <c r="QN162" s="38"/>
      <c r="QO162" s="38"/>
      <c r="QP162" s="38"/>
      <c r="QQ162" s="38"/>
      <c r="QR162" s="38"/>
      <c r="QS162" s="38"/>
      <c r="QT162" s="38"/>
      <c r="QU162" s="38"/>
      <c r="QV162" s="38"/>
      <c r="QW162" s="38"/>
      <c r="QX162" s="38"/>
      <c r="QY162" s="38"/>
      <c r="QZ162" s="38"/>
      <c r="RA162" s="38"/>
      <c r="RB162" s="38"/>
      <c r="RC162" s="38"/>
      <c r="RD162" s="38"/>
      <c r="RE162" s="38"/>
      <c r="RF162" s="38"/>
      <c r="RG162" s="38"/>
      <c r="RH162" s="38"/>
      <c r="RI162" s="38"/>
      <c r="RJ162" s="38"/>
      <c r="RK162" s="38"/>
      <c r="RL162" s="38"/>
      <c r="RM162" s="38"/>
      <c r="RN162" s="38"/>
      <c r="RO162" s="38"/>
      <c r="RP162" s="38"/>
      <c r="RQ162" s="38"/>
      <c r="RR162" s="38"/>
      <c r="RS162" s="38"/>
      <c r="RT162" s="38"/>
      <c r="RU162" s="38"/>
      <c r="RV162" s="38"/>
      <c r="RW162" s="38"/>
      <c r="RX162" s="38"/>
      <c r="RY162" s="38"/>
      <c r="RZ162" s="38"/>
      <c r="SA162" s="38"/>
      <c r="SB162" s="38"/>
      <c r="SC162" s="38"/>
      <c r="SD162" s="38"/>
      <c r="SE162" s="38"/>
      <c r="SF162" s="38"/>
      <c r="SG162" s="38"/>
      <c r="SH162" s="38"/>
      <c r="SI162" s="38"/>
      <c r="SJ162" s="38"/>
      <c r="SK162" s="38"/>
      <c r="SL162" s="38"/>
      <c r="SM162" s="38"/>
      <c r="SN162" s="38"/>
      <c r="SO162" s="38"/>
      <c r="SP162" s="38"/>
      <c r="SQ162" s="38"/>
      <c r="SR162" s="38"/>
      <c r="SS162" s="38"/>
      <c r="ST162" s="38"/>
      <c r="SU162" s="38"/>
      <c r="SV162" s="38"/>
      <c r="SW162" s="38"/>
      <c r="SX162" s="38"/>
      <c r="SY162" s="38"/>
      <c r="SZ162" s="38"/>
      <c r="TA162" s="38"/>
      <c r="TB162" s="38"/>
      <c r="TC162" s="38"/>
      <c r="TD162" s="38"/>
      <c r="TE162" s="38"/>
      <c r="TF162" s="38"/>
      <c r="TG162" s="38"/>
      <c r="TH162" s="38"/>
      <c r="TI162" s="38"/>
      <c r="TJ162" s="38"/>
    </row>
    <row r="163" spans="1:530" s="40" customFormat="1" ht="35.25" customHeight="1" x14ac:dyDescent="0.25">
      <c r="A163" s="79" t="s">
        <v>247</v>
      </c>
      <c r="B163" s="77"/>
      <c r="C163" s="77"/>
      <c r="D163" s="33" t="s">
        <v>56</v>
      </c>
      <c r="E163" s="70">
        <f>E164</f>
        <v>4774500</v>
      </c>
      <c r="F163" s="70">
        <f t="shared" si="89"/>
        <v>4774500</v>
      </c>
      <c r="G163" s="70">
        <f t="shared" si="89"/>
        <v>3716000</v>
      </c>
      <c r="H163" s="70">
        <f t="shared" si="89"/>
        <v>52700</v>
      </c>
      <c r="I163" s="70">
        <f t="shared" si="89"/>
        <v>0</v>
      </c>
      <c r="J163" s="70">
        <f t="shared" si="89"/>
        <v>0</v>
      </c>
      <c r="K163" s="70">
        <f t="shared" si="90"/>
        <v>0</v>
      </c>
      <c r="L163" s="70">
        <f t="shared" si="91"/>
        <v>0</v>
      </c>
      <c r="M163" s="70">
        <f t="shared" si="92"/>
        <v>0</v>
      </c>
      <c r="N163" s="70">
        <f t="shared" si="93"/>
        <v>0</v>
      </c>
      <c r="O163" s="70">
        <f t="shared" si="94"/>
        <v>0</v>
      </c>
      <c r="P163" s="70">
        <f t="shared" si="94"/>
        <v>4774500</v>
      </c>
      <c r="Q163" s="132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  <c r="IW163" s="39"/>
      <c r="IX163" s="39"/>
      <c r="IY163" s="39"/>
      <c r="IZ163" s="39"/>
      <c r="JA163" s="39"/>
      <c r="JB163" s="39"/>
      <c r="JC163" s="39"/>
      <c r="JD163" s="39"/>
      <c r="JE163" s="39"/>
      <c r="JF163" s="39"/>
      <c r="JG163" s="39"/>
      <c r="JH163" s="39"/>
      <c r="JI163" s="39"/>
      <c r="JJ163" s="39"/>
      <c r="JK163" s="39"/>
      <c r="JL163" s="39"/>
      <c r="JM163" s="39"/>
      <c r="JN163" s="39"/>
      <c r="JO163" s="39"/>
      <c r="JP163" s="39"/>
      <c r="JQ163" s="39"/>
      <c r="JR163" s="39"/>
      <c r="JS163" s="39"/>
      <c r="JT163" s="39"/>
      <c r="JU163" s="39"/>
      <c r="JV163" s="39"/>
      <c r="JW163" s="39"/>
      <c r="JX163" s="39"/>
      <c r="JY163" s="39"/>
      <c r="JZ163" s="39"/>
      <c r="KA163" s="39"/>
      <c r="KB163" s="39"/>
      <c r="KC163" s="39"/>
      <c r="KD163" s="39"/>
      <c r="KE163" s="39"/>
      <c r="KF163" s="39"/>
      <c r="KG163" s="39"/>
      <c r="KH163" s="39"/>
      <c r="KI163" s="39"/>
      <c r="KJ163" s="39"/>
      <c r="KK163" s="39"/>
      <c r="KL163" s="39"/>
      <c r="KM163" s="39"/>
      <c r="KN163" s="39"/>
      <c r="KO163" s="39"/>
      <c r="KP163" s="39"/>
      <c r="KQ163" s="39"/>
      <c r="KR163" s="39"/>
      <c r="KS163" s="39"/>
      <c r="KT163" s="39"/>
      <c r="KU163" s="39"/>
      <c r="KV163" s="39"/>
      <c r="KW163" s="39"/>
      <c r="KX163" s="39"/>
      <c r="KY163" s="39"/>
      <c r="KZ163" s="39"/>
      <c r="LA163" s="39"/>
      <c r="LB163" s="39"/>
      <c r="LC163" s="39"/>
      <c r="LD163" s="39"/>
      <c r="LE163" s="39"/>
      <c r="LF163" s="39"/>
      <c r="LG163" s="39"/>
      <c r="LH163" s="39"/>
      <c r="LI163" s="39"/>
      <c r="LJ163" s="39"/>
      <c r="LK163" s="39"/>
      <c r="LL163" s="39"/>
      <c r="LM163" s="39"/>
      <c r="LN163" s="39"/>
      <c r="LO163" s="39"/>
      <c r="LP163" s="39"/>
      <c r="LQ163" s="39"/>
      <c r="LR163" s="39"/>
      <c r="LS163" s="39"/>
      <c r="LT163" s="39"/>
      <c r="LU163" s="39"/>
      <c r="LV163" s="39"/>
      <c r="LW163" s="39"/>
      <c r="LX163" s="39"/>
      <c r="LY163" s="39"/>
      <c r="LZ163" s="39"/>
      <c r="MA163" s="39"/>
      <c r="MB163" s="39"/>
      <c r="MC163" s="39"/>
      <c r="MD163" s="39"/>
      <c r="ME163" s="39"/>
      <c r="MF163" s="39"/>
      <c r="MG163" s="39"/>
      <c r="MH163" s="39"/>
      <c r="MI163" s="39"/>
      <c r="MJ163" s="39"/>
      <c r="MK163" s="39"/>
      <c r="ML163" s="39"/>
      <c r="MM163" s="39"/>
      <c r="MN163" s="39"/>
      <c r="MO163" s="39"/>
      <c r="MP163" s="39"/>
      <c r="MQ163" s="39"/>
      <c r="MR163" s="39"/>
      <c r="MS163" s="39"/>
      <c r="MT163" s="39"/>
      <c r="MU163" s="39"/>
      <c r="MV163" s="39"/>
      <c r="MW163" s="39"/>
      <c r="MX163" s="39"/>
      <c r="MY163" s="39"/>
      <c r="MZ163" s="39"/>
      <c r="NA163" s="39"/>
      <c r="NB163" s="39"/>
      <c r="NC163" s="39"/>
      <c r="ND163" s="39"/>
      <c r="NE163" s="39"/>
      <c r="NF163" s="39"/>
      <c r="NG163" s="39"/>
      <c r="NH163" s="39"/>
      <c r="NI163" s="39"/>
      <c r="NJ163" s="39"/>
      <c r="NK163" s="39"/>
      <c r="NL163" s="39"/>
      <c r="NM163" s="39"/>
      <c r="NN163" s="39"/>
      <c r="NO163" s="39"/>
      <c r="NP163" s="39"/>
      <c r="NQ163" s="39"/>
      <c r="NR163" s="39"/>
      <c r="NS163" s="39"/>
      <c r="NT163" s="39"/>
      <c r="NU163" s="39"/>
      <c r="NV163" s="39"/>
      <c r="NW163" s="39"/>
      <c r="NX163" s="39"/>
      <c r="NY163" s="39"/>
      <c r="NZ163" s="39"/>
      <c r="OA163" s="39"/>
      <c r="OB163" s="39"/>
      <c r="OC163" s="39"/>
      <c r="OD163" s="39"/>
      <c r="OE163" s="39"/>
      <c r="OF163" s="39"/>
      <c r="OG163" s="39"/>
      <c r="OH163" s="39"/>
      <c r="OI163" s="39"/>
      <c r="OJ163" s="39"/>
      <c r="OK163" s="39"/>
      <c r="OL163" s="39"/>
      <c r="OM163" s="39"/>
      <c r="ON163" s="39"/>
      <c r="OO163" s="39"/>
      <c r="OP163" s="39"/>
      <c r="OQ163" s="39"/>
      <c r="OR163" s="39"/>
      <c r="OS163" s="39"/>
      <c r="OT163" s="39"/>
      <c r="OU163" s="39"/>
      <c r="OV163" s="39"/>
      <c r="OW163" s="39"/>
      <c r="OX163" s="39"/>
      <c r="OY163" s="39"/>
      <c r="OZ163" s="39"/>
      <c r="PA163" s="39"/>
      <c r="PB163" s="39"/>
      <c r="PC163" s="39"/>
      <c r="PD163" s="39"/>
      <c r="PE163" s="39"/>
      <c r="PF163" s="39"/>
      <c r="PG163" s="39"/>
      <c r="PH163" s="39"/>
      <c r="PI163" s="39"/>
      <c r="PJ163" s="39"/>
      <c r="PK163" s="39"/>
      <c r="PL163" s="39"/>
      <c r="PM163" s="39"/>
      <c r="PN163" s="39"/>
      <c r="PO163" s="39"/>
      <c r="PP163" s="39"/>
      <c r="PQ163" s="39"/>
      <c r="PR163" s="39"/>
      <c r="PS163" s="39"/>
      <c r="PT163" s="39"/>
      <c r="PU163" s="39"/>
      <c r="PV163" s="39"/>
      <c r="PW163" s="39"/>
      <c r="PX163" s="39"/>
      <c r="PY163" s="39"/>
      <c r="PZ163" s="39"/>
      <c r="QA163" s="39"/>
      <c r="QB163" s="39"/>
      <c r="QC163" s="39"/>
      <c r="QD163" s="39"/>
      <c r="QE163" s="39"/>
      <c r="QF163" s="39"/>
      <c r="QG163" s="39"/>
      <c r="QH163" s="39"/>
      <c r="QI163" s="39"/>
      <c r="QJ163" s="39"/>
      <c r="QK163" s="39"/>
      <c r="QL163" s="39"/>
      <c r="QM163" s="39"/>
      <c r="QN163" s="39"/>
      <c r="QO163" s="39"/>
      <c r="QP163" s="39"/>
      <c r="QQ163" s="39"/>
      <c r="QR163" s="39"/>
      <c r="QS163" s="39"/>
      <c r="QT163" s="39"/>
      <c r="QU163" s="39"/>
      <c r="QV163" s="39"/>
      <c r="QW163" s="39"/>
      <c r="QX163" s="39"/>
      <c r="QY163" s="39"/>
      <c r="QZ163" s="39"/>
      <c r="RA163" s="39"/>
      <c r="RB163" s="39"/>
      <c r="RC163" s="39"/>
      <c r="RD163" s="39"/>
      <c r="RE163" s="39"/>
      <c r="RF163" s="39"/>
      <c r="RG163" s="39"/>
      <c r="RH163" s="39"/>
      <c r="RI163" s="39"/>
      <c r="RJ163" s="39"/>
      <c r="RK163" s="39"/>
      <c r="RL163" s="39"/>
      <c r="RM163" s="39"/>
      <c r="RN163" s="39"/>
      <c r="RO163" s="39"/>
      <c r="RP163" s="39"/>
      <c r="RQ163" s="39"/>
      <c r="RR163" s="39"/>
      <c r="RS163" s="39"/>
      <c r="RT163" s="39"/>
      <c r="RU163" s="39"/>
      <c r="RV163" s="39"/>
      <c r="RW163" s="39"/>
      <c r="RX163" s="39"/>
      <c r="RY163" s="39"/>
      <c r="RZ163" s="39"/>
      <c r="SA163" s="39"/>
      <c r="SB163" s="39"/>
      <c r="SC163" s="39"/>
      <c r="SD163" s="39"/>
      <c r="SE163" s="39"/>
      <c r="SF163" s="39"/>
      <c r="SG163" s="39"/>
      <c r="SH163" s="39"/>
      <c r="SI163" s="39"/>
      <c r="SJ163" s="39"/>
      <c r="SK163" s="39"/>
      <c r="SL163" s="39"/>
      <c r="SM163" s="39"/>
      <c r="SN163" s="39"/>
      <c r="SO163" s="39"/>
      <c r="SP163" s="39"/>
      <c r="SQ163" s="39"/>
      <c r="SR163" s="39"/>
      <c r="SS163" s="39"/>
      <c r="ST163" s="39"/>
      <c r="SU163" s="39"/>
      <c r="SV163" s="39"/>
      <c r="SW163" s="39"/>
      <c r="SX163" s="39"/>
      <c r="SY163" s="39"/>
      <c r="SZ163" s="39"/>
      <c r="TA163" s="39"/>
      <c r="TB163" s="39"/>
      <c r="TC163" s="39"/>
      <c r="TD163" s="39"/>
      <c r="TE163" s="39"/>
      <c r="TF163" s="39"/>
      <c r="TG163" s="39"/>
      <c r="TH163" s="39"/>
      <c r="TI163" s="39"/>
      <c r="TJ163" s="39"/>
    </row>
    <row r="164" spans="1:530" s="23" customFormat="1" ht="43.5" customHeight="1" x14ac:dyDescent="0.25">
      <c r="A164" s="43" t="s">
        <v>248</v>
      </c>
      <c r="B164" s="44" t="str">
        <f>'дод 3-1'!A14</f>
        <v>0160</v>
      </c>
      <c r="C164" s="44" t="str">
        <f>'дод 3-1'!B14</f>
        <v>0111</v>
      </c>
      <c r="D164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64" s="71">
        <f>F164+I164</f>
        <v>4774500</v>
      </c>
      <c r="F164" s="71">
        <f>4985700+21800-233000</f>
        <v>4774500</v>
      </c>
      <c r="G164" s="71">
        <f>3907000-191000</f>
        <v>3716000</v>
      </c>
      <c r="H164" s="71">
        <v>52700</v>
      </c>
      <c r="I164" s="71"/>
      <c r="J164" s="71">
        <f>L164+O164</f>
        <v>0</v>
      </c>
      <c r="K164" s="71"/>
      <c r="L164" s="71"/>
      <c r="M164" s="71"/>
      <c r="N164" s="71"/>
      <c r="O164" s="71"/>
      <c r="P164" s="71">
        <f>E164+J164</f>
        <v>4774500</v>
      </c>
      <c r="Q164" s="132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  <c r="TJ164" s="26"/>
    </row>
    <row r="165" spans="1:530" s="31" customFormat="1" ht="37.5" customHeight="1" x14ac:dyDescent="0.2">
      <c r="A165" s="78" t="s">
        <v>250</v>
      </c>
      <c r="B165" s="76"/>
      <c r="C165" s="76"/>
      <c r="D165" s="30" t="s">
        <v>52</v>
      </c>
      <c r="E165" s="68">
        <f>E166</f>
        <v>20393000</v>
      </c>
      <c r="F165" s="68">
        <f t="shared" ref="F165:J165" si="95">F166</f>
        <v>19775000</v>
      </c>
      <c r="G165" s="68">
        <f t="shared" si="95"/>
        <v>13931300</v>
      </c>
      <c r="H165" s="68">
        <f t="shared" si="95"/>
        <v>314600</v>
      </c>
      <c r="I165" s="68">
        <f t="shared" si="95"/>
        <v>618000</v>
      </c>
      <c r="J165" s="68">
        <f t="shared" si="95"/>
        <v>100000</v>
      </c>
      <c r="K165" s="68">
        <f t="shared" ref="K165" si="96">K166</f>
        <v>100000</v>
      </c>
      <c r="L165" s="68">
        <f t="shared" ref="L165" si="97">L166</f>
        <v>0</v>
      </c>
      <c r="M165" s="68">
        <f t="shared" ref="M165" si="98">M166</f>
        <v>0</v>
      </c>
      <c r="N165" s="68">
        <f t="shared" ref="N165" si="99">N166</f>
        <v>0</v>
      </c>
      <c r="O165" s="68">
        <f t="shared" ref="O165" si="100">O166</f>
        <v>100000</v>
      </c>
      <c r="P165" s="68">
        <f>P166</f>
        <v>20493000</v>
      </c>
      <c r="Q165" s="132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/>
      <c r="KK165" s="38"/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/>
      <c r="KY165" s="38"/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/>
      <c r="LR165" s="38"/>
      <c r="LS165" s="38"/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  <c r="MI165" s="38"/>
      <c r="MJ165" s="38"/>
      <c r="MK165" s="38"/>
      <c r="ML165" s="38"/>
      <c r="MM165" s="38"/>
      <c r="MN165" s="38"/>
      <c r="MO165" s="38"/>
      <c r="MP165" s="38"/>
      <c r="MQ165" s="38"/>
      <c r="MR165" s="38"/>
      <c r="MS165" s="38"/>
      <c r="MT165" s="38"/>
      <c r="MU165" s="38"/>
      <c r="MV165" s="38"/>
      <c r="MW165" s="38"/>
      <c r="MX165" s="38"/>
      <c r="MY165" s="38"/>
      <c r="MZ165" s="38"/>
      <c r="NA165" s="38"/>
      <c r="NB165" s="38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38"/>
      <c r="OI165" s="38"/>
      <c r="OJ165" s="38"/>
      <c r="OK165" s="38"/>
      <c r="OL165" s="38"/>
      <c r="OM165" s="38"/>
      <c r="ON165" s="38"/>
      <c r="OO165" s="38"/>
      <c r="OP165" s="38"/>
      <c r="OQ165" s="38"/>
      <c r="OR165" s="38"/>
      <c r="OS165" s="38"/>
      <c r="OT165" s="38"/>
      <c r="OU165" s="38"/>
      <c r="OV165" s="38"/>
      <c r="OW165" s="38"/>
      <c r="OX165" s="38"/>
      <c r="OY165" s="38"/>
      <c r="OZ165" s="38"/>
      <c r="PA165" s="38"/>
      <c r="PB165" s="38"/>
      <c r="PC165" s="38"/>
      <c r="PD165" s="38"/>
      <c r="PE165" s="38"/>
      <c r="PF165" s="38"/>
      <c r="PG165" s="38"/>
      <c r="PH165" s="38"/>
      <c r="PI165" s="38"/>
      <c r="PJ165" s="38"/>
      <c r="PK165" s="38"/>
      <c r="PL165" s="38"/>
      <c r="PM165" s="38"/>
      <c r="PN165" s="38"/>
      <c r="PO165" s="38"/>
      <c r="PP165" s="38"/>
      <c r="PQ165" s="38"/>
      <c r="PR165" s="38"/>
      <c r="PS165" s="38"/>
      <c r="PT165" s="38"/>
      <c r="PU165" s="38"/>
      <c r="PV165" s="38"/>
      <c r="PW165" s="38"/>
      <c r="PX165" s="38"/>
      <c r="PY165" s="38"/>
      <c r="PZ165" s="38"/>
      <c r="QA165" s="38"/>
      <c r="QB165" s="38"/>
      <c r="QC165" s="38"/>
      <c r="QD165" s="38"/>
      <c r="QE165" s="38"/>
      <c r="QF165" s="38"/>
      <c r="QG165" s="38"/>
      <c r="QH165" s="38"/>
      <c r="QI165" s="38"/>
      <c r="QJ165" s="38"/>
      <c r="QK165" s="38"/>
      <c r="QL165" s="38"/>
      <c r="QM165" s="38"/>
      <c r="QN165" s="38"/>
      <c r="QO165" s="38"/>
      <c r="QP165" s="38"/>
      <c r="QQ165" s="38"/>
      <c r="QR165" s="38"/>
      <c r="QS165" s="38"/>
      <c r="QT165" s="38"/>
      <c r="QU165" s="38"/>
      <c r="QV165" s="38"/>
      <c r="QW165" s="38"/>
      <c r="QX165" s="38"/>
      <c r="QY165" s="38"/>
      <c r="QZ165" s="38"/>
      <c r="RA165" s="38"/>
      <c r="RB165" s="38"/>
      <c r="RC165" s="38"/>
      <c r="RD165" s="38"/>
      <c r="RE165" s="38"/>
      <c r="RF165" s="38"/>
      <c r="RG165" s="38"/>
      <c r="RH165" s="38"/>
      <c r="RI165" s="38"/>
      <c r="RJ165" s="38"/>
      <c r="RK165" s="38"/>
      <c r="RL165" s="38"/>
      <c r="RM165" s="38"/>
      <c r="RN165" s="38"/>
      <c r="RO165" s="38"/>
      <c r="RP165" s="38"/>
      <c r="RQ165" s="38"/>
      <c r="RR165" s="38"/>
      <c r="RS165" s="38"/>
      <c r="RT165" s="38"/>
      <c r="RU165" s="38"/>
      <c r="RV165" s="38"/>
      <c r="RW165" s="38"/>
      <c r="RX165" s="38"/>
      <c r="RY165" s="38"/>
      <c r="RZ165" s="38"/>
      <c r="SA165" s="38"/>
      <c r="SB165" s="38"/>
      <c r="SC165" s="38"/>
      <c r="SD165" s="38"/>
      <c r="SE165" s="38"/>
      <c r="SF165" s="38"/>
      <c r="SG165" s="38"/>
      <c r="SH165" s="38"/>
      <c r="SI165" s="38"/>
      <c r="SJ165" s="38"/>
      <c r="SK165" s="38"/>
      <c r="SL165" s="38"/>
      <c r="SM165" s="38"/>
      <c r="SN165" s="38"/>
      <c r="SO165" s="38"/>
      <c r="SP165" s="38"/>
      <c r="SQ165" s="38"/>
      <c r="SR165" s="38"/>
      <c r="SS165" s="38"/>
      <c r="ST165" s="38"/>
      <c r="SU165" s="38"/>
      <c r="SV165" s="38"/>
      <c r="SW165" s="38"/>
      <c r="SX165" s="38"/>
      <c r="SY165" s="38"/>
      <c r="SZ165" s="38"/>
      <c r="TA165" s="38"/>
      <c r="TB165" s="38"/>
      <c r="TC165" s="38"/>
      <c r="TD165" s="38"/>
      <c r="TE165" s="38"/>
      <c r="TF165" s="38"/>
      <c r="TG165" s="38"/>
      <c r="TH165" s="38"/>
      <c r="TI165" s="38"/>
      <c r="TJ165" s="38"/>
    </row>
    <row r="166" spans="1:530" s="40" customFormat="1" ht="37.5" customHeight="1" x14ac:dyDescent="0.25">
      <c r="A166" s="79" t="s">
        <v>251</v>
      </c>
      <c r="B166" s="77"/>
      <c r="C166" s="77"/>
      <c r="D166" s="33" t="s">
        <v>52</v>
      </c>
      <c r="E166" s="70">
        <f>E167+E168++E169+E170+E171+E172</f>
        <v>20393000</v>
      </c>
      <c r="F166" s="70">
        <f t="shared" ref="F166:P166" si="101">F167+F168++F169+F170+F171+F172</f>
        <v>19775000</v>
      </c>
      <c r="G166" s="70">
        <f t="shared" si="101"/>
        <v>13931300</v>
      </c>
      <c r="H166" s="70">
        <f t="shared" si="101"/>
        <v>314600</v>
      </c>
      <c r="I166" s="70">
        <f t="shared" si="101"/>
        <v>618000</v>
      </c>
      <c r="J166" s="70">
        <f t="shared" si="101"/>
        <v>100000</v>
      </c>
      <c r="K166" s="70">
        <f t="shared" si="101"/>
        <v>100000</v>
      </c>
      <c r="L166" s="70">
        <f t="shared" si="101"/>
        <v>0</v>
      </c>
      <c r="M166" s="70">
        <f t="shared" si="101"/>
        <v>0</v>
      </c>
      <c r="N166" s="70">
        <f t="shared" si="101"/>
        <v>0</v>
      </c>
      <c r="O166" s="70">
        <f t="shared" si="101"/>
        <v>100000</v>
      </c>
      <c r="P166" s="70">
        <f t="shared" si="101"/>
        <v>20493000</v>
      </c>
      <c r="Q166" s="132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  <c r="IW166" s="39"/>
      <c r="IX166" s="39"/>
      <c r="IY166" s="39"/>
      <c r="IZ166" s="39"/>
      <c r="JA166" s="39"/>
      <c r="JB166" s="39"/>
      <c r="JC166" s="39"/>
      <c r="JD166" s="39"/>
      <c r="JE166" s="39"/>
      <c r="JF166" s="39"/>
      <c r="JG166" s="39"/>
      <c r="JH166" s="39"/>
      <c r="JI166" s="39"/>
      <c r="JJ166" s="39"/>
      <c r="JK166" s="39"/>
      <c r="JL166" s="39"/>
      <c r="JM166" s="39"/>
      <c r="JN166" s="39"/>
      <c r="JO166" s="39"/>
      <c r="JP166" s="39"/>
      <c r="JQ166" s="39"/>
      <c r="JR166" s="39"/>
      <c r="JS166" s="39"/>
      <c r="JT166" s="39"/>
      <c r="JU166" s="39"/>
      <c r="JV166" s="39"/>
      <c r="JW166" s="39"/>
      <c r="JX166" s="39"/>
      <c r="JY166" s="39"/>
      <c r="JZ166" s="39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/>
      <c r="KN166" s="39"/>
      <c r="KO166" s="39"/>
      <c r="KP166" s="39"/>
      <c r="KQ166" s="39"/>
      <c r="KR166" s="39"/>
      <c r="KS166" s="39"/>
      <c r="KT166" s="39"/>
      <c r="KU166" s="39"/>
      <c r="KV166" s="39"/>
      <c r="KW166" s="39"/>
      <c r="KX166" s="39"/>
      <c r="KY166" s="39"/>
      <c r="KZ166" s="39"/>
      <c r="LA166" s="39"/>
      <c r="LB166" s="39"/>
      <c r="LC166" s="39"/>
      <c r="LD166" s="39"/>
      <c r="LE166" s="39"/>
      <c r="LF166" s="39"/>
      <c r="LG166" s="39"/>
      <c r="LH166" s="39"/>
      <c r="LI166" s="39"/>
      <c r="LJ166" s="39"/>
      <c r="LK166" s="39"/>
      <c r="LL166" s="39"/>
      <c r="LM166" s="39"/>
      <c r="LN166" s="39"/>
      <c r="LO166" s="39"/>
      <c r="LP166" s="39"/>
      <c r="LQ166" s="39"/>
      <c r="LR166" s="39"/>
      <c r="LS166" s="39"/>
      <c r="LT166" s="39"/>
      <c r="LU166" s="39"/>
      <c r="LV166" s="39"/>
      <c r="LW166" s="39"/>
      <c r="LX166" s="39"/>
      <c r="LY166" s="39"/>
      <c r="LZ166" s="39"/>
      <c r="MA166" s="39"/>
      <c r="MB166" s="39"/>
      <c r="MC166" s="39"/>
      <c r="MD166" s="39"/>
      <c r="ME166" s="39"/>
      <c r="MF166" s="39"/>
      <c r="MG166" s="39"/>
      <c r="MH166" s="39"/>
      <c r="MI166" s="39"/>
      <c r="MJ166" s="39"/>
      <c r="MK166" s="39"/>
      <c r="ML166" s="39"/>
      <c r="MM166" s="39"/>
      <c r="MN166" s="39"/>
      <c r="MO166" s="39"/>
      <c r="MP166" s="39"/>
      <c r="MQ166" s="39"/>
      <c r="MR166" s="39"/>
      <c r="MS166" s="39"/>
      <c r="MT166" s="39"/>
      <c r="MU166" s="39"/>
      <c r="MV166" s="39"/>
      <c r="MW166" s="39"/>
      <c r="MX166" s="39"/>
      <c r="MY166" s="39"/>
      <c r="MZ166" s="39"/>
      <c r="NA166" s="39"/>
      <c r="NB166" s="39"/>
      <c r="NC166" s="39"/>
      <c r="ND166" s="39"/>
      <c r="NE166" s="39"/>
      <c r="NF166" s="39"/>
      <c r="NG166" s="39"/>
      <c r="NH166" s="39"/>
      <c r="NI166" s="39"/>
      <c r="NJ166" s="39"/>
      <c r="NK166" s="39"/>
      <c r="NL166" s="39"/>
      <c r="NM166" s="39"/>
      <c r="NN166" s="39"/>
      <c r="NO166" s="39"/>
      <c r="NP166" s="39"/>
      <c r="NQ166" s="39"/>
      <c r="NR166" s="39"/>
      <c r="NS166" s="39"/>
      <c r="NT166" s="39"/>
      <c r="NU166" s="39"/>
      <c r="NV166" s="39"/>
      <c r="NW166" s="39"/>
      <c r="NX166" s="39"/>
      <c r="NY166" s="39"/>
      <c r="NZ166" s="39"/>
      <c r="OA166" s="39"/>
      <c r="OB166" s="39"/>
      <c r="OC166" s="39"/>
      <c r="OD166" s="39"/>
      <c r="OE166" s="39"/>
      <c r="OF166" s="39"/>
      <c r="OG166" s="39"/>
      <c r="OH166" s="39"/>
      <c r="OI166" s="39"/>
      <c r="OJ166" s="39"/>
      <c r="OK166" s="39"/>
      <c r="OL166" s="39"/>
      <c r="OM166" s="39"/>
      <c r="ON166" s="39"/>
      <c r="OO166" s="39"/>
      <c r="OP166" s="39"/>
      <c r="OQ166" s="39"/>
      <c r="OR166" s="39"/>
      <c r="OS166" s="39"/>
      <c r="OT166" s="39"/>
      <c r="OU166" s="39"/>
      <c r="OV166" s="39"/>
      <c r="OW166" s="39"/>
      <c r="OX166" s="39"/>
      <c r="OY166" s="39"/>
      <c r="OZ166" s="39"/>
      <c r="PA166" s="39"/>
      <c r="PB166" s="39"/>
      <c r="PC166" s="39"/>
      <c r="PD166" s="39"/>
      <c r="PE166" s="39"/>
      <c r="PF166" s="39"/>
      <c r="PG166" s="39"/>
      <c r="PH166" s="39"/>
      <c r="PI166" s="39"/>
      <c r="PJ166" s="39"/>
      <c r="PK166" s="39"/>
      <c r="PL166" s="39"/>
      <c r="PM166" s="39"/>
      <c r="PN166" s="39"/>
      <c r="PO166" s="39"/>
      <c r="PP166" s="39"/>
      <c r="PQ166" s="39"/>
      <c r="PR166" s="39"/>
      <c r="PS166" s="39"/>
      <c r="PT166" s="39"/>
      <c r="PU166" s="39"/>
      <c r="PV166" s="39"/>
      <c r="PW166" s="39"/>
      <c r="PX166" s="39"/>
      <c r="PY166" s="39"/>
      <c r="PZ166" s="39"/>
      <c r="QA166" s="39"/>
      <c r="QB166" s="39"/>
      <c r="QC166" s="39"/>
      <c r="QD166" s="39"/>
      <c r="QE166" s="39"/>
      <c r="QF166" s="39"/>
      <c r="QG166" s="39"/>
      <c r="QH166" s="39"/>
      <c r="QI166" s="39"/>
      <c r="QJ166" s="39"/>
      <c r="QK166" s="39"/>
      <c r="QL166" s="39"/>
      <c r="QM166" s="39"/>
      <c r="QN166" s="39"/>
      <c r="QO166" s="39"/>
      <c r="QP166" s="39"/>
      <c r="QQ166" s="39"/>
      <c r="QR166" s="39"/>
      <c r="QS166" s="39"/>
      <c r="QT166" s="39"/>
      <c r="QU166" s="39"/>
      <c r="QV166" s="39"/>
      <c r="QW166" s="39"/>
      <c r="QX166" s="39"/>
      <c r="QY166" s="39"/>
      <c r="QZ166" s="39"/>
      <c r="RA166" s="39"/>
      <c r="RB166" s="39"/>
      <c r="RC166" s="39"/>
      <c r="RD166" s="39"/>
      <c r="RE166" s="39"/>
      <c r="RF166" s="39"/>
      <c r="RG166" s="39"/>
      <c r="RH166" s="39"/>
      <c r="RI166" s="39"/>
      <c r="RJ166" s="39"/>
      <c r="RK166" s="39"/>
      <c r="RL166" s="39"/>
      <c r="RM166" s="39"/>
      <c r="RN166" s="39"/>
      <c r="RO166" s="39"/>
      <c r="RP166" s="39"/>
      <c r="RQ166" s="39"/>
      <c r="RR166" s="39"/>
      <c r="RS166" s="39"/>
      <c r="RT166" s="39"/>
      <c r="RU166" s="39"/>
      <c r="RV166" s="39"/>
      <c r="RW166" s="39"/>
      <c r="RX166" s="39"/>
      <c r="RY166" s="39"/>
      <c r="RZ166" s="39"/>
      <c r="SA166" s="39"/>
      <c r="SB166" s="39"/>
      <c r="SC166" s="39"/>
      <c r="SD166" s="39"/>
      <c r="SE166" s="39"/>
      <c r="SF166" s="39"/>
      <c r="SG166" s="39"/>
      <c r="SH166" s="39"/>
      <c r="SI166" s="39"/>
      <c r="SJ166" s="39"/>
      <c r="SK166" s="39"/>
      <c r="SL166" s="39"/>
      <c r="SM166" s="39"/>
      <c r="SN166" s="39"/>
      <c r="SO166" s="39"/>
      <c r="SP166" s="39"/>
      <c r="SQ166" s="39"/>
      <c r="SR166" s="39"/>
      <c r="SS166" s="39"/>
      <c r="ST166" s="39"/>
      <c r="SU166" s="39"/>
      <c r="SV166" s="39"/>
      <c r="SW166" s="39"/>
      <c r="SX166" s="39"/>
      <c r="SY166" s="39"/>
      <c r="SZ166" s="39"/>
      <c r="TA166" s="39"/>
      <c r="TB166" s="39"/>
      <c r="TC166" s="39"/>
      <c r="TD166" s="39"/>
      <c r="TE166" s="39"/>
      <c r="TF166" s="39"/>
      <c r="TG166" s="39"/>
      <c r="TH166" s="39"/>
      <c r="TI166" s="39"/>
      <c r="TJ166" s="39"/>
    </row>
    <row r="167" spans="1:530" s="23" customFormat="1" ht="47.25" customHeight="1" x14ac:dyDescent="0.25">
      <c r="A167" s="43" t="s">
        <v>252</v>
      </c>
      <c r="B167" s="44" t="str">
        <f>'дод 3-1'!A14</f>
        <v>0160</v>
      </c>
      <c r="C167" s="44" t="str">
        <f>'дод 3-1'!B14</f>
        <v>0111</v>
      </c>
      <c r="D167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67" s="71">
        <f t="shared" ref="E167:E172" si="102">F167+I167</f>
        <v>17983000</v>
      </c>
      <c r="F167" s="71">
        <f>18803900+108500-929400</f>
        <v>17983000</v>
      </c>
      <c r="G167" s="71">
        <f>14693100-761800</f>
        <v>13931300</v>
      </c>
      <c r="H167" s="71">
        <v>314600</v>
      </c>
      <c r="I167" s="71"/>
      <c r="J167" s="71">
        <f>L167+O167</f>
        <v>25000</v>
      </c>
      <c r="K167" s="71">
        <v>25000</v>
      </c>
      <c r="L167" s="71"/>
      <c r="M167" s="71"/>
      <c r="N167" s="71"/>
      <c r="O167" s="71">
        <v>25000</v>
      </c>
      <c r="P167" s="71">
        <f t="shared" ref="P167:P172" si="103">E167+J167</f>
        <v>18008000</v>
      </c>
      <c r="Q167" s="132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  <c r="TJ167" s="26"/>
    </row>
    <row r="168" spans="1:530" s="28" customFormat="1" ht="29.25" customHeight="1" x14ac:dyDescent="0.25">
      <c r="A168" s="43" t="s">
        <v>253</v>
      </c>
      <c r="B168" s="44" t="str">
        <f>'дод 3-1'!A93</f>
        <v>7130</v>
      </c>
      <c r="C168" s="44" t="str">
        <f>'дод 3-1'!B93</f>
        <v>0421</v>
      </c>
      <c r="D168" s="24" t="str">
        <f>'дод 3-1'!C93</f>
        <v>Здійснення заходів із землеустрою</v>
      </c>
      <c r="E168" s="71">
        <f t="shared" si="102"/>
        <v>700000</v>
      </c>
      <c r="F168" s="71">
        <v>700000</v>
      </c>
      <c r="G168" s="71"/>
      <c r="H168" s="71"/>
      <c r="I168" s="71"/>
      <c r="J168" s="71">
        <f t="shared" ref="J168:J172" si="104">L168+O168</f>
        <v>0</v>
      </c>
      <c r="K168" s="71"/>
      <c r="L168" s="71"/>
      <c r="M168" s="71"/>
      <c r="N168" s="71"/>
      <c r="O168" s="71"/>
      <c r="P168" s="71">
        <f t="shared" si="103"/>
        <v>700000</v>
      </c>
      <c r="Q168" s="132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  <c r="IW168" s="37"/>
      <c r="IX168" s="37"/>
      <c r="IY168" s="37"/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/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/>
      <c r="JW168" s="37"/>
      <c r="JX168" s="37"/>
      <c r="JY168" s="37"/>
      <c r="JZ168" s="37"/>
      <c r="KA168" s="37"/>
      <c r="KB168" s="37"/>
      <c r="KC168" s="37"/>
      <c r="KD168" s="37"/>
      <c r="KE168" s="37"/>
      <c r="KF168" s="37"/>
      <c r="KG168" s="37"/>
      <c r="KH168" s="37"/>
      <c r="KI168" s="37"/>
      <c r="KJ168" s="37"/>
      <c r="KK168" s="37"/>
      <c r="KL168" s="37"/>
      <c r="KM168" s="37"/>
      <c r="KN168" s="37"/>
      <c r="KO168" s="37"/>
      <c r="KP168" s="37"/>
      <c r="KQ168" s="37"/>
      <c r="KR168" s="37"/>
      <c r="KS168" s="37"/>
      <c r="KT168" s="37"/>
      <c r="KU168" s="37"/>
      <c r="KV168" s="37"/>
      <c r="KW168" s="37"/>
      <c r="KX168" s="37"/>
      <c r="KY168" s="37"/>
      <c r="KZ168" s="37"/>
      <c r="LA168" s="37"/>
      <c r="LB168" s="37"/>
      <c r="LC168" s="37"/>
      <c r="LD168" s="37"/>
      <c r="LE168" s="37"/>
      <c r="LF168" s="37"/>
      <c r="LG168" s="37"/>
      <c r="LH168" s="37"/>
      <c r="LI168" s="37"/>
      <c r="LJ168" s="37"/>
      <c r="LK168" s="37"/>
      <c r="LL168" s="37"/>
      <c r="LM168" s="37"/>
      <c r="LN168" s="37"/>
      <c r="LO168" s="37"/>
      <c r="LP168" s="37"/>
      <c r="LQ168" s="37"/>
      <c r="LR168" s="37"/>
      <c r="LS168" s="37"/>
      <c r="LT168" s="37"/>
      <c r="LU168" s="37"/>
      <c r="LV168" s="37"/>
      <c r="LW168" s="37"/>
      <c r="LX168" s="37"/>
      <c r="LY168" s="37"/>
      <c r="LZ168" s="37"/>
      <c r="MA168" s="37"/>
      <c r="MB168" s="37"/>
      <c r="MC168" s="37"/>
      <c r="MD168" s="37"/>
      <c r="ME168" s="37"/>
      <c r="MF168" s="37"/>
      <c r="MG168" s="37"/>
      <c r="MH168" s="37"/>
      <c r="MI168" s="37"/>
      <c r="MJ168" s="37"/>
      <c r="MK168" s="37"/>
      <c r="ML168" s="37"/>
      <c r="MM168" s="37"/>
      <c r="MN168" s="37"/>
      <c r="MO168" s="37"/>
      <c r="MP168" s="37"/>
      <c r="MQ168" s="37"/>
      <c r="MR168" s="37"/>
      <c r="MS168" s="37"/>
      <c r="MT168" s="37"/>
      <c r="MU168" s="37"/>
      <c r="MV168" s="37"/>
      <c r="MW168" s="37"/>
      <c r="MX168" s="37"/>
      <c r="MY168" s="37"/>
      <c r="MZ168" s="37"/>
      <c r="NA168" s="37"/>
      <c r="NB168" s="37"/>
      <c r="NC168" s="37"/>
      <c r="ND168" s="37"/>
      <c r="NE168" s="37"/>
      <c r="NF168" s="37"/>
      <c r="NG168" s="37"/>
      <c r="NH168" s="37"/>
      <c r="NI168" s="37"/>
      <c r="NJ168" s="37"/>
      <c r="NK168" s="37"/>
      <c r="NL168" s="37"/>
      <c r="NM168" s="37"/>
      <c r="NN168" s="37"/>
      <c r="NO168" s="37"/>
      <c r="NP168" s="37"/>
      <c r="NQ168" s="37"/>
      <c r="NR168" s="37"/>
      <c r="NS168" s="37"/>
      <c r="NT168" s="37"/>
      <c r="NU168" s="37"/>
      <c r="NV168" s="37"/>
      <c r="NW168" s="37"/>
      <c r="NX168" s="37"/>
      <c r="NY168" s="37"/>
      <c r="NZ168" s="37"/>
      <c r="OA168" s="37"/>
      <c r="OB168" s="37"/>
      <c r="OC168" s="37"/>
      <c r="OD168" s="37"/>
      <c r="OE168" s="37"/>
      <c r="OF168" s="37"/>
      <c r="OG168" s="37"/>
      <c r="OH168" s="37"/>
      <c r="OI168" s="37"/>
      <c r="OJ168" s="37"/>
      <c r="OK168" s="37"/>
      <c r="OL168" s="37"/>
      <c r="OM168" s="37"/>
      <c r="ON168" s="37"/>
      <c r="OO168" s="37"/>
      <c r="OP168" s="37"/>
      <c r="OQ168" s="37"/>
      <c r="OR168" s="37"/>
      <c r="OS168" s="37"/>
      <c r="OT168" s="37"/>
      <c r="OU168" s="37"/>
      <c r="OV168" s="37"/>
      <c r="OW168" s="37"/>
      <c r="OX168" s="37"/>
      <c r="OY168" s="37"/>
      <c r="OZ168" s="37"/>
      <c r="PA168" s="37"/>
      <c r="PB168" s="37"/>
      <c r="PC168" s="37"/>
      <c r="PD168" s="37"/>
      <c r="PE168" s="37"/>
      <c r="PF168" s="37"/>
      <c r="PG168" s="37"/>
      <c r="PH168" s="37"/>
      <c r="PI168" s="37"/>
      <c r="PJ168" s="37"/>
      <c r="PK168" s="37"/>
      <c r="PL168" s="37"/>
      <c r="PM168" s="37"/>
      <c r="PN168" s="37"/>
      <c r="PO168" s="37"/>
      <c r="PP168" s="37"/>
      <c r="PQ168" s="37"/>
      <c r="PR168" s="37"/>
      <c r="PS168" s="37"/>
      <c r="PT168" s="37"/>
      <c r="PU168" s="37"/>
      <c r="PV168" s="37"/>
      <c r="PW168" s="37"/>
      <c r="PX168" s="37"/>
      <c r="PY168" s="37"/>
      <c r="PZ168" s="37"/>
      <c r="QA168" s="37"/>
      <c r="QB168" s="37"/>
      <c r="QC168" s="37"/>
      <c r="QD168" s="37"/>
      <c r="QE168" s="37"/>
      <c r="QF168" s="37"/>
      <c r="QG168" s="37"/>
      <c r="QH168" s="37"/>
      <c r="QI168" s="37"/>
      <c r="QJ168" s="37"/>
      <c r="QK168" s="37"/>
      <c r="QL168" s="37"/>
      <c r="QM168" s="37"/>
      <c r="QN168" s="37"/>
      <c r="QO168" s="37"/>
      <c r="QP168" s="37"/>
      <c r="QQ168" s="37"/>
      <c r="QR168" s="37"/>
      <c r="QS168" s="37"/>
      <c r="QT168" s="37"/>
      <c r="QU168" s="37"/>
      <c r="QV168" s="37"/>
      <c r="QW168" s="37"/>
      <c r="QX168" s="37"/>
      <c r="QY168" s="37"/>
      <c r="QZ168" s="37"/>
      <c r="RA168" s="37"/>
      <c r="RB168" s="37"/>
      <c r="RC168" s="37"/>
      <c r="RD168" s="37"/>
      <c r="RE168" s="37"/>
      <c r="RF168" s="37"/>
      <c r="RG168" s="37"/>
      <c r="RH168" s="37"/>
      <c r="RI168" s="37"/>
      <c r="RJ168" s="37"/>
      <c r="RK168" s="37"/>
      <c r="RL168" s="37"/>
      <c r="RM168" s="37"/>
      <c r="RN168" s="37"/>
      <c r="RO168" s="37"/>
      <c r="RP168" s="37"/>
      <c r="RQ168" s="37"/>
      <c r="RR168" s="37"/>
      <c r="RS168" s="37"/>
      <c r="RT168" s="37"/>
      <c r="RU168" s="37"/>
      <c r="RV168" s="37"/>
      <c r="RW168" s="37"/>
      <c r="RX168" s="37"/>
      <c r="RY168" s="37"/>
      <c r="RZ168" s="37"/>
      <c r="SA168" s="37"/>
      <c r="SB168" s="37"/>
      <c r="SC168" s="37"/>
      <c r="SD168" s="37"/>
      <c r="SE168" s="37"/>
      <c r="SF168" s="37"/>
      <c r="SG168" s="37"/>
      <c r="SH168" s="37"/>
      <c r="SI168" s="37"/>
      <c r="SJ168" s="37"/>
      <c r="SK168" s="37"/>
      <c r="SL168" s="37"/>
      <c r="SM168" s="37"/>
      <c r="SN168" s="37"/>
      <c r="SO168" s="37"/>
      <c r="SP168" s="37"/>
      <c r="SQ168" s="37"/>
      <c r="SR168" s="37"/>
      <c r="SS168" s="37"/>
      <c r="ST168" s="37"/>
      <c r="SU168" s="37"/>
      <c r="SV168" s="37"/>
      <c r="SW168" s="37"/>
      <c r="SX168" s="37"/>
      <c r="SY168" s="37"/>
      <c r="SZ168" s="37"/>
      <c r="TA168" s="37"/>
      <c r="TB168" s="37"/>
      <c r="TC168" s="37"/>
      <c r="TD168" s="37"/>
      <c r="TE168" s="37"/>
      <c r="TF168" s="37"/>
      <c r="TG168" s="37"/>
      <c r="TH168" s="37"/>
      <c r="TI168" s="37"/>
      <c r="TJ168" s="37"/>
    </row>
    <row r="169" spans="1:530" s="23" customFormat="1" ht="27" customHeight="1" x14ac:dyDescent="0.25">
      <c r="A169" s="52" t="s">
        <v>254</v>
      </c>
      <c r="B169" s="45" t="str">
        <f>'дод 3-1'!A107</f>
        <v>7610</v>
      </c>
      <c r="C169" s="45" t="str">
        <f>'дод 3-1'!B107</f>
        <v>0411</v>
      </c>
      <c r="D169" s="22" t="str">
        <f>'дод 3-1'!C107</f>
        <v>Сприяння розвитку малого та середнього підприємництва</v>
      </c>
      <c r="E169" s="71">
        <f t="shared" si="102"/>
        <v>1020000</v>
      </c>
      <c r="F169" s="71">
        <f>220000+182000</f>
        <v>402000</v>
      </c>
      <c r="G169" s="71"/>
      <c r="H169" s="71"/>
      <c r="I169" s="71">
        <f>1000000-200000-182000</f>
        <v>618000</v>
      </c>
      <c r="J169" s="71">
        <f t="shared" si="104"/>
        <v>0</v>
      </c>
      <c r="K169" s="71"/>
      <c r="L169" s="71"/>
      <c r="M169" s="71"/>
      <c r="N169" s="71"/>
      <c r="O169" s="71"/>
      <c r="P169" s="71">
        <f t="shared" si="103"/>
        <v>1020000</v>
      </c>
      <c r="Q169" s="132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  <c r="TJ169" s="26"/>
    </row>
    <row r="170" spans="1:530" s="23" customFormat="1" ht="37.5" customHeight="1" x14ac:dyDescent="0.25">
      <c r="A170" s="52" t="s">
        <v>309</v>
      </c>
      <c r="B170" s="45" t="str">
        <f>'дод 3-1'!A109</f>
        <v>7650</v>
      </c>
      <c r="C170" s="45" t="str">
        <f>'дод 3-1'!B109</f>
        <v>0490</v>
      </c>
      <c r="D170" s="22" t="str">
        <f>'дод 3-1'!C109</f>
        <v>Проведення експертної грошової оцінки земельної ділянки чи права на неї</v>
      </c>
      <c r="E170" s="71">
        <f t="shared" si="102"/>
        <v>0</v>
      </c>
      <c r="F170" s="71"/>
      <c r="G170" s="71"/>
      <c r="H170" s="71"/>
      <c r="I170" s="71"/>
      <c r="J170" s="71">
        <f t="shared" si="104"/>
        <v>30000</v>
      </c>
      <c r="K170" s="71">
        <v>30000</v>
      </c>
      <c r="L170" s="71"/>
      <c r="M170" s="71"/>
      <c r="N170" s="71"/>
      <c r="O170" s="71">
        <v>30000</v>
      </c>
      <c r="P170" s="71">
        <f t="shared" si="103"/>
        <v>30000</v>
      </c>
      <c r="Q170" s="132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  <c r="TJ170" s="26"/>
    </row>
    <row r="171" spans="1:530" s="23" customFormat="1" ht="51.75" customHeight="1" x14ac:dyDescent="0.25">
      <c r="A171" s="52" t="s">
        <v>311</v>
      </c>
      <c r="B171" s="45" t="str">
        <f>'дод 3-1'!A110</f>
        <v>7660</v>
      </c>
      <c r="C171" s="45" t="str">
        <f>'дод 3-1'!B110</f>
        <v>0490</v>
      </c>
      <c r="D171" s="22" t="str">
        <f>'дод 3-1'!C110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71" s="71">
        <f t="shared" si="102"/>
        <v>0</v>
      </c>
      <c r="F171" s="71"/>
      <c r="G171" s="71"/>
      <c r="H171" s="71"/>
      <c r="I171" s="71"/>
      <c r="J171" s="71">
        <f t="shared" si="104"/>
        <v>45000</v>
      </c>
      <c r="K171" s="71">
        <v>45000</v>
      </c>
      <c r="L171" s="71"/>
      <c r="M171" s="71"/>
      <c r="N171" s="71"/>
      <c r="O171" s="71">
        <v>45000</v>
      </c>
      <c r="P171" s="71">
        <f t="shared" si="103"/>
        <v>45000</v>
      </c>
      <c r="Q171" s="131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  <c r="TJ171" s="26"/>
    </row>
    <row r="172" spans="1:530" s="23" customFormat="1" ht="23.25" customHeight="1" x14ac:dyDescent="0.25">
      <c r="A172" s="52" t="s">
        <v>306</v>
      </c>
      <c r="B172" s="45" t="str">
        <f>'дод 3-1'!A114</f>
        <v>7693</v>
      </c>
      <c r="C172" s="45" t="str">
        <f>'дод 3-1'!B114</f>
        <v>0490</v>
      </c>
      <c r="D172" s="22" t="str">
        <f>'дод 3-1'!C114</f>
        <v>Інші заходи, пов'язані з економічною діяльністю</v>
      </c>
      <c r="E172" s="71">
        <f t="shared" si="102"/>
        <v>690000</v>
      </c>
      <c r="F172" s="71">
        <f>490000+200000</f>
        <v>690000</v>
      </c>
      <c r="G172" s="71"/>
      <c r="H172" s="71"/>
      <c r="I172" s="71"/>
      <c r="J172" s="71">
        <f t="shared" si="104"/>
        <v>0</v>
      </c>
      <c r="K172" s="71"/>
      <c r="L172" s="71"/>
      <c r="M172" s="71"/>
      <c r="N172" s="71"/>
      <c r="O172" s="71"/>
      <c r="P172" s="71">
        <f t="shared" si="103"/>
        <v>690000</v>
      </c>
      <c r="Q172" s="131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  <c r="TJ172" s="26"/>
    </row>
    <row r="173" spans="1:530" s="31" customFormat="1" ht="36" customHeight="1" x14ac:dyDescent="0.2">
      <c r="A173" s="78" t="s">
        <v>255</v>
      </c>
      <c r="B173" s="76"/>
      <c r="C173" s="76"/>
      <c r="D173" s="30" t="s">
        <v>54</v>
      </c>
      <c r="E173" s="68">
        <f>E174</f>
        <v>147359665</v>
      </c>
      <c r="F173" s="68">
        <f t="shared" ref="F173:J173" si="105">F174</f>
        <v>127319665</v>
      </c>
      <c r="G173" s="68">
        <f t="shared" si="105"/>
        <v>13922900</v>
      </c>
      <c r="H173" s="68">
        <f t="shared" si="105"/>
        <v>244400</v>
      </c>
      <c r="I173" s="68">
        <f t="shared" si="105"/>
        <v>0</v>
      </c>
      <c r="J173" s="68">
        <f t="shared" si="105"/>
        <v>45000</v>
      </c>
      <c r="K173" s="68">
        <f t="shared" ref="K173" si="106">K174</f>
        <v>0</v>
      </c>
      <c r="L173" s="68">
        <f t="shared" ref="L173" si="107">L174</f>
        <v>45000</v>
      </c>
      <c r="M173" s="68">
        <f t="shared" ref="M173" si="108">M174</f>
        <v>0</v>
      </c>
      <c r="N173" s="68">
        <f t="shared" ref="N173" si="109">N174</f>
        <v>0</v>
      </c>
      <c r="O173" s="68">
        <f t="shared" ref="O173:P173" si="110">O174</f>
        <v>0</v>
      </c>
      <c r="P173" s="68">
        <f t="shared" si="110"/>
        <v>147404665</v>
      </c>
      <c r="Q173" s="131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  <c r="MI173" s="38"/>
      <c r="MJ173" s="38"/>
      <c r="MK173" s="38"/>
      <c r="ML173" s="38"/>
      <c r="MM173" s="38"/>
      <c r="MN173" s="38"/>
      <c r="MO173" s="38"/>
      <c r="MP173" s="38"/>
      <c r="MQ173" s="38"/>
      <c r="MR173" s="38"/>
      <c r="MS173" s="38"/>
      <c r="MT173" s="38"/>
      <c r="MU173" s="38"/>
      <c r="MV173" s="38"/>
      <c r="MW173" s="38"/>
      <c r="MX173" s="38"/>
      <c r="MY173" s="38"/>
      <c r="MZ173" s="38"/>
      <c r="NA173" s="38"/>
      <c r="NB173" s="38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38"/>
      <c r="OI173" s="38"/>
      <c r="OJ173" s="38"/>
      <c r="OK173" s="38"/>
      <c r="OL173" s="38"/>
      <c r="OM173" s="38"/>
      <c r="ON173" s="38"/>
      <c r="OO173" s="38"/>
      <c r="OP173" s="38"/>
      <c r="OQ173" s="38"/>
      <c r="OR173" s="38"/>
      <c r="OS173" s="38"/>
      <c r="OT173" s="38"/>
      <c r="OU173" s="38"/>
      <c r="OV173" s="38"/>
      <c r="OW173" s="38"/>
      <c r="OX173" s="38"/>
      <c r="OY173" s="38"/>
      <c r="OZ173" s="38"/>
      <c r="PA173" s="38"/>
      <c r="PB173" s="38"/>
      <c r="PC173" s="38"/>
      <c r="PD173" s="38"/>
      <c r="PE173" s="38"/>
      <c r="PF173" s="38"/>
      <c r="PG173" s="38"/>
      <c r="PH173" s="38"/>
      <c r="PI173" s="38"/>
      <c r="PJ173" s="38"/>
      <c r="PK173" s="38"/>
      <c r="PL173" s="38"/>
      <c r="PM173" s="38"/>
      <c r="PN173" s="38"/>
      <c r="PO173" s="38"/>
      <c r="PP173" s="38"/>
      <c r="PQ173" s="38"/>
      <c r="PR173" s="38"/>
      <c r="PS173" s="38"/>
      <c r="PT173" s="38"/>
      <c r="PU173" s="38"/>
      <c r="PV173" s="38"/>
      <c r="PW173" s="38"/>
      <c r="PX173" s="38"/>
      <c r="PY173" s="38"/>
      <c r="PZ173" s="38"/>
      <c r="QA173" s="38"/>
      <c r="QB173" s="38"/>
      <c r="QC173" s="38"/>
      <c r="QD173" s="38"/>
      <c r="QE173" s="38"/>
      <c r="QF173" s="38"/>
      <c r="QG173" s="38"/>
      <c r="QH173" s="38"/>
      <c r="QI173" s="38"/>
      <c r="QJ173" s="38"/>
      <c r="QK173" s="38"/>
      <c r="QL173" s="38"/>
      <c r="QM173" s="38"/>
      <c r="QN173" s="38"/>
      <c r="QO173" s="38"/>
      <c r="QP173" s="38"/>
      <c r="QQ173" s="38"/>
      <c r="QR173" s="38"/>
      <c r="QS173" s="38"/>
      <c r="QT173" s="38"/>
      <c r="QU173" s="38"/>
      <c r="QV173" s="38"/>
      <c r="QW173" s="38"/>
      <c r="QX173" s="38"/>
      <c r="QY173" s="38"/>
      <c r="QZ173" s="38"/>
      <c r="RA173" s="38"/>
      <c r="RB173" s="38"/>
      <c r="RC173" s="38"/>
      <c r="RD173" s="38"/>
      <c r="RE173" s="38"/>
      <c r="RF173" s="38"/>
      <c r="RG173" s="38"/>
      <c r="RH173" s="38"/>
      <c r="RI173" s="38"/>
      <c r="RJ173" s="38"/>
      <c r="RK173" s="38"/>
      <c r="RL173" s="38"/>
      <c r="RM173" s="38"/>
      <c r="RN173" s="38"/>
      <c r="RO173" s="38"/>
      <c r="RP173" s="38"/>
      <c r="RQ173" s="38"/>
      <c r="RR173" s="38"/>
      <c r="RS173" s="38"/>
      <c r="RT173" s="38"/>
      <c r="RU173" s="38"/>
      <c r="RV173" s="38"/>
      <c r="RW173" s="38"/>
      <c r="RX173" s="38"/>
      <c r="RY173" s="38"/>
      <c r="RZ173" s="38"/>
      <c r="SA173" s="38"/>
      <c r="SB173" s="38"/>
      <c r="SC173" s="38"/>
      <c r="SD173" s="38"/>
      <c r="SE173" s="38"/>
      <c r="SF173" s="38"/>
      <c r="SG173" s="38"/>
      <c r="SH173" s="38"/>
      <c r="SI173" s="38"/>
      <c r="SJ173" s="38"/>
      <c r="SK173" s="38"/>
      <c r="SL173" s="38"/>
      <c r="SM173" s="38"/>
      <c r="SN173" s="38"/>
      <c r="SO173" s="38"/>
      <c r="SP173" s="38"/>
      <c r="SQ173" s="38"/>
      <c r="SR173" s="38"/>
      <c r="SS173" s="38"/>
      <c r="ST173" s="38"/>
      <c r="SU173" s="38"/>
      <c r="SV173" s="38"/>
      <c r="SW173" s="38"/>
      <c r="SX173" s="38"/>
      <c r="SY173" s="38"/>
      <c r="SZ173" s="38"/>
      <c r="TA173" s="38"/>
      <c r="TB173" s="38"/>
      <c r="TC173" s="38"/>
      <c r="TD173" s="38"/>
      <c r="TE173" s="38"/>
      <c r="TF173" s="38"/>
      <c r="TG173" s="38"/>
      <c r="TH173" s="38"/>
      <c r="TI173" s="38"/>
      <c r="TJ173" s="38"/>
    </row>
    <row r="174" spans="1:530" s="40" customFormat="1" ht="36" customHeight="1" x14ac:dyDescent="0.25">
      <c r="A174" s="79" t="s">
        <v>256</v>
      </c>
      <c r="B174" s="77"/>
      <c r="C174" s="77"/>
      <c r="D174" s="33" t="s">
        <v>54</v>
      </c>
      <c r="E174" s="70">
        <f>SUM(E175+E176+E177+E179+E180+E181+E182+E178)</f>
        <v>147359665</v>
      </c>
      <c r="F174" s="70">
        <f t="shared" ref="F174:P174" si="111">SUM(F175+F176+F177+F179+F180+F181+F182+F178)</f>
        <v>127319665</v>
      </c>
      <c r="G174" s="70">
        <f t="shared" si="111"/>
        <v>13922900</v>
      </c>
      <c r="H174" s="70">
        <f t="shared" si="111"/>
        <v>244400</v>
      </c>
      <c r="I174" s="70">
        <f t="shared" si="111"/>
        <v>0</v>
      </c>
      <c r="J174" s="70">
        <f t="shared" si="111"/>
        <v>45000</v>
      </c>
      <c r="K174" s="70">
        <f t="shared" si="111"/>
        <v>0</v>
      </c>
      <c r="L174" s="70">
        <f t="shared" si="111"/>
        <v>45000</v>
      </c>
      <c r="M174" s="70">
        <f t="shared" si="111"/>
        <v>0</v>
      </c>
      <c r="N174" s="70">
        <f t="shared" si="111"/>
        <v>0</v>
      </c>
      <c r="O174" s="70">
        <f t="shared" si="111"/>
        <v>0</v>
      </c>
      <c r="P174" s="70">
        <f t="shared" si="111"/>
        <v>147404665</v>
      </c>
      <c r="Q174" s="131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  <c r="KV174" s="39"/>
      <c r="KW174" s="39"/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/>
      <c r="LK174" s="39"/>
      <c r="LL174" s="39"/>
      <c r="LM174" s="39"/>
      <c r="LN174" s="39"/>
      <c r="LO174" s="39"/>
      <c r="LP174" s="39"/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/>
      <c r="ME174" s="39"/>
      <c r="MF174" s="39"/>
      <c r="MG174" s="39"/>
      <c r="MH174" s="39"/>
      <c r="MI174" s="39"/>
      <c r="MJ174" s="39"/>
      <c r="MK174" s="39"/>
      <c r="ML174" s="39"/>
      <c r="MM174" s="39"/>
      <c r="MN174" s="39"/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/>
      <c r="NE174" s="39"/>
      <c r="NF174" s="39"/>
      <c r="NG174" s="39"/>
      <c r="NH174" s="39"/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/>
      <c r="OT174" s="39"/>
      <c r="OU174" s="39"/>
      <c r="OV174" s="39"/>
      <c r="OW174" s="39"/>
      <c r="OX174" s="39"/>
      <c r="OY174" s="39"/>
      <c r="OZ174" s="39"/>
      <c r="PA174" s="39"/>
      <c r="PB174" s="39"/>
      <c r="PC174" s="39"/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/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/>
      <c r="RB174" s="39"/>
      <c r="RC174" s="39"/>
      <c r="RD174" s="39"/>
      <c r="RE174" s="39"/>
      <c r="RF174" s="39"/>
      <c r="RG174" s="39"/>
      <c r="RH174" s="39"/>
      <c r="RI174" s="39"/>
      <c r="RJ174" s="39"/>
      <c r="RK174" s="39"/>
      <c r="RL174" s="39"/>
      <c r="RM174" s="39"/>
      <c r="RN174" s="39"/>
      <c r="RO174" s="39"/>
      <c r="RP174" s="39"/>
      <c r="RQ174" s="39"/>
      <c r="RR174" s="39"/>
      <c r="RS174" s="39"/>
      <c r="RT174" s="39"/>
      <c r="RU174" s="39"/>
      <c r="RV174" s="39"/>
      <c r="RW174" s="39"/>
      <c r="RX174" s="39"/>
      <c r="RY174" s="39"/>
      <c r="RZ174" s="39"/>
      <c r="SA174" s="39"/>
      <c r="SB174" s="39"/>
      <c r="SC174" s="39"/>
      <c r="SD174" s="39"/>
      <c r="SE174" s="39"/>
      <c r="SF174" s="39"/>
      <c r="SG174" s="39"/>
      <c r="SH174" s="39"/>
      <c r="SI174" s="39"/>
      <c r="SJ174" s="39"/>
      <c r="SK174" s="39"/>
      <c r="SL174" s="39"/>
      <c r="SM174" s="39"/>
      <c r="SN174" s="39"/>
      <c r="SO174" s="39"/>
      <c r="SP174" s="39"/>
      <c r="SQ174" s="39"/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/>
      <c r="TC174" s="39"/>
      <c r="TD174" s="39"/>
      <c r="TE174" s="39"/>
      <c r="TF174" s="39"/>
      <c r="TG174" s="39"/>
      <c r="TH174" s="39"/>
      <c r="TI174" s="39"/>
      <c r="TJ174" s="39"/>
    </row>
    <row r="175" spans="1:530" s="23" customFormat="1" ht="42" customHeight="1" x14ac:dyDescent="0.25">
      <c r="A175" s="43" t="s">
        <v>257</v>
      </c>
      <c r="B175" s="44" t="str">
        <f>'дод 3-1'!A14</f>
        <v>0160</v>
      </c>
      <c r="C175" s="44" t="str">
        <f>'дод 3-1'!B14</f>
        <v>0111</v>
      </c>
      <c r="D175" s="22" t="str">
        <f>'дод 3-1'!C14</f>
        <v>Керівництво і управління у відповідній сфері у містах (місті Києві), селищах, селах, об’єднаних територіальних громадах</v>
      </c>
      <c r="E175" s="71">
        <f t="shared" ref="E175:E180" si="112">F175+I175</f>
        <v>17857800</v>
      </c>
      <c r="F175" s="71">
        <f>18669000+46200-857400</f>
        <v>17857800</v>
      </c>
      <c r="G175" s="71">
        <f>14625700-702800</f>
        <v>13922900</v>
      </c>
      <c r="H175" s="71">
        <v>244400</v>
      </c>
      <c r="I175" s="71"/>
      <c r="J175" s="71">
        <f>L175+O175</f>
        <v>0</v>
      </c>
      <c r="K175" s="71"/>
      <c r="L175" s="71"/>
      <c r="M175" s="71"/>
      <c r="N175" s="71"/>
      <c r="O175" s="71"/>
      <c r="P175" s="71">
        <f t="shared" ref="P175:P182" si="113">E175+J175</f>
        <v>17857800</v>
      </c>
      <c r="Q175" s="131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  <c r="TJ175" s="26"/>
    </row>
    <row r="176" spans="1:530" s="23" customFormat="1" ht="18.75" customHeight="1" x14ac:dyDescent="0.25">
      <c r="A176" s="43" t="s">
        <v>300</v>
      </c>
      <c r="B176" s="44" t="str">
        <f>'дод 3-1'!A108</f>
        <v>7640</v>
      </c>
      <c r="C176" s="44" t="str">
        <f>'дод 3-1'!B108</f>
        <v>0470</v>
      </c>
      <c r="D176" s="24" t="str">
        <f>'дод 3-1'!C108</f>
        <v>Заходи з енергозбереження</v>
      </c>
      <c r="E176" s="71">
        <f t="shared" si="112"/>
        <v>345000</v>
      </c>
      <c r="F176" s="71">
        <v>345000</v>
      </c>
      <c r="G176" s="71"/>
      <c r="H176" s="71"/>
      <c r="I176" s="71"/>
      <c r="J176" s="71">
        <f t="shared" ref="J176:J182" si="114">L176+O176</f>
        <v>0</v>
      </c>
      <c r="K176" s="71"/>
      <c r="L176" s="71"/>
      <c r="M176" s="71"/>
      <c r="N176" s="71"/>
      <c r="O176" s="71"/>
      <c r="P176" s="71">
        <f t="shared" si="113"/>
        <v>345000</v>
      </c>
      <c r="Q176" s="131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  <c r="TJ176" s="26"/>
    </row>
    <row r="177" spans="1:530" s="23" customFormat="1" ht="24" customHeight="1" x14ac:dyDescent="0.25">
      <c r="A177" s="43" t="s">
        <v>387</v>
      </c>
      <c r="B177" s="44" t="str">
        <f>'дод 3-1'!A114</f>
        <v>7693</v>
      </c>
      <c r="C177" s="44" t="str">
        <f>'дод 3-1'!B114</f>
        <v>0490</v>
      </c>
      <c r="D177" s="24" t="str">
        <f>'дод 3-1'!C114</f>
        <v>Інші заходи, пов'язані з економічною діяльністю</v>
      </c>
      <c r="E177" s="71">
        <f t="shared" si="112"/>
        <v>213200</v>
      </c>
      <c r="F177" s="71">
        <v>213200</v>
      </c>
      <c r="G177" s="71"/>
      <c r="H177" s="71"/>
      <c r="I177" s="71"/>
      <c r="J177" s="71">
        <f t="shared" si="114"/>
        <v>0</v>
      </c>
      <c r="K177" s="71"/>
      <c r="L177" s="71"/>
      <c r="M177" s="71"/>
      <c r="N177" s="71"/>
      <c r="O177" s="71"/>
      <c r="P177" s="71">
        <f t="shared" si="113"/>
        <v>213200</v>
      </c>
      <c r="Q177" s="131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  <c r="TJ177" s="26"/>
    </row>
    <row r="178" spans="1:530" s="23" customFormat="1" ht="33.75" customHeight="1" x14ac:dyDescent="0.25">
      <c r="A178" s="43">
        <v>3718330</v>
      </c>
      <c r="B178" s="44">
        <f>'дод 3-1'!A124</f>
        <v>8330</v>
      </c>
      <c r="C178" s="44">
        <f>'дод 3-1'!B124</f>
        <v>540</v>
      </c>
      <c r="D178" s="24" t="str">
        <f>'дод 3-1'!C124</f>
        <v xml:space="preserve">Інша діяльність у сфері екології та охорони природних ресурсів </v>
      </c>
      <c r="E178" s="71">
        <f t="shared" si="112"/>
        <v>75000</v>
      </c>
      <c r="F178" s="71">
        <v>75000</v>
      </c>
      <c r="G178" s="71"/>
      <c r="H178" s="71"/>
      <c r="I178" s="71"/>
      <c r="J178" s="71">
        <f t="shared" si="114"/>
        <v>0</v>
      </c>
      <c r="K178" s="71"/>
      <c r="L178" s="71"/>
      <c r="M178" s="71"/>
      <c r="N178" s="71"/>
      <c r="O178" s="71"/>
      <c r="P178" s="71">
        <f t="shared" si="113"/>
        <v>75000</v>
      </c>
      <c r="Q178" s="131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  <c r="TJ178" s="26"/>
    </row>
    <row r="179" spans="1:530" s="23" customFormat="1" ht="26.25" customHeight="1" x14ac:dyDescent="0.25">
      <c r="A179" s="43" t="s">
        <v>258</v>
      </c>
      <c r="B179" s="44" t="str">
        <f>'дод 3-1'!A125</f>
        <v>8340</v>
      </c>
      <c r="C179" s="43" t="str">
        <f>'дод 3-1'!B125</f>
        <v>0540</v>
      </c>
      <c r="D179" s="24" t="str">
        <f>'дод 3-1'!C125</f>
        <v>Природоохоронні заходи за рахунок цільових фондів</v>
      </c>
      <c r="E179" s="71">
        <f t="shared" si="112"/>
        <v>0</v>
      </c>
      <c r="F179" s="71"/>
      <c r="G179" s="71"/>
      <c r="H179" s="71"/>
      <c r="I179" s="71"/>
      <c r="J179" s="71">
        <f t="shared" si="114"/>
        <v>45000</v>
      </c>
      <c r="K179" s="71"/>
      <c r="L179" s="71">
        <v>45000</v>
      </c>
      <c r="M179" s="71"/>
      <c r="N179" s="71"/>
      <c r="O179" s="71"/>
      <c r="P179" s="71">
        <f t="shared" si="113"/>
        <v>45000</v>
      </c>
      <c r="Q179" s="131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  <c r="TJ179" s="26"/>
    </row>
    <row r="180" spans="1:530" s="23" customFormat="1" ht="27" customHeight="1" x14ac:dyDescent="0.25">
      <c r="A180" s="43" t="s">
        <v>259</v>
      </c>
      <c r="B180" s="44" t="str">
        <f>'дод 3-1'!A128</f>
        <v>8600</v>
      </c>
      <c r="C180" s="44" t="str">
        <f>'дод 3-1'!B128</f>
        <v>0170</v>
      </c>
      <c r="D180" s="24" t="str">
        <f>'дод 3-1'!C128</f>
        <v>Обслуговування місцевого боргу</v>
      </c>
      <c r="E180" s="71">
        <f t="shared" si="112"/>
        <v>712065</v>
      </c>
      <c r="F180" s="71">
        <f>28187+238378+445500</f>
        <v>712065</v>
      </c>
      <c r="G180" s="71"/>
      <c r="H180" s="71"/>
      <c r="I180" s="71"/>
      <c r="J180" s="71">
        <f t="shared" si="114"/>
        <v>0</v>
      </c>
      <c r="K180" s="71"/>
      <c r="L180" s="71"/>
      <c r="M180" s="71"/>
      <c r="N180" s="71"/>
      <c r="O180" s="71"/>
      <c r="P180" s="71">
        <f t="shared" si="113"/>
        <v>712065</v>
      </c>
      <c r="Q180" s="131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  <c r="TJ180" s="26"/>
    </row>
    <row r="181" spans="1:530" s="23" customFormat="1" ht="21" customHeight="1" x14ac:dyDescent="0.25">
      <c r="A181" s="43" t="s">
        <v>273</v>
      </c>
      <c r="B181" s="44" t="str">
        <f>'дод 3-1'!A129</f>
        <v>8700</v>
      </c>
      <c r="C181" s="44" t="str">
        <f>'дод 3-1'!B129</f>
        <v>0133</v>
      </c>
      <c r="D181" s="24" t="str">
        <f>'дод 3-1'!C129</f>
        <v>Резервний фонд</v>
      </c>
      <c r="E181" s="71">
        <f>20000000+40000</f>
        <v>20040000</v>
      </c>
      <c r="F181" s="71"/>
      <c r="G181" s="71"/>
      <c r="H181" s="71"/>
      <c r="I181" s="71"/>
      <c r="J181" s="71">
        <f t="shared" si="114"/>
        <v>0</v>
      </c>
      <c r="K181" s="71"/>
      <c r="L181" s="71"/>
      <c r="M181" s="71"/>
      <c r="N181" s="71"/>
      <c r="O181" s="71"/>
      <c r="P181" s="71">
        <f t="shared" si="113"/>
        <v>20040000</v>
      </c>
      <c r="Q181" s="131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  <c r="TJ181" s="26"/>
    </row>
    <row r="182" spans="1:530" s="23" customFormat="1" ht="22.5" customHeight="1" x14ac:dyDescent="0.25">
      <c r="A182" s="43" t="s">
        <v>274</v>
      </c>
      <c r="B182" s="44" t="str">
        <f>'дод 3-1'!A132</f>
        <v>9110</v>
      </c>
      <c r="C182" s="44" t="str">
        <f>'дод 3-1'!B132</f>
        <v>0180</v>
      </c>
      <c r="D182" s="24" t="str">
        <f>'дод 3-1'!C132</f>
        <v>Реверсна дотація</v>
      </c>
      <c r="E182" s="71">
        <f>F182+I182</f>
        <v>108116600</v>
      </c>
      <c r="F182" s="71">
        <v>108116600</v>
      </c>
      <c r="G182" s="71"/>
      <c r="H182" s="71"/>
      <c r="I182" s="71"/>
      <c r="J182" s="71">
        <f t="shared" si="114"/>
        <v>0</v>
      </c>
      <c r="K182" s="71"/>
      <c r="L182" s="71"/>
      <c r="M182" s="71"/>
      <c r="N182" s="71"/>
      <c r="O182" s="71"/>
      <c r="P182" s="71">
        <f t="shared" si="113"/>
        <v>108116600</v>
      </c>
      <c r="Q182" s="131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  <c r="TJ182" s="26"/>
    </row>
    <row r="183" spans="1:530" s="31" customFormat="1" ht="24.75" customHeight="1" x14ac:dyDescent="0.2">
      <c r="A183" s="93"/>
      <c r="B183" s="76"/>
      <c r="C183" s="82"/>
      <c r="D183" s="30" t="s">
        <v>27</v>
      </c>
      <c r="E183" s="68">
        <f>E14+E46+E69+E86+E108+E113+E123+E143+E146+E157+E162+E165+E173</f>
        <v>2041548014</v>
      </c>
      <c r="F183" s="68">
        <f t="shared" ref="F183:P183" si="115">F14+F46+F69+F86+F108+F113+F123+F143+F146+F157+F162+F165+F173</f>
        <v>1976510876</v>
      </c>
      <c r="G183" s="68">
        <f t="shared" si="115"/>
        <v>905515185</v>
      </c>
      <c r="H183" s="68">
        <f t="shared" si="115"/>
        <v>121640963</v>
      </c>
      <c r="I183" s="68">
        <f t="shared" si="115"/>
        <v>44997138</v>
      </c>
      <c r="J183" s="68">
        <f t="shared" si="115"/>
        <v>527490012</v>
      </c>
      <c r="K183" s="68">
        <f t="shared" si="115"/>
        <v>451038186</v>
      </c>
      <c r="L183" s="68">
        <f t="shared" si="115"/>
        <v>63430230</v>
      </c>
      <c r="M183" s="68">
        <f t="shared" si="115"/>
        <v>9012497</v>
      </c>
      <c r="N183" s="68">
        <f t="shared" si="115"/>
        <v>3270541</v>
      </c>
      <c r="O183" s="68">
        <f t="shared" si="115"/>
        <v>464059782</v>
      </c>
      <c r="P183" s="68">
        <f t="shared" si="115"/>
        <v>2569038026</v>
      </c>
      <c r="Q183" s="131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8"/>
      <c r="KK183" s="38"/>
      <c r="KL183" s="38"/>
      <c r="KM183" s="38"/>
      <c r="KN183" s="38"/>
      <c r="KO183" s="38"/>
      <c r="KP183" s="38"/>
      <c r="KQ183" s="38"/>
      <c r="KR183" s="38"/>
      <c r="KS183" s="38"/>
      <c r="KT183" s="38"/>
      <c r="KU183" s="38"/>
      <c r="KV183" s="38"/>
      <c r="KW183" s="38"/>
      <c r="KX183" s="38"/>
      <c r="KY183" s="38"/>
      <c r="KZ183" s="38"/>
      <c r="LA183" s="38"/>
      <c r="LB183" s="38"/>
      <c r="LC183" s="38"/>
      <c r="LD183" s="38"/>
      <c r="LE183" s="38"/>
      <c r="LF183" s="38"/>
      <c r="LG183" s="38"/>
      <c r="LH183" s="38"/>
      <c r="LI183" s="38"/>
      <c r="LJ183" s="38"/>
      <c r="LK183" s="38"/>
      <c r="LL183" s="38"/>
      <c r="LM183" s="38"/>
      <c r="LN183" s="38"/>
      <c r="LO183" s="38"/>
      <c r="LP183" s="38"/>
      <c r="LQ183" s="38"/>
      <c r="LR183" s="38"/>
      <c r="LS183" s="38"/>
      <c r="LT183" s="38"/>
      <c r="LU183" s="38"/>
      <c r="LV183" s="38"/>
      <c r="LW183" s="38"/>
      <c r="LX183" s="38"/>
      <c r="LY183" s="38"/>
      <c r="LZ183" s="38"/>
      <c r="MA183" s="38"/>
      <c r="MB183" s="38"/>
      <c r="MC183" s="38"/>
      <c r="MD183" s="38"/>
      <c r="ME183" s="38"/>
      <c r="MF183" s="38"/>
      <c r="MG183" s="38"/>
      <c r="MH183" s="38"/>
      <c r="MI183" s="38"/>
      <c r="MJ183" s="38"/>
      <c r="MK183" s="38"/>
      <c r="ML183" s="38"/>
      <c r="MM183" s="38"/>
      <c r="MN183" s="38"/>
      <c r="MO183" s="38"/>
      <c r="MP183" s="38"/>
      <c r="MQ183" s="38"/>
      <c r="MR183" s="38"/>
      <c r="MS183" s="38"/>
      <c r="MT183" s="38"/>
      <c r="MU183" s="38"/>
      <c r="MV183" s="38"/>
      <c r="MW183" s="38"/>
      <c r="MX183" s="38"/>
      <c r="MY183" s="38"/>
      <c r="MZ183" s="38"/>
      <c r="NA183" s="38"/>
      <c r="NB183" s="38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38"/>
      <c r="OI183" s="38"/>
      <c r="OJ183" s="38"/>
      <c r="OK183" s="38"/>
      <c r="OL183" s="38"/>
      <c r="OM183" s="38"/>
      <c r="ON183" s="38"/>
      <c r="OO183" s="38"/>
      <c r="OP183" s="38"/>
      <c r="OQ183" s="38"/>
      <c r="OR183" s="38"/>
      <c r="OS183" s="38"/>
      <c r="OT183" s="38"/>
      <c r="OU183" s="38"/>
      <c r="OV183" s="38"/>
      <c r="OW183" s="38"/>
      <c r="OX183" s="38"/>
      <c r="OY183" s="38"/>
      <c r="OZ183" s="38"/>
      <c r="PA183" s="38"/>
      <c r="PB183" s="38"/>
      <c r="PC183" s="38"/>
      <c r="PD183" s="38"/>
      <c r="PE183" s="38"/>
      <c r="PF183" s="38"/>
      <c r="PG183" s="38"/>
      <c r="PH183" s="38"/>
      <c r="PI183" s="38"/>
      <c r="PJ183" s="38"/>
      <c r="PK183" s="38"/>
      <c r="PL183" s="38"/>
      <c r="PM183" s="38"/>
      <c r="PN183" s="38"/>
      <c r="PO183" s="38"/>
      <c r="PP183" s="38"/>
      <c r="PQ183" s="38"/>
      <c r="PR183" s="38"/>
      <c r="PS183" s="38"/>
      <c r="PT183" s="38"/>
      <c r="PU183" s="38"/>
      <c r="PV183" s="38"/>
      <c r="PW183" s="38"/>
      <c r="PX183" s="38"/>
      <c r="PY183" s="38"/>
      <c r="PZ183" s="38"/>
      <c r="QA183" s="38"/>
      <c r="QB183" s="38"/>
      <c r="QC183" s="38"/>
      <c r="QD183" s="38"/>
      <c r="QE183" s="38"/>
      <c r="QF183" s="38"/>
      <c r="QG183" s="38"/>
      <c r="QH183" s="38"/>
      <c r="QI183" s="38"/>
      <c r="QJ183" s="38"/>
      <c r="QK183" s="38"/>
      <c r="QL183" s="38"/>
      <c r="QM183" s="38"/>
      <c r="QN183" s="38"/>
      <c r="QO183" s="38"/>
      <c r="QP183" s="38"/>
      <c r="QQ183" s="38"/>
      <c r="QR183" s="38"/>
      <c r="QS183" s="38"/>
      <c r="QT183" s="38"/>
      <c r="QU183" s="38"/>
      <c r="QV183" s="38"/>
      <c r="QW183" s="38"/>
      <c r="QX183" s="38"/>
      <c r="QY183" s="38"/>
      <c r="QZ183" s="38"/>
      <c r="RA183" s="38"/>
      <c r="RB183" s="38"/>
      <c r="RC183" s="38"/>
      <c r="RD183" s="38"/>
      <c r="RE183" s="38"/>
      <c r="RF183" s="38"/>
      <c r="RG183" s="38"/>
      <c r="RH183" s="38"/>
      <c r="RI183" s="38"/>
      <c r="RJ183" s="38"/>
      <c r="RK183" s="38"/>
      <c r="RL183" s="38"/>
      <c r="RM183" s="38"/>
      <c r="RN183" s="38"/>
      <c r="RO183" s="38"/>
      <c r="RP183" s="38"/>
      <c r="RQ183" s="38"/>
      <c r="RR183" s="38"/>
      <c r="RS183" s="38"/>
      <c r="RT183" s="38"/>
      <c r="RU183" s="38"/>
      <c r="RV183" s="38"/>
      <c r="RW183" s="38"/>
      <c r="RX183" s="38"/>
      <c r="RY183" s="38"/>
      <c r="RZ183" s="38"/>
      <c r="SA183" s="38"/>
      <c r="SB183" s="38"/>
      <c r="SC183" s="38"/>
      <c r="SD183" s="38"/>
      <c r="SE183" s="38"/>
      <c r="SF183" s="38"/>
      <c r="SG183" s="38"/>
      <c r="SH183" s="38"/>
      <c r="SI183" s="38"/>
      <c r="SJ183" s="38"/>
      <c r="SK183" s="38"/>
      <c r="SL183" s="38"/>
      <c r="SM183" s="38"/>
      <c r="SN183" s="38"/>
      <c r="SO183" s="38"/>
      <c r="SP183" s="38"/>
      <c r="SQ183" s="38"/>
      <c r="SR183" s="38"/>
      <c r="SS183" s="38"/>
      <c r="ST183" s="38"/>
      <c r="SU183" s="38"/>
      <c r="SV183" s="38"/>
      <c r="SW183" s="38"/>
      <c r="SX183" s="38"/>
      <c r="SY183" s="38"/>
      <c r="SZ183" s="38"/>
      <c r="TA183" s="38"/>
      <c r="TB183" s="38"/>
      <c r="TC183" s="38"/>
      <c r="TD183" s="38"/>
      <c r="TE183" s="38"/>
      <c r="TF183" s="38"/>
      <c r="TG183" s="38"/>
      <c r="TH183" s="38"/>
      <c r="TI183" s="38"/>
      <c r="TJ183" s="38"/>
    </row>
    <row r="184" spans="1:530" s="31" customFormat="1" ht="20.25" customHeight="1" x14ac:dyDescent="0.2">
      <c r="A184" s="93"/>
      <c r="B184" s="76"/>
      <c r="C184" s="82"/>
      <c r="D184" s="30" t="s">
        <v>308</v>
      </c>
      <c r="E184" s="68">
        <f>E48+E71</f>
        <v>417759465</v>
      </c>
      <c r="F184" s="68">
        <f t="shared" ref="F184:P184" si="116">F48+F71</f>
        <v>417759465</v>
      </c>
      <c r="G184" s="68">
        <f t="shared" si="116"/>
        <v>294458780</v>
      </c>
      <c r="H184" s="68">
        <f t="shared" si="116"/>
        <v>0</v>
      </c>
      <c r="I184" s="68">
        <f t="shared" si="116"/>
        <v>0</v>
      </c>
      <c r="J184" s="68">
        <f t="shared" si="116"/>
        <v>828008</v>
      </c>
      <c r="K184" s="68">
        <f t="shared" si="116"/>
        <v>828008</v>
      </c>
      <c r="L184" s="68">
        <f t="shared" si="116"/>
        <v>0</v>
      </c>
      <c r="M184" s="68">
        <f t="shared" si="116"/>
        <v>0</v>
      </c>
      <c r="N184" s="68">
        <f t="shared" si="116"/>
        <v>0</v>
      </c>
      <c r="O184" s="68">
        <f t="shared" si="116"/>
        <v>828008</v>
      </c>
      <c r="P184" s="68">
        <f t="shared" si="116"/>
        <v>418587473</v>
      </c>
      <c r="Q184" s="131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8"/>
      <c r="KK184" s="38"/>
      <c r="KL184" s="38"/>
      <c r="KM184" s="38"/>
      <c r="KN184" s="38"/>
      <c r="KO184" s="38"/>
      <c r="KP184" s="38"/>
      <c r="KQ184" s="38"/>
      <c r="KR184" s="38"/>
      <c r="KS184" s="38"/>
      <c r="KT184" s="38"/>
      <c r="KU184" s="38"/>
      <c r="KV184" s="38"/>
      <c r="KW184" s="38"/>
      <c r="KX184" s="38"/>
      <c r="KY184" s="38"/>
      <c r="KZ184" s="38"/>
      <c r="LA184" s="38"/>
      <c r="LB184" s="38"/>
      <c r="LC184" s="38"/>
      <c r="LD184" s="38"/>
      <c r="LE184" s="38"/>
      <c r="LF184" s="38"/>
      <c r="LG184" s="38"/>
      <c r="LH184" s="38"/>
      <c r="LI184" s="38"/>
      <c r="LJ184" s="38"/>
      <c r="LK184" s="38"/>
      <c r="LL184" s="38"/>
      <c r="LM184" s="38"/>
      <c r="LN184" s="38"/>
      <c r="LO184" s="38"/>
      <c r="LP184" s="38"/>
      <c r="LQ184" s="38"/>
      <c r="LR184" s="38"/>
      <c r="LS184" s="38"/>
      <c r="LT184" s="38"/>
      <c r="LU184" s="38"/>
      <c r="LV184" s="38"/>
      <c r="LW184" s="38"/>
      <c r="LX184" s="38"/>
      <c r="LY184" s="38"/>
      <c r="LZ184" s="38"/>
      <c r="MA184" s="38"/>
      <c r="MB184" s="38"/>
      <c r="MC184" s="38"/>
      <c r="MD184" s="38"/>
      <c r="ME184" s="38"/>
      <c r="MF184" s="38"/>
      <c r="MG184" s="38"/>
      <c r="MH184" s="38"/>
      <c r="MI184" s="38"/>
      <c r="MJ184" s="38"/>
      <c r="MK184" s="38"/>
      <c r="ML184" s="38"/>
      <c r="MM184" s="38"/>
      <c r="MN184" s="38"/>
      <c r="MO184" s="38"/>
      <c r="MP184" s="38"/>
      <c r="MQ184" s="38"/>
      <c r="MR184" s="38"/>
      <c r="MS184" s="38"/>
      <c r="MT184" s="38"/>
      <c r="MU184" s="38"/>
      <c r="MV184" s="38"/>
      <c r="MW184" s="38"/>
      <c r="MX184" s="38"/>
      <c r="MY184" s="38"/>
      <c r="MZ184" s="38"/>
      <c r="NA184" s="38"/>
      <c r="NB184" s="38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38"/>
      <c r="OI184" s="38"/>
      <c r="OJ184" s="38"/>
      <c r="OK184" s="38"/>
      <c r="OL184" s="38"/>
      <c r="OM184" s="38"/>
      <c r="ON184" s="38"/>
      <c r="OO184" s="38"/>
      <c r="OP184" s="38"/>
      <c r="OQ184" s="38"/>
      <c r="OR184" s="38"/>
      <c r="OS184" s="38"/>
      <c r="OT184" s="38"/>
      <c r="OU184" s="38"/>
      <c r="OV184" s="38"/>
      <c r="OW184" s="38"/>
      <c r="OX184" s="38"/>
      <c r="OY184" s="38"/>
      <c r="OZ184" s="38"/>
      <c r="PA184" s="38"/>
      <c r="PB184" s="38"/>
      <c r="PC184" s="38"/>
      <c r="PD184" s="38"/>
      <c r="PE184" s="38"/>
      <c r="PF184" s="38"/>
      <c r="PG184" s="38"/>
      <c r="PH184" s="38"/>
      <c r="PI184" s="38"/>
      <c r="PJ184" s="38"/>
      <c r="PK184" s="38"/>
      <c r="PL184" s="38"/>
      <c r="PM184" s="38"/>
      <c r="PN184" s="38"/>
      <c r="PO184" s="38"/>
      <c r="PP184" s="38"/>
      <c r="PQ184" s="38"/>
      <c r="PR184" s="38"/>
      <c r="PS184" s="38"/>
      <c r="PT184" s="38"/>
      <c r="PU184" s="38"/>
      <c r="PV184" s="38"/>
      <c r="PW184" s="38"/>
      <c r="PX184" s="38"/>
      <c r="PY184" s="38"/>
      <c r="PZ184" s="38"/>
      <c r="QA184" s="38"/>
      <c r="QB184" s="38"/>
      <c r="QC184" s="38"/>
      <c r="QD184" s="38"/>
      <c r="QE184" s="38"/>
      <c r="QF184" s="38"/>
      <c r="QG184" s="38"/>
      <c r="QH184" s="38"/>
      <c r="QI184" s="38"/>
      <c r="QJ184" s="38"/>
      <c r="QK184" s="38"/>
      <c r="QL184" s="38"/>
      <c r="QM184" s="38"/>
      <c r="QN184" s="38"/>
      <c r="QO184" s="38"/>
      <c r="QP184" s="38"/>
      <c r="QQ184" s="38"/>
      <c r="QR184" s="38"/>
      <c r="QS184" s="38"/>
      <c r="QT184" s="38"/>
      <c r="QU184" s="38"/>
      <c r="QV184" s="38"/>
      <c r="QW184" s="38"/>
      <c r="QX184" s="38"/>
      <c r="QY184" s="38"/>
      <c r="QZ184" s="38"/>
      <c r="RA184" s="38"/>
      <c r="RB184" s="38"/>
      <c r="RC184" s="38"/>
      <c r="RD184" s="38"/>
      <c r="RE184" s="38"/>
      <c r="RF184" s="38"/>
      <c r="RG184" s="38"/>
      <c r="RH184" s="38"/>
      <c r="RI184" s="38"/>
      <c r="RJ184" s="38"/>
      <c r="RK184" s="38"/>
      <c r="RL184" s="38"/>
      <c r="RM184" s="38"/>
      <c r="RN184" s="38"/>
      <c r="RO184" s="38"/>
      <c r="RP184" s="38"/>
      <c r="RQ184" s="38"/>
      <c r="RR184" s="38"/>
      <c r="RS184" s="38"/>
      <c r="RT184" s="38"/>
      <c r="RU184" s="38"/>
      <c r="RV184" s="38"/>
      <c r="RW184" s="38"/>
      <c r="RX184" s="38"/>
      <c r="RY184" s="38"/>
      <c r="RZ184" s="38"/>
      <c r="SA184" s="38"/>
      <c r="SB184" s="38"/>
      <c r="SC184" s="38"/>
      <c r="SD184" s="38"/>
      <c r="SE184" s="38"/>
      <c r="SF184" s="38"/>
      <c r="SG184" s="38"/>
      <c r="SH184" s="38"/>
      <c r="SI184" s="38"/>
      <c r="SJ184" s="38"/>
      <c r="SK184" s="38"/>
      <c r="SL184" s="38"/>
      <c r="SM184" s="38"/>
      <c r="SN184" s="38"/>
      <c r="SO184" s="38"/>
      <c r="SP184" s="38"/>
      <c r="SQ184" s="38"/>
      <c r="SR184" s="38"/>
      <c r="SS184" s="38"/>
      <c r="ST184" s="38"/>
      <c r="SU184" s="38"/>
      <c r="SV184" s="38"/>
      <c r="SW184" s="38"/>
      <c r="SX184" s="38"/>
      <c r="SY184" s="38"/>
      <c r="SZ184" s="38"/>
      <c r="TA184" s="38"/>
      <c r="TB184" s="38"/>
      <c r="TC184" s="38"/>
      <c r="TD184" s="38"/>
      <c r="TE184" s="38"/>
      <c r="TF184" s="38"/>
      <c r="TG184" s="38"/>
      <c r="TH184" s="38"/>
      <c r="TI184" s="38"/>
      <c r="TJ184" s="38"/>
    </row>
    <row r="185" spans="1:530" s="34" customFormat="1" x14ac:dyDescent="0.25">
      <c r="A185" s="94"/>
      <c r="B185" s="83"/>
      <c r="C185" s="83"/>
      <c r="D185" s="4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2"/>
      <c r="Q185" s="131"/>
    </row>
    <row r="186" spans="1:530" s="34" customFormat="1" x14ac:dyDescent="0.25">
      <c r="A186" s="94"/>
      <c r="B186" s="83"/>
      <c r="C186" s="83"/>
      <c r="D186" s="4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2"/>
      <c r="Q186" s="131"/>
    </row>
    <row r="187" spans="1:530" s="34" customFormat="1" x14ac:dyDescent="0.25">
      <c r="A187" s="94"/>
      <c r="B187" s="83"/>
      <c r="C187" s="83"/>
      <c r="D187" s="4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2"/>
      <c r="Q187" s="131"/>
    </row>
    <row r="188" spans="1:530" s="34" customFormat="1" x14ac:dyDescent="0.25">
      <c r="A188" s="94"/>
      <c r="B188" s="83"/>
      <c r="C188" s="83"/>
      <c r="D188" s="4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2"/>
      <c r="Q188" s="131"/>
    </row>
    <row r="189" spans="1:530" s="34" customFormat="1" x14ac:dyDescent="0.25">
      <c r="A189" s="94"/>
      <c r="B189" s="83"/>
      <c r="C189" s="83"/>
      <c r="D189" s="4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2"/>
      <c r="Q189" s="131"/>
    </row>
    <row r="190" spans="1:530" s="34" customFormat="1" ht="35.25" customHeight="1" x14ac:dyDescent="0.5">
      <c r="A190" s="96"/>
      <c r="B190" s="97"/>
      <c r="C190" s="97"/>
      <c r="D190" s="98"/>
      <c r="E190" s="99"/>
      <c r="F190" s="99"/>
      <c r="G190" s="99"/>
      <c r="H190" s="99"/>
      <c r="I190" s="99"/>
      <c r="J190" s="99"/>
      <c r="K190" s="100"/>
      <c r="L190" s="99"/>
      <c r="M190" s="111"/>
      <c r="N190" s="111"/>
      <c r="O190" s="111"/>
      <c r="P190" s="109"/>
      <c r="Q190" s="131"/>
      <c r="R190" s="109"/>
      <c r="S190" s="109"/>
      <c r="T190" s="109"/>
      <c r="U190" s="109"/>
      <c r="V190" s="109"/>
    </row>
    <row r="191" spans="1:530" s="34" customFormat="1" ht="31.5" x14ac:dyDescent="0.45">
      <c r="A191" s="143" t="s">
        <v>429</v>
      </c>
      <c r="B191" s="143"/>
      <c r="C191" s="143"/>
      <c r="D191" s="143"/>
      <c r="E191" s="143"/>
      <c r="F191" s="143"/>
      <c r="G191" s="143"/>
      <c r="H191" s="143"/>
      <c r="I191" s="112"/>
      <c r="J191" s="112"/>
      <c r="K191" s="112"/>
      <c r="L191" s="144" t="s">
        <v>430</v>
      </c>
      <c r="M191" s="144"/>
      <c r="N191" s="144"/>
      <c r="O191" s="101"/>
      <c r="P191" s="102"/>
      <c r="Q191" s="131"/>
      <c r="R191" s="102"/>
      <c r="S191" s="102"/>
      <c r="T191" s="102"/>
      <c r="U191" s="102"/>
      <c r="V191" s="102"/>
      <c r="W191" s="102"/>
      <c r="X191" s="103"/>
      <c r="Y191" s="104"/>
    </row>
    <row r="192" spans="1:530" s="34" customFormat="1" ht="31.5" x14ac:dyDescent="0.45">
      <c r="A192" s="105"/>
      <c r="B192" s="105"/>
      <c r="C192" s="105"/>
      <c r="D192" s="106"/>
      <c r="E192" s="107"/>
      <c r="F192" s="107"/>
      <c r="G192" s="107"/>
      <c r="H192" s="107"/>
      <c r="I192" s="107"/>
      <c r="J192" s="107"/>
      <c r="K192" s="108"/>
      <c r="L192" s="107"/>
      <c r="M192" s="107"/>
      <c r="N192" s="107"/>
      <c r="O192" s="107"/>
      <c r="P192" s="107"/>
      <c r="Q192" s="131"/>
      <c r="R192" s="107"/>
      <c r="S192" s="107"/>
      <c r="T192" s="107"/>
      <c r="U192" s="107"/>
      <c r="V192" s="107"/>
      <c r="W192" s="107"/>
      <c r="X192" s="108"/>
      <c r="Y192" s="107"/>
    </row>
    <row r="193" spans="1:17" s="121" customFormat="1" ht="18.75" x14ac:dyDescent="0.3">
      <c r="A193" s="135" t="s">
        <v>439</v>
      </c>
      <c r="B193" s="118"/>
      <c r="C193" s="118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31"/>
    </row>
    <row r="194" spans="1:17" s="34" customFormat="1" x14ac:dyDescent="0.25">
      <c r="A194" s="136" t="s">
        <v>440</v>
      </c>
      <c r="B194" s="134"/>
      <c r="C194" s="134"/>
      <c r="D194" s="4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131"/>
    </row>
    <row r="195" spans="1:17" s="34" customFormat="1" x14ac:dyDescent="0.25">
      <c r="A195" s="94"/>
      <c r="B195" s="83"/>
      <c r="C195" s="83"/>
      <c r="D195" s="4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131"/>
    </row>
    <row r="196" spans="1:17" s="34" customFormat="1" x14ac:dyDescent="0.25">
      <c r="A196" s="94"/>
      <c r="B196" s="83"/>
      <c r="C196" s="83"/>
      <c r="D196" s="4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131"/>
    </row>
    <row r="197" spans="1:17" s="126" customFormat="1" ht="14.25" x14ac:dyDescent="0.2">
      <c r="A197" s="122"/>
      <c r="B197" s="123"/>
      <c r="C197" s="123"/>
      <c r="D197" s="124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31"/>
    </row>
    <row r="198" spans="1:17" s="126" customFormat="1" ht="14.25" x14ac:dyDescent="0.2">
      <c r="A198" s="122"/>
      <c r="B198" s="123"/>
      <c r="C198" s="123"/>
      <c r="D198" s="124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31"/>
    </row>
    <row r="199" spans="1:17" s="34" customFormat="1" x14ac:dyDescent="0.25">
      <c r="A199" s="94"/>
      <c r="B199" s="83"/>
      <c r="C199" s="83"/>
      <c r="D199" s="4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2"/>
      <c r="Q199" s="131"/>
    </row>
    <row r="200" spans="1:17" s="34" customFormat="1" x14ac:dyDescent="0.25">
      <c r="A200" s="94"/>
      <c r="B200" s="83"/>
      <c r="C200" s="83"/>
      <c r="D200" s="4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2"/>
      <c r="Q200" s="131"/>
    </row>
    <row r="201" spans="1:17" s="34" customFormat="1" x14ac:dyDescent="0.25">
      <c r="A201" s="94"/>
      <c r="B201" s="83"/>
      <c r="C201" s="83"/>
      <c r="D201" s="4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2"/>
      <c r="Q201" s="131"/>
    </row>
    <row r="202" spans="1:17" s="34" customFormat="1" x14ac:dyDescent="0.25">
      <c r="A202" s="94"/>
      <c r="B202" s="83"/>
      <c r="C202" s="83"/>
      <c r="D202" s="4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2"/>
      <c r="Q202" s="131"/>
    </row>
    <row r="203" spans="1:17" s="34" customFormat="1" x14ac:dyDescent="0.25">
      <c r="A203" s="94"/>
      <c r="B203" s="83"/>
      <c r="C203" s="83"/>
      <c r="D203" s="4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2"/>
      <c r="Q203" s="131"/>
    </row>
    <row r="204" spans="1:17" s="34" customFormat="1" x14ac:dyDescent="0.25">
      <c r="A204" s="94"/>
      <c r="B204" s="83"/>
      <c r="C204" s="83"/>
      <c r="D204" s="4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2"/>
      <c r="Q204" s="131"/>
    </row>
    <row r="205" spans="1:17" s="34" customFormat="1" x14ac:dyDescent="0.25">
      <c r="A205" s="94"/>
      <c r="B205" s="83"/>
      <c r="C205" s="83"/>
      <c r="D205" s="4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2"/>
      <c r="Q205" s="131"/>
    </row>
    <row r="206" spans="1:17" s="34" customFormat="1" x14ac:dyDescent="0.25">
      <c r="A206" s="94"/>
      <c r="B206" s="83"/>
      <c r="C206" s="83"/>
      <c r="D206" s="4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131"/>
    </row>
    <row r="207" spans="1:17" s="34" customFormat="1" x14ac:dyDescent="0.25">
      <c r="A207" s="94"/>
      <c r="B207" s="83"/>
      <c r="C207" s="83"/>
      <c r="D207" s="4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131"/>
    </row>
    <row r="208" spans="1:17" s="34" customFormat="1" x14ac:dyDescent="0.25">
      <c r="A208" s="94"/>
      <c r="B208" s="83"/>
      <c r="C208" s="83"/>
      <c r="D208" s="4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2"/>
      <c r="Q208" s="131"/>
    </row>
    <row r="209" spans="1:17" s="34" customFormat="1" x14ac:dyDescent="0.25">
      <c r="A209" s="94"/>
      <c r="B209" s="83"/>
      <c r="C209" s="83"/>
      <c r="D209" s="4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2"/>
      <c r="Q209" s="131"/>
    </row>
    <row r="210" spans="1:17" s="34" customFormat="1" x14ac:dyDescent="0.25">
      <c r="A210" s="94"/>
      <c r="B210" s="83"/>
      <c r="C210" s="83"/>
      <c r="D210" s="4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2"/>
      <c r="Q210" s="131"/>
    </row>
    <row r="211" spans="1:17" s="34" customFormat="1" x14ac:dyDescent="0.25">
      <c r="A211" s="94"/>
      <c r="B211" s="83"/>
      <c r="C211" s="83"/>
      <c r="D211" s="4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131"/>
    </row>
    <row r="212" spans="1:17" s="34" customFormat="1" x14ac:dyDescent="0.25">
      <c r="A212" s="94"/>
      <c r="B212" s="83"/>
      <c r="C212" s="83"/>
      <c r="D212" s="4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131"/>
    </row>
    <row r="213" spans="1:17" s="34" customFormat="1" x14ac:dyDescent="0.25">
      <c r="A213" s="94"/>
      <c r="B213" s="83"/>
      <c r="C213" s="83"/>
      <c r="D213" s="4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131"/>
    </row>
    <row r="214" spans="1:17" s="34" customFormat="1" x14ac:dyDescent="0.25">
      <c r="A214" s="94"/>
      <c r="B214" s="83"/>
      <c r="C214" s="83"/>
      <c r="D214" s="4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2"/>
      <c r="Q214" s="131"/>
    </row>
    <row r="215" spans="1:17" s="34" customFormat="1" x14ac:dyDescent="0.25">
      <c r="A215" s="94"/>
      <c r="B215" s="83"/>
      <c r="C215" s="83"/>
      <c r="D215" s="4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2"/>
      <c r="Q215" s="131"/>
    </row>
    <row r="216" spans="1:17" s="34" customFormat="1" x14ac:dyDescent="0.25">
      <c r="A216" s="94"/>
      <c r="B216" s="83"/>
      <c r="C216" s="83"/>
      <c r="D216" s="4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2"/>
      <c r="Q216" s="131"/>
    </row>
    <row r="217" spans="1:17" s="34" customFormat="1" x14ac:dyDescent="0.25">
      <c r="A217" s="94"/>
      <c r="B217" s="83"/>
      <c r="C217" s="83"/>
      <c r="D217" s="4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2"/>
      <c r="Q217" s="131"/>
    </row>
    <row r="218" spans="1:17" s="34" customFormat="1" x14ac:dyDescent="0.25">
      <c r="A218" s="94"/>
      <c r="B218" s="83"/>
      <c r="C218" s="83"/>
      <c r="D218" s="4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2"/>
      <c r="Q218" s="131"/>
    </row>
    <row r="219" spans="1:17" s="34" customFormat="1" x14ac:dyDescent="0.25">
      <c r="A219" s="94"/>
      <c r="B219" s="83"/>
      <c r="C219" s="83"/>
      <c r="D219" s="4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2"/>
      <c r="Q219" s="128"/>
    </row>
    <row r="220" spans="1:17" s="34" customFormat="1" x14ac:dyDescent="0.25">
      <c r="A220" s="94"/>
      <c r="B220" s="83"/>
      <c r="C220" s="83"/>
      <c r="D220" s="4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2"/>
      <c r="Q220" s="128"/>
    </row>
    <row r="221" spans="1:17" s="34" customFormat="1" x14ac:dyDescent="0.25">
      <c r="A221" s="94"/>
      <c r="B221" s="83"/>
      <c r="C221" s="83"/>
      <c r="D221" s="4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2"/>
      <c r="Q221" s="128"/>
    </row>
    <row r="222" spans="1:17" s="34" customFormat="1" x14ac:dyDescent="0.25">
      <c r="A222" s="94"/>
      <c r="B222" s="83"/>
      <c r="C222" s="83"/>
      <c r="D222" s="4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2"/>
      <c r="Q222" s="128"/>
    </row>
    <row r="223" spans="1:17" s="34" customFormat="1" x14ac:dyDescent="0.25">
      <c r="A223" s="94"/>
      <c r="B223" s="83"/>
      <c r="C223" s="83"/>
      <c r="D223" s="4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2"/>
      <c r="Q223" s="128"/>
    </row>
    <row r="224" spans="1:17" s="34" customFormat="1" x14ac:dyDescent="0.25">
      <c r="A224" s="94"/>
      <c r="B224" s="83"/>
      <c r="C224" s="83"/>
      <c r="D224" s="4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2"/>
      <c r="Q224" s="128"/>
    </row>
    <row r="225" spans="1:17" s="34" customFormat="1" x14ac:dyDescent="0.25">
      <c r="A225" s="94"/>
      <c r="B225" s="83"/>
      <c r="C225" s="83"/>
      <c r="D225" s="4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2"/>
      <c r="Q225" s="128"/>
    </row>
    <row r="226" spans="1:17" s="34" customFormat="1" x14ac:dyDescent="0.25">
      <c r="A226" s="94"/>
      <c r="B226" s="83"/>
      <c r="C226" s="83"/>
      <c r="D226" s="4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2"/>
      <c r="Q226" s="128"/>
    </row>
    <row r="227" spans="1:17" s="34" customFormat="1" x14ac:dyDescent="0.25">
      <c r="A227" s="94"/>
      <c r="B227" s="83"/>
      <c r="C227" s="83"/>
      <c r="D227" s="4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2"/>
      <c r="Q227" s="128"/>
    </row>
    <row r="228" spans="1:17" s="34" customFormat="1" x14ac:dyDescent="0.25">
      <c r="A228" s="94"/>
      <c r="B228" s="83"/>
      <c r="C228" s="83"/>
      <c r="D228" s="4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2"/>
      <c r="Q228" s="128"/>
    </row>
    <row r="229" spans="1:17" s="34" customFormat="1" x14ac:dyDescent="0.25">
      <c r="A229" s="94"/>
      <c r="B229" s="83"/>
      <c r="C229" s="83"/>
      <c r="D229" s="4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2"/>
      <c r="Q229" s="128"/>
    </row>
    <row r="230" spans="1:17" s="34" customFormat="1" x14ac:dyDescent="0.25">
      <c r="A230" s="94"/>
      <c r="B230" s="83"/>
      <c r="C230" s="83"/>
      <c r="D230" s="4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2"/>
      <c r="Q230" s="128"/>
    </row>
    <row r="231" spans="1:17" s="34" customFormat="1" x14ac:dyDescent="0.25">
      <c r="A231" s="94"/>
      <c r="B231" s="83"/>
      <c r="C231" s="83"/>
      <c r="D231" s="4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2"/>
      <c r="Q231" s="128"/>
    </row>
    <row r="232" spans="1:17" s="34" customFormat="1" x14ac:dyDescent="0.25">
      <c r="A232" s="94"/>
      <c r="B232" s="83"/>
      <c r="C232" s="83"/>
      <c r="D232" s="4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2"/>
      <c r="Q232" s="128"/>
    </row>
    <row r="233" spans="1:17" s="34" customFormat="1" x14ac:dyDescent="0.25">
      <c r="A233" s="94"/>
      <c r="B233" s="83"/>
      <c r="C233" s="83"/>
      <c r="D233" s="4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2"/>
      <c r="Q233" s="128"/>
    </row>
    <row r="234" spans="1:17" s="34" customFormat="1" x14ac:dyDescent="0.25">
      <c r="A234" s="94"/>
      <c r="B234" s="83"/>
      <c r="C234" s="83"/>
      <c r="D234" s="4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2"/>
      <c r="Q234" s="128"/>
    </row>
    <row r="235" spans="1:17" s="34" customFormat="1" x14ac:dyDescent="0.25">
      <c r="A235" s="94"/>
      <c r="B235" s="83"/>
      <c r="C235" s="83"/>
      <c r="D235" s="4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2"/>
      <c r="Q235" s="128"/>
    </row>
    <row r="236" spans="1:17" s="34" customFormat="1" x14ac:dyDescent="0.25">
      <c r="A236" s="94"/>
      <c r="B236" s="83"/>
      <c r="C236" s="83"/>
      <c r="D236" s="4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2"/>
      <c r="Q236" s="128"/>
    </row>
    <row r="237" spans="1:17" s="34" customFormat="1" x14ac:dyDescent="0.25">
      <c r="A237" s="94"/>
      <c r="B237" s="83"/>
      <c r="C237" s="83"/>
      <c r="D237" s="4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2"/>
      <c r="Q237" s="128"/>
    </row>
    <row r="238" spans="1:17" s="34" customFormat="1" x14ac:dyDescent="0.25">
      <c r="A238" s="94"/>
      <c r="B238" s="83"/>
      <c r="C238" s="83"/>
      <c r="D238" s="4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2"/>
      <c r="Q238" s="128"/>
    </row>
    <row r="239" spans="1:17" s="34" customFormat="1" x14ac:dyDescent="0.25">
      <c r="A239" s="94"/>
      <c r="B239" s="83"/>
      <c r="C239" s="83"/>
      <c r="D239" s="4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2"/>
      <c r="Q239" s="128"/>
    </row>
    <row r="240" spans="1:17" s="34" customFormat="1" x14ac:dyDescent="0.25">
      <c r="A240" s="94"/>
      <c r="B240" s="83"/>
      <c r="C240" s="83"/>
      <c r="D240" s="4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2"/>
      <c r="Q240" s="128"/>
    </row>
    <row r="241" spans="1:17" s="34" customFormat="1" x14ac:dyDescent="0.25">
      <c r="A241" s="94"/>
      <c r="B241" s="83"/>
      <c r="C241" s="83"/>
      <c r="D241" s="4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2"/>
      <c r="Q241" s="128"/>
    </row>
    <row r="242" spans="1:17" s="34" customFormat="1" x14ac:dyDescent="0.25">
      <c r="A242" s="94"/>
      <c r="B242" s="83"/>
      <c r="C242" s="83"/>
      <c r="D242" s="4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2"/>
      <c r="Q242" s="128"/>
    </row>
    <row r="243" spans="1:17" s="34" customFormat="1" x14ac:dyDescent="0.25">
      <c r="A243" s="94"/>
      <c r="B243" s="83"/>
      <c r="C243" s="83"/>
      <c r="D243" s="4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2"/>
      <c r="Q243" s="128"/>
    </row>
    <row r="244" spans="1:17" s="34" customFormat="1" x14ac:dyDescent="0.25">
      <c r="A244" s="94"/>
      <c r="B244" s="83"/>
      <c r="C244" s="83"/>
      <c r="D244" s="4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2"/>
      <c r="Q244" s="128"/>
    </row>
    <row r="245" spans="1:17" s="34" customFormat="1" x14ac:dyDescent="0.25">
      <c r="A245" s="94"/>
      <c r="B245" s="83"/>
      <c r="C245" s="83"/>
      <c r="D245" s="4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2"/>
      <c r="Q245" s="128"/>
    </row>
    <row r="246" spans="1:17" s="34" customFormat="1" x14ac:dyDescent="0.25">
      <c r="A246" s="94"/>
      <c r="B246" s="83"/>
      <c r="C246" s="83"/>
      <c r="D246" s="4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128"/>
    </row>
    <row r="247" spans="1:17" s="34" customFormat="1" x14ac:dyDescent="0.25">
      <c r="A247" s="94"/>
      <c r="B247" s="83"/>
      <c r="C247" s="83"/>
      <c r="D247" s="4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2"/>
      <c r="Q247" s="128"/>
    </row>
    <row r="248" spans="1:17" s="34" customFormat="1" x14ac:dyDescent="0.25">
      <c r="A248" s="94"/>
      <c r="B248" s="83"/>
      <c r="C248" s="83"/>
      <c r="D248" s="4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2"/>
      <c r="Q248" s="128"/>
    </row>
    <row r="249" spans="1:17" s="34" customFormat="1" x14ac:dyDescent="0.25">
      <c r="A249" s="94"/>
      <c r="B249" s="83"/>
      <c r="C249" s="83"/>
      <c r="D249" s="4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2"/>
      <c r="Q249" s="128"/>
    </row>
    <row r="250" spans="1:17" s="34" customFormat="1" x14ac:dyDescent="0.25">
      <c r="A250" s="94"/>
      <c r="B250" s="83"/>
      <c r="C250" s="83"/>
      <c r="D250" s="4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2"/>
      <c r="Q250" s="128"/>
    </row>
    <row r="251" spans="1:17" s="34" customFormat="1" x14ac:dyDescent="0.25">
      <c r="A251" s="94"/>
      <c r="B251" s="83"/>
      <c r="C251" s="83"/>
      <c r="D251" s="4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2"/>
      <c r="Q251" s="128"/>
    </row>
    <row r="252" spans="1:17" s="34" customFormat="1" x14ac:dyDescent="0.25">
      <c r="A252" s="94"/>
      <c r="B252" s="83"/>
      <c r="C252" s="83"/>
      <c r="D252" s="4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2"/>
      <c r="Q252" s="128"/>
    </row>
    <row r="253" spans="1:17" s="34" customFormat="1" x14ac:dyDescent="0.25">
      <c r="A253" s="94"/>
      <c r="B253" s="83"/>
      <c r="C253" s="83"/>
      <c r="D253" s="4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2"/>
      <c r="Q253" s="128"/>
    </row>
    <row r="254" spans="1:17" s="34" customFormat="1" x14ac:dyDescent="0.25">
      <c r="A254" s="94"/>
      <c r="B254" s="83"/>
      <c r="C254" s="83"/>
      <c r="D254" s="4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2"/>
      <c r="Q254" s="128"/>
    </row>
    <row r="255" spans="1:17" s="34" customFormat="1" x14ac:dyDescent="0.25">
      <c r="A255" s="94"/>
      <c r="B255" s="83"/>
      <c r="C255" s="83"/>
      <c r="D255" s="4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2"/>
      <c r="Q255" s="128"/>
    </row>
    <row r="256" spans="1:17" s="34" customFormat="1" x14ac:dyDescent="0.25">
      <c r="A256" s="94"/>
      <c r="B256" s="83"/>
      <c r="C256" s="83"/>
      <c r="D256" s="4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2"/>
      <c r="Q256" s="128"/>
    </row>
    <row r="257" spans="1:17" s="34" customFormat="1" x14ac:dyDescent="0.25">
      <c r="A257" s="94"/>
      <c r="B257" s="83"/>
      <c r="C257" s="83"/>
      <c r="D257" s="4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2"/>
      <c r="Q257" s="128"/>
    </row>
    <row r="258" spans="1:17" s="34" customFormat="1" x14ac:dyDescent="0.25">
      <c r="A258" s="94"/>
      <c r="B258" s="83"/>
      <c r="C258" s="83"/>
      <c r="D258" s="4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2"/>
      <c r="Q258" s="128"/>
    </row>
    <row r="259" spans="1:17" s="34" customFormat="1" x14ac:dyDescent="0.25">
      <c r="A259" s="94"/>
      <c r="B259" s="83"/>
      <c r="C259" s="83"/>
      <c r="D259" s="4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2"/>
      <c r="Q259" s="128"/>
    </row>
    <row r="260" spans="1:17" s="34" customFormat="1" x14ac:dyDescent="0.25">
      <c r="A260" s="94"/>
      <c r="B260" s="83"/>
      <c r="C260" s="83"/>
      <c r="D260" s="4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2"/>
      <c r="Q260" s="128"/>
    </row>
    <row r="261" spans="1:17" s="34" customFormat="1" x14ac:dyDescent="0.25">
      <c r="A261" s="94"/>
      <c r="B261" s="83"/>
      <c r="C261" s="83"/>
      <c r="D261" s="4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2"/>
      <c r="Q261" s="128"/>
    </row>
    <row r="262" spans="1:17" s="34" customFormat="1" x14ac:dyDescent="0.25">
      <c r="A262" s="94"/>
      <c r="B262" s="83"/>
      <c r="C262" s="83"/>
      <c r="D262" s="4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2"/>
      <c r="Q262" s="128"/>
    </row>
    <row r="263" spans="1:17" s="34" customFormat="1" x14ac:dyDescent="0.25">
      <c r="A263" s="94"/>
      <c r="B263" s="83"/>
      <c r="C263" s="83"/>
      <c r="D263" s="4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2"/>
      <c r="Q263" s="128"/>
    </row>
    <row r="264" spans="1:17" s="34" customFormat="1" x14ac:dyDescent="0.25">
      <c r="A264" s="94"/>
      <c r="B264" s="83"/>
      <c r="C264" s="83"/>
      <c r="D264" s="4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2"/>
      <c r="Q264" s="128"/>
    </row>
    <row r="265" spans="1:17" s="34" customFormat="1" x14ac:dyDescent="0.25">
      <c r="A265" s="94"/>
      <c r="B265" s="83"/>
      <c r="C265" s="83"/>
      <c r="D265" s="4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2"/>
      <c r="Q265" s="128"/>
    </row>
    <row r="266" spans="1:17" s="34" customFormat="1" x14ac:dyDescent="0.25">
      <c r="A266" s="94"/>
      <c r="B266" s="83"/>
      <c r="C266" s="83"/>
      <c r="D266" s="4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2"/>
      <c r="Q266" s="128"/>
    </row>
    <row r="267" spans="1:17" s="34" customFormat="1" x14ac:dyDescent="0.25">
      <c r="A267" s="94"/>
      <c r="B267" s="83"/>
      <c r="C267" s="83"/>
      <c r="D267" s="4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2"/>
      <c r="Q267" s="128"/>
    </row>
    <row r="268" spans="1:17" s="34" customFormat="1" x14ac:dyDescent="0.25">
      <c r="A268" s="94"/>
      <c r="B268" s="83"/>
      <c r="C268" s="83"/>
      <c r="D268" s="4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2"/>
      <c r="Q268" s="128"/>
    </row>
    <row r="269" spans="1:17" s="34" customFormat="1" x14ac:dyDescent="0.25">
      <c r="A269" s="94"/>
      <c r="B269" s="83"/>
      <c r="C269" s="83"/>
      <c r="D269" s="4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2"/>
      <c r="Q269" s="128"/>
    </row>
    <row r="270" spans="1:17" s="34" customFormat="1" x14ac:dyDescent="0.25">
      <c r="A270" s="94"/>
      <c r="B270" s="83"/>
      <c r="C270" s="83"/>
      <c r="D270" s="4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2"/>
      <c r="Q270" s="128"/>
    </row>
    <row r="271" spans="1:17" s="34" customFormat="1" x14ac:dyDescent="0.25">
      <c r="A271" s="94"/>
      <c r="B271" s="83"/>
      <c r="C271" s="83"/>
      <c r="D271" s="4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2"/>
      <c r="Q271" s="128"/>
    </row>
    <row r="272" spans="1:17" s="34" customFormat="1" x14ac:dyDescent="0.25">
      <c r="A272" s="94"/>
      <c r="B272" s="83"/>
      <c r="C272" s="83"/>
      <c r="D272" s="4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2"/>
      <c r="Q272" s="128"/>
    </row>
    <row r="273" spans="1:17" s="34" customFormat="1" x14ac:dyDescent="0.25">
      <c r="A273" s="94"/>
      <c r="B273" s="83"/>
      <c r="C273" s="83"/>
      <c r="D273" s="4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2"/>
      <c r="Q273" s="128"/>
    </row>
    <row r="274" spans="1:17" s="34" customFormat="1" x14ac:dyDescent="0.25">
      <c r="A274" s="94"/>
      <c r="B274" s="83"/>
      <c r="C274" s="83"/>
      <c r="D274" s="4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2"/>
      <c r="Q274" s="128"/>
    </row>
    <row r="275" spans="1:17" s="34" customFormat="1" x14ac:dyDescent="0.25">
      <c r="A275" s="94"/>
      <c r="B275" s="83"/>
      <c r="C275" s="83"/>
      <c r="D275" s="4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2"/>
      <c r="Q275" s="128"/>
    </row>
    <row r="276" spans="1:17" s="34" customFormat="1" x14ac:dyDescent="0.25">
      <c r="A276" s="94"/>
      <c r="B276" s="83"/>
      <c r="C276" s="83"/>
      <c r="D276" s="4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2"/>
      <c r="Q276" s="128"/>
    </row>
    <row r="277" spans="1:17" s="34" customFormat="1" x14ac:dyDescent="0.25">
      <c r="A277" s="94"/>
      <c r="B277" s="83"/>
      <c r="C277" s="83"/>
      <c r="D277" s="4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2"/>
      <c r="Q277" s="128"/>
    </row>
    <row r="278" spans="1:17" s="34" customFormat="1" x14ac:dyDescent="0.25">
      <c r="A278" s="94"/>
      <c r="B278" s="83"/>
      <c r="C278" s="83"/>
      <c r="D278" s="4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2"/>
      <c r="Q278" s="128"/>
    </row>
    <row r="279" spans="1:17" s="34" customFormat="1" x14ac:dyDescent="0.25">
      <c r="A279" s="94"/>
      <c r="B279" s="83"/>
      <c r="C279" s="83"/>
      <c r="D279" s="4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2"/>
      <c r="Q279" s="128"/>
    </row>
    <row r="280" spans="1:17" s="34" customFormat="1" x14ac:dyDescent="0.25">
      <c r="A280" s="94"/>
      <c r="B280" s="83"/>
      <c r="C280" s="83"/>
      <c r="D280" s="4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2"/>
      <c r="Q280" s="128"/>
    </row>
    <row r="281" spans="1:17" s="34" customFormat="1" x14ac:dyDescent="0.25">
      <c r="A281" s="94"/>
      <c r="B281" s="83"/>
      <c r="C281" s="83"/>
      <c r="D281" s="4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2"/>
      <c r="Q281" s="128"/>
    </row>
    <row r="282" spans="1:17" s="34" customFormat="1" x14ac:dyDescent="0.25">
      <c r="A282" s="94"/>
      <c r="B282" s="83"/>
      <c r="C282" s="83"/>
      <c r="D282" s="4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2"/>
      <c r="Q282" s="128"/>
    </row>
    <row r="283" spans="1:17" s="34" customFormat="1" x14ac:dyDescent="0.25">
      <c r="A283" s="94"/>
      <c r="B283" s="83"/>
      <c r="C283" s="83"/>
      <c r="D283" s="4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2"/>
      <c r="Q283" s="128"/>
    </row>
    <row r="284" spans="1:17" s="34" customFormat="1" x14ac:dyDescent="0.25">
      <c r="A284" s="94"/>
      <c r="B284" s="83"/>
      <c r="C284" s="83"/>
      <c r="D284" s="4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2"/>
      <c r="Q284" s="128"/>
    </row>
    <row r="285" spans="1:17" s="34" customFormat="1" x14ac:dyDescent="0.25">
      <c r="A285" s="94"/>
      <c r="B285" s="83"/>
      <c r="C285" s="83"/>
      <c r="D285" s="4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2"/>
      <c r="Q285" s="128"/>
    </row>
    <row r="286" spans="1:17" s="34" customFormat="1" x14ac:dyDescent="0.25">
      <c r="A286" s="94"/>
      <c r="B286" s="83"/>
      <c r="C286" s="83"/>
      <c r="D286" s="4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2"/>
      <c r="Q286" s="128"/>
    </row>
    <row r="287" spans="1:17" s="34" customFormat="1" x14ac:dyDescent="0.25">
      <c r="A287" s="94"/>
      <c r="B287" s="83"/>
      <c r="C287" s="83"/>
      <c r="D287" s="4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2"/>
      <c r="Q287" s="128"/>
    </row>
    <row r="288" spans="1:17" s="34" customFormat="1" x14ac:dyDescent="0.25">
      <c r="A288" s="94"/>
      <c r="B288" s="83"/>
      <c r="C288" s="83"/>
      <c r="D288" s="4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2"/>
      <c r="Q288" s="128"/>
    </row>
    <row r="289" spans="1:17" s="34" customFormat="1" x14ac:dyDescent="0.25">
      <c r="A289" s="94"/>
      <c r="B289" s="83"/>
      <c r="C289" s="83"/>
      <c r="D289" s="4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2"/>
      <c r="Q289" s="128"/>
    </row>
    <row r="290" spans="1:17" s="34" customFormat="1" x14ac:dyDescent="0.25">
      <c r="A290" s="94"/>
      <c r="B290" s="83"/>
      <c r="C290" s="83"/>
      <c r="D290" s="4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2"/>
      <c r="Q290" s="128"/>
    </row>
    <row r="291" spans="1:17" s="34" customFormat="1" x14ac:dyDescent="0.25">
      <c r="A291" s="94"/>
      <c r="B291" s="83"/>
      <c r="C291" s="83"/>
      <c r="D291" s="4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2"/>
      <c r="Q291" s="128"/>
    </row>
    <row r="292" spans="1:17" s="34" customFormat="1" x14ac:dyDescent="0.25">
      <c r="A292" s="94"/>
      <c r="B292" s="83"/>
      <c r="C292" s="83"/>
      <c r="D292" s="4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2"/>
      <c r="Q292" s="128"/>
    </row>
    <row r="293" spans="1:17" s="34" customFormat="1" x14ac:dyDescent="0.25">
      <c r="A293" s="94"/>
      <c r="B293" s="83"/>
      <c r="C293" s="83"/>
      <c r="D293" s="4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2"/>
      <c r="Q293" s="128"/>
    </row>
    <row r="294" spans="1:17" s="34" customFormat="1" x14ac:dyDescent="0.25">
      <c r="A294" s="94"/>
      <c r="B294" s="83"/>
      <c r="C294" s="83"/>
      <c r="D294" s="4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2"/>
      <c r="Q294" s="128"/>
    </row>
    <row r="295" spans="1:17" s="34" customFormat="1" x14ac:dyDescent="0.25">
      <c r="A295" s="94"/>
      <c r="B295" s="83"/>
      <c r="C295" s="83"/>
      <c r="D295" s="4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2"/>
      <c r="Q295" s="128"/>
    </row>
    <row r="296" spans="1:17" s="34" customFormat="1" x14ac:dyDescent="0.25">
      <c r="A296" s="94"/>
      <c r="B296" s="83"/>
      <c r="C296" s="83"/>
      <c r="D296" s="4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2"/>
      <c r="Q296" s="128"/>
    </row>
    <row r="297" spans="1:17" s="34" customFormat="1" x14ac:dyDescent="0.25">
      <c r="A297" s="94"/>
      <c r="B297" s="83"/>
      <c r="C297" s="83"/>
      <c r="D297" s="4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2"/>
      <c r="Q297" s="128"/>
    </row>
    <row r="298" spans="1:17" s="34" customFormat="1" x14ac:dyDescent="0.25">
      <c r="A298" s="94"/>
      <c r="B298" s="83"/>
      <c r="C298" s="83"/>
      <c r="D298" s="4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2"/>
      <c r="Q298" s="128"/>
    </row>
    <row r="299" spans="1:17" s="34" customFormat="1" x14ac:dyDescent="0.25">
      <c r="A299" s="94"/>
      <c r="B299" s="83"/>
      <c r="C299" s="83"/>
      <c r="D299" s="4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2"/>
      <c r="Q299" s="128"/>
    </row>
    <row r="300" spans="1:17" s="34" customFormat="1" x14ac:dyDescent="0.25">
      <c r="A300" s="94"/>
      <c r="B300" s="83"/>
      <c r="C300" s="83"/>
      <c r="D300" s="4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2"/>
      <c r="Q300" s="128"/>
    </row>
    <row r="301" spans="1:17" s="34" customFormat="1" x14ac:dyDescent="0.25">
      <c r="A301" s="94"/>
      <c r="B301" s="83"/>
      <c r="C301" s="83"/>
      <c r="D301" s="4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2"/>
      <c r="Q301" s="128"/>
    </row>
    <row r="302" spans="1:17" s="34" customFormat="1" x14ac:dyDescent="0.25">
      <c r="A302" s="94"/>
      <c r="B302" s="83"/>
      <c r="C302" s="83"/>
      <c r="D302" s="4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2"/>
      <c r="Q302" s="128"/>
    </row>
    <row r="303" spans="1:17" s="34" customFormat="1" x14ac:dyDescent="0.25">
      <c r="A303" s="94"/>
      <c r="B303" s="83"/>
      <c r="C303" s="83"/>
      <c r="D303" s="4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2"/>
      <c r="Q303" s="128"/>
    </row>
    <row r="304" spans="1:17" s="34" customFormat="1" x14ac:dyDescent="0.25">
      <c r="A304" s="94"/>
      <c r="B304" s="83"/>
      <c r="C304" s="83"/>
      <c r="D304" s="4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2"/>
      <c r="Q304" s="128"/>
    </row>
    <row r="305" spans="1:17" s="34" customFormat="1" x14ac:dyDescent="0.25">
      <c r="A305" s="94"/>
      <c r="B305" s="83"/>
      <c r="C305" s="83"/>
      <c r="D305" s="4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2"/>
      <c r="Q305" s="128"/>
    </row>
    <row r="306" spans="1:17" s="34" customFormat="1" x14ac:dyDescent="0.25">
      <c r="A306" s="94"/>
      <c r="B306" s="83"/>
      <c r="C306" s="83"/>
      <c r="D306" s="4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2"/>
      <c r="Q306" s="128"/>
    </row>
    <row r="307" spans="1:17" s="34" customFormat="1" x14ac:dyDescent="0.25">
      <c r="A307" s="94"/>
      <c r="B307" s="83"/>
      <c r="C307" s="83"/>
      <c r="D307" s="4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2"/>
      <c r="Q307" s="128"/>
    </row>
    <row r="308" spans="1:17" s="34" customFormat="1" x14ac:dyDescent="0.25">
      <c r="A308" s="94"/>
      <c r="B308" s="83"/>
      <c r="C308" s="83"/>
      <c r="D308" s="4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2"/>
      <c r="Q308" s="128"/>
    </row>
    <row r="309" spans="1:17" s="34" customFormat="1" x14ac:dyDescent="0.25">
      <c r="A309" s="94"/>
      <c r="B309" s="83"/>
      <c r="C309" s="83"/>
      <c r="D309" s="4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2"/>
      <c r="Q309" s="128"/>
    </row>
    <row r="310" spans="1:17" s="34" customFormat="1" x14ac:dyDescent="0.25">
      <c r="A310" s="94"/>
      <c r="B310" s="83"/>
      <c r="C310" s="83"/>
      <c r="D310" s="4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2"/>
      <c r="Q310" s="128"/>
    </row>
    <row r="311" spans="1:17" s="34" customFormat="1" x14ac:dyDescent="0.25">
      <c r="A311" s="94"/>
      <c r="B311" s="83"/>
      <c r="C311" s="83"/>
      <c r="D311" s="4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2"/>
      <c r="Q311" s="128"/>
    </row>
    <row r="312" spans="1:17" s="34" customFormat="1" x14ac:dyDescent="0.25">
      <c r="A312" s="94"/>
      <c r="B312" s="83"/>
      <c r="C312" s="83"/>
      <c r="D312" s="4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2"/>
      <c r="Q312" s="128"/>
    </row>
    <row r="313" spans="1:17" s="34" customFormat="1" x14ac:dyDescent="0.25">
      <c r="A313" s="94"/>
      <c r="B313" s="83"/>
      <c r="C313" s="83"/>
      <c r="D313" s="4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2"/>
      <c r="Q313" s="128"/>
    </row>
    <row r="314" spans="1:17" s="34" customFormat="1" x14ac:dyDescent="0.25">
      <c r="A314" s="94"/>
      <c r="B314" s="83"/>
      <c r="C314" s="83"/>
      <c r="D314" s="4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2"/>
      <c r="Q314" s="128"/>
    </row>
    <row r="315" spans="1:17" s="34" customFormat="1" x14ac:dyDescent="0.25">
      <c r="A315" s="94"/>
      <c r="B315" s="83"/>
      <c r="C315" s="83"/>
      <c r="D315" s="4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2"/>
      <c r="Q315" s="128"/>
    </row>
    <row r="316" spans="1:17" s="34" customFormat="1" x14ac:dyDescent="0.25">
      <c r="A316" s="94"/>
      <c r="B316" s="83"/>
      <c r="C316" s="83"/>
      <c r="D316" s="4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2"/>
      <c r="Q316" s="128"/>
    </row>
    <row r="317" spans="1:17" s="34" customFormat="1" x14ac:dyDescent="0.25">
      <c r="A317" s="94"/>
      <c r="B317" s="83"/>
      <c r="C317" s="83"/>
      <c r="D317" s="4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2"/>
      <c r="Q317" s="128"/>
    </row>
    <row r="318" spans="1:17" s="34" customFormat="1" x14ac:dyDescent="0.25">
      <c r="A318" s="94"/>
      <c r="B318" s="83"/>
      <c r="C318" s="83"/>
      <c r="D318" s="4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2"/>
      <c r="Q318" s="128"/>
    </row>
    <row r="319" spans="1:17" s="34" customFormat="1" x14ac:dyDescent="0.25">
      <c r="A319" s="94"/>
      <c r="B319" s="83"/>
      <c r="C319" s="83"/>
      <c r="D319" s="4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2"/>
      <c r="Q319" s="128"/>
    </row>
    <row r="320" spans="1:17" s="34" customFormat="1" x14ac:dyDescent="0.25">
      <c r="A320" s="94"/>
      <c r="B320" s="83"/>
      <c r="C320" s="83"/>
      <c r="D320" s="4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2"/>
      <c r="Q320" s="128"/>
    </row>
    <row r="321" spans="1:17" s="34" customFormat="1" x14ac:dyDescent="0.25">
      <c r="A321" s="94"/>
      <c r="B321" s="83"/>
      <c r="C321" s="83"/>
      <c r="D321" s="4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2"/>
      <c r="Q321" s="128"/>
    </row>
    <row r="322" spans="1:17" s="34" customFormat="1" x14ac:dyDescent="0.25">
      <c r="A322" s="94"/>
      <c r="B322" s="83"/>
      <c r="C322" s="83"/>
      <c r="D322" s="4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2"/>
      <c r="Q322" s="128"/>
    </row>
    <row r="323" spans="1:17" s="34" customFormat="1" x14ac:dyDescent="0.25">
      <c r="A323" s="94"/>
      <c r="B323" s="83"/>
      <c r="C323" s="83"/>
      <c r="D323" s="4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2"/>
      <c r="Q323" s="128"/>
    </row>
    <row r="324" spans="1:17" s="34" customFormat="1" x14ac:dyDescent="0.25">
      <c r="A324" s="94"/>
      <c r="B324" s="83"/>
      <c r="C324" s="83"/>
      <c r="D324" s="4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2"/>
      <c r="Q324" s="128"/>
    </row>
    <row r="325" spans="1:17" s="34" customFormat="1" x14ac:dyDescent="0.25">
      <c r="A325" s="94"/>
      <c r="B325" s="83"/>
      <c r="C325" s="83"/>
      <c r="D325" s="4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2"/>
      <c r="Q325" s="128"/>
    </row>
    <row r="326" spans="1:17" s="34" customFormat="1" x14ac:dyDescent="0.25">
      <c r="A326" s="94"/>
      <c r="B326" s="83"/>
      <c r="C326" s="83"/>
      <c r="D326" s="4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2"/>
      <c r="Q326" s="128"/>
    </row>
    <row r="327" spans="1:17" s="34" customFormat="1" x14ac:dyDescent="0.25">
      <c r="A327" s="94"/>
      <c r="B327" s="83"/>
      <c r="C327" s="83"/>
      <c r="D327" s="4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2"/>
      <c r="Q327" s="128"/>
    </row>
    <row r="328" spans="1:17" s="34" customFormat="1" x14ac:dyDescent="0.25">
      <c r="A328" s="94"/>
      <c r="B328" s="83"/>
      <c r="C328" s="83"/>
      <c r="D328" s="4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2"/>
      <c r="Q328" s="128"/>
    </row>
    <row r="329" spans="1:17" s="34" customFormat="1" x14ac:dyDescent="0.25">
      <c r="A329" s="94"/>
      <c r="B329" s="83"/>
      <c r="C329" s="83"/>
      <c r="D329" s="4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2"/>
      <c r="Q329" s="128"/>
    </row>
    <row r="330" spans="1:17" s="34" customFormat="1" x14ac:dyDescent="0.25">
      <c r="A330" s="94"/>
      <c r="B330" s="83"/>
      <c r="C330" s="83"/>
      <c r="D330" s="4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2"/>
      <c r="Q330" s="128"/>
    </row>
    <row r="331" spans="1:17" s="34" customFormat="1" x14ac:dyDescent="0.25">
      <c r="A331" s="94"/>
      <c r="B331" s="83"/>
      <c r="C331" s="83"/>
      <c r="D331" s="4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2"/>
      <c r="Q331" s="128"/>
    </row>
    <row r="332" spans="1:17" s="34" customFormat="1" x14ac:dyDescent="0.25">
      <c r="A332" s="94"/>
      <c r="B332" s="83"/>
      <c r="C332" s="83"/>
      <c r="D332" s="4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2"/>
      <c r="Q332" s="128"/>
    </row>
    <row r="333" spans="1:17" s="34" customFormat="1" x14ac:dyDescent="0.25">
      <c r="A333" s="94"/>
      <c r="B333" s="83"/>
      <c r="C333" s="83"/>
      <c r="D333" s="4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2"/>
      <c r="Q333" s="128"/>
    </row>
    <row r="334" spans="1:17" s="34" customFormat="1" x14ac:dyDescent="0.25">
      <c r="A334" s="94"/>
      <c r="B334" s="83"/>
      <c r="C334" s="83"/>
      <c r="D334" s="4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2"/>
      <c r="Q334" s="128"/>
    </row>
    <row r="335" spans="1:17" s="34" customFormat="1" x14ac:dyDescent="0.25">
      <c r="A335" s="94"/>
      <c r="B335" s="83"/>
      <c r="C335" s="83"/>
      <c r="D335" s="4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2"/>
      <c r="Q335" s="128"/>
    </row>
    <row r="336" spans="1:17" s="34" customFormat="1" x14ac:dyDescent="0.25">
      <c r="A336" s="94"/>
      <c r="B336" s="83"/>
      <c r="C336" s="83"/>
      <c r="D336" s="4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2"/>
      <c r="Q336" s="128"/>
    </row>
    <row r="337" spans="1:17" s="34" customFormat="1" x14ac:dyDescent="0.25">
      <c r="A337" s="94"/>
      <c r="B337" s="83"/>
      <c r="C337" s="83"/>
      <c r="D337" s="4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2"/>
      <c r="Q337" s="128"/>
    </row>
    <row r="338" spans="1:17" s="34" customFormat="1" x14ac:dyDescent="0.25">
      <c r="A338" s="94"/>
      <c r="B338" s="83"/>
      <c r="C338" s="83"/>
      <c r="D338" s="4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2"/>
      <c r="Q338" s="128"/>
    </row>
    <row r="339" spans="1:17" s="34" customFormat="1" x14ac:dyDescent="0.25">
      <c r="A339" s="94"/>
      <c r="B339" s="83"/>
      <c r="C339" s="83"/>
      <c r="D339" s="4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2"/>
      <c r="Q339" s="128"/>
    </row>
    <row r="340" spans="1:17" s="34" customFormat="1" x14ac:dyDescent="0.25">
      <c r="A340" s="94"/>
      <c r="B340" s="83"/>
      <c r="C340" s="83"/>
      <c r="D340" s="4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2"/>
      <c r="Q340" s="128"/>
    </row>
    <row r="341" spans="1:17" s="34" customFormat="1" x14ac:dyDescent="0.25">
      <c r="A341" s="94"/>
      <c r="B341" s="83"/>
      <c r="C341" s="83"/>
      <c r="D341" s="4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2"/>
      <c r="Q341" s="128"/>
    </row>
    <row r="342" spans="1:17" s="34" customFormat="1" x14ac:dyDescent="0.25">
      <c r="A342" s="94"/>
      <c r="B342" s="83"/>
      <c r="C342" s="83"/>
      <c r="D342" s="4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2"/>
      <c r="Q342" s="128"/>
    </row>
    <row r="343" spans="1:17" s="34" customFormat="1" x14ac:dyDescent="0.25">
      <c r="A343" s="94"/>
      <c r="B343" s="83"/>
      <c r="C343" s="83"/>
      <c r="D343" s="4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2"/>
      <c r="Q343" s="128"/>
    </row>
    <row r="344" spans="1:17" s="34" customFormat="1" x14ac:dyDescent="0.25">
      <c r="A344" s="94"/>
      <c r="B344" s="83"/>
      <c r="C344" s="83"/>
      <c r="D344" s="4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2"/>
      <c r="Q344" s="128"/>
    </row>
    <row r="345" spans="1:17" s="34" customFormat="1" x14ac:dyDescent="0.25">
      <c r="A345" s="94"/>
      <c r="B345" s="83"/>
      <c r="C345" s="83"/>
      <c r="D345" s="4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2"/>
      <c r="Q345" s="128"/>
    </row>
    <row r="346" spans="1:17" s="34" customFormat="1" x14ac:dyDescent="0.25">
      <c r="A346" s="94"/>
      <c r="B346" s="83"/>
      <c r="C346" s="83"/>
      <c r="D346" s="4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2"/>
      <c r="Q346" s="128"/>
    </row>
    <row r="347" spans="1:17" s="34" customFormat="1" x14ac:dyDescent="0.25">
      <c r="A347" s="94"/>
      <c r="B347" s="83"/>
      <c r="C347" s="83"/>
      <c r="D347" s="4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2"/>
      <c r="Q347" s="128"/>
    </row>
    <row r="348" spans="1:17" s="34" customFormat="1" x14ac:dyDescent="0.25">
      <c r="A348" s="94"/>
      <c r="B348" s="83"/>
      <c r="C348" s="83"/>
      <c r="D348" s="4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2"/>
      <c r="Q348" s="128"/>
    </row>
    <row r="349" spans="1:17" s="34" customFormat="1" x14ac:dyDescent="0.25">
      <c r="A349" s="94"/>
      <c r="B349" s="83"/>
      <c r="C349" s="83"/>
      <c r="D349" s="4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2"/>
      <c r="Q349" s="128"/>
    </row>
    <row r="350" spans="1:17" s="34" customFormat="1" x14ac:dyDescent="0.25">
      <c r="A350" s="94"/>
      <c r="B350" s="83"/>
      <c r="C350" s="83"/>
      <c r="D350" s="4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2"/>
      <c r="Q350" s="128"/>
    </row>
    <row r="351" spans="1:17" s="34" customFormat="1" x14ac:dyDescent="0.25">
      <c r="A351" s="94"/>
      <c r="B351" s="83"/>
      <c r="C351" s="83"/>
      <c r="D351" s="4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2"/>
      <c r="Q351" s="128"/>
    </row>
    <row r="352" spans="1:17" s="34" customFormat="1" x14ac:dyDescent="0.25">
      <c r="A352" s="94"/>
      <c r="B352" s="83"/>
      <c r="C352" s="83"/>
      <c r="D352" s="4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2"/>
      <c r="Q352" s="128"/>
    </row>
    <row r="353" spans="1:17" s="34" customFormat="1" x14ac:dyDescent="0.25">
      <c r="A353" s="94"/>
      <c r="B353" s="83"/>
      <c r="C353" s="83"/>
      <c r="D353" s="4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2"/>
      <c r="Q353" s="128"/>
    </row>
    <row r="354" spans="1:17" s="34" customFormat="1" x14ac:dyDescent="0.25">
      <c r="A354" s="94"/>
      <c r="B354" s="83"/>
      <c r="C354" s="83"/>
      <c r="D354" s="4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2"/>
      <c r="Q354" s="128"/>
    </row>
    <row r="355" spans="1:17" s="34" customFormat="1" x14ac:dyDescent="0.25">
      <c r="A355" s="94"/>
      <c r="B355" s="83"/>
      <c r="C355" s="83"/>
      <c r="D355" s="4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2"/>
      <c r="Q355" s="128"/>
    </row>
    <row r="356" spans="1:17" s="34" customFormat="1" x14ac:dyDescent="0.25">
      <c r="A356" s="94"/>
      <c r="B356" s="83"/>
      <c r="C356" s="83"/>
      <c r="D356" s="4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2"/>
      <c r="Q356" s="128"/>
    </row>
    <row r="357" spans="1:17" s="34" customFormat="1" x14ac:dyDescent="0.25">
      <c r="A357" s="94"/>
      <c r="B357" s="83"/>
      <c r="C357" s="83"/>
      <c r="D357" s="4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2"/>
      <c r="Q357" s="128"/>
    </row>
    <row r="358" spans="1:17" s="34" customFormat="1" x14ac:dyDescent="0.25">
      <c r="A358" s="94"/>
      <c r="B358" s="83"/>
      <c r="C358" s="83"/>
      <c r="D358" s="4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2"/>
      <c r="Q358" s="128"/>
    </row>
    <row r="359" spans="1:17" s="34" customFormat="1" x14ac:dyDescent="0.25">
      <c r="A359" s="94"/>
      <c r="B359" s="83"/>
      <c r="C359" s="83"/>
      <c r="D359" s="4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2"/>
      <c r="Q359" s="128"/>
    </row>
    <row r="360" spans="1:17" s="34" customFormat="1" x14ac:dyDescent="0.25">
      <c r="A360" s="94"/>
      <c r="B360" s="83"/>
      <c r="C360" s="83"/>
      <c r="D360" s="4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2"/>
      <c r="Q360" s="128"/>
    </row>
    <row r="361" spans="1:17" s="34" customFormat="1" x14ac:dyDescent="0.25">
      <c r="A361" s="94"/>
      <c r="B361" s="83"/>
      <c r="C361" s="83"/>
      <c r="D361" s="4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2"/>
      <c r="Q361" s="128"/>
    </row>
    <row r="362" spans="1:17" s="34" customFormat="1" x14ac:dyDescent="0.25">
      <c r="A362" s="94"/>
      <c r="B362" s="83"/>
      <c r="C362" s="83"/>
      <c r="D362" s="4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2"/>
      <c r="Q362" s="128"/>
    </row>
    <row r="363" spans="1:17" s="34" customFormat="1" x14ac:dyDescent="0.25">
      <c r="A363" s="94"/>
      <c r="B363" s="83"/>
      <c r="C363" s="83"/>
      <c r="D363" s="4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2"/>
      <c r="Q363" s="128"/>
    </row>
    <row r="364" spans="1:17" s="34" customFormat="1" x14ac:dyDescent="0.25">
      <c r="A364" s="94"/>
      <c r="B364" s="83"/>
      <c r="C364" s="83"/>
      <c r="D364" s="4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2"/>
      <c r="Q364" s="128"/>
    </row>
    <row r="365" spans="1:17" s="34" customFormat="1" x14ac:dyDescent="0.25">
      <c r="A365" s="94"/>
      <c r="B365" s="83"/>
      <c r="C365" s="83"/>
      <c r="D365" s="4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2"/>
      <c r="Q365" s="128"/>
    </row>
    <row r="366" spans="1:17" s="34" customFormat="1" x14ac:dyDescent="0.25">
      <c r="A366" s="94"/>
      <c r="B366" s="83"/>
      <c r="C366" s="83"/>
      <c r="D366" s="4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2"/>
      <c r="Q366" s="128"/>
    </row>
    <row r="367" spans="1:17" s="34" customFormat="1" x14ac:dyDescent="0.25">
      <c r="A367" s="94"/>
      <c r="B367" s="83"/>
      <c r="C367" s="83"/>
      <c r="D367" s="4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2"/>
      <c r="Q367" s="128"/>
    </row>
    <row r="368" spans="1:17" s="34" customFormat="1" x14ac:dyDescent="0.25">
      <c r="A368" s="94"/>
      <c r="B368" s="83"/>
      <c r="C368" s="83"/>
      <c r="D368" s="4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2"/>
      <c r="Q368" s="128"/>
    </row>
    <row r="369" spans="1:17" s="34" customFormat="1" x14ac:dyDescent="0.25">
      <c r="A369" s="94"/>
      <c r="B369" s="83"/>
      <c r="C369" s="83"/>
      <c r="D369" s="4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2"/>
      <c r="Q369" s="128"/>
    </row>
    <row r="370" spans="1:17" s="34" customFormat="1" x14ac:dyDescent="0.25">
      <c r="A370" s="94"/>
      <c r="B370" s="83"/>
      <c r="C370" s="83"/>
      <c r="D370" s="4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2"/>
      <c r="Q370" s="128"/>
    </row>
    <row r="371" spans="1:17" s="34" customFormat="1" x14ac:dyDescent="0.25">
      <c r="A371" s="94"/>
      <c r="B371" s="83"/>
      <c r="C371" s="83"/>
      <c r="D371" s="4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2"/>
      <c r="Q371" s="128"/>
    </row>
    <row r="372" spans="1:17" s="34" customFormat="1" x14ac:dyDescent="0.25">
      <c r="A372" s="94"/>
      <c r="B372" s="83"/>
      <c r="C372" s="83"/>
      <c r="D372" s="4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2"/>
      <c r="Q372" s="128"/>
    </row>
    <row r="373" spans="1:17" s="34" customFormat="1" x14ac:dyDescent="0.25">
      <c r="A373" s="94"/>
      <c r="B373" s="83"/>
      <c r="C373" s="83"/>
      <c r="D373" s="4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2"/>
      <c r="Q373" s="128"/>
    </row>
    <row r="374" spans="1:17" s="34" customFormat="1" x14ac:dyDescent="0.25">
      <c r="A374" s="94"/>
      <c r="B374" s="83"/>
      <c r="C374" s="83"/>
      <c r="D374" s="4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2"/>
      <c r="Q374" s="128"/>
    </row>
    <row r="375" spans="1:17" s="34" customFormat="1" x14ac:dyDescent="0.25">
      <c r="A375" s="94"/>
      <c r="B375" s="83"/>
      <c r="C375" s="83"/>
      <c r="D375" s="4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2"/>
      <c r="Q375" s="128"/>
    </row>
    <row r="376" spans="1:17" s="34" customFormat="1" x14ac:dyDescent="0.25">
      <c r="A376" s="94"/>
      <c r="B376" s="83"/>
      <c r="C376" s="83"/>
      <c r="D376" s="4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2"/>
      <c r="Q376" s="128"/>
    </row>
    <row r="377" spans="1:17" s="34" customFormat="1" x14ac:dyDescent="0.25">
      <c r="A377" s="94"/>
      <c r="B377" s="83"/>
      <c r="C377" s="83"/>
      <c r="D377" s="4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2"/>
      <c r="Q377" s="128"/>
    </row>
    <row r="378" spans="1:17" s="34" customFormat="1" x14ac:dyDescent="0.25">
      <c r="A378" s="94"/>
      <c r="B378" s="83"/>
      <c r="C378" s="83"/>
      <c r="D378" s="4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2"/>
      <c r="Q378" s="128"/>
    </row>
    <row r="379" spans="1:17" s="34" customFormat="1" x14ac:dyDescent="0.25">
      <c r="A379" s="94"/>
      <c r="B379" s="83"/>
      <c r="C379" s="83"/>
      <c r="D379" s="4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2"/>
      <c r="Q379" s="128"/>
    </row>
    <row r="380" spans="1:17" s="34" customFormat="1" x14ac:dyDescent="0.25">
      <c r="A380" s="94"/>
      <c r="B380" s="83"/>
      <c r="C380" s="83"/>
      <c r="D380" s="4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2"/>
      <c r="Q380" s="128"/>
    </row>
    <row r="381" spans="1:17" s="34" customFormat="1" x14ac:dyDescent="0.25">
      <c r="A381" s="94"/>
      <c r="B381" s="83"/>
      <c r="C381" s="83"/>
      <c r="D381" s="4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2"/>
      <c r="Q381" s="128"/>
    </row>
    <row r="382" spans="1:17" s="34" customFormat="1" x14ac:dyDescent="0.25">
      <c r="A382" s="94"/>
      <c r="B382" s="83"/>
      <c r="C382" s="83"/>
      <c r="D382" s="4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2"/>
      <c r="Q382" s="128"/>
    </row>
    <row r="383" spans="1:17" s="34" customFormat="1" x14ac:dyDescent="0.25">
      <c r="A383" s="94"/>
      <c r="B383" s="83"/>
      <c r="C383" s="83"/>
      <c r="D383" s="4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2"/>
      <c r="Q383" s="128"/>
    </row>
    <row r="384" spans="1:17" s="34" customFormat="1" x14ac:dyDescent="0.25">
      <c r="A384" s="94"/>
      <c r="B384" s="83"/>
      <c r="C384" s="83"/>
      <c r="D384" s="4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2"/>
      <c r="Q384" s="128"/>
    </row>
    <row r="385" spans="1:17" s="34" customFormat="1" x14ac:dyDescent="0.25">
      <c r="A385" s="94"/>
      <c r="B385" s="83"/>
      <c r="C385" s="83"/>
      <c r="D385" s="4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2"/>
      <c r="Q385" s="128"/>
    </row>
    <row r="386" spans="1:17" s="34" customFormat="1" x14ac:dyDescent="0.25">
      <c r="A386" s="94"/>
      <c r="B386" s="83"/>
      <c r="C386" s="83"/>
      <c r="D386" s="4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2"/>
      <c r="Q386" s="128"/>
    </row>
    <row r="387" spans="1:17" s="34" customFormat="1" x14ac:dyDescent="0.25">
      <c r="A387" s="94"/>
      <c r="B387" s="83"/>
      <c r="C387" s="83"/>
      <c r="D387" s="4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2"/>
      <c r="Q387" s="128"/>
    </row>
    <row r="388" spans="1:17" s="34" customFormat="1" x14ac:dyDescent="0.25">
      <c r="A388" s="94"/>
      <c r="B388" s="83"/>
      <c r="C388" s="83"/>
      <c r="D388" s="4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2"/>
      <c r="Q388" s="128"/>
    </row>
    <row r="389" spans="1:17" s="34" customFormat="1" x14ac:dyDescent="0.25">
      <c r="A389" s="94"/>
      <c r="B389" s="83"/>
      <c r="C389" s="83"/>
      <c r="D389" s="4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2"/>
      <c r="Q389" s="128"/>
    </row>
    <row r="390" spans="1:17" s="34" customFormat="1" x14ac:dyDescent="0.25">
      <c r="A390" s="94"/>
      <c r="B390" s="83"/>
      <c r="C390" s="83"/>
      <c r="D390" s="4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2"/>
      <c r="Q390" s="128"/>
    </row>
    <row r="391" spans="1:17" s="34" customFormat="1" x14ac:dyDescent="0.25">
      <c r="A391" s="94"/>
      <c r="B391" s="83"/>
      <c r="C391" s="83"/>
      <c r="D391" s="4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2"/>
      <c r="Q391" s="128"/>
    </row>
    <row r="392" spans="1:17" s="34" customFormat="1" x14ac:dyDescent="0.25">
      <c r="A392" s="94"/>
      <c r="B392" s="83"/>
      <c r="C392" s="83"/>
      <c r="D392" s="4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2"/>
      <c r="Q392" s="128"/>
    </row>
    <row r="393" spans="1:17" s="34" customFormat="1" x14ac:dyDescent="0.25">
      <c r="A393" s="94"/>
      <c r="B393" s="83"/>
      <c r="C393" s="83"/>
      <c r="D393" s="4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2"/>
      <c r="Q393" s="128"/>
    </row>
    <row r="394" spans="1:17" s="34" customFormat="1" x14ac:dyDescent="0.25">
      <c r="A394" s="94"/>
      <c r="B394" s="83"/>
      <c r="C394" s="83"/>
      <c r="D394" s="4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2"/>
      <c r="Q394" s="128"/>
    </row>
    <row r="395" spans="1:17" s="34" customFormat="1" x14ac:dyDescent="0.25">
      <c r="A395" s="94"/>
      <c r="B395" s="83"/>
      <c r="C395" s="83"/>
      <c r="D395" s="4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2"/>
      <c r="Q395" s="128"/>
    </row>
    <row r="396" spans="1:17" s="34" customFormat="1" x14ac:dyDescent="0.25">
      <c r="A396" s="94"/>
      <c r="B396" s="83"/>
      <c r="C396" s="83"/>
      <c r="D396" s="4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2"/>
      <c r="Q396" s="128"/>
    </row>
    <row r="397" spans="1:17" s="34" customFormat="1" x14ac:dyDescent="0.25">
      <c r="A397" s="94"/>
      <c r="B397" s="83"/>
      <c r="C397" s="83"/>
      <c r="D397" s="4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2"/>
      <c r="Q397" s="128"/>
    </row>
    <row r="398" spans="1:17" s="34" customFormat="1" x14ac:dyDescent="0.25">
      <c r="A398" s="94"/>
      <c r="B398" s="83"/>
      <c r="C398" s="83"/>
      <c r="D398" s="4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2"/>
      <c r="Q398" s="128"/>
    </row>
    <row r="399" spans="1:17" s="34" customFormat="1" x14ac:dyDescent="0.25">
      <c r="A399" s="94"/>
      <c r="B399" s="83"/>
      <c r="C399" s="83"/>
      <c r="D399" s="4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2"/>
      <c r="Q399" s="128"/>
    </row>
    <row r="400" spans="1:17" s="34" customFormat="1" x14ac:dyDescent="0.25">
      <c r="A400" s="94"/>
      <c r="B400" s="83"/>
      <c r="C400" s="83"/>
      <c r="D400" s="4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2"/>
      <c r="Q400" s="128"/>
    </row>
    <row r="401" spans="1:17" s="34" customFormat="1" x14ac:dyDescent="0.25">
      <c r="A401" s="94"/>
      <c r="B401" s="83"/>
      <c r="C401" s="83"/>
      <c r="D401" s="4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2"/>
      <c r="Q401" s="128"/>
    </row>
    <row r="402" spans="1:17" s="34" customFormat="1" x14ac:dyDescent="0.25">
      <c r="A402" s="94"/>
      <c r="B402" s="83"/>
      <c r="C402" s="83"/>
      <c r="D402" s="4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2"/>
      <c r="Q402" s="128"/>
    </row>
    <row r="403" spans="1:17" s="34" customFormat="1" x14ac:dyDescent="0.25">
      <c r="A403" s="94"/>
      <c r="B403" s="83"/>
      <c r="C403" s="83"/>
      <c r="D403" s="4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2"/>
      <c r="Q403" s="128"/>
    </row>
    <row r="404" spans="1:17" s="34" customFormat="1" x14ac:dyDescent="0.25">
      <c r="A404" s="94"/>
      <c r="B404" s="83"/>
      <c r="C404" s="83"/>
      <c r="D404" s="4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2"/>
      <c r="Q404" s="128"/>
    </row>
    <row r="405" spans="1:17" s="34" customFormat="1" x14ac:dyDescent="0.25">
      <c r="A405" s="94"/>
      <c r="B405" s="83"/>
      <c r="C405" s="83"/>
      <c r="D405" s="4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2"/>
      <c r="Q405" s="128"/>
    </row>
    <row r="406" spans="1:17" s="34" customFormat="1" x14ac:dyDescent="0.25">
      <c r="A406" s="94"/>
      <c r="B406" s="83"/>
      <c r="C406" s="83"/>
      <c r="D406" s="4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2"/>
      <c r="Q406" s="128"/>
    </row>
    <row r="407" spans="1:17" s="34" customFormat="1" x14ac:dyDescent="0.25">
      <c r="A407" s="94"/>
      <c r="B407" s="83"/>
      <c r="C407" s="83"/>
      <c r="D407" s="4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2"/>
      <c r="Q407" s="128"/>
    </row>
    <row r="408" spans="1:17" s="34" customFormat="1" x14ac:dyDescent="0.25">
      <c r="A408" s="94"/>
      <c r="B408" s="83"/>
      <c r="C408" s="83"/>
      <c r="D408" s="4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2"/>
      <c r="Q408" s="128"/>
    </row>
    <row r="409" spans="1:17" s="34" customFormat="1" x14ac:dyDescent="0.25">
      <c r="A409" s="94"/>
      <c r="B409" s="83"/>
      <c r="C409" s="83"/>
      <c r="D409" s="4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2"/>
      <c r="Q409" s="128"/>
    </row>
    <row r="410" spans="1:17" s="34" customFormat="1" x14ac:dyDescent="0.25">
      <c r="A410" s="94"/>
      <c r="B410" s="83"/>
      <c r="C410" s="83"/>
      <c r="D410" s="4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2"/>
      <c r="Q410" s="128"/>
    </row>
    <row r="411" spans="1:17" s="34" customFormat="1" x14ac:dyDescent="0.25">
      <c r="A411" s="94"/>
      <c r="B411" s="83"/>
      <c r="C411" s="83"/>
      <c r="D411" s="4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2"/>
      <c r="Q411" s="128"/>
    </row>
    <row r="412" spans="1:17" s="34" customFormat="1" x14ac:dyDescent="0.25">
      <c r="A412" s="94"/>
      <c r="B412" s="83"/>
      <c r="C412" s="83"/>
      <c r="D412" s="4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2"/>
      <c r="Q412" s="128"/>
    </row>
    <row r="413" spans="1:17" s="34" customFormat="1" x14ac:dyDescent="0.25">
      <c r="A413" s="94"/>
      <c r="B413" s="83"/>
      <c r="C413" s="83"/>
      <c r="D413" s="4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2"/>
      <c r="Q413" s="128"/>
    </row>
    <row r="414" spans="1:17" s="34" customFormat="1" x14ac:dyDescent="0.25">
      <c r="A414" s="94"/>
      <c r="B414" s="83"/>
      <c r="C414" s="83"/>
      <c r="D414" s="4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2"/>
      <c r="Q414" s="128"/>
    </row>
    <row r="415" spans="1:17" s="34" customFormat="1" x14ac:dyDescent="0.25">
      <c r="A415" s="94"/>
      <c r="B415" s="83"/>
      <c r="C415" s="83"/>
      <c r="D415" s="4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2"/>
      <c r="Q415" s="128"/>
    </row>
    <row r="416" spans="1:17" s="34" customFormat="1" x14ac:dyDescent="0.25">
      <c r="A416" s="94"/>
      <c r="B416" s="83"/>
      <c r="C416" s="83"/>
      <c r="D416" s="4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2"/>
      <c r="Q416" s="128"/>
    </row>
    <row r="417" spans="1:17" s="34" customFormat="1" x14ac:dyDescent="0.25">
      <c r="A417" s="94"/>
      <c r="B417" s="83"/>
      <c r="C417" s="83"/>
      <c r="D417" s="4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2"/>
      <c r="Q417" s="128"/>
    </row>
    <row r="418" spans="1:17" s="34" customFormat="1" x14ac:dyDescent="0.25">
      <c r="A418" s="94"/>
      <c r="B418" s="83"/>
      <c r="C418" s="83"/>
      <c r="D418" s="4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2"/>
      <c r="Q418" s="128"/>
    </row>
    <row r="419" spans="1:17" s="34" customFormat="1" x14ac:dyDescent="0.25">
      <c r="A419" s="94"/>
      <c r="B419" s="83"/>
      <c r="C419" s="83"/>
      <c r="D419" s="4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2"/>
      <c r="Q419" s="128"/>
    </row>
    <row r="420" spans="1:17" s="34" customFormat="1" x14ac:dyDescent="0.25">
      <c r="A420" s="94"/>
      <c r="B420" s="83"/>
      <c r="C420" s="83"/>
      <c r="D420" s="4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2"/>
      <c r="Q420" s="128"/>
    </row>
    <row r="421" spans="1:17" s="34" customFormat="1" x14ac:dyDescent="0.25">
      <c r="A421" s="94"/>
      <c r="B421" s="83"/>
      <c r="C421" s="83"/>
      <c r="D421" s="4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2"/>
      <c r="Q421" s="128"/>
    </row>
    <row r="422" spans="1:17" s="34" customFormat="1" x14ac:dyDescent="0.25">
      <c r="A422" s="94"/>
      <c r="B422" s="83"/>
      <c r="C422" s="83"/>
      <c r="D422" s="4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2"/>
      <c r="Q422" s="128"/>
    </row>
    <row r="423" spans="1:17" s="34" customFormat="1" x14ac:dyDescent="0.25">
      <c r="A423" s="94"/>
      <c r="B423" s="83"/>
      <c r="C423" s="83"/>
      <c r="D423" s="4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2"/>
      <c r="Q423" s="128"/>
    </row>
    <row r="424" spans="1:17" s="34" customFormat="1" x14ac:dyDescent="0.25">
      <c r="A424" s="94"/>
      <c r="B424" s="83"/>
      <c r="C424" s="83"/>
      <c r="D424" s="4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2"/>
      <c r="Q424" s="128"/>
    </row>
    <row r="425" spans="1:17" s="34" customFormat="1" x14ac:dyDescent="0.25">
      <c r="A425" s="94"/>
      <c r="B425" s="83"/>
      <c r="C425" s="83"/>
      <c r="D425" s="4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2"/>
      <c r="Q425" s="128"/>
    </row>
    <row r="426" spans="1:17" s="34" customFormat="1" x14ac:dyDescent="0.25">
      <c r="A426" s="94"/>
      <c r="B426" s="83"/>
      <c r="C426" s="83"/>
      <c r="D426" s="4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2"/>
      <c r="Q426" s="128"/>
    </row>
    <row r="427" spans="1:17" s="34" customFormat="1" x14ac:dyDescent="0.25">
      <c r="A427" s="94"/>
      <c r="B427" s="83"/>
      <c r="C427" s="83"/>
      <c r="D427" s="4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2"/>
      <c r="Q427" s="128"/>
    </row>
    <row r="428" spans="1:17" s="34" customFormat="1" x14ac:dyDescent="0.25">
      <c r="A428" s="94"/>
      <c r="B428" s="83"/>
      <c r="C428" s="83"/>
      <c r="D428" s="4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2"/>
      <c r="Q428" s="128"/>
    </row>
    <row r="429" spans="1:17" s="34" customFormat="1" x14ac:dyDescent="0.25">
      <c r="A429" s="94"/>
      <c r="B429" s="83"/>
      <c r="C429" s="83"/>
      <c r="D429" s="4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2"/>
      <c r="Q429" s="128"/>
    </row>
    <row r="430" spans="1:17" s="34" customFormat="1" x14ac:dyDescent="0.25">
      <c r="A430" s="94"/>
      <c r="B430" s="83"/>
      <c r="C430" s="83"/>
      <c r="D430" s="4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2"/>
      <c r="Q430" s="128"/>
    </row>
    <row r="431" spans="1:17" s="34" customFormat="1" x14ac:dyDescent="0.25">
      <c r="A431" s="94"/>
      <c r="B431" s="83"/>
      <c r="C431" s="83"/>
      <c r="D431" s="4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2"/>
      <c r="Q431" s="128"/>
    </row>
    <row r="432" spans="1:17" s="34" customFormat="1" x14ac:dyDescent="0.25">
      <c r="A432" s="94"/>
      <c r="B432" s="83"/>
      <c r="C432" s="83"/>
      <c r="D432" s="4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2"/>
      <c r="Q432" s="128"/>
    </row>
    <row r="433" spans="1:17" s="34" customFormat="1" x14ac:dyDescent="0.25">
      <c r="A433" s="94"/>
      <c r="B433" s="83"/>
      <c r="C433" s="83"/>
      <c r="D433" s="4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2"/>
      <c r="Q433" s="128"/>
    </row>
    <row r="434" spans="1:17" s="34" customFormat="1" x14ac:dyDescent="0.25">
      <c r="A434" s="94"/>
      <c r="B434" s="83"/>
      <c r="C434" s="83"/>
      <c r="D434" s="4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2"/>
      <c r="Q434" s="128"/>
    </row>
    <row r="435" spans="1:17" s="34" customFormat="1" x14ac:dyDescent="0.25">
      <c r="A435" s="94"/>
      <c r="B435" s="83"/>
      <c r="C435" s="83"/>
      <c r="D435" s="4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2"/>
      <c r="Q435" s="128"/>
    </row>
    <row r="436" spans="1:17" s="34" customFormat="1" x14ac:dyDescent="0.25">
      <c r="A436" s="94"/>
      <c r="B436" s="83"/>
      <c r="C436" s="83"/>
      <c r="D436" s="4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2"/>
      <c r="Q436" s="128"/>
    </row>
    <row r="437" spans="1:17" s="34" customFormat="1" x14ac:dyDescent="0.25">
      <c r="A437" s="94"/>
      <c r="B437" s="83"/>
      <c r="C437" s="83"/>
      <c r="D437" s="4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2"/>
      <c r="Q437" s="128"/>
    </row>
    <row r="438" spans="1:17" s="34" customFormat="1" x14ac:dyDescent="0.25">
      <c r="A438" s="94"/>
      <c r="B438" s="83"/>
      <c r="C438" s="83"/>
      <c r="D438" s="4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2"/>
      <c r="Q438" s="128"/>
    </row>
    <row r="439" spans="1:17" s="34" customFormat="1" x14ac:dyDescent="0.25">
      <c r="A439" s="94"/>
      <c r="B439" s="83"/>
      <c r="C439" s="83"/>
      <c r="D439" s="4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2"/>
      <c r="Q439" s="128"/>
    </row>
    <row r="440" spans="1:17" s="34" customFormat="1" x14ac:dyDescent="0.25">
      <c r="A440" s="94"/>
      <c r="B440" s="83"/>
      <c r="C440" s="83"/>
      <c r="D440" s="4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2"/>
      <c r="Q440" s="128"/>
    </row>
    <row r="441" spans="1:17" s="34" customFormat="1" x14ac:dyDescent="0.25">
      <c r="A441" s="94"/>
      <c r="B441" s="83"/>
      <c r="C441" s="83"/>
      <c r="D441" s="4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2"/>
      <c r="Q441" s="128"/>
    </row>
    <row r="442" spans="1:17" s="34" customFormat="1" x14ac:dyDescent="0.25">
      <c r="A442" s="94"/>
      <c r="B442" s="83"/>
      <c r="C442" s="83"/>
      <c r="D442" s="4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2"/>
      <c r="Q442" s="128"/>
    </row>
    <row r="443" spans="1:17" s="34" customFormat="1" x14ac:dyDescent="0.25">
      <c r="A443" s="94"/>
      <c r="B443" s="83"/>
      <c r="C443" s="83"/>
      <c r="D443" s="4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2"/>
      <c r="Q443" s="128"/>
    </row>
    <row r="444" spans="1:17" s="34" customFormat="1" x14ac:dyDescent="0.25">
      <c r="A444" s="94"/>
      <c r="B444" s="83"/>
      <c r="C444" s="83"/>
      <c r="D444" s="4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2"/>
      <c r="Q444" s="128"/>
    </row>
    <row r="445" spans="1:17" s="34" customFormat="1" x14ac:dyDescent="0.25">
      <c r="A445" s="94"/>
      <c r="B445" s="83"/>
      <c r="C445" s="83"/>
      <c r="D445" s="4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2"/>
      <c r="Q445" s="128"/>
    </row>
    <row r="446" spans="1:17" s="34" customFormat="1" x14ac:dyDescent="0.25">
      <c r="A446" s="94"/>
      <c r="B446" s="83"/>
      <c r="C446" s="83"/>
      <c r="D446" s="4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2"/>
      <c r="Q446" s="128"/>
    </row>
    <row r="447" spans="1:17" s="34" customFormat="1" x14ac:dyDescent="0.25">
      <c r="A447" s="94"/>
      <c r="B447" s="83"/>
      <c r="C447" s="83"/>
      <c r="D447" s="4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2"/>
      <c r="Q447" s="128"/>
    </row>
    <row r="448" spans="1:17" s="34" customFormat="1" x14ac:dyDescent="0.25">
      <c r="A448" s="94"/>
      <c r="B448" s="83"/>
      <c r="C448" s="83"/>
      <c r="D448" s="4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2"/>
      <c r="Q448" s="128"/>
    </row>
    <row r="449" spans="1:17" s="34" customFormat="1" x14ac:dyDescent="0.25">
      <c r="A449" s="94"/>
      <c r="B449" s="83"/>
      <c r="C449" s="83"/>
      <c r="D449" s="4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2"/>
      <c r="Q449" s="128"/>
    </row>
    <row r="450" spans="1:17" s="34" customFormat="1" x14ac:dyDescent="0.25">
      <c r="A450" s="94"/>
      <c r="B450" s="83"/>
      <c r="C450" s="83"/>
      <c r="D450" s="4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2"/>
      <c r="Q450" s="128"/>
    </row>
    <row r="451" spans="1:17" s="34" customFormat="1" x14ac:dyDescent="0.25">
      <c r="A451" s="94"/>
      <c r="B451" s="83"/>
      <c r="C451" s="83"/>
      <c r="D451" s="4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2"/>
      <c r="Q451" s="128"/>
    </row>
    <row r="452" spans="1:17" s="34" customFormat="1" x14ac:dyDescent="0.25">
      <c r="A452" s="94"/>
      <c r="B452" s="83"/>
      <c r="C452" s="83"/>
      <c r="D452" s="4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2"/>
      <c r="Q452" s="128"/>
    </row>
    <row r="453" spans="1:17" s="34" customFormat="1" x14ac:dyDescent="0.25">
      <c r="A453" s="94"/>
      <c r="B453" s="83"/>
      <c r="C453" s="83"/>
      <c r="D453" s="4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2"/>
      <c r="Q453" s="128"/>
    </row>
    <row r="454" spans="1:17" s="34" customFormat="1" x14ac:dyDescent="0.25">
      <c r="A454" s="94"/>
      <c r="B454" s="83"/>
      <c r="C454" s="83"/>
      <c r="D454" s="4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2"/>
      <c r="Q454" s="128"/>
    </row>
    <row r="455" spans="1:17" s="34" customFormat="1" x14ac:dyDescent="0.25">
      <c r="A455" s="94"/>
      <c r="B455" s="83"/>
      <c r="C455" s="83"/>
      <c r="D455" s="4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2"/>
      <c r="Q455" s="128"/>
    </row>
    <row r="456" spans="1:17" s="34" customFormat="1" x14ac:dyDescent="0.25">
      <c r="A456" s="94"/>
      <c r="B456" s="83"/>
      <c r="C456" s="83"/>
      <c r="D456" s="4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2"/>
      <c r="Q456" s="128"/>
    </row>
    <row r="457" spans="1:17" s="34" customFormat="1" x14ac:dyDescent="0.25">
      <c r="A457" s="94"/>
      <c r="B457" s="83"/>
      <c r="C457" s="83"/>
      <c r="D457" s="4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2"/>
      <c r="Q457" s="128"/>
    </row>
    <row r="458" spans="1:17" s="34" customFormat="1" x14ac:dyDescent="0.25">
      <c r="A458" s="94"/>
      <c r="B458" s="83"/>
      <c r="C458" s="83"/>
      <c r="D458" s="4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2"/>
      <c r="Q458" s="128"/>
    </row>
    <row r="459" spans="1:17" s="34" customFormat="1" x14ac:dyDescent="0.25">
      <c r="A459" s="94"/>
      <c r="B459" s="83"/>
      <c r="C459" s="83"/>
      <c r="D459" s="4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2"/>
      <c r="Q459" s="128"/>
    </row>
    <row r="460" spans="1:17" s="34" customFormat="1" x14ac:dyDescent="0.25">
      <c r="A460" s="94"/>
      <c r="B460" s="83"/>
      <c r="C460" s="83"/>
      <c r="D460" s="4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2"/>
      <c r="Q460" s="128"/>
    </row>
    <row r="461" spans="1:17" s="34" customFormat="1" x14ac:dyDescent="0.25">
      <c r="A461" s="94"/>
      <c r="B461" s="83"/>
      <c r="C461" s="83"/>
      <c r="D461" s="4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2"/>
      <c r="Q461" s="128"/>
    </row>
    <row r="462" spans="1:17" s="34" customFormat="1" x14ac:dyDescent="0.25">
      <c r="A462" s="94"/>
      <c r="B462" s="83"/>
      <c r="C462" s="83"/>
      <c r="D462" s="4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2"/>
      <c r="Q462" s="128"/>
    </row>
    <row r="463" spans="1:17" s="34" customFormat="1" x14ac:dyDescent="0.25">
      <c r="A463" s="94"/>
      <c r="B463" s="83"/>
      <c r="C463" s="83"/>
      <c r="D463" s="4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2"/>
      <c r="Q463" s="128"/>
    </row>
    <row r="464" spans="1:17" s="34" customFormat="1" x14ac:dyDescent="0.25">
      <c r="A464" s="94"/>
      <c r="B464" s="83"/>
      <c r="C464" s="83"/>
      <c r="D464" s="4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2"/>
      <c r="Q464" s="128"/>
    </row>
    <row r="465" spans="1:17" s="34" customFormat="1" x14ac:dyDescent="0.25">
      <c r="A465" s="94"/>
      <c r="B465" s="83"/>
      <c r="C465" s="83"/>
      <c r="D465" s="4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2"/>
      <c r="Q465" s="128"/>
    </row>
    <row r="466" spans="1:17" s="34" customFormat="1" x14ac:dyDescent="0.25">
      <c r="A466" s="94"/>
      <c r="B466" s="83"/>
      <c r="C466" s="83"/>
      <c r="D466" s="4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2"/>
      <c r="Q466" s="128"/>
    </row>
    <row r="467" spans="1:17" s="34" customFormat="1" x14ac:dyDescent="0.25">
      <c r="A467" s="94"/>
      <c r="B467" s="83"/>
      <c r="C467" s="83"/>
      <c r="D467" s="4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2"/>
      <c r="Q467" s="128"/>
    </row>
    <row r="468" spans="1:17" s="34" customFormat="1" x14ac:dyDescent="0.25">
      <c r="A468" s="94"/>
      <c r="B468" s="83"/>
      <c r="C468" s="83"/>
      <c r="D468" s="4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2"/>
      <c r="Q468" s="128"/>
    </row>
    <row r="469" spans="1:17" s="34" customFormat="1" x14ac:dyDescent="0.25">
      <c r="A469" s="94"/>
      <c r="B469" s="83"/>
      <c r="C469" s="83"/>
      <c r="D469" s="4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2"/>
      <c r="Q469" s="128"/>
    </row>
    <row r="470" spans="1:17" s="34" customFormat="1" x14ac:dyDescent="0.25">
      <c r="A470" s="94"/>
      <c r="B470" s="83"/>
      <c r="C470" s="83"/>
      <c r="D470" s="4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2"/>
      <c r="Q470" s="128"/>
    </row>
    <row r="471" spans="1:17" s="34" customFormat="1" x14ac:dyDescent="0.25">
      <c r="A471" s="94"/>
      <c r="B471" s="83"/>
      <c r="C471" s="83"/>
      <c r="D471" s="4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2"/>
      <c r="Q471" s="128"/>
    </row>
    <row r="472" spans="1:17" s="34" customFormat="1" x14ac:dyDescent="0.25">
      <c r="A472" s="94"/>
      <c r="B472" s="83"/>
      <c r="C472" s="83"/>
      <c r="D472" s="4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2"/>
      <c r="Q472" s="128"/>
    </row>
    <row r="473" spans="1:17" s="34" customFormat="1" x14ac:dyDescent="0.25">
      <c r="A473" s="94"/>
      <c r="B473" s="83"/>
      <c r="C473" s="83"/>
      <c r="D473" s="4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2"/>
      <c r="Q473" s="128"/>
    </row>
    <row r="474" spans="1:17" s="34" customFormat="1" x14ac:dyDescent="0.25">
      <c r="A474" s="94"/>
      <c r="B474" s="83"/>
      <c r="C474" s="83"/>
      <c r="D474" s="4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2"/>
      <c r="Q474" s="128"/>
    </row>
    <row r="475" spans="1:17" s="34" customFormat="1" x14ac:dyDescent="0.25">
      <c r="A475" s="94"/>
      <c r="B475" s="83"/>
      <c r="C475" s="83"/>
      <c r="D475" s="4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2"/>
      <c r="Q475" s="128"/>
    </row>
    <row r="476" spans="1:17" s="34" customFormat="1" x14ac:dyDescent="0.25">
      <c r="A476" s="94"/>
      <c r="B476" s="83"/>
      <c r="C476" s="83"/>
      <c r="D476" s="4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2"/>
      <c r="Q476" s="128"/>
    </row>
    <row r="477" spans="1:17" s="34" customFormat="1" x14ac:dyDescent="0.25">
      <c r="A477" s="94"/>
      <c r="B477" s="83"/>
      <c r="C477" s="83"/>
      <c r="D477" s="4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2"/>
      <c r="Q477" s="128"/>
    </row>
    <row r="478" spans="1:17" s="34" customFormat="1" x14ac:dyDescent="0.25">
      <c r="A478" s="94"/>
      <c r="B478" s="83"/>
      <c r="C478" s="83"/>
      <c r="D478" s="4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2"/>
      <c r="Q478" s="128"/>
    </row>
    <row r="479" spans="1:17" s="34" customFormat="1" x14ac:dyDescent="0.25">
      <c r="A479" s="94"/>
      <c r="B479" s="83"/>
      <c r="C479" s="83"/>
      <c r="D479" s="4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2"/>
      <c r="Q479" s="128"/>
    </row>
    <row r="480" spans="1:17" s="34" customFormat="1" x14ac:dyDescent="0.25">
      <c r="A480" s="94"/>
      <c r="B480" s="83"/>
      <c r="C480" s="83"/>
      <c r="D480" s="4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2"/>
      <c r="Q480" s="128"/>
    </row>
    <row r="481" spans="1:17" s="34" customFormat="1" x14ac:dyDescent="0.25">
      <c r="A481" s="94"/>
      <c r="B481" s="83"/>
      <c r="C481" s="83"/>
      <c r="D481" s="4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2"/>
      <c r="Q481" s="128"/>
    </row>
    <row r="482" spans="1:17" s="34" customFormat="1" x14ac:dyDescent="0.25">
      <c r="A482" s="94"/>
      <c r="B482" s="83"/>
      <c r="C482" s="83"/>
      <c r="D482" s="4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2"/>
      <c r="Q482" s="128"/>
    </row>
    <row r="483" spans="1:17" s="34" customFormat="1" x14ac:dyDescent="0.25">
      <c r="A483" s="94"/>
      <c r="B483" s="83"/>
      <c r="C483" s="83"/>
      <c r="D483" s="4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2"/>
      <c r="Q483" s="128"/>
    </row>
    <row r="484" spans="1:17" s="34" customFormat="1" x14ac:dyDescent="0.25">
      <c r="A484" s="94"/>
      <c r="B484" s="83"/>
      <c r="C484" s="83"/>
      <c r="D484" s="4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2"/>
      <c r="Q484" s="128"/>
    </row>
    <row r="485" spans="1:17" s="34" customFormat="1" x14ac:dyDescent="0.25">
      <c r="A485" s="94"/>
      <c r="B485" s="83"/>
      <c r="C485" s="83"/>
      <c r="D485" s="4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2"/>
      <c r="Q485" s="128"/>
    </row>
    <row r="486" spans="1:17" s="34" customFormat="1" x14ac:dyDescent="0.25">
      <c r="A486" s="94"/>
      <c r="B486" s="83"/>
      <c r="C486" s="83"/>
      <c r="D486" s="4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2"/>
      <c r="Q486" s="128"/>
    </row>
    <row r="487" spans="1:17" s="34" customFormat="1" x14ac:dyDescent="0.25">
      <c r="A487" s="94"/>
      <c r="B487" s="83"/>
      <c r="C487" s="83"/>
      <c r="D487" s="4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2"/>
      <c r="Q487" s="128"/>
    </row>
    <row r="488" spans="1:17" s="34" customFormat="1" x14ac:dyDescent="0.25">
      <c r="A488" s="94"/>
      <c r="B488" s="83"/>
      <c r="C488" s="83"/>
      <c r="D488" s="4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2"/>
      <c r="Q488" s="128"/>
    </row>
    <row r="489" spans="1:17" s="34" customFormat="1" x14ac:dyDescent="0.25">
      <c r="A489" s="94"/>
      <c r="B489" s="83"/>
      <c r="C489" s="83"/>
      <c r="D489" s="4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2"/>
      <c r="Q489" s="128"/>
    </row>
    <row r="490" spans="1:17" s="34" customFormat="1" x14ac:dyDescent="0.25">
      <c r="A490" s="94"/>
      <c r="B490" s="83"/>
      <c r="C490" s="83"/>
      <c r="D490" s="4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2"/>
      <c r="Q490" s="128"/>
    </row>
    <row r="491" spans="1:17" s="34" customFormat="1" x14ac:dyDescent="0.25">
      <c r="A491" s="94"/>
      <c r="B491" s="83"/>
      <c r="C491" s="83"/>
      <c r="D491" s="4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2"/>
      <c r="Q491" s="128"/>
    </row>
    <row r="492" spans="1:17" s="34" customFormat="1" x14ac:dyDescent="0.25">
      <c r="A492" s="94"/>
      <c r="B492" s="83"/>
      <c r="C492" s="83"/>
      <c r="D492" s="4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2"/>
      <c r="Q492" s="128"/>
    </row>
    <row r="493" spans="1:17" s="34" customFormat="1" x14ac:dyDescent="0.25">
      <c r="A493" s="94"/>
      <c r="B493" s="83"/>
      <c r="C493" s="83"/>
      <c r="D493" s="4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2"/>
      <c r="Q493" s="128"/>
    </row>
    <row r="494" spans="1:17" s="34" customFormat="1" x14ac:dyDescent="0.25">
      <c r="A494" s="94"/>
      <c r="B494" s="83"/>
      <c r="C494" s="83"/>
      <c r="D494" s="4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2"/>
      <c r="Q494" s="128"/>
    </row>
    <row r="495" spans="1:17" s="34" customFormat="1" x14ac:dyDescent="0.25">
      <c r="A495" s="94"/>
      <c r="B495" s="83"/>
      <c r="C495" s="83"/>
      <c r="D495" s="4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2"/>
      <c r="Q495" s="128"/>
    </row>
    <row r="496" spans="1:17" s="34" customFormat="1" x14ac:dyDescent="0.25">
      <c r="A496" s="94"/>
      <c r="B496" s="83"/>
      <c r="C496" s="83"/>
      <c r="D496" s="4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2"/>
      <c r="Q496" s="128"/>
    </row>
    <row r="497" spans="1:17" s="34" customFormat="1" x14ac:dyDescent="0.25">
      <c r="A497" s="94"/>
      <c r="B497" s="83"/>
      <c r="C497" s="83"/>
      <c r="D497" s="4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2"/>
      <c r="Q497" s="128"/>
    </row>
    <row r="498" spans="1:17" s="34" customFormat="1" x14ac:dyDescent="0.25">
      <c r="A498" s="94"/>
      <c r="B498" s="83"/>
      <c r="C498" s="83"/>
      <c r="D498" s="4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2"/>
      <c r="Q498" s="128"/>
    </row>
    <row r="499" spans="1:17" s="34" customFormat="1" x14ac:dyDescent="0.25">
      <c r="A499" s="94"/>
      <c r="B499" s="83"/>
      <c r="C499" s="83"/>
      <c r="D499" s="4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2"/>
      <c r="Q499" s="128"/>
    </row>
    <row r="500" spans="1:17" s="34" customFormat="1" x14ac:dyDescent="0.25">
      <c r="A500" s="94"/>
      <c r="B500" s="83"/>
      <c r="C500" s="83"/>
      <c r="D500" s="4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2"/>
      <c r="Q500" s="128"/>
    </row>
    <row r="501" spans="1:17" s="34" customFormat="1" x14ac:dyDescent="0.25">
      <c r="A501" s="94"/>
      <c r="B501" s="83"/>
      <c r="C501" s="83"/>
      <c r="D501" s="4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2"/>
      <c r="Q501" s="128"/>
    </row>
    <row r="502" spans="1:17" s="34" customFormat="1" x14ac:dyDescent="0.25">
      <c r="A502" s="94"/>
      <c r="B502" s="83"/>
      <c r="C502" s="83"/>
      <c r="D502" s="4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2"/>
      <c r="Q502" s="128"/>
    </row>
    <row r="503" spans="1:17" s="34" customFormat="1" x14ac:dyDescent="0.25">
      <c r="A503" s="94"/>
      <c r="B503" s="83"/>
      <c r="C503" s="83"/>
      <c r="D503" s="4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2"/>
      <c r="Q503" s="128"/>
    </row>
    <row r="504" spans="1:17" s="34" customFormat="1" x14ac:dyDescent="0.25">
      <c r="A504" s="94"/>
      <c r="B504" s="83"/>
      <c r="C504" s="83"/>
      <c r="D504" s="4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2"/>
      <c r="Q504" s="128"/>
    </row>
    <row r="505" spans="1:17" s="34" customFormat="1" x14ac:dyDescent="0.25">
      <c r="A505" s="94"/>
      <c r="B505" s="83"/>
      <c r="C505" s="83"/>
      <c r="D505" s="4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2"/>
      <c r="Q505" s="128"/>
    </row>
    <row r="506" spans="1:17" s="34" customFormat="1" x14ac:dyDescent="0.25">
      <c r="A506" s="94"/>
      <c r="B506" s="83"/>
      <c r="C506" s="83"/>
      <c r="D506" s="4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2"/>
      <c r="Q506" s="128"/>
    </row>
    <row r="507" spans="1:17" s="34" customFormat="1" x14ac:dyDescent="0.25">
      <c r="A507" s="94"/>
      <c r="B507" s="83"/>
      <c r="C507" s="83"/>
      <c r="D507" s="4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2"/>
      <c r="Q507" s="128"/>
    </row>
    <row r="508" spans="1:17" s="34" customFormat="1" x14ac:dyDescent="0.25">
      <c r="A508" s="94"/>
      <c r="B508" s="83"/>
      <c r="C508" s="83"/>
      <c r="D508" s="4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2"/>
      <c r="Q508" s="128"/>
    </row>
    <row r="509" spans="1:17" s="34" customFormat="1" x14ac:dyDescent="0.25">
      <c r="A509" s="94"/>
      <c r="B509" s="83"/>
      <c r="C509" s="83"/>
      <c r="D509" s="4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2"/>
      <c r="Q509" s="128"/>
    </row>
    <row r="510" spans="1:17" s="34" customFormat="1" x14ac:dyDescent="0.25">
      <c r="A510" s="94"/>
      <c r="B510" s="83"/>
      <c r="C510" s="83"/>
      <c r="D510" s="4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2"/>
      <c r="Q510" s="128"/>
    </row>
    <row r="511" spans="1:17" s="34" customFormat="1" x14ac:dyDescent="0.25">
      <c r="A511" s="94"/>
      <c r="B511" s="83"/>
      <c r="C511" s="83"/>
      <c r="D511" s="4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2"/>
      <c r="Q511" s="128"/>
    </row>
    <row r="512" spans="1:17" s="34" customFormat="1" x14ac:dyDescent="0.25">
      <c r="A512" s="94"/>
      <c r="B512" s="83"/>
      <c r="C512" s="83"/>
      <c r="D512" s="4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2"/>
      <c r="Q512" s="128"/>
    </row>
    <row r="513" spans="1:17" s="34" customFormat="1" x14ac:dyDescent="0.25">
      <c r="A513" s="94"/>
      <c r="B513" s="83"/>
      <c r="C513" s="83"/>
      <c r="D513" s="4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2"/>
      <c r="Q513" s="128"/>
    </row>
    <row r="514" spans="1:17" s="34" customFormat="1" x14ac:dyDescent="0.25">
      <c r="A514" s="94"/>
      <c r="B514" s="83"/>
      <c r="C514" s="83"/>
      <c r="D514" s="4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2"/>
      <c r="Q514" s="128"/>
    </row>
    <row r="515" spans="1:17" s="34" customFormat="1" x14ac:dyDescent="0.25">
      <c r="A515" s="94"/>
      <c r="B515" s="83"/>
      <c r="C515" s="83"/>
      <c r="D515" s="4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2"/>
      <c r="Q515" s="128"/>
    </row>
    <row r="516" spans="1:17" s="34" customFormat="1" x14ac:dyDescent="0.25">
      <c r="A516" s="94"/>
      <c r="B516" s="83"/>
      <c r="C516" s="83"/>
      <c r="D516" s="4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2"/>
      <c r="Q516" s="128"/>
    </row>
    <row r="517" spans="1:17" s="34" customFormat="1" x14ac:dyDescent="0.25">
      <c r="A517" s="94"/>
      <c r="B517" s="83"/>
      <c r="C517" s="83"/>
      <c r="D517" s="4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2"/>
      <c r="Q517" s="128"/>
    </row>
    <row r="518" spans="1:17" s="34" customFormat="1" x14ac:dyDescent="0.25">
      <c r="A518" s="94"/>
      <c r="B518" s="83"/>
      <c r="C518" s="83"/>
      <c r="D518" s="4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2"/>
      <c r="Q518" s="128"/>
    </row>
    <row r="519" spans="1:17" s="34" customFormat="1" x14ac:dyDescent="0.25">
      <c r="A519" s="94"/>
      <c r="B519" s="83"/>
      <c r="C519" s="83"/>
      <c r="D519" s="4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2"/>
      <c r="Q519" s="128"/>
    </row>
    <row r="520" spans="1:17" s="34" customFormat="1" x14ac:dyDescent="0.25">
      <c r="A520" s="94"/>
      <c r="B520" s="83"/>
      <c r="C520" s="83"/>
      <c r="D520" s="4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2"/>
      <c r="Q520" s="128"/>
    </row>
    <row r="521" spans="1:17" s="34" customFormat="1" x14ac:dyDescent="0.25">
      <c r="A521" s="94"/>
      <c r="B521" s="83"/>
      <c r="C521" s="83"/>
      <c r="D521" s="4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2"/>
      <c r="Q521" s="128"/>
    </row>
    <row r="522" spans="1:17" s="34" customFormat="1" x14ac:dyDescent="0.25">
      <c r="A522" s="94"/>
      <c r="B522" s="83"/>
      <c r="C522" s="83"/>
      <c r="D522" s="4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2"/>
      <c r="Q522" s="128"/>
    </row>
    <row r="523" spans="1:17" s="34" customFormat="1" x14ac:dyDescent="0.25">
      <c r="A523" s="94"/>
      <c r="B523" s="83"/>
      <c r="C523" s="83"/>
      <c r="D523" s="4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2"/>
      <c r="Q523" s="128"/>
    </row>
    <row r="524" spans="1:17" s="34" customFormat="1" x14ac:dyDescent="0.25">
      <c r="A524" s="94"/>
      <c r="B524" s="83"/>
      <c r="C524" s="83"/>
      <c r="D524" s="4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2"/>
      <c r="Q524" s="128"/>
    </row>
    <row r="525" spans="1:17" s="34" customFormat="1" x14ac:dyDescent="0.25">
      <c r="A525" s="94"/>
      <c r="B525" s="83"/>
      <c r="C525" s="83"/>
      <c r="D525" s="4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2"/>
      <c r="Q525" s="128"/>
    </row>
    <row r="526" spans="1:17" s="34" customFormat="1" x14ac:dyDescent="0.25">
      <c r="A526" s="94"/>
      <c r="B526" s="83"/>
      <c r="C526" s="83"/>
      <c r="D526" s="4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2"/>
      <c r="Q526" s="128"/>
    </row>
    <row r="527" spans="1:17" s="34" customFormat="1" x14ac:dyDescent="0.25">
      <c r="A527" s="94"/>
      <c r="B527" s="83"/>
      <c r="C527" s="83"/>
      <c r="D527" s="4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2"/>
      <c r="Q527" s="128"/>
    </row>
    <row r="528" spans="1:17" s="34" customFormat="1" x14ac:dyDescent="0.25">
      <c r="A528" s="94"/>
      <c r="B528" s="83"/>
      <c r="C528" s="83"/>
      <c r="D528" s="4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2"/>
      <c r="Q528" s="128"/>
    </row>
    <row r="529" spans="1:17" s="34" customFormat="1" x14ac:dyDescent="0.25">
      <c r="A529" s="94"/>
      <c r="B529" s="83"/>
      <c r="C529" s="83"/>
      <c r="D529" s="4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2"/>
      <c r="Q529" s="128"/>
    </row>
    <row r="530" spans="1:17" s="34" customFormat="1" x14ac:dyDescent="0.25">
      <c r="A530" s="94"/>
      <c r="B530" s="83"/>
      <c r="C530" s="83"/>
      <c r="D530" s="4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2"/>
      <c r="Q530" s="128"/>
    </row>
    <row r="531" spans="1:17" s="34" customFormat="1" x14ac:dyDescent="0.25">
      <c r="A531" s="94"/>
      <c r="B531" s="83"/>
      <c r="C531" s="83"/>
      <c r="D531" s="4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2"/>
      <c r="Q531" s="128"/>
    </row>
    <row r="532" spans="1:17" s="34" customFormat="1" x14ac:dyDescent="0.25">
      <c r="A532" s="94"/>
      <c r="B532" s="83"/>
      <c r="C532" s="83"/>
      <c r="D532" s="4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2"/>
      <c r="Q532" s="128"/>
    </row>
    <row r="533" spans="1:17" s="34" customFormat="1" x14ac:dyDescent="0.25">
      <c r="A533" s="94"/>
      <c r="B533" s="83"/>
      <c r="C533" s="83"/>
      <c r="D533" s="4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2"/>
      <c r="Q533" s="128"/>
    </row>
    <row r="534" spans="1:17" s="34" customFormat="1" x14ac:dyDescent="0.25">
      <c r="A534" s="94"/>
      <c r="B534" s="83"/>
      <c r="C534" s="83"/>
      <c r="D534" s="4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2"/>
      <c r="Q534" s="128"/>
    </row>
    <row r="535" spans="1:17" s="34" customFormat="1" x14ac:dyDescent="0.25">
      <c r="A535" s="94"/>
      <c r="B535" s="83"/>
      <c r="C535" s="83"/>
      <c r="D535" s="4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2"/>
      <c r="Q535" s="128"/>
    </row>
    <row r="536" spans="1:17" s="34" customFormat="1" x14ac:dyDescent="0.25">
      <c r="A536" s="94"/>
      <c r="B536" s="83"/>
      <c r="C536" s="83"/>
      <c r="D536" s="4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2"/>
      <c r="Q536" s="128"/>
    </row>
    <row r="537" spans="1:17" s="34" customFormat="1" x14ac:dyDescent="0.25">
      <c r="A537" s="94"/>
      <c r="B537" s="83"/>
      <c r="C537" s="83"/>
      <c r="D537" s="4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2"/>
      <c r="Q537" s="128"/>
    </row>
    <row r="538" spans="1:17" s="34" customFormat="1" x14ac:dyDescent="0.25">
      <c r="A538" s="94"/>
      <c r="B538" s="83"/>
      <c r="C538" s="83"/>
      <c r="D538" s="4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2"/>
      <c r="Q538" s="128"/>
    </row>
    <row r="539" spans="1:17" s="34" customFormat="1" x14ac:dyDescent="0.25">
      <c r="A539" s="94"/>
      <c r="B539" s="83"/>
      <c r="C539" s="83"/>
      <c r="D539" s="4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2"/>
      <c r="Q539" s="128"/>
    </row>
    <row r="540" spans="1:17" s="34" customFormat="1" x14ac:dyDescent="0.25">
      <c r="A540" s="94"/>
      <c r="B540" s="83"/>
      <c r="C540" s="83"/>
      <c r="D540" s="4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2"/>
      <c r="Q540" s="128"/>
    </row>
    <row r="541" spans="1:17" s="34" customFormat="1" x14ac:dyDescent="0.25">
      <c r="A541" s="94"/>
      <c r="B541" s="83"/>
      <c r="C541" s="83"/>
      <c r="D541" s="4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2"/>
      <c r="Q541" s="128"/>
    </row>
    <row r="542" spans="1:17" s="34" customFormat="1" x14ac:dyDescent="0.25">
      <c r="A542" s="94"/>
      <c r="B542" s="83"/>
      <c r="C542" s="83"/>
      <c r="D542" s="4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2"/>
      <c r="Q542" s="128"/>
    </row>
    <row r="543" spans="1:17" s="34" customFormat="1" x14ac:dyDescent="0.25">
      <c r="A543" s="94"/>
      <c r="B543" s="83"/>
      <c r="C543" s="83"/>
      <c r="D543" s="4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2"/>
      <c r="Q543" s="128"/>
    </row>
    <row r="544" spans="1:17" s="34" customFormat="1" x14ac:dyDescent="0.25">
      <c r="A544" s="94"/>
      <c r="B544" s="83"/>
      <c r="C544" s="83"/>
      <c r="D544" s="4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2"/>
      <c r="Q544" s="128"/>
    </row>
    <row r="545" spans="1:17" s="34" customFormat="1" x14ac:dyDescent="0.25">
      <c r="A545" s="94"/>
      <c r="B545" s="83"/>
      <c r="C545" s="83"/>
      <c r="D545" s="4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2"/>
      <c r="Q545" s="128"/>
    </row>
    <row r="546" spans="1:17" s="34" customFormat="1" x14ac:dyDescent="0.25">
      <c r="A546" s="94"/>
      <c r="B546" s="83"/>
      <c r="C546" s="83"/>
      <c r="D546" s="4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2"/>
      <c r="Q546" s="128"/>
    </row>
    <row r="547" spans="1:17" s="34" customFormat="1" x14ac:dyDescent="0.25">
      <c r="A547" s="94"/>
      <c r="B547" s="83"/>
      <c r="C547" s="83"/>
      <c r="D547" s="4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2"/>
      <c r="Q547" s="128"/>
    </row>
    <row r="548" spans="1:17" s="34" customFormat="1" x14ac:dyDescent="0.25">
      <c r="A548" s="94"/>
      <c r="B548" s="83"/>
      <c r="C548" s="83"/>
      <c r="D548" s="4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2"/>
      <c r="Q548" s="128"/>
    </row>
    <row r="549" spans="1:17" s="34" customFormat="1" x14ac:dyDescent="0.25">
      <c r="A549" s="94"/>
      <c r="B549" s="83"/>
      <c r="C549" s="83"/>
      <c r="D549" s="4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2"/>
      <c r="Q549" s="128"/>
    </row>
    <row r="550" spans="1:17" s="34" customFormat="1" x14ac:dyDescent="0.25">
      <c r="A550" s="94"/>
      <c r="B550" s="83"/>
      <c r="C550" s="83"/>
      <c r="D550" s="4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2"/>
      <c r="Q550" s="128"/>
    </row>
    <row r="551" spans="1:17" s="34" customFormat="1" x14ac:dyDescent="0.25">
      <c r="A551" s="94"/>
      <c r="B551" s="83"/>
      <c r="C551" s="83"/>
      <c r="D551" s="4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2"/>
      <c r="Q551" s="128"/>
    </row>
    <row r="552" spans="1:17" s="34" customFormat="1" x14ac:dyDescent="0.25">
      <c r="A552" s="94"/>
      <c r="B552" s="83"/>
      <c r="C552" s="83"/>
      <c r="D552" s="4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2"/>
      <c r="Q552" s="128"/>
    </row>
    <row r="553" spans="1:17" s="34" customFormat="1" x14ac:dyDescent="0.25">
      <c r="A553" s="94"/>
      <c r="B553" s="83"/>
      <c r="C553" s="83"/>
      <c r="D553" s="4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2"/>
      <c r="Q553" s="128"/>
    </row>
    <row r="554" spans="1:17" s="34" customFormat="1" x14ac:dyDescent="0.25">
      <c r="A554" s="94"/>
      <c r="B554" s="83"/>
      <c r="C554" s="83"/>
      <c r="D554" s="4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2"/>
      <c r="Q554" s="128"/>
    </row>
    <row r="555" spans="1:17" s="34" customFormat="1" x14ac:dyDescent="0.25">
      <c r="A555" s="94"/>
      <c r="B555" s="83"/>
      <c r="C555" s="83"/>
      <c r="D555" s="4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2"/>
      <c r="Q555" s="128"/>
    </row>
    <row r="556" spans="1:17" s="34" customFormat="1" x14ac:dyDescent="0.25">
      <c r="A556" s="94"/>
      <c r="B556" s="83"/>
      <c r="C556" s="83"/>
      <c r="D556" s="4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2"/>
      <c r="Q556" s="128"/>
    </row>
    <row r="557" spans="1:17" s="34" customFormat="1" x14ac:dyDescent="0.25">
      <c r="A557" s="94"/>
      <c r="B557" s="83"/>
      <c r="C557" s="83"/>
      <c r="D557" s="4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2"/>
      <c r="Q557" s="128"/>
    </row>
    <row r="558" spans="1:17" s="34" customFormat="1" x14ac:dyDescent="0.25">
      <c r="A558" s="94"/>
      <c r="B558" s="83"/>
      <c r="C558" s="83"/>
      <c r="D558" s="4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2"/>
      <c r="Q558" s="128"/>
    </row>
    <row r="559" spans="1:17" s="34" customFormat="1" x14ac:dyDescent="0.25">
      <c r="A559" s="94"/>
      <c r="B559" s="83"/>
      <c r="C559" s="83"/>
      <c r="D559" s="4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2"/>
      <c r="Q559" s="128"/>
    </row>
    <row r="560" spans="1:17" s="34" customFormat="1" x14ac:dyDescent="0.25">
      <c r="A560" s="94"/>
      <c r="B560" s="83"/>
      <c r="C560" s="83"/>
      <c r="D560" s="4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2"/>
      <c r="Q560" s="128"/>
    </row>
    <row r="561" spans="1:17" s="34" customFormat="1" x14ac:dyDescent="0.25">
      <c r="A561" s="94"/>
      <c r="B561" s="83"/>
      <c r="C561" s="83"/>
      <c r="D561" s="4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2"/>
      <c r="Q561" s="128"/>
    </row>
    <row r="562" spans="1:17" s="34" customFormat="1" x14ac:dyDescent="0.25">
      <c r="A562" s="94"/>
      <c r="B562" s="83"/>
      <c r="C562" s="83"/>
      <c r="D562" s="4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2"/>
      <c r="Q562" s="128"/>
    </row>
    <row r="563" spans="1:17" s="34" customFormat="1" x14ac:dyDescent="0.25">
      <c r="A563" s="94"/>
      <c r="B563" s="83"/>
      <c r="C563" s="83"/>
      <c r="D563" s="4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2"/>
      <c r="Q563" s="128"/>
    </row>
    <row r="564" spans="1:17" s="34" customFormat="1" x14ac:dyDescent="0.25">
      <c r="A564" s="94"/>
      <c r="B564" s="83"/>
      <c r="C564" s="83"/>
      <c r="D564" s="4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2"/>
      <c r="Q564" s="128"/>
    </row>
    <row r="565" spans="1:17" s="34" customFormat="1" x14ac:dyDescent="0.25">
      <c r="A565" s="94"/>
      <c r="B565" s="83"/>
      <c r="C565" s="83"/>
      <c r="D565" s="4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2"/>
      <c r="Q565" s="128"/>
    </row>
    <row r="566" spans="1:17" s="34" customFormat="1" x14ac:dyDescent="0.25">
      <c r="A566" s="94"/>
      <c r="B566" s="83"/>
      <c r="C566" s="83"/>
      <c r="D566" s="4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2"/>
      <c r="Q566" s="128"/>
    </row>
    <row r="567" spans="1:17" s="34" customFormat="1" x14ac:dyDescent="0.25">
      <c r="A567" s="94"/>
      <c r="B567" s="83"/>
      <c r="C567" s="83"/>
      <c r="D567" s="4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2"/>
      <c r="Q567" s="128"/>
    </row>
    <row r="568" spans="1:17" s="34" customFormat="1" x14ac:dyDescent="0.25">
      <c r="A568" s="94"/>
      <c r="B568" s="83"/>
      <c r="C568" s="83"/>
      <c r="D568" s="4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2"/>
      <c r="Q568" s="128"/>
    </row>
    <row r="569" spans="1:17" s="34" customFormat="1" x14ac:dyDescent="0.25">
      <c r="A569" s="94"/>
      <c r="B569" s="83"/>
      <c r="C569" s="83"/>
      <c r="D569" s="4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2"/>
      <c r="Q569" s="128"/>
    </row>
    <row r="570" spans="1:17" s="34" customFormat="1" x14ac:dyDescent="0.25">
      <c r="A570" s="94"/>
      <c r="B570" s="83"/>
      <c r="C570" s="83"/>
      <c r="D570" s="4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2"/>
      <c r="Q570" s="128"/>
    </row>
    <row r="571" spans="1:17" s="34" customFormat="1" x14ac:dyDescent="0.25">
      <c r="A571" s="94"/>
      <c r="B571" s="83"/>
      <c r="C571" s="83"/>
      <c r="D571" s="4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2"/>
      <c r="Q571" s="128"/>
    </row>
    <row r="572" spans="1:17" s="34" customFormat="1" x14ac:dyDescent="0.25">
      <c r="A572" s="94"/>
      <c r="B572" s="83"/>
      <c r="C572" s="83"/>
      <c r="D572" s="4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2"/>
      <c r="Q572" s="128"/>
    </row>
    <row r="573" spans="1:17" s="34" customFormat="1" x14ac:dyDescent="0.25">
      <c r="A573" s="94"/>
      <c r="B573" s="83"/>
      <c r="C573" s="83"/>
      <c r="D573" s="4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2"/>
      <c r="Q573" s="128"/>
    </row>
    <row r="574" spans="1:17" s="34" customFormat="1" x14ac:dyDescent="0.25">
      <c r="A574" s="94"/>
      <c r="B574" s="83"/>
      <c r="C574" s="83"/>
      <c r="D574" s="4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2"/>
      <c r="Q574" s="128"/>
    </row>
    <row r="575" spans="1:17" s="34" customFormat="1" x14ac:dyDescent="0.25">
      <c r="A575" s="94"/>
      <c r="B575" s="83"/>
      <c r="C575" s="83"/>
      <c r="D575" s="4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2"/>
      <c r="Q575" s="128"/>
    </row>
    <row r="576" spans="1:17" s="34" customFormat="1" x14ac:dyDescent="0.25">
      <c r="A576" s="94"/>
      <c r="B576" s="83"/>
      <c r="C576" s="83"/>
      <c r="D576" s="4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2"/>
      <c r="Q576" s="128"/>
    </row>
    <row r="577" spans="1:17" s="34" customFormat="1" x14ac:dyDescent="0.25">
      <c r="A577" s="94"/>
      <c r="B577" s="83"/>
      <c r="C577" s="83"/>
      <c r="D577" s="4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2"/>
      <c r="Q577" s="128"/>
    </row>
    <row r="578" spans="1:17" s="34" customFormat="1" x14ac:dyDescent="0.25">
      <c r="A578" s="94"/>
      <c r="B578" s="83"/>
      <c r="C578" s="83"/>
      <c r="D578" s="4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2"/>
      <c r="Q578" s="128"/>
    </row>
    <row r="579" spans="1:17" s="34" customFormat="1" x14ac:dyDescent="0.25">
      <c r="A579" s="94"/>
      <c r="B579" s="83"/>
      <c r="C579" s="83"/>
      <c r="D579" s="4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2"/>
      <c r="Q579" s="128"/>
    </row>
    <row r="580" spans="1:17" s="34" customFormat="1" x14ac:dyDescent="0.25">
      <c r="A580" s="94"/>
      <c r="B580" s="83"/>
      <c r="C580" s="83"/>
      <c r="D580" s="4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2"/>
      <c r="Q580" s="128"/>
    </row>
    <row r="581" spans="1:17" s="34" customFormat="1" x14ac:dyDescent="0.25">
      <c r="A581" s="94"/>
      <c r="B581" s="83"/>
      <c r="C581" s="83"/>
      <c r="D581" s="4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2"/>
      <c r="Q581" s="128"/>
    </row>
    <row r="582" spans="1:17" s="34" customFormat="1" x14ac:dyDescent="0.25">
      <c r="A582" s="94"/>
      <c r="B582" s="83"/>
      <c r="C582" s="83"/>
      <c r="D582" s="4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2"/>
      <c r="Q582" s="128"/>
    </row>
    <row r="583" spans="1:17" s="34" customFormat="1" x14ac:dyDescent="0.25">
      <c r="A583" s="94"/>
      <c r="B583" s="83"/>
      <c r="C583" s="83"/>
      <c r="D583" s="4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2"/>
      <c r="Q583" s="128"/>
    </row>
    <row r="584" spans="1:17" s="34" customFormat="1" x14ac:dyDescent="0.25">
      <c r="A584" s="94"/>
      <c r="B584" s="83"/>
      <c r="C584" s="83"/>
      <c r="D584" s="4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2"/>
      <c r="Q584" s="128"/>
    </row>
    <row r="585" spans="1:17" s="34" customFormat="1" x14ac:dyDescent="0.25">
      <c r="A585" s="94"/>
      <c r="B585" s="83"/>
      <c r="C585" s="83"/>
      <c r="D585" s="4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2"/>
      <c r="Q585" s="128"/>
    </row>
    <row r="586" spans="1:17" s="34" customFormat="1" x14ac:dyDescent="0.25">
      <c r="A586" s="94"/>
      <c r="B586" s="83"/>
      <c r="C586" s="83"/>
      <c r="D586" s="4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2"/>
      <c r="Q586" s="128"/>
    </row>
    <row r="587" spans="1:17" s="34" customFormat="1" x14ac:dyDescent="0.25">
      <c r="A587" s="94"/>
      <c r="B587" s="83"/>
      <c r="C587" s="83"/>
      <c r="D587" s="4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2"/>
      <c r="Q587" s="128"/>
    </row>
    <row r="588" spans="1:17" s="34" customFormat="1" x14ac:dyDescent="0.25">
      <c r="A588" s="94"/>
      <c r="B588" s="83"/>
      <c r="C588" s="83"/>
      <c r="D588" s="4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2"/>
      <c r="Q588" s="128"/>
    </row>
    <row r="589" spans="1:17" s="34" customFormat="1" x14ac:dyDescent="0.25">
      <c r="A589" s="94"/>
      <c r="B589" s="83"/>
      <c r="C589" s="83"/>
      <c r="D589" s="4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2"/>
      <c r="Q589" s="128"/>
    </row>
    <row r="590" spans="1:17" s="34" customFormat="1" x14ac:dyDescent="0.25">
      <c r="A590" s="94"/>
      <c r="B590" s="83"/>
      <c r="C590" s="83"/>
      <c r="D590" s="4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2"/>
      <c r="Q590" s="128"/>
    </row>
    <row r="591" spans="1:17" s="34" customFormat="1" x14ac:dyDescent="0.25">
      <c r="A591" s="94"/>
      <c r="B591" s="83"/>
      <c r="C591" s="83"/>
      <c r="D591" s="4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2"/>
      <c r="Q591" s="128"/>
    </row>
    <row r="592" spans="1:17" s="34" customFormat="1" x14ac:dyDescent="0.25">
      <c r="A592" s="94"/>
      <c r="B592" s="83"/>
      <c r="C592" s="83"/>
      <c r="D592" s="4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2"/>
      <c r="Q592" s="128"/>
    </row>
    <row r="593" spans="1:17" s="34" customFormat="1" x14ac:dyDescent="0.25">
      <c r="A593" s="94"/>
      <c r="B593" s="83"/>
      <c r="C593" s="83"/>
      <c r="D593" s="4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2"/>
      <c r="Q593" s="128"/>
    </row>
    <row r="594" spans="1:17" s="34" customFormat="1" x14ac:dyDescent="0.25">
      <c r="A594" s="94"/>
      <c r="B594" s="83"/>
      <c r="C594" s="83"/>
      <c r="D594" s="4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2"/>
      <c r="Q594" s="128"/>
    </row>
    <row r="595" spans="1:17" s="34" customFormat="1" x14ac:dyDescent="0.25">
      <c r="A595" s="94"/>
      <c r="B595" s="83"/>
      <c r="C595" s="83"/>
      <c r="D595" s="4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2"/>
      <c r="Q595" s="128"/>
    </row>
    <row r="596" spans="1:17" s="34" customFormat="1" x14ac:dyDescent="0.25">
      <c r="A596" s="94"/>
      <c r="B596" s="83"/>
      <c r="C596" s="83"/>
      <c r="D596" s="4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2"/>
      <c r="Q596" s="128"/>
    </row>
    <row r="597" spans="1:17" s="34" customFormat="1" x14ac:dyDescent="0.25">
      <c r="A597" s="94"/>
      <c r="B597" s="83"/>
      <c r="C597" s="83"/>
      <c r="D597" s="4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2"/>
      <c r="Q597" s="128"/>
    </row>
    <row r="598" spans="1:17" s="34" customFormat="1" x14ac:dyDescent="0.25">
      <c r="A598" s="94"/>
      <c r="B598" s="83"/>
      <c r="C598" s="83"/>
      <c r="D598" s="4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2"/>
      <c r="Q598" s="128"/>
    </row>
    <row r="599" spans="1:17" s="34" customFormat="1" x14ac:dyDescent="0.25">
      <c r="A599" s="94"/>
      <c r="B599" s="83"/>
      <c r="C599" s="83"/>
      <c r="D599" s="4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2"/>
      <c r="Q599" s="128"/>
    </row>
    <row r="600" spans="1:17" s="34" customFormat="1" x14ac:dyDescent="0.25">
      <c r="A600" s="94"/>
      <c r="B600" s="83"/>
      <c r="C600" s="83"/>
      <c r="D600" s="4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2"/>
      <c r="Q600" s="128"/>
    </row>
    <row r="601" spans="1:17" s="34" customFormat="1" x14ac:dyDescent="0.25">
      <c r="A601" s="94"/>
      <c r="B601" s="83"/>
      <c r="C601" s="83"/>
      <c r="D601" s="4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2"/>
      <c r="Q601" s="128"/>
    </row>
    <row r="602" spans="1:17" s="34" customFormat="1" x14ac:dyDescent="0.25">
      <c r="A602" s="94"/>
      <c r="B602" s="83"/>
      <c r="C602" s="83"/>
      <c r="D602" s="4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2"/>
      <c r="Q602" s="128"/>
    </row>
    <row r="603" spans="1:17" s="34" customFormat="1" x14ac:dyDescent="0.25">
      <c r="A603" s="94"/>
      <c r="B603" s="83"/>
      <c r="C603" s="83"/>
      <c r="D603" s="4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2"/>
      <c r="Q603" s="128"/>
    </row>
    <row r="604" spans="1:17" s="34" customFormat="1" x14ac:dyDescent="0.25">
      <c r="A604" s="94"/>
      <c r="B604" s="83"/>
      <c r="C604" s="83"/>
      <c r="D604" s="4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2"/>
      <c r="Q604" s="128"/>
    </row>
    <row r="605" spans="1:17" s="34" customFormat="1" x14ac:dyDescent="0.25">
      <c r="A605" s="94"/>
      <c r="B605" s="83"/>
      <c r="C605" s="83"/>
      <c r="D605" s="4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2"/>
      <c r="Q605" s="128"/>
    </row>
    <row r="606" spans="1:17" s="34" customFormat="1" x14ac:dyDescent="0.25">
      <c r="A606" s="94"/>
      <c r="B606" s="83"/>
      <c r="C606" s="83"/>
      <c r="D606" s="4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2"/>
      <c r="Q606" s="128"/>
    </row>
    <row r="607" spans="1:17" s="34" customFormat="1" x14ac:dyDescent="0.25">
      <c r="A607" s="94"/>
      <c r="B607" s="83"/>
      <c r="C607" s="83"/>
      <c r="D607" s="4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2"/>
      <c r="Q607" s="128"/>
    </row>
    <row r="608" spans="1:17" s="34" customFormat="1" x14ac:dyDescent="0.25">
      <c r="A608" s="94"/>
      <c r="B608" s="83"/>
      <c r="C608" s="83"/>
      <c r="D608" s="4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2"/>
      <c r="Q608" s="128"/>
    </row>
    <row r="609" spans="1:17" s="34" customFormat="1" x14ac:dyDescent="0.25">
      <c r="A609" s="94"/>
      <c r="B609" s="83"/>
      <c r="C609" s="83"/>
      <c r="D609" s="4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2"/>
      <c r="Q609" s="128"/>
    </row>
    <row r="610" spans="1:17" s="34" customFormat="1" x14ac:dyDescent="0.25">
      <c r="A610" s="94"/>
      <c r="B610" s="83"/>
      <c r="C610" s="83"/>
      <c r="D610" s="4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2"/>
      <c r="Q610" s="128"/>
    </row>
    <row r="611" spans="1:17" s="34" customFormat="1" x14ac:dyDescent="0.25">
      <c r="A611" s="94"/>
      <c r="B611" s="83"/>
      <c r="C611" s="83"/>
      <c r="D611" s="4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2"/>
      <c r="Q611" s="128"/>
    </row>
    <row r="612" spans="1:17" s="34" customFormat="1" x14ac:dyDescent="0.25">
      <c r="A612" s="94"/>
      <c r="B612" s="83"/>
      <c r="C612" s="83"/>
      <c r="D612" s="4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2"/>
      <c r="Q612" s="128"/>
    </row>
    <row r="613" spans="1:17" s="34" customFormat="1" x14ac:dyDescent="0.25">
      <c r="A613" s="94"/>
      <c r="B613" s="83"/>
      <c r="C613" s="83"/>
      <c r="D613" s="4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2"/>
      <c r="Q613" s="128"/>
    </row>
    <row r="614" spans="1:17" s="34" customFormat="1" x14ac:dyDescent="0.25">
      <c r="A614" s="94"/>
      <c r="B614" s="83"/>
      <c r="C614" s="83"/>
      <c r="D614" s="4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2"/>
      <c r="Q614" s="128"/>
    </row>
    <row r="615" spans="1:17" s="34" customFormat="1" x14ac:dyDescent="0.25">
      <c r="A615" s="94"/>
      <c r="B615" s="83"/>
      <c r="C615" s="83"/>
      <c r="D615" s="4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2"/>
      <c r="Q615" s="128"/>
    </row>
    <row r="616" spans="1:17" s="34" customFormat="1" x14ac:dyDescent="0.25">
      <c r="A616" s="94"/>
      <c r="B616" s="83"/>
      <c r="C616" s="83"/>
      <c r="D616" s="4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2"/>
      <c r="Q616" s="128"/>
    </row>
    <row r="617" spans="1:17" s="34" customFormat="1" x14ac:dyDescent="0.25">
      <c r="A617" s="94"/>
      <c r="B617" s="83"/>
      <c r="C617" s="83"/>
      <c r="D617" s="4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2"/>
      <c r="Q617" s="128"/>
    </row>
    <row r="618" spans="1:17" s="34" customFormat="1" x14ac:dyDescent="0.25">
      <c r="A618" s="94"/>
      <c r="B618" s="83"/>
      <c r="C618" s="83"/>
      <c r="D618" s="4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2"/>
      <c r="Q618" s="128"/>
    </row>
    <row r="619" spans="1:17" s="34" customFormat="1" x14ac:dyDescent="0.25">
      <c r="A619" s="94"/>
      <c r="B619" s="83"/>
      <c r="C619" s="83"/>
      <c r="D619" s="4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2"/>
      <c r="Q619" s="128"/>
    </row>
    <row r="620" spans="1:17" s="34" customFormat="1" x14ac:dyDescent="0.25">
      <c r="A620" s="94"/>
      <c r="B620" s="83"/>
      <c r="C620" s="83"/>
      <c r="D620" s="4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2"/>
      <c r="Q620" s="128"/>
    </row>
    <row r="621" spans="1:17" s="34" customFormat="1" x14ac:dyDescent="0.25">
      <c r="A621" s="94"/>
      <c r="B621" s="83"/>
      <c r="C621" s="83"/>
      <c r="D621" s="4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2"/>
      <c r="Q621" s="128"/>
    </row>
    <row r="622" spans="1:17" s="34" customFormat="1" x14ac:dyDescent="0.25">
      <c r="A622" s="94"/>
      <c r="B622" s="83"/>
      <c r="C622" s="83"/>
      <c r="D622" s="4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2"/>
      <c r="Q622" s="128"/>
    </row>
    <row r="623" spans="1:17" s="34" customFormat="1" x14ac:dyDescent="0.25">
      <c r="A623" s="94"/>
      <c r="B623" s="83"/>
      <c r="C623" s="83"/>
      <c r="D623" s="4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2"/>
      <c r="Q623" s="128"/>
    </row>
    <row r="624" spans="1:17" s="34" customFormat="1" x14ac:dyDescent="0.25">
      <c r="A624" s="94"/>
      <c r="B624" s="83"/>
      <c r="C624" s="83"/>
      <c r="D624" s="4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2"/>
      <c r="Q624" s="128"/>
    </row>
    <row r="625" spans="1:17" s="34" customFormat="1" x14ac:dyDescent="0.25">
      <c r="A625" s="94"/>
      <c r="B625" s="83"/>
      <c r="C625" s="83"/>
      <c r="D625" s="4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2"/>
      <c r="Q625" s="128"/>
    </row>
    <row r="626" spans="1:17" s="34" customFormat="1" x14ac:dyDescent="0.25">
      <c r="A626" s="94"/>
      <c r="B626" s="83"/>
      <c r="C626" s="83"/>
      <c r="D626" s="4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2"/>
      <c r="Q626" s="128"/>
    </row>
    <row r="627" spans="1:17" s="34" customFormat="1" x14ac:dyDescent="0.25">
      <c r="A627" s="94"/>
      <c r="B627" s="83"/>
      <c r="C627" s="83"/>
      <c r="D627" s="4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2"/>
      <c r="Q627" s="128"/>
    </row>
    <row r="628" spans="1:17" s="34" customFormat="1" x14ac:dyDescent="0.25">
      <c r="A628" s="94"/>
      <c r="B628" s="83"/>
      <c r="C628" s="83"/>
      <c r="D628" s="4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2"/>
      <c r="Q628" s="128"/>
    </row>
    <row r="629" spans="1:17" s="34" customFormat="1" x14ac:dyDescent="0.25">
      <c r="A629" s="94"/>
      <c r="B629" s="83"/>
      <c r="C629" s="83"/>
      <c r="D629" s="4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2"/>
      <c r="Q629" s="128"/>
    </row>
    <row r="630" spans="1:17" s="34" customFormat="1" x14ac:dyDescent="0.25">
      <c r="A630" s="94"/>
      <c r="B630" s="83"/>
      <c r="C630" s="83"/>
      <c r="D630" s="4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2"/>
      <c r="Q630" s="128"/>
    </row>
    <row r="631" spans="1:17" s="34" customFormat="1" x14ac:dyDescent="0.25">
      <c r="A631" s="94"/>
      <c r="B631" s="83"/>
      <c r="C631" s="83"/>
      <c r="D631" s="4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2"/>
      <c r="Q631" s="128"/>
    </row>
    <row r="632" spans="1:17" s="34" customFormat="1" x14ac:dyDescent="0.25">
      <c r="A632" s="94"/>
      <c r="B632" s="83"/>
      <c r="C632" s="83"/>
      <c r="D632" s="4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2"/>
      <c r="Q632" s="128"/>
    </row>
    <row r="633" spans="1:17" s="34" customFormat="1" x14ac:dyDescent="0.25">
      <c r="A633" s="94"/>
      <c r="B633" s="83"/>
      <c r="C633" s="83"/>
      <c r="D633" s="4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2"/>
      <c r="Q633" s="128"/>
    </row>
    <row r="634" spans="1:17" s="34" customFormat="1" x14ac:dyDescent="0.25">
      <c r="A634" s="94"/>
      <c r="B634" s="83"/>
      <c r="C634" s="83"/>
      <c r="D634" s="4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2"/>
      <c r="Q634" s="128"/>
    </row>
    <row r="635" spans="1:17" s="34" customFormat="1" x14ac:dyDescent="0.25">
      <c r="A635" s="94"/>
      <c r="B635" s="83"/>
      <c r="C635" s="83"/>
      <c r="D635" s="4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2"/>
      <c r="Q635" s="128"/>
    </row>
    <row r="636" spans="1:17" s="34" customFormat="1" x14ac:dyDescent="0.25">
      <c r="A636" s="94"/>
      <c r="B636" s="83"/>
      <c r="C636" s="83"/>
      <c r="D636" s="4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2"/>
      <c r="Q636" s="128"/>
    </row>
    <row r="637" spans="1:17" s="34" customFormat="1" x14ac:dyDescent="0.25">
      <c r="A637" s="94"/>
      <c r="B637" s="83"/>
      <c r="C637" s="83"/>
      <c r="D637" s="4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2"/>
      <c r="Q637" s="128"/>
    </row>
    <row r="638" spans="1:17" s="34" customFormat="1" x14ac:dyDescent="0.25">
      <c r="A638" s="94"/>
      <c r="B638" s="83"/>
      <c r="C638" s="83"/>
      <c r="D638" s="4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2"/>
      <c r="Q638" s="128"/>
    </row>
    <row r="639" spans="1:17" s="34" customFormat="1" x14ac:dyDescent="0.25">
      <c r="A639" s="94"/>
      <c r="B639" s="83"/>
      <c r="C639" s="83"/>
      <c r="D639" s="4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2"/>
      <c r="Q639" s="128"/>
    </row>
    <row r="640" spans="1:17" s="34" customFormat="1" x14ac:dyDescent="0.25">
      <c r="A640" s="94"/>
      <c r="B640" s="83"/>
      <c r="C640" s="83"/>
      <c r="D640" s="4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2"/>
      <c r="Q640" s="128"/>
    </row>
    <row r="641" spans="1:17" s="34" customFormat="1" x14ac:dyDescent="0.25">
      <c r="A641" s="94"/>
      <c r="B641" s="83"/>
      <c r="C641" s="83"/>
      <c r="D641" s="4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2"/>
      <c r="Q641" s="128"/>
    </row>
    <row r="642" spans="1:17" s="34" customFormat="1" x14ac:dyDescent="0.25">
      <c r="A642" s="94"/>
      <c r="B642" s="83"/>
      <c r="C642" s="83"/>
      <c r="D642" s="4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2"/>
      <c r="Q642" s="128"/>
    </row>
    <row r="643" spans="1:17" s="34" customFormat="1" x14ac:dyDescent="0.25">
      <c r="A643" s="94"/>
      <c r="B643" s="83"/>
      <c r="C643" s="83"/>
      <c r="D643" s="4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2"/>
      <c r="Q643" s="128"/>
    </row>
    <row r="644" spans="1:17" s="34" customFormat="1" x14ac:dyDescent="0.25">
      <c r="A644" s="94"/>
      <c r="B644" s="83"/>
      <c r="C644" s="83"/>
      <c r="D644" s="4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2"/>
      <c r="Q644" s="128"/>
    </row>
    <row r="645" spans="1:17" s="34" customFormat="1" x14ac:dyDescent="0.25">
      <c r="A645" s="94"/>
      <c r="B645" s="83"/>
      <c r="C645" s="83"/>
      <c r="D645" s="4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2"/>
      <c r="Q645" s="128"/>
    </row>
    <row r="646" spans="1:17" s="34" customFormat="1" x14ac:dyDescent="0.25">
      <c r="A646" s="94"/>
      <c r="B646" s="83"/>
      <c r="C646" s="83"/>
      <c r="D646" s="4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2"/>
      <c r="Q646" s="128"/>
    </row>
    <row r="647" spans="1:17" s="34" customFormat="1" x14ac:dyDescent="0.25">
      <c r="A647" s="94"/>
      <c r="B647" s="83"/>
      <c r="C647" s="83"/>
      <c r="D647" s="4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2"/>
      <c r="Q647" s="128"/>
    </row>
    <row r="648" spans="1:17" s="34" customFormat="1" x14ac:dyDescent="0.25">
      <c r="A648" s="94"/>
      <c r="B648" s="83"/>
      <c r="C648" s="83"/>
      <c r="D648" s="4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2"/>
      <c r="Q648" s="128"/>
    </row>
    <row r="649" spans="1:17" s="34" customFormat="1" x14ac:dyDescent="0.25">
      <c r="A649" s="94"/>
      <c r="B649" s="83"/>
      <c r="C649" s="83"/>
      <c r="D649" s="4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2"/>
      <c r="Q649" s="128"/>
    </row>
    <row r="650" spans="1:17" s="34" customFormat="1" x14ac:dyDescent="0.25">
      <c r="A650" s="94"/>
      <c r="B650" s="83"/>
      <c r="C650" s="83"/>
      <c r="D650" s="4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2"/>
      <c r="Q650" s="128"/>
    </row>
    <row r="651" spans="1:17" s="34" customFormat="1" x14ac:dyDescent="0.25">
      <c r="A651" s="94"/>
      <c r="B651" s="83"/>
      <c r="C651" s="83"/>
      <c r="D651" s="4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2"/>
      <c r="Q651" s="128"/>
    </row>
    <row r="652" spans="1:17" s="34" customFormat="1" x14ac:dyDescent="0.25">
      <c r="A652" s="94"/>
      <c r="B652" s="83"/>
      <c r="C652" s="83"/>
      <c r="D652" s="4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2"/>
      <c r="Q652" s="128"/>
    </row>
    <row r="653" spans="1:17" s="34" customFormat="1" x14ac:dyDescent="0.25">
      <c r="A653" s="94"/>
      <c r="B653" s="83"/>
      <c r="C653" s="83"/>
      <c r="D653" s="4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2"/>
      <c r="Q653" s="128"/>
    </row>
    <row r="654" spans="1:17" s="34" customFormat="1" x14ac:dyDescent="0.25">
      <c r="A654" s="94"/>
      <c r="B654" s="83"/>
      <c r="C654" s="83"/>
      <c r="D654" s="4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2"/>
      <c r="Q654" s="128"/>
    </row>
    <row r="655" spans="1:17" s="34" customFormat="1" x14ac:dyDescent="0.25">
      <c r="A655" s="94"/>
      <c r="B655" s="83"/>
      <c r="C655" s="83"/>
      <c r="D655" s="4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2"/>
      <c r="Q655" s="128"/>
    </row>
    <row r="656" spans="1:17" s="34" customFormat="1" x14ac:dyDescent="0.25">
      <c r="A656" s="94"/>
      <c r="B656" s="83"/>
      <c r="C656" s="83"/>
      <c r="D656" s="4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2"/>
      <c r="Q656" s="128"/>
    </row>
    <row r="657" spans="1:17" s="34" customFormat="1" x14ac:dyDescent="0.25">
      <c r="A657" s="94"/>
      <c r="B657" s="83"/>
      <c r="C657" s="83"/>
      <c r="D657" s="4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2"/>
      <c r="Q657" s="128"/>
    </row>
    <row r="658" spans="1:17" s="34" customFormat="1" x14ac:dyDescent="0.25">
      <c r="A658" s="94"/>
      <c r="B658" s="83"/>
      <c r="C658" s="83"/>
      <c r="D658" s="4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2"/>
      <c r="Q658" s="128"/>
    </row>
    <row r="659" spans="1:17" s="34" customFormat="1" x14ac:dyDescent="0.25">
      <c r="A659" s="94"/>
      <c r="B659" s="83"/>
      <c r="C659" s="83"/>
      <c r="D659" s="4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2"/>
      <c r="Q659" s="128"/>
    </row>
    <row r="660" spans="1:17" s="34" customFormat="1" x14ac:dyDescent="0.25">
      <c r="A660" s="94"/>
      <c r="B660" s="83"/>
      <c r="C660" s="83"/>
      <c r="D660" s="4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2"/>
      <c r="Q660" s="128"/>
    </row>
    <row r="661" spans="1:17" s="34" customFormat="1" x14ac:dyDescent="0.25">
      <c r="A661" s="94"/>
      <c r="B661" s="83"/>
      <c r="C661" s="83"/>
      <c r="D661" s="4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2"/>
      <c r="Q661" s="128"/>
    </row>
    <row r="662" spans="1:17" s="34" customFormat="1" x14ac:dyDescent="0.25">
      <c r="A662" s="94"/>
      <c r="B662" s="83"/>
      <c r="C662" s="83"/>
      <c r="D662" s="4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2"/>
      <c r="Q662" s="128"/>
    </row>
    <row r="663" spans="1:17" s="34" customFormat="1" x14ac:dyDescent="0.25">
      <c r="A663" s="94"/>
      <c r="B663" s="83"/>
      <c r="C663" s="83"/>
      <c r="D663" s="4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2"/>
      <c r="Q663" s="128"/>
    </row>
    <row r="664" spans="1:17" s="34" customFormat="1" x14ac:dyDescent="0.25">
      <c r="A664" s="94"/>
      <c r="B664" s="83"/>
      <c r="C664" s="83"/>
      <c r="D664" s="4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2"/>
      <c r="Q664" s="128"/>
    </row>
    <row r="665" spans="1:17" s="34" customFormat="1" x14ac:dyDescent="0.25">
      <c r="A665" s="94"/>
      <c r="B665" s="83"/>
      <c r="C665" s="83"/>
      <c r="D665" s="4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2"/>
      <c r="Q665" s="128"/>
    </row>
    <row r="666" spans="1:17" s="34" customFormat="1" x14ac:dyDescent="0.25">
      <c r="A666" s="94"/>
      <c r="B666" s="83"/>
      <c r="C666" s="83"/>
      <c r="D666" s="4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2"/>
      <c r="Q666" s="128"/>
    </row>
    <row r="667" spans="1:17" s="34" customFormat="1" x14ac:dyDescent="0.25">
      <c r="A667" s="94"/>
      <c r="B667" s="83"/>
      <c r="C667" s="83"/>
      <c r="D667" s="4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2"/>
      <c r="Q667" s="128"/>
    </row>
    <row r="668" spans="1:17" s="34" customFormat="1" x14ac:dyDescent="0.25">
      <c r="A668" s="94"/>
      <c r="B668" s="83"/>
      <c r="C668" s="83"/>
      <c r="D668" s="4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2"/>
      <c r="Q668" s="128"/>
    </row>
    <row r="669" spans="1:17" s="34" customFormat="1" x14ac:dyDescent="0.25">
      <c r="A669" s="94"/>
      <c r="B669" s="83"/>
      <c r="C669" s="83"/>
      <c r="D669" s="4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2"/>
      <c r="Q669" s="128"/>
    </row>
    <row r="670" spans="1:17" s="34" customFormat="1" x14ac:dyDescent="0.25">
      <c r="A670" s="94"/>
      <c r="B670" s="83"/>
      <c r="C670" s="83"/>
      <c r="D670" s="4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2"/>
      <c r="Q670" s="128"/>
    </row>
    <row r="671" spans="1:17" s="34" customFormat="1" x14ac:dyDescent="0.25">
      <c r="A671" s="94"/>
      <c r="B671" s="83"/>
      <c r="C671" s="83"/>
      <c r="D671" s="4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2"/>
      <c r="Q671" s="128"/>
    </row>
    <row r="672" spans="1:17" s="34" customFormat="1" x14ac:dyDescent="0.25">
      <c r="A672" s="94"/>
      <c r="B672" s="83"/>
      <c r="C672" s="83"/>
      <c r="D672" s="4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2"/>
      <c r="Q672" s="128"/>
    </row>
    <row r="673" spans="1:17" s="34" customFormat="1" x14ac:dyDescent="0.25">
      <c r="A673" s="94"/>
      <c r="B673" s="83"/>
      <c r="C673" s="83"/>
      <c r="D673" s="4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2"/>
      <c r="Q673" s="128"/>
    </row>
    <row r="674" spans="1:17" s="34" customFormat="1" x14ac:dyDescent="0.25">
      <c r="A674" s="94"/>
      <c r="B674" s="83"/>
      <c r="C674" s="83"/>
      <c r="D674" s="4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2"/>
      <c r="Q674" s="128"/>
    </row>
    <row r="675" spans="1:17" s="34" customFormat="1" x14ac:dyDescent="0.25">
      <c r="A675" s="94"/>
      <c r="B675" s="83"/>
      <c r="C675" s="83"/>
      <c r="D675" s="4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2"/>
      <c r="Q675" s="128"/>
    </row>
    <row r="676" spans="1:17" s="34" customFormat="1" x14ac:dyDescent="0.25">
      <c r="A676" s="94"/>
      <c r="B676" s="83"/>
      <c r="C676" s="83"/>
      <c r="D676" s="4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2"/>
      <c r="Q676" s="128"/>
    </row>
    <row r="677" spans="1:17" s="34" customFormat="1" x14ac:dyDescent="0.25">
      <c r="A677" s="94"/>
      <c r="B677" s="83"/>
      <c r="C677" s="83"/>
      <c r="D677" s="4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2"/>
      <c r="Q677" s="128"/>
    </row>
    <row r="678" spans="1:17" s="34" customFormat="1" x14ac:dyDescent="0.25">
      <c r="A678" s="94"/>
      <c r="B678" s="83"/>
      <c r="C678" s="83"/>
      <c r="D678" s="4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2"/>
      <c r="Q678" s="128"/>
    </row>
    <row r="679" spans="1:17" s="34" customFormat="1" x14ac:dyDescent="0.25">
      <c r="A679" s="94"/>
      <c r="B679" s="83"/>
      <c r="C679" s="83"/>
      <c r="D679" s="4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2"/>
      <c r="Q679" s="128"/>
    </row>
    <row r="680" spans="1:17" s="34" customFormat="1" x14ac:dyDescent="0.25">
      <c r="A680" s="94"/>
      <c r="B680" s="83"/>
      <c r="C680" s="83"/>
      <c r="D680" s="4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2"/>
      <c r="Q680" s="128"/>
    </row>
    <row r="681" spans="1:17" s="34" customFormat="1" x14ac:dyDescent="0.25">
      <c r="A681" s="94"/>
      <c r="B681" s="83"/>
      <c r="C681" s="83"/>
      <c r="D681" s="4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2"/>
      <c r="Q681" s="128"/>
    </row>
    <row r="682" spans="1:17" s="34" customFormat="1" x14ac:dyDescent="0.25">
      <c r="A682" s="94"/>
      <c r="B682" s="83"/>
      <c r="C682" s="83"/>
      <c r="D682" s="4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2"/>
      <c r="Q682" s="128"/>
    </row>
    <row r="683" spans="1:17" s="34" customFormat="1" x14ac:dyDescent="0.25">
      <c r="A683" s="94"/>
      <c r="B683" s="83"/>
      <c r="C683" s="83"/>
      <c r="D683" s="4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2"/>
      <c r="Q683" s="128"/>
    </row>
    <row r="684" spans="1:17" s="34" customFormat="1" x14ac:dyDescent="0.25">
      <c r="A684" s="94"/>
      <c r="B684" s="83"/>
      <c r="C684" s="83"/>
      <c r="D684" s="4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2"/>
      <c r="Q684" s="128"/>
    </row>
    <row r="685" spans="1:17" s="34" customFormat="1" x14ac:dyDescent="0.25">
      <c r="A685" s="94"/>
      <c r="B685" s="83"/>
      <c r="C685" s="83"/>
      <c r="D685" s="4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2"/>
      <c r="Q685" s="128"/>
    </row>
    <row r="686" spans="1:17" s="34" customFormat="1" x14ac:dyDescent="0.25">
      <c r="A686" s="94"/>
      <c r="B686" s="83"/>
      <c r="C686" s="83"/>
      <c r="D686" s="4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2"/>
      <c r="Q686" s="128"/>
    </row>
    <row r="687" spans="1:17" s="34" customFormat="1" x14ac:dyDescent="0.25">
      <c r="A687" s="94"/>
      <c r="B687" s="83"/>
      <c r="C687" s="83"/>
      <c r="D687" s="4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2"/>
      <c r="Q687" s="128"/>
    </row>
  </sheetData>
  <mergeCells count="23">
    <mergeCell ref="A191:H191"/>
    <mergeCell ref="L191:N191"/>
    <mergeCell ref="L12:L13"/>
    <mergeCell ref="M12:N12"/>
    <mergeCell ref="O12:O13"/>
    <mergeCell ref="D11:D13"/>
    <mergeCell ref="G12:H12"/>
    <mergeCell ref="J11:O11"/>
    <mergeCell ref="A11:A13"/>
    <mergeCell ref="C11:C13"/>
    <mergeCell ref="B11:B13"/>
    <mergeCell ref="E12:E13"/>
    <mergeCell ref="F12:F13"/>
    <mergeCell ref="I12:I13"/>
    <mergeCell ref="E11:I11"/>
    <mergeCell ref="L5:P5"/>
    <mergeCell ref="L3:P3"/>
    <mergeCell ref="P11:P13"/>
    <mergeCell ref="J12:J13"/>
    <mergeCell ref="K12:K13"/>
    <mergeCell ref="A7:P7"/>
    <mergeCell ref="A9:B9"/>
    <mergeCell ref="A8:B8"/>
  </mergeCells>
  <phoneticPr fontId="3" type="noConversion"/>
  <printOptions horizontalCentered="1"/>
  <pageMargins left="0.15748031496062992" right="7.874015748031496E-2" top="0.70866141732283472" bottom="0.35433070866141736" header="0.31496062992125984" footer="0.19685039370078741"/>
  <pageSetup paperSize="9" scale="43" fitToHeight="100" orientation="landscape" useFirstPageNumber="1" r:id="rId1"/>
  <headerFooter scaleWithDoc="0" alignWithMargins="0">
    <oddFooter>&amp;RСторінка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showGridLines="0" showZeros="0" tabSelected="1" zoomScale="70" zoomScaleNormal="70" zoomScaleSheetLayoutView="73" workbookViewId="0">
      <selection activeCell="A7" sqref="A7:B7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" style="4" customWidth="1"/>
    <col min="5" max="5" width="23.6640625" style="4" customWidth="1"/>
    <col min="6" max="6" width="22.1640625" style="4" customWidth="1"/>
    <col min="7" max="7" width="21.6640625" style="4" customWidth="1"/>
    <col min="8" max="8" width="20" style="4" customWidth="1"/>
    <col min="9" max="9" width="20.6640625" style="4" customWidth="1"/>
    <col min="10" max="10" width="22" style="4" customWidth="1"/>
    <col min="11" max="11" width="19.6640625" style="4" customWidth="1"/>
    <col min="12" max="12" width="18.83203125" style="4" customWidth="1"/>
    <col min="13" max="13" width="19" style="4" customWidth="1"/>
    <col min="14" max="14" width="21" style="4" customWidth="1"/>
    <col min="15" max="15" width="22.1640625" style="4" customWidth="1"/>
    <col min="16" max="16" width="7.33203125" style="128" customWidth="1"/>
    <col min="17" max="16384" width="9.1640625" style="4"/>
  </cols>
  <sheetData>
    <row r="1" spans="1:16" ht="26.25" x14ac:dyDescent="0.25">
      <c r="K1" s="133" t="s">
        <v>446</v>
      </c>
      <c r="L1" s="133"/>
      <c r="M1" s="133"/>
      <c r="N1" s="133"/>
      <c r="O1" s="133"/>
      <c r="P1" s="129"/>
    </row>
    <row r="2" spans="1:16" ht="26.25" x14ac:dyDescent="0.25">
      <c r="K2" s="133" t="s">
        <v>444</v>
      </c>
      <c r="L2" s="133"/>
      <c r="M2" s="133"/>
      <c r="N2" s="133"/>
      <c r="O2" s="110"/>
      <c r="P2" s="129"/>
    </row>
    <row r="3" spans="1:16" ht="26.25" customHeight="1" x14ac:dyDescent="0.25">
      <c r="K3" s="138" t="s">
        <v>441</v>
      </c>
      <c r="L3" s="138"/>
      <c r="M3" s="138"/>
      <c r="N3" s="138"/>
      <c r="O3" s="138"/>
      <c r="P3" s="129"/>
    </row>
    <row r="4" spans="1:16" ht="26.25" x14ac:dyDescent="0.25">
      <c r="K4" s="133" t="s">
        <v>443</v>
      </c>
      <c r="L4" s="133"/>
      <c r="M4" s="133"/>
      <c r="N4" s="133"/>
      <c r="O4" s="133"/>
      <c r="P4" s="129"/>
    </row>
    <row r="5" spans="1:16" ht="29.25" customHeight="1" x14ac:dyDescent="0.4">
      <c r="K5" s="137" t="s">
        <v>445</v>
      </c>
      <c r="L5" s="137"/>
      <c r="M5" s="137"/>
      <c r="N5" s="137"/>
      <c r="O5" s="137"/>
      <c r="P5" s="129"/>
    </row>
    <row r="6" spans="1:16" ht="65.25" customHeight="1" x14ac:dyDescent="0.25">
      <c r="A6" s="146" t="s">
        <v>447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29"/>
    </row>
    <row r="7" spans="1:16" ht="31.5" customHeight="1" x14ac:dyDescent="0.25">
      <c r="A7" s="142" t="s">
        <v>424</v>
      </c>
      <c r="B7" s="14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29"/>
    </row>
    <row r="8" spans="1:16" ht="12" customHeight="1" x14ac:dyDescent="0.25">
      <c r="A8" s="141" t="s">
        <v>425</v>
      </c>
      <c r="B8" s="141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9"/>
    </row>
    <row r="9" spans="1:16" s="17" customFormat="1" ht="24" customHeight="1" x14ac:dyDescent="0.3">
      <c r="A9" s="14"/>
      <c r="B9" s="15"/>
      <c r="C9" s="16"/>
      <c r="O9" s="66" t="s">
        <v>420</v>
      </c>
      <c r="P9" s="129"/>
    </row>
    <row r="10" spans="1:16" s="85" customFormat="1" ht="21.75" customHeight="1" x14ac:dyDescent="0.25">
      <c r="A10" s="148" t="s">
        <v>398</v>
      </c>
      <c r="B10" s="148" t="s">
        <v>384</v>
      </c>
      <c r="C10" s="148" t="s">
        <v>400</v>
      </c>
      <c r="D10" s="139" t="s">
        <v>265</v>
      </c>
      <c r="E10" s="139"/>
      <c r="F10" s="139"/>
      <c r="G10" s="139"/>
      <c r="H10" s="139"/>
      <c r="I10" s="139" t="s">
        <v>266</v>
      </c>
      <c r="J10" s="139"/>
      <c r="K10" s="139"/>
      <c r="L10" s="139"/>
      <c r="M10" s="139"/>
      <c r="N10" s="139"/>
      <c r="O10" s="139" t="s">
        <v>267</v>
      </c>
      <c r="P10" s="129"/>
    </row>
    <row r="11" spans="1:16" s="85" customFormat="1" ht="29.25" customHeight="1" x14ac:dyDescent="0.25">
      <c r="A11" s="148"/>
      <c r="B11" s="148"/>
      <c r="C11" s="148"/>
      <c r="D11" s="139" t="s">
        <v>385</v>
      </c>
      <c r="E11" s="139" t="s">
        <v>268</v>
      </c>
      <c r="F11" s="139"/>
      <c r="G11" s="139"/>
      <c r="H11" s="139" t="s">
        <v>270</v>
      </c>
      <c r="I11" s="139" t="s">
        <v>385</v>
      </c>
      <c r="J11" s="139" t="s">
        <v>386</v>
      </c>
      <c r="K11" s="139" t="s">
        <v>268</v>
      </c>
      <c r="L11" s="139" t="s">
        <v>269</v>
      </c>
      <c r="M11" s="139"/>
      <c r="N11" s="139" t="s">
        <v>270</v>
      </c>
      <c r="O11" s="139"/>
      <c r="P11" s="129"/>
    </row>
    <row r="12" spans="1:16" s="85" customFormat="1" ht="75.75" customHeight="1" x14ac:dyDescent="0.25">
      <c r="A12" s="148"/>
      <c r="B12" s="148"/>
      <c r="C12" s="148"/>
      <c r="D12" s="139"/>
      <c r="E12" s="139"/>
      <c r="F12" s="82" t="s">
        <v>271</v>
      </c>
      <c r="G12" s="82" t="s">
        <v>272</v>
      </c>
      <c r="H12" s="139"/>
      <c r="I12" s="139"/>
      <c r="J12" s="139"/>
      <c r="K12" s="139"/>
      <c r="L12" s="82" t="s">
        <v>271</v>
      </c>
      <c r="M12" s="82" t="s">
        <v>272</v>
      </c>
      <c r="N12" s="139"/>
      <c r="O12" s="139"/>
      <c r="P12" s="129"/>
    </row>
    <row r="13" spans="1:16" s="85" customFormat="1" ht="27.75" customHeight="1" x14ac:dyDescent="0.25">
      <c r="A13" s="7" t="s">
        <v>57</v>
      </c>
      <c r="B13" s="8"/>
      <c r="C13" s="9" t="s">
        <v>58</v>
      </c>
      <c r="D13" s="63">
        <f t="shared" ref="D13:O13" si="0">D14+D15</f>
        <v>237664200</v>
      </c>
      <c r="E13" s="63">
        <f t="shared" si="0"/>
        <v>237664200</v>
      </c>
      <c r="F13" s="63">
        <f t="shared" si="0"/>
        <v>179821400</v>
      </c>
      <c r="G13" s="63">
        <f t="shared" si="0"/>
        <v>4717900</v>
      </c>
      <c r="H13" s="63">
        <f t="shared" si="0"/>
        <v>0</v>
      </c>
      <c r="I13" s="63">
        <f t="shared" si="0"/>
        <v>4615200</v>
      </c>
      <c r="J13" s="63">
        <f t="shared" si="0"/>
        <v>1415200</v>
      </c>
      <c r="K13" s="63">
        <f t="shared" si="0"/>
        <v>3200000</v>
      </c>
      <c r="L13" s="63">
        <f t="shared" si="0"/>
        <v>2348000</v>
      </c>
      <c r="M13" s="63">
        <f t="shared" si="0"/>
        <v>90600</v>
      </c>
      <c r="N13" s="63">
        <f t="shared" si="0"/>
        <v>1415200</v>
      </c>
      <c r="O13" s="63">
        <f t="shared" si="0"/>
        <v>242279400</v>
      </c>
      <c r="P13" s="129"/>
    </row>
    <row r="14" spans="1:16" ht="57.75" customHeight="1" x14ac:dyDescent="0.25">
      <c r="A14" s="46" t="s">
        <v>140</v>
      </c>
      <c r="B14" s="46" t="s">
        <v>60</v>
      </c>
      <c r="C14" s="6" t="s">
        <v>141</v>
      </c>
      <c r="D14" s="64">
        <f>'дод 3 '!E16+'дод 3 '!E49+'дод 3 '!E72+'дод 3 '!E88+'дод 3 '!E110+'дод 3 '!E115+'дод 3 '!E125+'дод 3 '!E145+'дод 3 '!E148+'дод 3 '!E159+'дод 3 '!E164+'дод 3 '!E167+'дод 3 '!E175</f>
        <v>237354200</v>
      </c>
      <c r="E14" s="64">
        <f>'дод 3 '!F16+'дод 3 '!F49+'дод 3 '!F72+'дод 3 '!F88+'дод 3 '!F110+'дод 3 '!F115+'дод 3 '!F125+'дод 3 '!F145+'дод 3 '!F148+'дод 3 '!F159+'дод 3 '!F164+'дод 3 '!F167+'дод 3 '!F175</f>
        <v>237354200</v>
      </c>
      <c r="F14" s="64">
        <f>'дод 3 '!G16+'дод 3 '!G49+'дод 3 '!G72+'дод 3 '!G88+'дод 3 '!G110+'дод 3 '!G115+'дод 3 '!G125+'дод 3 '!G145+'дод 3 '!G148+'дод 3 '!G159+'дод 3 '!G164+'дод 3 '!G167+'дод 3 '!G175</f>
        <v>179821400</v>
      </c>
      <c r="G14" s="64">
        <f>'дод 3 '!H16+'дод 3 '!H49+'дод 3 '!H72+'дод 3 '!H88+'дод 3 '!H110+'дод 3 '!H115+'дод 3 '!H125+'дод 3 '!H145+'дод 3 '!H148+'дод 3 '!H159+'дод 3 '!H164+'дод 3 '!H167+'дод 3 '!H175</f>
        <v>4717900</v>
      </c>
      <c r="H14" s="64">
        <f>'дод 3 '!I16+'дод 3 '!I49+'дод 3 '!I72+'дод 3 '!I88+'дод 3 '!I110+'дод 3 '!I115+'дод 3 '!I125+'дод 3 '!I145+'дод 3 '!I148+'дод 3 '!I159+'дод 3 '!I164+'дод 3 '!I167+'дод 3 '!I175</f>
        <v>0</v>
      </c>
      <c r="I14" s="64">
        <f>'дод 3 '!J16+'дод 3 '!J49+'дод 3 '!J72+'дод 3 '!J88+'дод 3 '!J110+'дод 3 '!J115+'дод 3 '!J125+'дод 3 '!J145+'дод 3 '!J148+'дод 3 '!J159+'дод 3 '!J164+'дод 3 '!J167+'дод 3 '!J175</f>
        <v>4615200</v>
      </c>
      <c r="J14" s="64">
        <f>'дод 3 '!K16+'дод 3 '!K49+'дод 3 '!K72+'дод 3 '!K88+'дод 3 '!K110+'дод 3 '!K115+'дод 3 '!K125+'дод 3 '!K145+'дод 3 '!K148+'дод 3 '!K159+'дод 3 '!K164+'дод 3 '!K167+'дод 3 '!K175</f>
        <v>1415200</v>
      </c>
      <c r="K14" s="64">
        <f>'дод 3 '!L16+'дод 3 '!L49+'дод 3 '!L72+'дод 3 '!L88+'дод 3 '!L110+'дод 3 '!L115+'дод 3 '!L125+'дод 3 '!L145+'дод 3 '!L148+'дод 3 '!L159+'дод 3 '!L164+'дод 3 '!L167+'дод 3 '!L175</f>
        <v>3200000</v>
      </c>
      <c r="L14" s="64">
        <f>'дод 3 '!M16+'дод 3 '!M49+'дод 3 '!M72+'дод 3 '!M88+'дод 3 '!M110+'дод 3 '!M115+'дод 3 '!M125+'дод 3 '!M145+'дод 3 '!M148+'дод 3 '!M159+'дод 3 '!M164+'дод 3 '!M167+'дод 3 '!M175</f>
        <v>2348000</v>
      </c>
      <c r="M14" s="64">
        <f>'дод 3 '!N16+'дод 3 '!N49+'дод 3 '!N72+'дод 3 '!N88+'дод 3 '!N110+'дод 3 '!N115+'дод 3 '!N125+'дод 3 '!N145+'дод 3 '!N148+'дод 3 '!N159+'дод 3 '!N164+'дод 3 '!N167+'дод 3 '!N175</f>
        <v>90600</v>
      </c>
      <c r="N14" s="64">
        <f>'дод 3 '!O16+'дод 3 '!O49+'дод 3 '!O72+'дод 3 '!O88+'дод 3 '!O110+'дод 3 '!O115+'дод 3 '!O125+'дод 3 '!O145+'дод 3 '!O148+'дод 3 '!O159+'дод 3 '!O164+'дод 3 '!O167+'дод 3 '!O175</f>
        <v>1415200</v>
      </c>
      <c r="O14" s="64">
        <f>'дод 3 '!P16+'дод 3 '!P49+'дод 3 '!P72+'дод 3 '!P88+'дод 3 '!P110+'дод 3 '!P115+'дод 3 '!P125+'дод 3 '!P145+'дод 3 '!P148+'дод 3 '!P159+'дод 3 '!P164+'дод 3 '!P167+'дод 3 '!P175</f>
        <v>241969400</v>
      </c>
      <c r="P14" s="129"/>
    </row>
    <row r="15" spans="1:16" ht="27" customHeight="1" x14ac:dyDescent="0.25">
      <c r="A15" s="46" t="s">
        <v>59</v>
      </c>
      <c r="B15" s="46" t="s">
        <v>113</v>
      </c>
      <c r="C15" s="6" t="s">
        <v>284</v>
      </c>
      <c r="D15" s="64">
        <f>'дод 3 '!E17</f>
        <v>310000</v>
      </c>
      <c r="E15" s="64">
        <f>'дод 3 '!F17</f>
        <v>310000</v>
      </c>
      <c r="F15" s="64">
        <f>'дод 3 '!G17</f>
        <v>0</v>
      </c>
      <c r="G15" s="64">
        <f>'дод 3 '!H17</f>
        <v>0</v>
      </c>
      <c r="H15" s="64">
        <f>'дод 3 '!I17</f>
        <v>0</v>
      </c>
      <c r="I15" s="64">
        <f>'дод 3 '!J17</f>
        <v>0</v>
      </c>
      <c r="J15" s="64">
        <f>'дод 3 '!K17</f>
        <v>0</v>
      </c>
      <c r="K15" s="64">
        <f>'дод 3 '!L17</f>
        <v>0</v>
      </c>
      <c r="L15" s="64">
        <f>'дод 3 '!M17</f>
        <v>0</v>
      </c>
      <c r="M15" s="64">
        <f>'дод 3 '!N17</f>
        <v>0</v>
      </c>
      <c r="N15" s="64">
        <f>'дод 3 '!O17</f>
        <v>0</v>
      </c>
      <c r="O15" s="64">
        <f>'дод 3 '!P17</f>
        <v>310000</v>
      </c>
      <c r="P15" s="129"/>
    </row>
    <row r="16" spans="1:16" s="85" customFormat="1" ht="24" customHeight="1" x14ac:dyDescent="0.25">
      <c r="A16" s="47" t="s">
        <v>61</v>
      </c>
      <c r="B16" s="48"/>
      <c r="C16" s="9" t="s">
        <v>62</v>
      </c>
      <c r="D16" s="63">
        <f>D18+D20+D22+D24+D25+D26+D28+D29+D30+D31</f>
        <v>987185564</v>
      </c>
      <c r="E16" s="63">
        <f t="shared" ref="E16:O16" si="1">E18+E20+E22+E24+E25+E26+E28+E29+E30+E31</f>
        <v>987185564</v>
      </c>
      <c r="F16" s="63">
        <f t="shared" si="1"/>
        <v>671152380</v>
      </c>
      <c r="G16" s="63">
        <f t="shared" si="1"/>
        <v>84066007</v>
      </c>
      <c r="H16" s="63">
        <f t="shared" si="1"/>
        <v>0</v>
      </c>
      <c r="I16" s="63">
        <f t="shared" si="1"/>
        <v>79523453</v>
      </c>
      <c r="J16" s="63">
        <f t="shared" si="1"/>
        <v>23427305</v>
      </c>
      <c r="K16" s="63">
        <f t="shared" si="1"/>
        <v>55986428</v>
      </c>
      <c r="L16" s="63">
        <f t="shared" si="1"/>
        <v>6476192</v>
      </c>
      <c r="M16" s="63">
        <f t="shared" si="1"/>
        <v>3124191</v>
      </c>
      <c r="N16" s="63">
        <f t="shared" si="1"/>
        <v>23537025</v>
      </c>
      <c r="O16" s="63">
        <f t="shared" si="1"/>
        <v>1066709017</v>
      </c>
      <c r="P16" s="129"/>
    </row>
    <row r="17" spans="1:16" s="86" customFormat="1" ht="24" customHeight="1" x14ac:dyDescent="0.25">
      <c r="A17" s="47"/>
      <c r="B17" s="48"/>
      <c r="C17" s="2" t="s">
        <v>308</v>
      </c>
      <c r="D17" s="63">
        <f>+D21+D23+D27+D19+D32</f>
        <v>360751654</v>
      </c>
      <c r="E17" s="63">
        <f t="shared" ref="E17:O17" si="2">+E21+E23+E27+E19+E32</f>
        <v>360751654</v>
      </c>
      <c r="F17" s="63">
        <f t="shared" si="2"/>
        <v>294458780</v>
      </c>
      <c r="G17" s="63">
        <f t="shared" si="2"/>
        <v>0</v>
      </c>
      <c r="H17" s="63">
        <f t="shared" si="2"/>
        <v>0</v>
      </c>
      <c r="I17" s="63">
        <f t="shared" si="2"/>
        <v>828008</v>
      </c>
      <c r="J17" s="63">
        <f t="shared" si="2"/>
        <v>828008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3">
        <f t="shared" si="2"/>
        <v>828008</v>
      </c>
      <c r="O17" s="63">
        <f t="shared" si="2"/>
        <v>361579662</v>
      </c>
      <c r="P17" s="129"/>
    </row>
    <row r="18" spans="1:16" ht="27" customHeight="1" x14ac:dyDescent="0.25">
      <c r="A18" s="46" t="s">
        <v>63</v>
      </c>
      <c r="B18" s="46" t="s">
        <v>64</v>
      </c>
      <c r="C18" s="6" t="s">
        <v>171</v>
      </c>
      <c r="D18" s="64">
        <f>'дод 3 '!E50</f>
        <v>244515426</v>
      </c>
      <c r="E18" s="64">
        <f>'дод 3 '!F50</f>
        <v>244515426</v>
      </c>
      <c r="F18" s="64">
        <f>'дод 3 '!G50</f>
        <v>159494540</v>
      </c>
      <c r="G18" s="64">
        <f>'дод 3 '!H50</f>
        <v>26923940</v>
      </c>
      <c r="H18" s="64">
        <f>'дод 3 '!I50</f>
        <v>0</v>
      </c>
      <c r="I18" s="64">
        <f>'дод 3 '!J50</f>
        <v>21113792</v>
      </c>
      <c r="J18" s="64">
        <f>'дод 3 '!K50</f>
        <v>4788136</v>
      </c>
      <c r="K18" s="64">
        <f>'дод 3 '!L50</f>
        <v>16325656</v>
      </c>
      <c r="L18" s="64">
        <f>'дод 3 '!M50</f>
        <v>0</v>
      </c>
      <c r="M18" s="64">
        <f>'дод 3 '!N50</f>
        <v>0</v>
      </c>
      <c r="N18" s="64">
        <f>'дод 3 '!O50</f>
        <v>4788136</v>
      </c>
      <c r="O18" s="64">
        <f>'дод 3 '!P50</f>
        <v>265629218</v>
      </c>
      <c r="P18" s="129"/>
    </row>
    <row r="19" spans="1:16" ht="27" customHeight="1" x14ac:dyDescent="0.25">
      <c r="A19" s="46"/>
      <c r="B19" s="46"/>
      <c r="C19" s="3" t="s">
        <v>308</v>
      </c>
      <c r="D19" s="64">
        <f>'дод 3 '!E51</f>
        <v>176336</v>
      </c>
      <c r="E19" s="64">
        <f>'дод 3 '!F51</f>
        <v>176336</v>
      </c>
      <c r="F19" s="64">
        <f>'дод 3 '!G51</f>
        <v>144540</v>
      </c>
      <c r="G19" s="64">
        <f>'дод 3 '!H51</f>
        <v>0</v>
      </c>
      <c r="H19" s="64">
        <f>'дод 3 '!I51</f>
        <v>0</v>
      </c>
      <c r="I19" s="64">
        <f>'дод 3 '!J51</f>
        <v>88136</v>
      </c>
      <c r="J19" s="64">
        <f>'дод 3 '!K51</f>
        <v>88136</v>
      </c>
      <c r="K19" s="64">
        <f>'дод 3 '!L51</f>
        <v>0</v>
      </c>
      <c r="L19" s="64">
        <f>'дод 3 '!M51</f>
        <v>0</v>
      </c>
      <c r="M19" s="64">
        <f>'дод 3 '!N51</f>
        <v>0</v>
      </c>
      <c r="N19" s="64">
        <f>'дод 3 '!O51</f>
        <v>88136</v>
      </c>
      <c r="O19" s="64">
        <f>'дод 3 '!P51</f>
        <v>264472</v>
      </c>
      <c r="P19" s="129"/>
    </row>
    <row r="20" spans="1:16" ht="55.5" customHeight="1" x14ac:dyDescent="0.25">
      <c r="A20" s="46" t="s">
        <v>65</v>
      </c>
      <c r="B20" s="46" t="s">
        <v>66</v>
      </c>
      <c r="C20" s="6" t="s">
        <v>432</v>
      </c>
      <c r="D20" s="64">
        <f>'дод 3 '!E52</f>
        <v>536778678</v>
      </c>
      <c r="E20" s="64">
        <f>'дод 3 '!F52</f>
        <v>536778678</v>
      </c>
      <c r="F20" s="64">
        <f>'дод 3 '!G52</f>
        <v>374590970</v>
      </c>
      <c r="G20" s="64">
        <f>'дод 3 '!H52</f>
        <v>40458440</v>
      </c>
      <c r="H20" s="64">
        <f>'дод 3 '!I52</f>
        <v>0</v>
      </c>
      <c r="I20" s="64">
        <f>'дод 3 '!J52</f>
        <v>46500916</v>
      </c>
      <c r="J20" s="64">
        <f>'дод 3 '!K52</f>
        <v>17589169</v>
      </c>
      <c r="K20" s="64">
        <f>'дод 3 '!L52</f>
        <v>28911747</v>
      </c>
      <c r="L20" s="64">
        <f>'дод 3 '!M52</f>
        <v>1713303</v>
      </c>
      <c r="M20" s="64">
        <f>'дод 3 '!N52</f>
        <v>147329</v>
      </c>
      <c r="N20" s="64">
        <f>'дод 3 '!O52</f>
        <v>17589169</v>
      </c>
      <c r="O20" s="64">
        <f>'дод 3 '!P52</f>
        <v>583279594</v>
      </c>
      <c r="P20" s="129"/>
    </row>
    <row r="21" spans="1:16" ht="28.5" customHeight="1" x14ac:dyDescent="0.25">
      <c r="A21" s="46"/>
      <c r="B21" s="46"/>
      <c r="C21" s="3" t="s">
        <v>308</v>
      </c>
      <c r="D21" s="64">
        <f>'дод 3 '!E53</f>
        <v>335299648</v>
      </c>
      <c r="E21" s="64">
        <f>'дод 3 '!F53</f>
        <v>335299648</v>
      </c>
      <c r="F21" s="64">
        <f>'дод 3 '!G53</f>
        <v>273588170</v>
      </c>
      <c r="G21" s="64">
        <f>'дод 3 '!H53</f>
        <v>0</v>
      </c>
      <c r="H21" s="64">
        <f>'дод 3 '!I53</f>
        <v>0</v>
      </c>
      <c r="I21" s="64">
        <f>'дод 3 '!J53</f>
        <v>739872</v>
      </c>
      <c r="J21" s="64">
        <f>'дод 3 '!K53</f>
        <v>739872</v>
      </c>
      <c r="K21" s="64">
        <f>'дод 3 '!L53</f>
        <v>0</v>
      </c>
      <c r="L21" s="64">
        <f>'дод 3 '!M53</f>
        <v>0</v>
      </c>
      <c r="M21" s="64">
        <f>'дод 3 '!N53</f>
        <v>0</v>
      </c>
      <c r="N21" s="64">
        <f>'дод 3 '!O53</f>
        <v>739872</v>
      </c>
      <c r="O21" s="64">
        <f>'дод 3 '!P53</f>
        <v>336039520</v>
      </c>
      <c r="P21" s="129"/>
    </row>
    <row r="22" spans="1:16" ht="75" customHeight="1" x14ac:dyDescent="0.25">
      <c r="A22" s="46">
        <v>1030</v>
      </c>
      <c r="B22" s="46" t="s">
        <v>70</v>
      </c>
      <c r="C22" s="6" t="s">
        <v>433</v>
      </c>
      <c r="D22" s="64">
        <f>'дод 3 '!E54</f>
        <v>9202880</v>
      </c>
      <c r="E22" s="64">
        <f>'дод 3 '!F54</f>
        <v>9202880</v>
      </c>
      <c r="F22" s="64">
        <f>'дод 3 '!G54</f>
        <v>6532300</v>
      </c>
      <c r="G22" s="64">
        <f>'дод 3 '!H54</f>
        <v>709270</v>
      </c>
      <c r="H22" s="64">
        <f>'дод 3 '!I54</f>
        <v>0</v>
      </c>
      <c r="I22" s="64">
        <f>'дод 3 '!J54</f>
        <v>150000</v>
      </c>
      <c r="J22" s="64">
        <f>'дод 3 '!K54</f>
        <v>150000</v>
      </c>
      <c r="K22" s="64">
        <f>'дод 3 '!L54</f>
        <v>0</v>
      </c>
      <c r="L22" s="64">
        <f>'дод 3 '!M54</f>
        <v>0</v>
      </c>
      <c r="M22" s="64">
        <f>'дод 3 '!N54</f>
        <v>0</v>
      </c>
      <c r="N22" s="64">
        <f>'дод 3 '!O54</f>
        <v>150000</v>
      </c>
      <c r="O22" s="64">
        <f>'дод 3 '!P54</f>
        <v>9352880</v>
      </c>
      <c r="P22" s="129"/>
    </row>
    <row r="23" spans="1:16" ht="21.75" customHeight="1" x14ac:dyDescent="0.25">
      <c r="A23" s="46"/>
      <c r="B23" s="46"/>
      <c r="C23" s="3" t="s">
        <v>308</v>
      </c>
      <c r="D23" s="64">
        <f>'дод 3 '!E55</f>
        <v>6214300</v>
      </c>
      <c r="E23" s="64">
        <f>'дод 3 '!F55</f>
        <v>6214300</v>
      </c>
      <c r="F23" s="64">
        <f>'дод 3 '!G55</f>
        <v>5102000</v>
      </c>
      <c r="G23" s="64">
        <f>'дод 3 '!H55</f>
        <v>0</v>
      </c>
      <c r="H23" s="64">
        <f>'дод 3 '!I55</f>
        <v>0</v>
      </c>
      <c r="I23" s="64">
        <f>'дод 3 '!J55</f>
        <v>0</v>
      </c>
      <c r="J23" s="64">
        <f>'дод 3 '!K55</f>
        <v>0</v>
      </c>
      <c r="K23" s="64">
        <f>'дод 3 '!L55</f>
        <v>0</v>
      </c>
      <c r="L23" s="64">
        <f>'дод 3 '!M55</f>
        <v>0</v>
      </c>
      <c r="M23" s="64">
        <f>'дод 3 '!N55</f>
        <v>0</v>
      </c>
      <c r="N23" s="64">
        <f>'дод 3 '!O55</f>
        <v>0</v>
      </c>
      <c r="O23" s="64">
        <f>'дод 3 '!P55</f>
        <v>6214300</v>
      </c>
      <c r="P23" s="129"/>
    </row>
    <row r="24" spans="1:16" ht="40.5" customHeight="1" x14ac:dyDescent="0.25">
      <c r="A24" s="46" t="s">
        <v>71</v>
      </c>
      <c r="B24" s="46" t="s">
        <v>72</v>
      </c>
      <c r="C24" s="6" t="s">
        <v>435</v>
      </c>
      <c r="D24" s="64">
        <f>'дод 3 '!E56</f>
        <v>27792840</v>
      </c>
      <c r="E24" s="64">
        <f>'дод 3 '!F56</f>
        <v>27792840</v>
      </c>
      <c r="F24" s="64">
        <f>'дод 3 '!G56</f>
        <v>19715700</v>
      </c>
      <c r="G24" s="64">
        <f>'дод 3 '!H56</f>
        <v>3358190</v>
      </c>
      <c r="H24" s="64">
        <f>'дод 3 '!I56</f>
        <v>0</v>
      </c>
      <c r="I24" s="64">
        <f>'дод 3 '!J56</f>
        <v>300000</v>
      </c>
      <c r="J24" s="64">
        <f>'дод 3 '!K56</f>
        <v>300000</v>
      </c>
      <c r="K24" s="64">
        <f>'дод 3 '!L56</f>
        <v>0</v>
      </c>
      <c r="L24" s="64">
        <f>'дод 3 '!M56</f>
        <v>0</v>
      </c>
      <c r="M24" s="64">
        <f>'дод 3 '!N56</f>
        <v>0</v>
      </c>
      <c r="N24" s="64">
        <f>'дод 3 '!O56</f>
        <v>300000</v>
      </c>
      <c r="O24" s="64">
        <f>'дод 3 '!P56</f>
        <v>28092840</v>
      </c>
      <c r="P24" s="129"/>
    </row>
    <row r="25" spans="1:16" ht="30.75" customHeight="1" x14ac:dyDescent="0.25">
      <c r="A25" s="46" t="s">
        <v>73</v>
      </c>
      <c r="B25" s="46" t="s">
        <v>72</v>
      </c>
      <c r="C25" s="6" t="s">
        <v>436</v>
      </c>
      <c r="D25" s="64">
        <f>'дод 3 '!E116</f>
        <v>38963600</v>
      </c>
      <c r="E25" s="64">
        <f>'дод 3 '!F116</f>
        <v>38963600</v>
      </c>
      <c r="F25" s="64">
        <f>'дод 3 '!G116</f>
        <v>30830000</v>
      </c>
      <c r="G25" s="64">
        <f>'дод 3 '!H116</f>
        <v>793600</v>
      </c>
      <c r="H25" s="64">
        <f>'дод 3 '!I116</f>
        <v>0</v>
      </c>
      <c r="I25" s="64">
        <f>'дод 3 '!J116</f>
        <v>3279640</v>
      </c>
      <c r="J25" s="64">
        <f>'дод 3 '!K116</f>
        <v>500000</v>
      </c>
      <c r="K25" s="64">
        <f>'дод 3 '!L116</f>
        <v>2774920</v>
      </c>
      <c r="L25" s="64">
        <f>'дод 3 '!M116</f>
        <v>2267316</v>
      </c>
      <c r="M25" s="64">
        <f>'дод 3 '!N116</f>
        <v>0</v>
      </c>
      <c r="N25" s="64">
        <f>'дод 3 '!O116</f>
        <v>504720</v>
      </c>
      <c r="O25" s="64">
        <f>'дод 3 '!P116</f>
        <v>42243240</v>
      </c>
      <c r="P25" s="129"/>
    </row>
    <row r="26" spans="1:16" ht="39.75" customHeight="1" x14ac:dyDescent="0.25">
      <c r="A26" s="46" t="s">
        <v>261</v>
      </c>
      <c r="B26" s="46" t="s">
        <v>74</v>
      </c>
      <c r="C26" s="6" t="s">
        <v>437</v>
      </c>
      <c r="D26" s="64">
        <f>'дод 3 '!E57</f>
        <v>115969900</v>
      </c>
      <c r="E26" s="64">
        <f>'дод 3 '!F57</f>
        <v>115969900</v>
      </c>
      <c r="F26" s="64">
        <f>'дод 3 '!G57</f>
        <v>69744500</v>
      </c>
      <c r="G26" s="64">
        <f>'дод 3 '!H57</f>
        <v>11007217</v>
      </c>
      <c r="H26" s="64">
        <f>'дод 3 '!I57</f>
        <v>0</v>
      </c>
      <c r="I26" s="64">
        <f>'дод 3 '!J57</f>
        <v>8079105</v>
      </c>
      <c r="J26" s="64">
        <f>'дод 3 '!K57</f>
        <v>0</v>
      </c>
      <c r="K26" s="64">
        <f>'дод 3 '!L57</f>
        <v>7974105</v>
      </c>
      <c r="L26" s="64">
        <f>'дод 3 '!M57</f>
        <v>2495573</v>
      </c>
      <c r="M26" s="64">
        <f>'дод 3 '!N57</f>
        <v>2976862</v>
      </c>
      <c r="N26" s="64">
        <f>'дод 3 '!O57</f>
        <v>105000</v>
      </c>
      <c r="O26" s="64">
        <f>'дод 3 '!P57</f>
        <v>124049005</v>
      </c>
      <c r="P26" s="129"/>
    </row>
    <row r="27" spans="1:16" ht="21" customHeight="1" x14ac:dyDescent="0.25">
      <c r="A27" s="46"/>
      <c r="B27" s="46"/>
      <c r="C27" s="3" t="s">
        <v>308</v>
      </c>
      <c r="D27" s="64">
        <f>'дод 3 '!E58</f>
        <v>17825000</v>
      </c>
      <c r="E27" s="64">
        <f>'дод 3 '!F58</f>
        <v>17825000</v>
      </c>
      <c r="F27" s="64">
        <f>'дод 3 '!G58</f>
        <v>14610650</v>
      </c>
      <c r="G27" s="64">
        <f>'дод 3 '!H58</f>
        <v>0</v>
      </c>
      <c r="H27" s="64">
        <f>'дод 3 '!I58</f>
        <v>0</v>
      </c>
      <c r="I27" s="64">
        <f>'дод 3 '!J58</f>
        <v>0</v>
      </c>
      <c r="J27" s="64">
        <f>'дод 3 '!K58</f>
        <v>0</v>
      </c>
      <c r="K27" s="64">
        <f>'дод 3 '!L58</f>
        <v>0</v>
      </c>
      <c r="L27" s="64">
        <f>'дод 3 '!M58</f>
        <v>0</v>
      </c>
      <c r="M27" s="64">
        <f>'дод 3 '!N58</f>
        <v>0</v>
      </c>
      <c r="N27" s="64">
        <f>'дод 3 '!O58</f>
        <v>0</v>
      </c>
      <c r="O27" s="64">
        <f>'дод 3 '!P58</f>
        <v>17825000</v>
      </c>
      <c r="P27" s="129"/>
    </row>
    <row r="28" spans="1:16" ht="33" customHeight="1" x14ac:dyDescent="0.25">
      <c r="A28" s="46" t="s">
        <v>142</v>
      </c>
      <c r="B28" s="46" t="s">
        <v>75</v>
      </c>
      <c r="C28" s="6" t="s">
        <v>438</v>
      </c>
      <c r="D28" s="64">
        <f>'дод 3 '!E59</f>
        <v>2893730</v>
      </c>
      <c r="E28" s="64">
        <f>'дод 3 '!F59</f>
        <v>2893730</v>
      </c>
      <c r="F28" s="64">
        <f>'дод 3 '!G59</f>
        <v>2237500</v>
      </c>
      <c r="G28" s="64">
        <f>'дод 3 '!H59</f>
        <v>120380</v>
      </c>
      <c r="H28" s="64">
        <f>'дод 3 '!I59</f>
        <v>0</v>
      </c>
      <c r="I28" s="64">
        <f>'дод 3 '!J59</f>
        <v>0</v>
      </c>
      <c r="J28" s="64">
        <f>'дод 3 '!K59</f>
        <v>0</v>
      </c>
      <c r="K28" s="64">
        <f>'дод 3 '!L59</f>
        <v>0</v>
      </c>
      <c r="L28" s="64">
        <f>'дод 3 '!M59</f>
        <v>0</v>
      </c>
      <c r="M28" s="64">
        <f>'дод 3 '!N59</f>
        <v>0</v>
      </c>
      <c r="N28" s="64">
        <f>'дод 3 '!O59</f>
        <v>0</v>
      </c>
      <c r="O28" s="64">
        <f>'дод 3 '!P59</f>
        <v>2893730</v>
      </c>
      <c r="P28" s="129"/>
    </row>
    <row r="29" spans="1:16" ht="36" customHeight="1" x14ac:dyDescent="0.25">
      <c r="A29" s="46" t="s">
        <v>327</v>
      </c>
      <c r="B29" s="46" t="s">
        <v>75</v>
      </c>
      <c r="C29" s="6" t="s">
        <v>329</v>
      </c>
      <c r="D29" s="64">
        <f>'дод 3 '!E60</f>
        <v>9333170</v>
      </c>
      <c r="E29" s="64">
        <f>'дод 3 '!F60</f>
        <v>9333170</v>
      </c>
      <c r="F29" s="64">
        <f>'дод 3 '!G60</f>
        <v>6782550</v>
      </c>
      <c r="G29" s="64">
        <f>'дод 3 '!H60</f>
        <v>613500</v>
      </c>
      <c r="H29" s="64">
        <f>'дод 3 '!I60</f>
        <v>0</v>
      </c>
      <c r="I29" s="64">
        <f>'дод 3 '!J60</f>
        <v>100000</v>
      </c>
      <c r="J29" s="64">
        <f>'дод 3 '!K60</f>
        <v>100000</v>
      </c>
      <c r="K29" s="64">
        <f>'дод 3 '!L60</f>
        <v>0</v>
      </c>
      <c r="L29" s="64">
        <f>'дод 3 '!M60</f>
        <v>0</v>
      </c>
      <c r="M29" s="64">
        <f>'дод 3 '!N60</f>
        <v>0</v>
      </c>
      <c r="N29" s="64">
        <f>'дод 3 '!O60</f>
        <v>100000</v>
      </c>
      <c r="O29" s="64">
        <f>'дод 3 '!P60</f>
        <v>9433170</v>
      </c>
      <c r="P29" s="129"/>
    </row>
    <row r="30" spans="1:16" ht="25.5" customHeight="1" x14ac:dyDescent="0.25">
      <c r="A30" s="46" t="s">
        <v>328</v>
      </c>
      <c r="B30" s="46" t="s">
        <v>75</v>
      </c>
      <c r="C30" s="6" t="s">
        <v>330</v>
      </c>
      <c r="D30" s="64">
        <f>'дод 3 '!E61</f>
        <v>107400</v>
      </c>
      <c r="E30" s="64">
        <f>'дод 3 '!F61</f>
        <v>107400</v>
      </c>
      <c r="F30" s="64">
        <f>'дод 3 '!G61</f>
        <v>0</v>
      </c>
      <c r="G30" s="64">
        <f>'дод 3 '!H61</f>
        <v>0</v>
      </c>
      <c r="H30" s="64">
        <f>'дод 3 '!I61</f>
        <v>0</v>
      </c>
      <c r="I30" s="64">
        <f>'дод 3 '!J61</f>
        <v>0</v>
      </c>
      <c r="J30" s="64">
        <f>'дод 3 '!K61</f>
        <v>0</v>
      </c>
      <c r="K30" s="64">
        <f>'дод 3 '!L61</f>
        <v>0</v>
      </c>
      <c r="L30" s="64">
        <f>'дод 3 '!M61</f>
        <v>0</v>
      </c>
      <c r="M30" s="64">
        <f>'дод 3 '!N61</f>
        <v>0</v>
      </c>
      <c r="N30" s="64">
        <f>'дод 3 '!O61</f>
        <v>0</v>
      </c>
      <c r="O30" s="64">
        <f>'дод 3 '!P61</f>
        <v>107400</v>
      </c>
      <c r="P30" s="129"/>
    </row>
    <row r="31" spans="1:16" ht="25.5" customHeight="1" x14ac:dyDescent="0.25">
      <c r="A31" s="46" t="s">
        <v>391</v>
      </c>
      <c r="B31" s="46" t="s">
        <v>75</v>
      </c>
      <c r="C31" s="42" t="s">
        <v>390</v>
      </c>
      <c r="D31" s="64">
        <f>SUM('дод 3 '!E62)</f>
        <v>1627940</v>
      </c>
      <c r="E31" s="64">
        <f>SUM('дод 3 '!F62)</f>
        <v>1627940</v>
      </c>
      <c r="F31" s="64">
        <f>SUM('дод 3 '!G62)</f>
        <v>1224320</v>
      </c>
      <c r="G31" s="64">
        <f>SUM('дод 3 '!H62)</f>
        <v>81470</v>
      </c>
      <c r="H31" s="64">
        <f>SUM('дод 3 '!I62)</f>
        <v>0</v>
      </c>
      <c r="I31" s="64">
        <f>SUM('дод 3 '!J62)</f>
        <v>0</v>
      </c>
      <c r="J31" s="64">
        <f>SUM('дод 3 '!K62)</f>
        <v>0</v>
      </c>
      <c r="K31" s="64">
        <f>SUM('дод 3 '!L62)</f>
        <v>0</v>
      </c>
      <c r="L31" s="64">
        <f>SUM('дод 3 '!M62)</f>
        <v>0</v>
      </c>
      <c r="M31" s="64">
        <f>SUM('дод 3 '!N62)</f>
        <v>0</v>
      </c>
      <c r="N31" s="64">
        <f>SUM('дод 3 '!O62)</f>
        <v>0</v>
      </c>
      <c r="O31" s="64">
        <f>SUM('дод 3 '!P62)</f>
        <v>1627940</v>
      </c>
      <c r="P31" s="129"/>
    </row>
    <row r="32" spans="1:16" ht="25.5" customHeight="1" x14ac:dyDescent="0.25">
      <c r="A32" s="46"/>
      <c r="B32" s="46"/>
      <c r="C32" s="3" t="s">
        <v>308</v>
      </c>
      <c r="D32" s="64">
        <f>'дод 3 '!E63</f>
        <v>1236370</v>
      </c>
      <c r="E32" s="64">
        <f>'дод 3 '!F63</f>
        <v>1236370</v>
      </c>
      <c r="F32" s="64">
        <f>'дод 3 '!G63</f>
        <v>1013420</v>
      </c>
      <c r="G32" s="64">
        <f>'дод 3 '!H63</f>
        <v>0</v>
      </c>
      <c r="H32" s="64">
        <f>'дод 3 '!I63</f>
        <v>0</v>
      </c>
      <c r="I32" s="64">
        <f>'дод 3 '!J63</f>
        <v>0</v>
      </c>
      <c r="J32" s="64">
        <f>'дод 3 '!K63</f>
        <v>0</v>
      </c>
      <c r="K32" s="64">
        <f>'дод 3 '!L63</f>
        <v>0</v>
      </c>
      <c r="L32" s="64">
        <f>'дод 3 '!M63</f>
        <v>0</v>
      </c>
      <c r="M32" s="64">
        <f>'дод 3 '!N63</f>
        <v>0</v>
      </c>
      <c r="N32" s="64">
        <f>'дод 3 '!O63</f>
        <v>0</v>
      </c>
      <c r="O32" s="64">
        <f>'дод 3 '!P63</f>
        <v>1236370</v>
      </c>
      <c r="P32" s="129"/>
    </row>
    <row r="33" spans="1:16" s="85" customFormat="1" ht="23.25" customHeight="1" x14ac:dyDescent="0.25">
      <c r="A33" s="47" t="s">
        <v>76</v>
      </c>
      <c r="B33" s="48"/>
      <c r="C33" s="9" t="s">
        <v>77</v>
      </c>
      <c r="D33" s="63">
        <f>D35+D37+D39+D41+D42+D44+D45</f>
        <v>165868211</v>
      </c>
      <c r="E33" s="63">
        <f t="shared" ref="E33:O33" si="3">E35+E37+E39+E41+E42+E44+E45</f>
        <v>165868211</v>
      </c>
      <c r="F33" s="63">
        <f t="shared" si="3"/>
        <v>0</v>
      </c>
      <c r="G33" s="63">
        <f t="shared" si="3"/>
        <v>0</v>
      </c>
      <c r="H33" s="63">
        <f t="shared" si="3"/>
        <v>0</v>
      </c>
      <c r="I33" s="63">
        <f t="shared" si="3"/>
        <v>43700600</v>
      </c>
      <c r="J33" s="63">
        <f t="shared" si="3"/>
        <v>43700600</v>
      </c>
      <c r="K33" s="63">
        <f t="shared" si="3"/>
        <v>0</v>
      </c>
      <c r="L33" s="63">
        <f t="shared" si="3"/>
        <v>0</v>
      </c>
      <c r="M33" s="63">
        <f t="shared" si="3"/>
        <v>0</v>
      </c>
      <c r="N33" s="63">
        <f t="shared" si="3"/>
        <v>43700600</v>
      </c>
      <c r="O33" s="63">
        <f t="shared" si="3"/>
        <v>209568811</v>
      </c>
      <c r="P33" s="129"/>
    </row>
    <row r="34" spans="1:16" s="85" customFormat="1" ht="23.25" customHeight="1" x14ac:dyDescent="0.25">
      <c r="A34" s="47"/>
      <c r="B34" s="48"/>
      <c r="C34" s="2" t="s">
        <v>308</v>
      </c>
      <c r="D34" s="63">
        <f>D36+D38+D40+D43</f>
        <v>57007811</v>
      </c>
      <c r="E34" s="63">
        <f t="shared" ref="E34:O34" si="4">E36+E38+E40+E43</f>
        <v>57007811</v>
      </c>
      <c r="F34" s="63">
        <f t="shared" si="4"/>
        <v>0</v>
      </c>
      <c r="G34" s="63">
        <f t="shared" si="4"/>
        <v>0</v>
      </c>
      <c r="H34" s="63">
        <f t="shared" si="4"/>
        <v>0</v>
      </c>
      <c r="I34" s="63">
        <f t="shared" si="4"/>
        <v>0</v>
      </c>
      <c r="J34" s="63">
        <f t="shared" si="4"/>
        <v>0</v>
      </c>
      <c r="K34" s="63">
        <f t="shared" si="4"/>
        <v>0</v>
      </c>
      <c r="L34" s="63">
        <f t="shared" si="4"/>
        <v>0</v>
      </c>
      <c r="M34" s="63">
        <f t="shared" si="4"/>
        <v>0</v>
      </c>
      <c r="N34" s="63">
        <f t="shared" si="4"/>
        <v>0</v>
      </c>
      <c r="O34" s="63">
        <f t="shared" si="4"/>
        <v>57007811</v>
      </c>
      <c r="P34" s="129"/>
    </row>
    <row r="35" spans="1:16" ht="31.5" x14ac:dyDescent="0.25">
      <c r="A35" s="46" t="s">
        <v>78</v>
      </c>
      <c r="B35" s="46" t="s">
        <v>79</v>
      </c>
      <c r="C35" s="6" t="s">
        <v>38</v>
      </c>
      <c r="D35" s="64">
        <f>'дод 3 '!E73</f>
        <v>118457491</v>
      </c>
      <c r="E35" s="64">
        <f>'дод 3 '!F73</f>
        <v>118457491</v>
      </c>
      <c r="F35" s="64">
        <f>'дод 3 '!G73</f>
        <v>0</v>
      </c>
      <c r="G35" s="64">
        <f>'дод 3 '!H73</f>
        <v>0</v>
      </c>
      <c r="H35" s="64">
        <f>'дод 3 '!I73</f>
        <v>0</v>
      </c>
      <c r="I35" s="64">
        <f>'дод 3 '!J73</f>
        <v>27530000</v>
      </c>
      <c r="J35" s="64">
        <f>'дод 3 '!K73</f>
        <v>27530000</v>
      </c>
      <c r="K35" s="64">
        <f>'дод 3 '!L73</f>
        <v>0</v>
      </c>
      <c r="L35" s="64">
        <f>'дод 3 '!M73</f>
        <v>0</v>
      </c>
      <c r="M35" s="64">
        <f>'дод 3 '!N73</f>
        <v>0</v>
      </c>
      <c r="N35" s="64">
        <f>'дод 3 '!O73</f>
        <v>27530000</v>
      </c>
      <c r="O35" s="64">
        <f>'дод 3 '!P73</f>
        <v>145987491</v>
      </c>
      <c r="P35" s="129"/>
    </row>
    <row r="36" spans="1:16" ht="15.75" customHeight="1" x14ac:dyDescent="0.25">
      <c r="A36" s="46"/>
      <c r="B36" s="46"/>
      <c r="C36" s="3" t="s">
        <v>308</v>
      </c>
      <c r="D36" s="64">
        <f>'дод 3 '!E74</f>
        <v>48037871</v>
      </c>
      <c r="E36" s="64">
        <f>'дод 3 '!F74</f>
        <v>48037871</v>
      </c>
      <c r="F36" s="64">
        <f>'дод 3 '!G74</f>
        <v>0</v>
      </c>
      <c r="G36" s="64">
        <f>'дод 3 '!H74</f>
        <v>0</v>
      </c>
      <c r="H36" s="64">
        <f>'дод 3 '!I74</f>
        <v>0</v>
      </c>
      <c r="I36" s="64">
        <f>'дод 3 '!J74</f>
        <v>0</v>
      </c>
      <c r="J36" s="64">
        <f>'дод 3 '!K74</f>
        <v>0</v>
      </c>
      <c r="K36" s="64">
        <f>'дод 3 '!L74</f>
        <v>0</v>
      </c>
      <c r="L36" s="64">
        <f>'дод 3 '!M74</f>
        <v>0</v>
      </c>
      <c r="M36" s="64">
        <f>'дод 3 '!N74</f>
        <v>0</v>
      </c>
      <c r="N36" s="64">
        <f>'дод 3 '!O74</f>
        <v>0</v>
      </c>
      <c r="O36" s="64">
        <f>'дод 3 '!P74</f>
        <v>48037871</v>
      </c>
    </row>
    <row r="37" spans="1:16" ht="42.75" customHeight="1" x14ac:dyDescent="0.25">
      <c r="A37" s="46" t="s">
        <v>143</v>
      </c>
      <c r="B37" s="46" t="s">
        <v>80</v>
      </c>
      <c r="C37" s="6" t="s">
        <v>144</v>
      </c>
      <c r="D37" s="64">
        <f>'дод 3 '!E75</f>
        <v>15275473</v>
      </c>
      <c r="E37" s="64">
        <f>'дод 3 '!F75</f>
        <v>15275473</v>
      </c>
      <c r="F37" s="64">
        <f>'дод 3 '!G75</f>
        <v>0</v>
      </c>
      <c r="G37" s="64">
        <f>'дод 3 '!H75</f>
        <v>0</v>
      </c>
      <c r="H37" s="64">
        <f>'дод 3 '!I75</f>
        <v>0</v>
      </c>
      <c r="I37" s="64">
        <f>'дод 3 '!J75</f>
        <v>15040600</v>
      </c>
      <c r="J37" s="64">
        <f>'дод 3 '!K75</f>
        <v>15040600</v>
      </c>
      <c r="K37" s="64">
        <f>'дод 3 '!L75</f>
        <v>0</v>
      </c>
      <c r="L37" s="64">
        <f>'дод 3 '!M75</f>
        <v>0</v>
      </c>
      <c r="M37" s="64">
        <f>'дод 3 '!N75</f>
        <v>0</v>
      </c>
      <c r="N37" s="64">
        <f>'дод 3 '!O75</f>
        <v>15040600</v>
      </c>
      <c r="O37" s="64">
        <f>'дод 3 '!P75</f>
        <v>30316073</v>
      </c>
      <c r="P37" s="130"/>
    </row>
    <row r="38" spans="1:16" ht="24" customHeight="1" x14ac:dyDescent="0.25">
      <c r="A38" s="46"/>
      <c r="B38" s="46"/>
      <c r="C38" s="3" t="s">
        <v>308</v>
      </c>
      <c r="D38" s="64">
        <f>'дод 3 '!E76</f>
        <v>6347600</v>
      </c>
      <c r="E38" s="64">
        <f>'дод 3 '!F76</f>
        <v>6347600</v>
      </c>
      <c r="F38" s="64">
        <f>'дод 3 '!G76</f>
        <v>0</v>
      </c>
      <c r="G38" s="64">
        <f>'дод 3 '!H76</f>
        <v>0</v>
      </c>
      <c r="H38" s="64">
        <f>'дод 3 '!I76</f>
        <v>0</v>
      </c>
      <c r="I38" s="64">
        <f>'дод 3 '!J76</f>
        <v>0</v>
      </c>
      <c r="J38" s="64">
        <f>'дод 3 '!K76</f>
        <v>0</v>
      </c>
      <c r="K38" s="64">
        <f>'дод 3 '!L76</f>
        <v>0</v>
      </c>
      <c r="L38" s="64">
        <f>'дод 3 '!M76</f>
        <v>0</v>
      </c>
      <c r="M38" s="64">
        <f>'дод 3 '!N76</f>
        <v>0</v>
      </c>
      <c r="N38" s="64">
        <f>'дод 3 '!O76</f>
        <v>0</v>
      </c>
      <c r="O38" s="64">
        <f>'дод 3 '!P76</f>
        <v>6347600</v>
      </c>
      <c r="P38" s="130"/>
    </row>
    <row r="39" spans="1:16" ht="25.5" customHeight="1" x14ac:dyDescent="0.25">
      <c r="A39" s="46" t="s">
        <v>145</v>
      </c>
      <c r="B39" s="46" t="s">
        <v>81</v>
      </c>
      <c r="C39" s="6" t="s">
        <v>146</v>
      </c>
      <c r="D39" s="64">
        <f>'дод 3 '!E77</f>
        <v>6663426</v>
      </c>
      <c r="E39" s="64">
        <f>'дод 3 '!F77</f>
        <v>6663426</v>
      </c>
      <c r="F39" s="64">
        <f>'дод 3 '!G77</f>
        <v>0</v>
      </c>
      <c r="G39" s="64">
        <f>'дод 3 '!H77</f>
        <v>0</v>
      </c>
      <c r="H39" s="64">
        <f>'дод 3 '!I77</f>
        <v>0</v>
      </c>
      <c r="I39" s="64">
        <f>'дод 3 '!J77</f>
        <v>1130000</v>
      </c>
      <c r="J39" s="64">
        <f>'дод 3 '!K77</f>
        <v>1130000</v>
      </c>
      <c r="K39" s="64">
        <f>'дод 3 '!L77</f>
        <v>0</v>
      </c>
      <c r="L39" s="64">
        <f>'дод 3 '!M77</f>
        <v>0</v>
      </c>
      <c r="M39" s="64">
        <f>'дод 3 '!N77</f>
        <v>0</v>
      </c>
      <c r="N39" s="64">
        <f>'дод 3 '!O77</f>
        <v>1130000</v>
      </c>
      <c r="O39" s="64">
        <f>'дод 3 '!P77</f>
        <v>7793426</v>
      </c>
      <c r="P39" s="130"/>
    </row>
    <row r="40" spans="1:16" ht="25.5" customHeight="1" x14ac:dyDescent="0.25">
      <c r="A40" s="46"/>
      <c r="B40" s="46"/>
      <c r="C40" s="3" t="s">
        <v>308</v>
      </c>
      <c r="D40" s="64">
        <f>'дод 3 '!E78</f>
        <v>1132200</v>
      </c>
      <c r="E40" s="64">
        <f>'дод 3 '!F78</f>
        <v>1132200</v>
      </c>
      <c r="F40" s="64">
        <f>'дод 3 '!G78</f>
        <v>0</v>
      </c>
      <c r="G40" s="64">
        <f>'дод 3 '!H78</f>
        <v>0</v>
      </c>
      <c r="H40" s="64">
        <f>'дод 3 '!I78</f>
        <v>0</v>
      </c>
      <c r="I40" s="64">
        <f>'дод 3 '!J78</f>
        <v>0</v>
      </c>
      <c r="J40" s="64">
        <f>'дод 3 '!K78</f>
        <v>0</v>
      </c>
      <c r="K40" s="64">
        <f>'дод 3 '!L78</f>
        <v>0</v>
      </c>
      <c r="L40" s="64">
        <f>'дод 3 '!M78</f>
        <v>0</v>
      </c>
      <c r="M40" s="64">
        <f>'дод 3 '!N78</f>
        <v>0</v>
      </c>
      <c r="N40" s="64">
        <f>'дод 3 '!O78</f>
        <v>0</v>
      </c>
      <c r="O40" s="64">
        <f>'дод 3 '!P78</f>
        <v>1132200</v>
      </c>
      <c r="P40" s="130"/>
    </row>
    <row r="41" spans="1:16" ht="54" customHeight="1" x14ac:dyDescent="0.25">
      <c r="A41" s="46" t="s">
        <v>147</v>
      </c>
      <c r="B41" s="46" t="s">
        <v>365</v>
      </c>
      <c r="C41" s="6" t="s">
        <v>148</v>
      </c>
      <c r="D41" s="64">
        <f>'дод 3 '!E79</f>
        <v>1672468</v>
      </c>
      <c r="E41" s="64">
        <f>'дод 3 '!F79</f>
        <v>1672468</v>
      </c>
      <c r="F41" s="64">
        <f>'дод 3 '!G79</f>
        <v>0</v>
      </c>
      <c r="G41" s="64">
        <f>'дод 3 '!H79</f>
        <v>0</v>
      </c>
      <c r="H41" s="64">
        <f>'дод 3 '!I79</f>
        <v>0</v>
      </c>
      <c r="I41" s="64">
        <f>'дод 3 '!J79</f>
        <v>0</v>
      </c>
      <c r="J41" s="64">
        <f>'дод 3 '!K79</f>
        <v>0</v>
      </c>
      <c r="K41" s="64">
        <f>'дод 3 '!L79</f>
        <v>0</v>
      </c>
      <c r="L41" s="64">
        <f>'дод 3 '!M79</f>
        <v>0</v>
      </c>
      <c r="M41" s="64">
        <f>'дод 3 '!N79</f>
        <v>0</v>
      </c>
      <c r="N41" s="64">
        <f>'дод 3 '!O79</f>
        <v>0</v>
      </c>
      <c r="O41" s="64">
        <f>'дод 3 '!P79</f>
        <v>1672468</v>
      </c>
      <c r="P41" s="130"/>
    </row>
    <row r="42" spans="1:16" ht="36.75" customHeight="1" x14ac:dyDescent="0.25">
      <c r="A42" s="49">
        <v>2144</v>
      </c>
      <c r="B42" s="46" t="s">
        <v>82</v>
      </c>
      <c r="C42" s="6" t="s">
        <v>149</v>
      </c>
      <c r="D42" s="64">
        <f>'дод 3 '!E80</f>
        <v>2090140</v>
      </c>
      <c r="E42" s="64">
        <f>'дод 3 '!F80</f>
        <v>2090140</v>
      </c>
      <c r="F42" s="64">
        <f>'дод 3 '!G80</f>
        <v>0</v>
      </c>
      <c r="G42" s="64">
        <f>'дод 3 '!H80</f>
        <v>0</v>
      </c>
      <c r="H42" s="64">
        <f>'дод 3 '!I80</f>
        <v>0</v>
      </c>
      <c r="I42" s="64">
        <f>'дод 3 '!J80</f>
        <v>0</v>
      </c>
      <c r="J42" s="64">
        <f>'дод 3 '!K80</f>
        <v>0</v>
      </c>
      <c r="K42" s="64">
        <f>'дод 3 '!L80</f>
        <v>0</v>
      </c>
      <c r="L42" s="64">
        <f>'дод 3 '!M80</f>
        <v>0</v>
      </c>
      <c r="M42" s="64">
        <f>'дод 3 '!N80</f>
        <v>0</v>
      </c>
      <c r="N42" s="64">
        <f>'дод 3 '!O80</f>
        <v>0</v>
      </c>
      <c r="O42" s="64">
        <f>'дод 3 '!P80</f>
        <v>2090140</v>
      </c>
      <c r="P42" s="130"/>
    </row>
    <row r="43" spans="1:16" ht="24.75" customHeight="1" x14ac:dyDescent="0.25">
      <c r="A43" s="49"/>
      <c r="B43" s="46"/>
      <c r="C43" s="3" t="s">
        <v>308</v>
      </c>
      <c r="D43" s="64">
        <f>'дод 3 '!E81</f>
        <v>1490140</v>
      </c>
      <c r="E43" s="64">
        <f>'дод 3 '!F81</f>
        <v>1490140</v>
      </c>
      <c r="F43" s="64">
        <f>'дод 3 '!G81</f>
        <v>0</v>
      </c>
      <c r="G43" s="64">
        <f>'дод 3 '!H81</f>
        <v>0</v>
      </c>
      <c r="H43" s="64">
        <f>'дод 3 '!I81</f>
        <v>0</v>
      </c>
      <c r="I43" s="64">
        <f>'дод 3 '!J81</f>
        <v>0</v>
      </c>
      <c r="J43" s="64">
        <f>'дод 3 '!K81</f>
        <v>0</v>
      </c>
      <c r="K43" s="64">
        <f>'дод 3 '!L81</f>
        <v>0</v>
      </c>
      <c r="L43" s="64">
        <f>'дод 3 '!M81</f>
        <v>0</v>
      </c>
      <c r="M43" s="64">
        <f>'дод 3 '!N81</f>
        <v>0</v>
      </c>
      <c r="N43" s="64">
        <f>'дод 3 '!O81</f>
        <v>0</v>
      </c>
      <c r="O43" s="64">
        <f>'дод 3 '!P81</f>
        <v>1490140</v>
      </c>
      <c r="P43" s="130"/>
    </row>
    <row r="44" spans="1:16" ht="37.5" customHeight="1" x14ac:dyDescent="0.25">
      <c r="A44" s="46" t="s">
        <v>331</v>
      </c>
      <c r="B44" s="46" t="s">
        <v>82</v>
      </c>
      <c r="C44" s="3" t="s">
        <v>333</v>
      </c>
      <c r="D44" s="64">
        <f>'дод 3 '!E82</f>
        <v>2894213</v>
      </c>
      <c r="E44" s="64">
        <f>'дод 3 '!F82</f>
        <v>2894213</v>
      </c>
      <c r="F44" s="64">
        <f>'дод 3 '!G82</f>
        <v>0</v>
      </c>
      <c r="G44" s="64">
        <f>'дод 3 '!H82</f>
        <v>0</v>
      </c>
      <c r="H44" s="64">
        <f>'дод 3 '!I82</f>
        <v>0</v>
      </c>
      <c r="I44" s="64">
        <f>'дод 3 '!J82</f>
        <v>0</v>
      </c>
      <c r="J44" s="64">
        <f>'дод 3 '!K82</f>
        <v>0</v>
      </c>
      <c r="K44" s="64">
        <f>'дод 3 '!L82</f>
        <v>0</v>
      </c>
      <c r="L44" s="64">
        <f>'дод 3 '!M82</f>
        <v>0</v>
      </c>
      <c r="M44" s="64">
        <f>'дод 3 '!N82</f>
        <v>0</v>
      </c>
      <c r="N44" s="64">
        <f>'дод 3 '!O82</f>
        <v>0</v>
      </c>
      <c r="O44" s="64">
        <f>'дод 3 '!P82</f>
        <v>2894213</v>
      </c>
      <c r="P44" s="130"/>
    </row>
    <row r="45" spans="1:16" ht="21.75" customHeight="1" x14ac:dyDescent="0.25">
      <c r="A45" s="46" t="s">
        <v>332</v>
      </c>
      <c r="B45" s="46" t="s">
        <v>82</v>
      </c>
      <c r="C45" s="3" t="s">
        <v>334</v>
      </c>
      <c r="D45" s="64">
        <f>'дод 3 '!E83</f>
        <v>18815000</v>
      </c>
      <c r="E45" s="64">
        <f>'дод 3 '!F83</f>
        <v>18815000</v>
      </c>
      <c r="F45" s="64">
        <f>'дод 3 '!G83</f>
        <v>0</v>
      </c>
      <c r="G45" s="64">
        <f>'дод 3 '!H83</f>
        <v>0</v>
      </c>
      <c r="H45" s="64">
        <f>'дод 3 '!I83</f>
        <v>0</v>
      </c>
      <c r="I45" s="64">
        <f>'дод 3 '!J83</f>
        <v>0</v>
      </c>
      <c r="J45" s="64">
        <f>'дод 3 '!K83</f>
        <v>0</v>
      </c>
      <c r="K45" s="64">
        <f>'дод 3 '!L83</f>
        <v>0</v>
      </c>
      <c r="L45" s="64">
        <f>'дод 3 '!M83</f>
        <v>0</v>
      </c>
      <c r="M45" s="64">
        <f>'дод 3 '!N83</f>
        <v>0</v>
      </c>
      <c r="N45" s="64">
        <f>'дод 3 '!O83</f>
        <v>0</v>
      </c>
      <c r="O45" s="64">
        <f>'дод 3 '!P83</f>
        <v>18815000</v>
      </c>
      <c r="P45" s="130"/>
    </row>
    <row r="46" spans="1:16" s="85" customFormat="1" ht="34.5" customHeight="1" x14ac:dyDescent="0.25">
      <c r="A46" s="47" t="s">
        <v>83</v>
      </c>
      <c r="B46" s="50"/>
      <c r="C46" s="2" t="s">
        <v>84</v>
      </c>
      <c r="D46" s="63">
        <f>SUM(D47+D48+D49+D50+D51+D52+D53+D54+D55+D56+D57+D58+D59+D60+D61+D62+D63+D64+D65+D66+D67+D68+D69)</f>
        <v>140316813</v>
      </c>
      <c r="E46" s="63">
        <f t="shared" ref="E46:O46" si="5">SUM(E47+E48+E49+E50+E51+E52+E53+E54+E55+E56+E57+E58+E59+E60+E61+E62+E63+E64+E65+E66+E67+E68+E69)</f>
        <v>140316813</v>
      </c>
      <c r="F46" s="63">
        <f t="shared" si="5"/>
        <v>16632985</v>
      </c>
      <c r="G46" s="63">
        <f t="shared" si="5"/>
        <v>938160</v>
      </c>
      <c r="H46" s="63">
        <f t="shared" si="5"/>
        <v>0</v>
      </c>
      <c r="I46" s="63">
        <f t="shared" si="5"/>
        <v>863740</v>
      </c>
      <c r="J46" s="63">
        <f t="shared" si="5"/>
        <v>755640</v>
      </c>
      <c r="K46" s="63">
        <f t="shared" si="5"/>
        <v>108100</v>
      </c>
      <c r="L46" s="63">
        <f t="shared" si="5"/>
        <v>85100</v>
      </c>
      <c r="M46" s="63">
        <f t="shared" si="5"/>
        <v>0</v>
      </c>
      <c r="N46" s="63">
        <f t="shared" si="5"/>
        <v>755640</v>
      </c>
      <c r="O46" s="63">
        <f t="shared" si="5"/>
        <v>141180553</v>
      </c>
      <c r="P46" s="130"/>
    </row>
    <row r="47" spans="1:16" ht="45" customHeight="1" x14ac:dyDescent="0.25">
      <c r="A47" s="46" t="s">
        <v>118</v>
      </c>
      <c r="B47" s="46" t="s">
        <v>67</v>
      </c>
      <c r="C47" s="3" t="s">
        <v>150</v>
      </c>
      <c r="D47" s="64">
        <f>'дод 3 '!E89</f>
        <v>582400</v>
      </c>
      <c r="E47" s="64">
        <f>'дод 3 '!F89</f>
        <v>582400</v>
      </c>
      <c r="F47" s="64">
        <f>'дод 3 '!G89</f>
        <v>0</v>
      </c>
      <c r="G47" s="64">
        <f>'дод 3 '!H89</f>
        <v>0</v>
      </c>
      <c r="H47" s="64">
        <f>'дод 3 '!I89</f>
        <v>0</v>
      </c>
      <c r="I47" s="64">
        <f>'дод 3 '!J89</f>
        <v>0</v>
      </c>
      <c r="J47" s="64">
        <f>'дод 3 '!K89</f>
        <v>0</v>
      </c>
      <c r="K47" s="64">
        <f>'дод 3 '!L89</f>
        <v>0</v>
      </c>
      <c r="L47" s="64">
        <f>'дод 3 '!M89</f>
        <v>0</v>
      </c>
      <c r="M47" s="64">
        <f>'дод 3 '!N89</f>
        <v>0</v>
      </c>
      <c r="N47" s="64">
        <f>'дод 3 '!O89</f>
        <v>0</v>
      </c>
      <c r="O47" s="64">
        <f>'дод 3 '!P89</f>
        <v>582400</v>
      </c>
      <c r="P47" s="130"/>
    </row>
    <row r="48" spans="1:16" ht="41.25" customHeight="1" x14ac:dyDescent="0.25">
      <c r="A48" s="46" t="s">
        <v>151</v>
      </c>
      <c r="B48" s="46" t="s">
        <v>69</v>
      </c>
      <c r="C48" s="3" t="s">
        <v>423</v>
      </c>
      <c r="D48" s="64">
        <f>'дод 3 '!E90</f>
        <v>1300000</v>
      </c>
      <c r="E48" s="64">
        <f>'дод 3 '!F90</f>
        <v>1300000</v>
      </c>
      <c r="F48" s="64">
        <f>'дод 3 '!G90</f>
        <v>0</v>
      </c>
      <c r="G48" s="64">
        <f>'дод 3 '!H90</f>
        <v>0</v>
      </c>
      <c r="H48" s="64">
        <f>'дод 3 '!I90</f>
        <v>0</v>
      </c>
      <c r="I48" s="64">
        <f>'дод 3 '!J90</f>
        <v>0</v>
      </c>
      <c r="J48" s="64">
        <f>'дод 3 '!K90</f>
        <v>0</v>
      </c>
      <c r="K48" s="64">
        <f>'дод 3 '!L90</f>
        <v>0</v>
      </c>
      <c r="L48" s="64">
        <f>'дод 3 '!M90</f>
        <v>0</v>
      </c>
      <c r="M48" s="64">
        <f>'дод 3 '!N90</f>
        <v>0</v>
      </c>
      <c r="N48" s="64">
        <f>'дод 3 '!O90</f>
        <v>0</v>
      </c>
      <c r="O48" s="64">
        <f>'дод 3 '!P90</f>
        <v>1300000</v>
      </c>
      <c r="P48" s="130"/>
    </row>
    <row r="49" spans="1:16" ht="54.75" customHeight="1" x14ac:dyDescent="0.25">
      <c r="A49" s="46" t="s">
        <v>119</v>
      </c>
      <c r="B49" s="46" t="s">
        <v>69</v>
      </c>
      <c r="C49" s="3" t="s">
        <v>55</v>
      </c>
      <c r="D49" s="64">
        <f>'дод 3 '!E91+'дод 3 '!E18</f>
        <v>24721300</v>
      </c>
      <c r="E49" s="64">
        <f>'дод 3 '!F91+'дод 3 '!F18</f>
        <v>24721300</v>
      </c>
      <c r="F49" s="64">
        <f>'дод 3 '!G91+'дод 3 '!G18</f>
        <v>0</v>
      </c>
      <c r="G49" s="64">
        <f>'дод 3 '!H91+'дод 3 '!H18</f>
        <v>0</v>
      </c>
      <c r="H49" s="64">
        <f>'дод 3 '!I91+'дод 3 '!I18</f>
        <v>0</v>
      </c>
      <c r="I49" s="64">
        <f>'дод 3 '!J91+'дод 3 '!J18</f>
        <v>0</v>
      </c>
      <c r="J49" s="64">
        <f>'дод 3 '!K91+'дод 3 '!K18</f>
        <v>0</v>
      </c>
      <c r="K49" s="64">
        <f>'дод 3 '!L91+'дод 3 '!L18</f>
        <v>0</v>
      </c>
      <c r="L49" s="64">
        <f>'дод 3 '!M91+'дод 3 '!M18</f>
        <v>0</v>
      </c>
      <c r="M49" s="64">
        <f>'дод 3 '!N91+'дод 3 '!N18</f>
        <v>0</v>
      </c>
      <c r="N49" s="64">
        <f>'дод 3 '!O91+'дод 3 '!O18</f>
        <v>0</v>
      </c>
      <c r="O49" s="64">
        <f>'дод 3 '!P91+'дод 3 '!P18</f>
        <v>24721300</v>
      </c>
      <c r="P49" s="130"/>
    </row>
    <row r="50" spans="1:16" ht="46.5" customHeight="1" x14ac:dyDescent="0.25">
      <c r="A50" s="46" t="s">
        <v>380</v>
      </c>
      <c r="B50" s="46" t="s">
        <v>69</v>
      </c>
      <c r="C50" s="3" t="s">
        <v>379</v>
      </c>
      <c r="D50" s="64">
        <f>'дод 3 '!E92</f>
        <v>1000000</v>
      </c>
      <c r="E50" s="64">
        <f>'дод 3 '!F92</f>
        <v>1000000</v>
      </c>
      <c r="F50" s="64">
        <f>'дод 3 '!G92</f>
        <v>0</v>
      </c>
      <c r="G50" s="64">
        <f>'дод 3 '!H92</f>
        <v>0</v>
      </c>
      <c r="H50" s="64">
        <f>'дод 3 '!I92</f>
        <v>0</v>
      </c>
      <c r="I50" s="64">
        <f>'дод 3 '!J92</f>
        <v>0</v>
      </c>
      <c r="J50" s="64">
        <f>'дод 3 '!K92</f>
        <v>0</v>
      </c>
      <c r="K50" s="64">
        <f>'дод 3 '!L92</f>
        <v>0</v>
      </c>
      <c r="L50" s="64">
        <f>'дод 3 '!M92</f>
        <v>0</v>
      </c>
      <c r="M50" s="64">
        <f>'дод 3 '!N92</f>
        <v>0</v>
      </c>
      <c r="N50" s="64">
        <f>'дод 3 '!O92</f>
        <v>0</v>
      </c>
      <c r="O50" s="64">
        <f>'дод 3 '!P92</f>
        <v>1000000</v>
      </c>
      <c r="P50" s="130"/>
    </row>
    <row r="51" spans="1:16" ht="45" customHeight="1" x14ac:dyDescent="0.25">
      <c r="A51" s="46" t="s">
        <v>152</v>
      </c>
      <c r="B51" s="46" t="s">
        <v>69</v>
      </c>
      <c r="C51" s="3" t="s">
        <v>25</v>
      </c>
      <c r="D51" s="64">
        <f>'дод 3 '!E93+'дод 3 '!E19</f>
        <v>40740825</v>
      </c>
      <c r="E51" s="64">
        <f>'дод 3 '!F93+'дод 3 '!F19</f>
        <v>40740825</v>
      </c>
      <c r="F51" s="64">
        <f>'дод 3 '!G93+'дод 3 '!G19</f>
        <v>0</v>
      </c>
      <c r="G51" s="64">
        <f>'дод 3 '!H93+'дод 3 '!H19</f>
        <v>0</v>
      </c>
      <c r="H51" s="64">
        <f>'дод 3 '!I93+'дод 3 '!I19</f>
        <v>0</v>
      </c>
      <c r="I51" s="64">
        <f>'дод 3 '!J93+'дод 3 '!J19</f>
        <v>0</v>
      </c>
      <c r="J51" s="64">
        <f>'дод 3 '!K93+'дод 3 '!K19</f>
        <v>0</v>
      </c>
      <c r="K51" s="64">
        <f>'дод 3 '!L93+'дод 3 '!L19</f>
        <v>0</v>
      </c>
      <c r="L51" s="64">
        <f>'дод 3 '!M93+'дод 3 '!M19</f>
        <v>0</v>
      </c>
      <c r="M51" s="64">
        <f>'дод 3 '!N93+'дод 3 '!N19</f>
        <v>0</v>
      </c>
      <c r="N51" s="64">
        <f>'дод 3 '!O93+'дод 3 '!O19</f>
        <v>0</v>
      </c>
      <c r="O51" s="64">
        <f>'дод 3 '!P93+'дод 3 '!P19</f>
        <v>40740825</v>
      </c>
      <c r="P51" s="130"/>
    </row>
    <row r="52" spans="1:16" ht="40.5" customHeight="1" x14ac:dyDescent="0.25">
      <c r="A52" s="46" t="s">
        <v>121</v>
      </c>
      <c r="B52" s="46" t="s">
        <v>69</v>
      </c>
      <c r="C52" s="3" t="s">
        <v>41</v>
      </c>
      <c r="D52" s="64">
        <f>'дод 3 '!E94</f>
        <v>853000</v>
      </c>
      <c r="E52" s="64">
        <f>'дод 3 '!F94</f>
        <v>853000</v>
      </c>
      <c r="F52" s="64">
        <f>'дод 3 '!G94</f>
        <v>0</v>
      </c>
      <c r="G52" s="64">
        <f>'дод 3 '!H94</f>
        <v>0</v>
      </c>
      <c r="H52" s="64">
        <f>'дод 3 '!I94</f>
        <v>0</v>
      </c>
      <c r="I52" s="64">
        <f>'дод 3 '!J94</f>
        <v>0</v>
      </c>
      <c r="J52" s="64">
        <f>'дод 3 '!K94</f>
        <v>0</v>
      </c>
      <c r="K52" s="64">
        <f>'дод 3 '!L94</f>
        <v>0</v>
      </c>
      <c r="L52" s="64">
        <f>'дод 3 '!M94</f>
        <v>0</v>
      </c>
      <c r="M52" s="64">
        <f>'дод 3 '!N94</f>
        <v>0</v>
      </c>
      <c r="N52" s="64">
        <f>'дод 3 '!O94</f>
        <v>0</v>
      </c>
      <c r="O52" s="64">
        <f>'дод 3 '!P94</f>
        <v>853000</v>
      </c>
      <c r="P52" s="130"/>
    </row>
    <row r="53" spans="1:16" ht="40.5" customHeight="1" x14ac:dyDescent="0.25">
      <c r="A53" s="46" t="s">
        <v>368</v>
      </c>
      <c r="B53" s="46" t="s">
        <v>67</v>
      </c>
      <c r="C53" s="3" t="s">
        <v>369</v>
      </c>
      <c r="D53" s="64">
        <f>'дод 3 '!E95</f>
        <v>228400</v>
      </c>
      <c r="E53" s="64">
        <f>'дод 3 '!F95</f>
        <v>228400</v>
      </c>
      <c r="F53" s="64">
        <f>'дод 3 '!G95</f>
        <v>0</v>
      </c>
      <c r="G53" s="64">
        <f>'дод 3 '!H95</f>
        <v>0</v>
      </c>
      <c r="H53" s="64">
        <f>'дод 3 '!I95</f>
        <v>0</v>
      </c>
      <c r="I53" s="64">
        <f>'дод 3 '!J95</f>
        <v>0</v>
      </c>
      <c r="J53" s="64">
        <f>'дод 3 '!K95</f>
        <v>0</v>
      </c>
      <c r="K53" s="64">
        <f>'дод 3 '!L95</f>
        <v>0</v>
      </c>
      <c r="L53" s="64">
        <f>'дод 3 '!M95</f>
        <v>0</v>
      </c>
      <c r="M53" s="64">
        <f>'дод 3 '!N95</f>
        <v>0</v>
      </c>
      <c r="N53" s="64">
        <f>'дод 3 '!O95</f>
        <v>0</v>
      </c>
      <c r="O53" s="64">
        <f>'дод 3 '!P95</f>
        <v>228400</v>
      </c>
      <c r="P53" s="130"/>
    </row>
    <row r="54" spans="1:16" ht="74.25" customHeight="1" x14ac:dyDescent="0.25">
      <c r="A54" s="46" t="s">
        <v>122</v>
      </c>
      <c r="B54" s="46" t="s">
        <v>65</v>
      </c>
      <c r="C54" s="3" t="s">
        <v>42</v>
      </c>
      <c r="D54" s="64">
        <f>'дод 3 '!E96</f>
        <v>13527630</v>
      </c>
      <c r="E54" s="64">
        <f>'дод 3 '!F96</f>
        <v>13527630</v>
      </c>
      <c r="F54" s="64">
        <f>'дод 3 '!G96</f>
        <v>10389550</v>
      </c>
      <c r="G54" s="64">
        <f>'дод 3 '!H96</f>
        <v>230060</v>
      </c>
      <c r="H54" s="64">
        <f>'дод 3 '!I96</f>
        <v>0</v>
      </c>
      <c r="I54" s="64">
        <f>'дод 3 '!J96</f>
        <v>108100</v>
      </c>
      <c r="J54" s="64">
        <f>'дод 3 '!K96</f>
        <v>0</v>
      </c>
      <c r="K54" s="64">
        <f>'дод 3 '!L96</f>
        <v>108100</v>
      </c>
      <c r="L54" s="64">
        <f>'дод 3 '!M96</f>
        <v>85100</v>
      </c>
      <c r="M54" s="64">
        <f>'дод 3 '!N96</f>
        <v>0</v>
      </c>
      <c r="N54" s="64">
        <f>'дод 3 '!O96</f>
        <v>0</v>
      </c>
      <c r="O54" s="64">
        <f>'дод 3 '!P96</f>
        <v>13635730</v>
      </c>
      <c r="P54" s="130"/>
    </row>
    <row r="55" spans="1:16" ht="69.75" customHeight="1" x14ac:dyDescent="0.25">
      <c r="A55" s="46" t="s">
        <v>392</v>
      </c>
      <c r="B55" s="46" t="s">
        <v>120</v>
      </c>
      <c r="C55" s="42" t="s">
        <v>393</v>
      </c>
      <c r="D55" s="64">
        <f>SUM('дод 3 '!E111)</f>
        <v>0</v>
      </c>
      <c r="E55" s="64">
        <f>SUM('дод 3 '!F111)</f>
        <v>0</v>
      </c>
      <c r="F55" s="64">
        <f>SUM('дод 3 '!G111)</f>
        <v>0</v>
      </c>
      <c r="G55" s="64">
        <f>SUM('дод 3 '!H111)</f>
        <v>0</v>
      </c>
      <c r="H55" s="64">
        <f>SUM('дод 3 '!I111)</f>
        <v>0</v>
      </c>
      <c r="I55" s="64">
        <f>SUM('дод 3 '!J111)</f>
        <v>20000</v>
      </c>
      <c r="J55" s="64">
        <f>SUM('дод 3 '!K111)</f>
        <v>20000</v>
      </c>
      <c r="K55" s="64">
        <f>SUM('дод 3 '!L111)</f>
        <v>0</v>
      </c>
      <c r="L55" s="64">
        <f>SUM('дод 3 '!M111)</f>
        <v>0</v>
      </c>
      <c r="M55" s="64">
        <f>SUM('дод 3 '!N111)</f>
        <v>0</v>
      </c>
      <c r="N55" s="64">
        <f>SUM('дод 3 '!O111)</f>
        <v>20000</v>
      </c>
      <c r="O55" s="64">
        <f>SUM('дод 3 '!P111)</f>
        <v>20000</v>
      </c>
      <c r="P55" s="130"/>
    </row>
    <row r="56" spans="1:16" s="87" customFormat="1" ht="43.5" customHeight="1" x14ac:dyDescent="0.25">
      <c r="A56" s="46" t="s">
        <v>123</v>
      </c>
      <c r="B56" s="46" t="s">
        <v>120</v>
      </c>
      <c r="C56" s="3" t="s">
        <v>43</v>
      </c>
      <c r="D56" s="64">
        <f>'дод 3 '!E112</f>
        <v>90500</v>
      </c>
      <c r="E56" s="64">
        <f>'дод 3 '!F112</f>
        <v>90500</v>
      </c>
      <c r="F56" s="64">
        <f>'дод 3 '!G112</f>
        <v>0</v>
      </c>
      <c r="G56" s="64">
        <f>'дод 3 '!H112</f>
        <v>0</v>
      </c>
      <c r="H56" s="64">
        <f>'дод 3 '!I112</f>
        <v>0</v>
      </c>
      <c r="I56" s="64">
        <f>'дод 3 '!J112</f>
        <v>0</v>
      </c>
      <c r="J56" s="64">
        <f>'дод 3 '!K112</f>
        <v>0</v>
      </c>
      <c r="K56" s="64">
        <f>'дод 3 '!L112</f>
        <v>0</v>
      </c>
      <c r="L56" s="64">
        <f>'дод 3 '!M112</f>
        <v>0</v>
      </c>
      <c r="M56" s="64">
        <f>'дод 3 '!N112</f>
        <v>0</v>
      </c>
      <c r="N56" s="64">
        <f>'дод 3 '!O112</f>
        <v>0</v>
      </c>
      <c r="O56" s="64">
        <f>'дод 3 '!P112</f>
        <v>90500</v>
      </c>
      <c r="P56" s="130"/>
    </row>
    <row r="57" spans="1:16" s="87" customFormat="1" ht="42.75" customHeight="1" x14ac:dyDescent="0.25">
      <c r="A57" s="46" t="s">
        <v>153</v>
      </c>
      <c r="B57" s="46" t="s">
        <v>120</v>
      </c>
      <c r="C57" s="3" t="s">
        <v>154</v>
      </c>
      <c r="D57" s="64">
        <f>'дод 3 '!E20</f>
        <v>2487735</v>
      </c>
      <c r="E57" s="64">
        <f>'дод 3 '!F20</f>
        <v>2487735</v>
      </c>
      <c r="F57" s="64">
        <f>'дод 3 '!G20</f>
        <v>1883250</v>
      </c>
      <c r="G57" s="64">
        <f>'дод 3 '!H20</f>
        <v>50170</v>
      </c>
      <c r="H57" s="64">
        <f>'дод 3 '!I20</f>
        <v>0</v>
      </c>
      <c r="I57" s="64">
        <f>'дод 3 '!J20</f>
        <v>0</v>
      </c>
      <c r="J57" s="64">
        <f>'дод 3 '!K20</f>
        <v>0</v>
      </c>
      <c r="K57" s="64">
        <f>'дод 3 '!L20</f>
        <v>0</v>
      </c>
      <c r="L57" s="64">
        <f>'дод 3 '!M20</f>
        <v>0</v>
      </c>
      <c r="M57" s="64">
        <f>'дод 3 '!N20</f>
        <v>0</v>
      </c>
      <c r="N57" s="64">
        <f>'дод 3 '!O20</f>
        <v>0</v>
      </c>
      <c r="O57" s="64">
        <f>'дод 3 '!P20</f>
        <v>2487735</v>
      </c>
      <c r="P57" s="130"/>
    </row>
    <row r="58" spans="1:16" s="87" customFormat="1" ht="57" customHeight="1" x14ac:dyDescent="0.25">
      <c r="A58" s="49" t="s">
        <v>127</v>
      </c>
      <c r="B58" s="49" t="s">
        <v>120</v>
      </c>
      <c r="C58" s="3" t="s">
        <v>401</v>
      </c>
      <c r="D58" s="64">
        <f>'дод 3 '!E21</f>
        <v>850000</v>
      </c>
      <c r="E58" s="64">
        <f>'дод 3 '!F21</f>
        <v>850000</v>
      </c>
      <c r="F58" s="64">
        <f>'дод 3 '!G21</f>
        <v>0</v>
      </c>
      <c r="G58" s="64">
        <f>'дод 3 '!H21</f>
        <v>0</v>
      </c>
      <c r="H58" s="64">
        <f>'дод 3 '!I21</f>
        <v>0</v>
      </c>
      <c r="I58" s="64">
        <f>'дод 3 '!J21</f>
        <v>0</v>
      </c>
      <c r="J58" s="64">
        <f>'дод 3 '!K21</f>
        <v>0</v>
      </c>
      <c r="K58" s="64">
        <f>'дод 3 '!L21</f>
        <v>0</v>
      </c>
      <c r="L58" s="64">
        <f>'дод 3 '!M21</f>
        <v>0</v>
      </c>
      <c r="M58" s="64">
        <f>'дод 3 '!N21</f>
        <v>0</v>
      </c>
      <c r="N58" s="64">
        <f>'дод 3 '!O21</f>
        <v>0</v>
      </c>
      <c r="O58" s="64">
        <f>'дод 3 '!P21</f>
        <v>850000</v>
      </c>
      <c r="P58" s="130"/>
    </row>
    <row r="59" spans="1:16" ht="75" customHeight="1" x14ac:dyDescent="0.25">
      <c r="A59" s="46" t="s">
        <v>128</v>
      </c>
      <c r="B59" s="46" t="s">
        <v>120</v>
      </c>
      <c r="C59" s="6" t="s">
        <v>28</v>
      </c>
      <c r="D59" s="64">
        <f>'дод 3 '!E64+'дод 3 '!E22</f>
        <v>7560000</v>
      </c>
      <c r="E59" s="64">
        <f>'дод 3 '!F64+'дод 3 '!F22</f>
        <v>7560000</v>
      </c>
      <c r="F59" s="64">
        <f>'дод 3 '!G64+'дод 3 '!G22</f>
        <v>0</v>
      </c>
      <c r="G59" s="64">
        <f>'дод 3 '!H64+'дод 3 '!H22</f>
        <v>0</v>
      </c>
      <c r="H59" s="64">
        <f>'дод 3 '!I64+'дод 3 '!I22</f>
        <v>0</v>
      </c>
      <c r="I59" s="64">
        <f>'дод 3 '!J64+'дод 3 '!J22</f>
        <v>0</v>
      </c>
      <c r="J59" s="64">
        <f>'дод 3 '!K64+'дод 3 '!K22</f>
        <v>0</v>
      </c>
      <c r="K59" s="64">
        <f>'дод 3 '!L64+'дод 3 '!L22</f>
        <v>0</v>
      </c>
      <c r="L59" s="64">
        <f>'дод 3 '!M64+'дод 3 '!M22</f>
        <v>0</v>
      </c>
      <c r="M59" s="64">
        <f>'дод 3 '!N64+'дод 3 '!N22</f>
        <v>0</v>
      </c>
      <c r="N59" s="64">
        <f>'дод 3 '!O64+'дод 3 '!O22</f>
        <v>0</v>
      </c>
      <c r="O59" s="64">
        <f>'дод 3 '!P64+'дод 3 '!P22</f>
        <v>7560000</v>
      </c>
      <c r="P59" s="130"/>
    </row>
    <row r="60" spans="1:16" ht="92.25" customHeight="1" x14ac:dyDescent="0.25">
      <c r="A60" s="46" t="s">
        <v>129</v>
      </c>
      <c r="B60" s="46">
        <v>1010</v>
      </c>
      <c r="C60" s="3" t="s">
        <v>335</v>
      </c>
      <c r="D60" s="64">
        <f>'дод 3 '!E97</f>
        <v>1911000</v>
      </c>
      <c r="E60" s="64">
        <f>'дод 3 '!F97</f>
        <v>1911000</v>
      </c>
      <c r="F60" s="64">
        <f>'дод 3 '!G97</f>
        <v>0</v>
      </c>
      <c r="G60" s="64">
        <f>'дод 3 '!H97</f>
        <v>0</v>
      </c>
      <c r="H60" s="64">
        <f>'дод 3 '!I97</f>
        <v>0</v>
      </c>
      <c r="I60" s="64">
        <f>'дод 3 '!J97</f>
        <v>0</v>
      </c>
      <c r="J60" s="64">
        <f>'дод 3 '!K97</f>
        <v>0</v>
      </c>
      <c r="K60" s="64">
        <f>'дод 3 '!L97</f>
        <v>0</v>
      </c>
      <c r="L60" s="64">
        <f>'дод 3 '!M97</f>
        <v>0</v>
      </c>
      <c r="M60" s="64">
        <f>'дод 3 '!N97</f>
        <v>0</v>
      </c>
      <c r="N60" s="64">
        <f>'дод 3 '!O97</f>
        <v>0</v>
      </c>
      <c r="O60" s="64">
        <f>'дод 3 '!P97</f>
        <v>1911000</v>
      </c>
      <c r="P60" s="130"/>
    </row>
    <row r="61" spans="1:16" s="87" customFormat="1" ht="53.25" customHeight="1" x14ac:dyDescent="0.25">
      <c r="A61" s="46" t="s">
        <v>370</v>
      </c>
      <c r="B61" s="46">
        <v>1010</v>
      </c>
      <c r="C61" s="3" t="s">
        <v>372</v>
      </c>
      <c r="D61" s="64">
        <f>'дод 3 '!E98</f>
        <v>228095</v>
      </c>
      <c r="E61" s="64">
        <f>'дод 3 '!F98</f>
        <v>228095</v>
      </c>
      <c r="F61" s="64">
        <f>'дод 3 '!G98</f>
        <v>0</v>
      </c>
      <c r="G61" s="64">
        <f>'дод 3 '!H98</f>
        <v>0</v>
      </c>
      <c r="H61" s="64">
        <f>'дод 3 '!I98</f>
        <v>0</v>
      </c>
      <c r="I61" s="64">
        <f>'дод 3 '!J98</f>
        <v>0</v>
      </c>
      <c r="J61" s="64">
        <f>'дод 3 '!K98</f>
        <v>0</v>
      </c>
      <c r="K61" s="64">
        <f>'дод 3 '!L98</f>
        <v>0</v>
      </c>
      <c r="L61" s="64">
        <f>'дод 3 '!M98</f>
        <v>0</v>
      </c>
      <c r="M61" s="64">
        <f>'дод 3 '!N98</f>
        <v>0</v>
      </c>
      <c r="N61" s="64">
        <f>'дод 3 '!O98</f>
        <v>0</v>
      </c>
      <c r="O61" s="64">
        <f>'дод 3 '!P98</f>
        <v>228095</v>
      </c>
      <c r="P61" s="130"/>
    </row>
    <row r="62" spans="1:16" s="87" customFormat="1" ht="38.25" customHeight="1" x14ac:dyDescent="0.25">
      <c r="A62" s="46" t="s">
        <v>371</v>
      </c>
      <c r="B62" s="46">
        <v>1010</v>
      </c>
      <c r="C62" s="3" t="s">
        <v>373</v>
      </c>
      <c r="D62" s="64">
        <f>'дод 3 '!E99</f>
        <v>90</v>
      </c>
      <c r="E62" s="64">
        <f>'дод 3 '!F99</f>
        <v>90</v>
      </c>
      <c r="F62" s="64">
        <f>'дод 3 '!G99</f>
        <v>0</v>
      </c>
      <c r="G62" s="64">
        <f>'дод 3 '!H99</f>
        <v>0</v>
      </c>
      <c r="H62" s="64">
        <f>'дод 3 '!I99</f>
        <v>0</v>
      </c>
      <c r="I62" s="64">
        <f>'дод 3 '!J99</f>
        <v>0</v>
      </c>
      <c r="J62" s="64">
        <f>'дод 3 '!K99</f>
        <v>0</v>
      </c>
      <c r="K62" s="64">
        <f>'дод 3 '!L99</f>
        <v>0</v>
      </c>
      <c r="L62" s="64">
        <f>'дод 3 '!M99</f>
        <v>0</v>
      </c>
      <c r="M62" s="64">
        <f>'дод 3 '!N99</f>
        <v>0</v>
      </c>
      <c r="N62" s="64">
        <f>'дод 3 '!O99</f>
        <v>0</v>
      </c>
      <c r="O62" s="64">
        <f>'дод 3 '!P99</f>
        <v>90</v>
      </c>
      <c r="P62" s="130"/>
    </row>
    <row r="63" spans="1:16" ht="77.25" customHeight="1" x14ac:dyDescent="0.25">
      <c r="A63" s="46" t="s">
        <v>124</v>
      </c>
      <c r="B63" s="46" t="s">
        <v>68</v>
      </c>
      <c r="C63" s="3" t="s">
        <v>402</v>
      </c>
      <c r="D63" s="64">
        <f>'дод 3 '!E100</f>
        <v>2075000</v>
      </c>
      <c r="E63" s="64">
        <f>'дод 3 '!F100</f>
        <v>2075000</v>
      </c>
      <c r="F63" s="64">
        <f>'дод 3 '!G100</f>
        <v>0</v>
      </c>
      <c r="G63" s="64">
        <f>'дод 3 '!H100</f>
        <v>0</v>
      </c>
      <c r="H63" s="64">
        <f>'дод 3 '!I100</f>
        <v>0</v>
      </c>
      <c r="I63" s="64">
        <f>'дод 3 '!J100</f>
        <v>0</v>
      </c>
      <c r="J63" s="64">
        <f>'дод 3 '!K100</f>
        <v>0</v>
      </c>
      <c r="K63" s="64">
        <f>'дод 3 '!L100</f>
        <v>0</v>
      </c>
      <c r="L63" s="64">
        <f>'дод 3 '!M100</f>
        <v>0</v>
      </c>
      <c r="M63" s="64">
        <f>'дод 3 '!N100</f>
        <v>0</v>
      </c>
      <c r="N63" s="64">
        <f>'дод 3 '!O100</f>
        <v>0</v>
      </c>
      <c r="O63" s="64">
        <f>'дод 3 '!P100</f>
        <v>2075000</v>
      </c>
      <c r="P63" s="130"/>
    </row>
    <row r="64" spans="1:16" s="87" customFormat="1" ht="36.75" customHeight="1" x14ac:dyDescent="0.25">
      <c r="A64" s="46" t="s">
        <v>336</v>
      </c>
      <c r="B64" s="46" t="s">
        <v>67</v>
      </c>
      <c r="C64" s="3" t="s">
        <v>24</v>
      </c>
      <c r="D64" s="64">
        <f>'дод 3 '!E101</f>
        <v>2178000</v>
      </c>
      <c r="E64" s="64">
        <f>'дод 3 '!F101</f>
        <v>2178000</v>
      </c>
      <c r="F64" s="64">
        <f>'дод 3 '!G101</f>
        <v>0</v>
      </c>
      <c r="G64" s="64">
        <f>'дод 3 '!H101</f>
        <v>0</v>
      </c>
      <c r="H64" s="64">
        <f>'дод 3 '!I101</f>
        <v>0</v>
      </c>
      <c r="I64" s="64">
        <f>'дод 3 '!J101</f>
        <v>0</v>
      </c>
      <c r="J64" s="64">
        <f>'дод 3 '!K101</f>
        <v>0</v>
      </c>
      <c r="K64" s="64">
        <f>'дод 3 '!L101</f>
        <v>0</v>
      </c>
      <c r="L64" s="64">
        <f>'дод 3 '!M101</f>
        <v>0</v>
      </c>
      <c r="M64" s="64">
        <f>'дод 3 '!N101</f>
        <v>0</v>
      </c>
      <c r="N64" s="64">
        <f>'дод 3 '!O101</f>
        <v>0</v>
      </c>
      <c r="O64" s="64">
        <f>'дод 3 '!P101</f>
        <v>2178000</v>
      </c>
      <c r="P64" s="130"/>
    </row>
    <row r="65" spans="1:16" s="87" customFormat="1" ht="55.5" customHeight="1" x14ac:dyDescent="0.25">
      <c r="A65" s="46" t="s">
        <v>337</v>
      </c>
      <c r="B65" s="46" t="s">
        <v>67</v>
      </c>
      <c r="C65" s="3" t="s">
        <v>366</v>
      </c>
      <c r="D65" s="64">
        <f>'дод 3 '!E102</f>
        <v>1892237</v>
      </c>
      <c r="E65" s="64">
        <f>'дод 3 '!F102</f>
        <v>1892237</v>
      </c>
      <c r="F65" s="64">
        <f>'дод 3 '!G102</f>
        <v>0</v>
      </c>
      <c r="G65" s="64">
        <f>'дод 3 '!H102</f>
        <v>0</v>
      </c>
      <c r="H65" s="64">
        <f>'дод 3 '!I102</f>
        <v>0</v>
      </c>
      <c r="I65" s="64">
        <f>'дод 3 '!J102</f>
        <v>0</v>
      </c>
      <c r="J65" s="64">
        <f>'дод 3 '!K102</f>
        <v>0</v>
      </c>
      <c r="K65" s="64">
        <f>'дод 3 '!L102</f>
        <v>0</v>
      </c>
      <c r="L65" s="64">
        <f>'дод 3 '!M102</f>
        <v>0</v>
      </c>
      <c r="M65" s="64">
        <f>'дод 3 '!N102</f>
        <v>0</v>
      </c>
      <c r="N65" s="64">
        <f>'дод 3 '!O102</f>
        <v>0</v>
      </c>
      <c r="O65" s="64">
        <f>'дод 3 '!P102</f>
        <v>1892237</v>
      </c>
      <c r="P65" s="130"/>
    </row>
    <row r="66" spans="1:16" ht="43.5" customHeight="1" x14ac:dyDescent="0.25">
      <c r="A66" s="46" t="s">
        <v>125</v>
      </c>
      <c r="B66" s="46" t="s">
        <v>71</v>
      </c>
      <c r="C66" s="3" t="s">
        <v>403</v>
      </c>
      <c r="D66" s="64">
        <f>'дод 3 '!E103</f>
        <v>86500</v>
      </c>
      <c r="E66" s="64">
        <f>'дод 3 '!F103</f>
        <v>86500</v>
      </c>
      <c r="F66" s="64">
        <f>'дод 3 '!G103</f>
        <v>0</v>
      </c>
      <c r="G66" s="64">
        <f>'дод 3 '!H103</f>
        <v>0</v>
      </c>
      <c r="H66" s="64">
        <f>'дод 3 '!I103</f>
        <v>0</v>
      </c>
      <c r="I66" s="64">
        <f>'дод 3 '!J103</f>
        <v>0</v>
      </c>
      <c r="J66" s="64">
        <f>'дод 3 '!K103</f>
        <v>0</v>
      </c>
      <c r="K66" s="64">
        <f>'дод 3 '!L103</f>
        <v>0</v>
      </c>
      <c r="L66" s="64">
        <f>'дод 3 '!M103</f>
        <v>0</v>
      </c>
      <c r="M66" s="64">
        <f>'дод 3 '!N103</f>
        <v>0</v>
      </c>
      <c r="N66" s="64">
        <f>'дод 3 '!O103</f>
        <v>0</v>
      </c>
      <c r="O66" s="64">
        <f>'дод 3 '!P103</f>
        <v>86500</v>
      </c>
      <c r="P66" s="130"/>
    </row>
    <row r="67" spans="1:16" ht="27.75" customHeight="1" x14ac:dyDescent="0.25">
      <c r="A67" s="46" t="s">
        <v>338</v>
      </c>
      <c r="B67" s="46" t="s">
        <v>126</v>
      </c>
      <c r="C67" s="3" t="s">
        <v>50</v>
      </c>
      <c r="D67" s="64">
        <f>'дод 3 '!E104+'дод 3 '!E126</f>
        <v>600000</v>
      </c>
      <c r="E67" s="64">
        <f>'дод 3 '!F104+'дод 3 '!F126</f>
        <v>600000</v>
      </c>
      <c r="F67" s="64">
        <f>'дод 3 '!G104+'дод 3 '!G126</f>
        <v>163935</v>
      </c>
      <c r="G67" s="64">
        <f>'дод 3 '!H104+'дод 3 '!H126</f>
        <v>0</v>
      </c>
      <c r="H67" s="64">
        <f>'дод 3 '!I104+'дод 3 '!I126</f>
        <v>0</v>
      </c>
      <c r="I67" s="64">
        <f>'дод 3 '!J104+'дод 3 '!J126</f>
        <v>0</v>
      </c>
      <c r="J67" s="64">
        <f>'дод 3 '!K104+'дод 3 '!K126</f>
        <v>0</v>
      </c>
      <c r="K67" s="64">
        <f>'дод 3 '!L104+'дод 3 '!L126</f>
        <v>0</v>
      </c>
      <c r="L67" s="64">
        <f>'дод 3 '!M104+'дод 3 '!M126</f>
        <v>0</v>
      </c>
      <c r="M67" s="64">
        <f>'дод 3 '!N104+'дод 3 '!N126</f>
        <v>0</v>
      </c>
      <c r="N67" s="64">
        <f>'дод 3 '!O104+'дод 3 '!O126</f>
        <v>0</v>
      </c>
      <c r="O67" s="64">
        <f>'дод 3 '!P104+'дод 3 '!P126</f>
        <v>600000</v>
      </c>
      <c r="P67" s="130"/>
    </row>
    <row r="68" spans="1:16" s="87" customFormat="1" ht="32.25" customHeight="1" x14ac:dyDescent="0.25">
      <c r="A68" s="46" t="s">
        <v>339</v>
      </c>
      <c r="B68" s="46" t="s">
        <v>71</v>
      </c>
      <c r="C68" s="3" t="s">
        <v>341</v>
      </c>
      <c r="D68" s="64">
        <f>'дод 3 '!E105+'дод 3 '!E23</f>
        <v>6644225</v>
      </c>
      <c r="E68" s="64">
        <f>'дод 3 '!F105+'дод 3 '!F23</f>
        <v>6644225</v>
      </c>
      <c r="F68" s="64">
        <f>'дод 3 '!G105+'дод 3 '!G23</f>
        <v>4196250</v>
      </c>
      <c r="G68" s="64">
        <f>'дод 3 '!H105+'дод 3 '!H23</f>
        <v>657930</v>
      </c>
      <c r="H68" s="64">
        <f>'дод 3 '!I105+'дод 3 '!I23</f>
        <v>0</v>
      </c>
      <c r="I68" s="64">
        <f>'дод 3 '!J105+'дод 3 '!J23</f>
        <v>700000</v>
      </c>
      <c r="J68" s="64">
        <f>'дод 3 '!K105+'дод 3 '!K23</f>
        <v>700000</v>
      </c>
      <c r="K68" s="64">
        <f>'дод 3 '!L105+'дод 3 '!L23</f>
        <v>0</v>
      </c>
      <c r="L68" s="64">
        <f>'дод 3 '!M105+'дод 3 '!M23</f>
        <v>0</v>
      </c>
      <c r="M68" s="64">
        <f>'дод 3 '!N105+'дод 3 '!N23</f>
        <v>0</v>
      </c>
      <c r="N68" s="64">
        <f>'дод 3 '!O105+'дод 3 '!O23</f>
        <v>700000</v>
      </c>
      <c r="O68" s="64">
        <f>'дод 3 '!P105+'дод 3 '!P23</f>
        <v>7344225</v>
      </c>
      <c r="P68" s="130"/>
    </row>
    <row r="69" spans="1:16" s="87" customFormat="1" ht="31.5" customHeight="1" x14ac:dyDescent="0.25">
      <c r="A69" s="46" t="s">
        <v>340</v>
      </c>
      <c r="B69" s="46" t="s">
        <v>71</v>
      </c>
      <c r="C69" s="3" t="s">
        <v>342</v>
      </c>
      <c r="D69" s="64">
        <f>'дод 3 '!E65+'дод 3 '!E106+'дод 3 '!E24</f>
        <v>30759876</v>
      </c>
      <c r="E69" s="64">
        <f>'дод 3 '!F65+'дод 3 '!F106+'дод 3 '!F24</f>
        <v>30759876</v>
      </c>
      <c r="F69" s="64">
        <f>'дод 3 '!G65+'дод 3 '!G106+'дод 3 '!G24</f>
        <v>0</v>
      </c>
      <c r="G69" s="64">
        <f>'дод 3 '!H65+'дод 3 '!H106+'дод 3 '!H24</f>
        <v>0</v>
      </c>
      <c r="H69" s="64">
        <f>'дод 3 '!I65+'дод 3 '!I106+'дод 3 '!I24</f>
        <v>0</v>
      </c>
      <c r="I69" s="64">
        <f>'дод 3 '!J65+'дод 3 '!J106+'дод 3 '!J24</f>
        <v>35640</v>
      </c>
      <c r="J69" s="64">
        <f>'дод 3 '!K65+'дод 3 '!K106+'дод 3 '!K24</f>
        <v>35640</v>
      </c>
      <c r="K69" s="64">
        <f>'дод 3 '!L65+'дод 3 '!L106+'дод 3 '!L24</f>
        <v>0</v>
      </c>
      <c r="L69" s="64">
        <f>'дод 3 '!M65+'дод 3 '!M106+'дод 3 '!M24</f>
        <v>0</v>
      </c>
      <c r="M69" s="64">
        <f>'дод 3 '!N65+'дод 3 '!N106+'дод 3 '!N24</f>
        <v>0</v>
      </c>
      <c r="N69" s="64">
        <f>'дод 3 '!O65+'дод 3 '!O106+'дод 3 '!O24</f>
        <v>35640</v>
      </c>
      <c r="O69" s="64">
        <f>'дод 3 '!P65+'дод 3 '!P106+'дод 3 '!P24</f>
        <v>30795516</v>
      </c>
      <c r="P69" s="130"/>
    </row>
    <row r="70" spans="1:16" s="85" customFormat="1" ht="19.5" customHeight="1" x14ac:dyDescent="0.25">
      <c r="A70" s="47" t="s">
        <v>90</v>
      </c>
      <c r="B70" s="50"/>
      <c r="C70" s="2" t="s">
        <v>91</v>
      </c>
      <c r="D70" s="63">
        <f t="shared" ref="D70:O70" si="6">D71+D72+D73+D74</f>
        <v>31894480</v>
      </c>
      <c r="E70" s="63">
        <f t="shared" si="6"/>
        <v>31894480</v>
      </c>
      <c r="F70" s="63">
        <f t="shared" si="6"/>
        <v>19079400</v>
      </c>
      <c r="G70" s="63">
        <f t="shared" si="6"/>
        <v>2209260</v>
      </c>
      <c r="H70" s="63">
        <f t="shared" si="6"/>
        <v>0</v>
      </c>
      <c r="I70" s="63">
        <f t="shared" si="6"/>
        <v>385500</v>
      </c>
      <c r="J70" s="63">
        <f t="shared" si="6"/>
        <v>349500</v>
      </c>
      <c r="K70" s="63">
        <f t="shared" si="6"/>
        <v>36000</v>
      </c>
      <c r="L70" s="63">
        <f t="shared" si="6"/>
        <v>12100</v>
      </c>
      <c r="M70" s="63">
        <f t="shared" si="6"/>
        <v>3300</v>
      </c>
      <c r="N70" s="63">
        <f t="shared" si="6"/>
        <v>349500</v>
      </c>
      <c r="O70" s="63">
        <f t="shared" si="6"/>
        <v>32279980</v>
      </c>
      <c r="P70" s="130"/>
    </row>
    <row r="71" spans="1:16" ht="22.5" customHeight="1" x14ac:dyDescent="0.25">
      <c r="A71" s="46" t="s">
        <v>92</v>
      </c>
      <c r="B71" s="46" t="s">
        <v>93</v>
      </c>
      <c r="C71" s="3" t="s">
        <v>21</v>
      </c>
      <c r="D71" s="64">
        <f>'дод 3 '!E117</f>
        <v>19118200</v>
      </c>
      <c r="E71" s="64">
        <f>'дод 3 '!F117</f>
        <v>19118200</v>
      </c>
      <c r="F71" s="64">
        <f>'дод 3 '!G117</f>
        <v>13804000</v>
      </c>
      <c r="G71" s="64">
        <f>'дод 3 '!H117</f>
        <v>1346200</v>
      </c>
      <c r="H71" s="64">
        <f>'дод 3 '!I117</f>
        <v>0</v>
      </c>
      <c r="I71" s="64">
        <f>'дод 3 '!J117</f>
        <v>130000</v>
      </c>
      <c r="J71" s="64">
        <f>'дод 3 '!K117</f>
        <v>100000</v>
      </c>
      <c r="K71" s="64">
        <f>'дод 3 '!L117</f>
        <v>30000</v>
      </c>
      <c r="L71" s="64">
        <f>'дод 3 '!M117</f>
        <v>12100</v>
      </c>
      <c r="M71" s="64">
        <f>'дод 3 '!N117</f>
        <v>0</v>
      </c>
      <c r="N71" s="64">
        <f>'дод 3 '!O117</f>
        <v>100000</v>
      </c>
      <c r="O71" s="64">
        <f>'дод 3 '!P117</f>
        <v>19248200</v>
      </c>
      <c r="P71" s="130"/>
    </row>
    <row r="72" spans="1:16" ht="33.75" customHeight="1" x14ac:dyDescent="0.25">
      <c r="A72" s="46" t="s">
        <v>376</v>
      </c>
      <c r="B72" s="46" t="s">
        <v>377</v>
      </c>
      <c r="C72" s="3" t="s">
        <v>378</v>
      </c>
      <c r="D72" s="64">
        <f>'дод 3 '!E25+'дод 3 '!E118</f>
        <v>5291680</v>
      </c>
      <c r="E72" s="64">
        <f>'дод 3 '!F25+'дод 3 '!F118</f>
        <v>5291680</v>
      </c>
      <c r="F72" s="64">
        <f>'дод 3 '!G25+'дод 3 '!G118</f>
        <v>2522400</v>
      </c>
      <c r="G72" s="64">
        <f>'дод 3 '!H25+'дод 3 '!H118</f>
        <v>738960</v>
      </c>
      <c r="H72" s="64">
        <f>'дод 3 '!I25+'дод 3 '!I118</f>
        <v>0</v>
      </c>
      <c r="I72" s="64">
        <f>'дод 3 '!J25+'дод 3 '!J118</f>
        <v>31500</v>
      </c>
      <c r="J72" s="64">
        <f>'дод 3 '!K25+'дод 3 '!K118</f>
        <v>25500</v>
      </c>
      <c r="K72" s="64">
        <f>'дод 3 '!L25+'дод 3 '!L118</f>
        <v>6000</v>
      </c>
      <c r="L72" s="64">
        <f>'дод 3 '!M25+'дод 3 '!M118</f>
        <v>0</v>
      </c>
      <c r="M72" s="64">
        <f>'дод 3 '!N25+'дод 3 '!N118</f>
        <v>3300</v>
      </c>
      <c r="N72" s="64">
        <f>'дод 3 '!O25+'дод 3 '!O118</f>
        <v>25500</v>
      </c>
      <c r="O72" s="64">
        <f>'дод 3 '!P25+'дод 3 '!P118</f>
        <v>5323180</v>
      </c>
      <c r="P72" s="130"/>
    </row>
    <row r="73" spans="1:16" s="87" customFormat="1" ht="39.75" customHeight="1" x14ac:dyDescent="0.25">
      <c r="A73" s="46" t="s">
        <v>343</v>
      </c>
      <c r="B73" s="46" t="s">
        <v>94</v>
      </c>
      <c r="C73" s="3" t="s">
        <v>404</v>
      </c>
      <c r="D73" s="64">
        <f>'дод 3 '!E26+'дод 3 '!E119</f>
        <v>4753900</v>
      </c>
      <c r="E73" s="64">
        <f>'дод 3 '!F26+'дод 3 '!F119</f>
        <v>4753900</v>
      </c>
      <c r="F73" s="64">
        <f>'дод 3 '!G26+'дод 3 '!G119</f>
        <v>2753000</v>
      </c>
      <c r="G73" s="64">
        <f>'дод 3 '!H26+'дод 3 '!H119</f>
        <v>124100</v>
      </c>
      <c r="H73" s="64">
        <f>'дод 3 '!I26+'дод 3 '!I119</f>
        <v>0</v>
      </c>
      <c r="I73" s="64">
        <f>'дод 3 '!J26+'дод 3 '!J119</f>
        <v>224000</v>
      </c>
      <c r="J73" s="64">
        <f>'дод 3 '!K26+'дод 3 '!K119</f>
        <v>224000</v>
      </c>
      <c r="K73" s="64">
        <f>'дод 3 '!L26+'дод 3 '!L119</f>
        <v>0</v>
      </c>
      <c r="L73" s="64">
        <f>'дод 3 '!M26+'дод 3 '!M119</f>
        <v>0</v>
      </c>
      <c r="M73" s="64">
        <f>'дод 3 '!N26+'дод 3 '!N119</f>
        <v>0</v>
      </c>
      <c r="N73" s="64">
        <f>'дод 3 '!O26+'дод 3 '!O119</f>
        <v>224000</v>
      </c>
      <c r="O73" s="64">
        <f>'дод 3 '!P26+'дод 3 '!P119</f>
        <v>4977900</v>
      </c>
      <c r="P73" s="130"/>
    </row>
    <row r="74" spans="1:16" s="87" customFormat="1" ht="30" customHeight="1" x14ac:dyDescent="0.25">
      <c r="A74" s="46" t="s">
        <v>344</v>
      </c>
      <c r="B74" s="46" t="s">
        <v>94</v>
      </c>
      <c r="C74" s="3" t="s">
        <v>345</v>
      </c>
      <c r="D74" s="64">
        <f>'дод 3 '!E27+'дод 3 '!E120</f>
        <v>2730700</v>
      </c>
      <c r="E74" s="64">
        <f>'дод 3 '!F27+'дод 3 '!F120</f>
        <v>2730700</v>
      </c>
      <c r="F74" s="64">
        <f>'дод 3 '!G27+'дод 3 '!G120</f>
        <v>0</v>
      </c>
      <c r="G74" s="64">
        <f>'дод 3 '!H27+'дод 3 '!H120</f>
        <v>0</v>
      </c>
      <c r="H74" s="64">
        <f>'дод 3 '!I27+'дод 3 '!I120</f>
        <v>0</v>
      </c>
      <c r="I74" s="64">
        <f>'дод 3 '!J27+'дод 3 '!J120</f>
        <v>0</v>
      </c>
      <c r="J74" s="64">
        <f>'дод 3 '!K27+'дод 3 '!K120</f>
        <v>0</v>
      </c>
      <c r="K74" s="64">
        <f>'дод 3 '!L27+'дод 3 '!L120</f>
        <v>0</v>
      </c>
      <c r="L74" s="64">
        <f>'дод 3 '!M27+'дод 3 '!M120</f>
        <v>0</v>
      </c>
      <c r="M74" s="64">
        <f>'дод 3 '!N27+'дод 3 '!N120</f>
        <v>0</v>
      </c>
      <c r="N74" s="64">
        <f>'дод 3 '!O27+'дод 3 '!O120</f>
        <v>0</v>
      </c>
      <c r="O74" s="64">
        <f>'дод 3 '!P27+'дод 3 '!P120</f>
        <v>2730700</v>
      </c>
      <c r="P74" s="130"/>
    </row>
    <row r="75" spans="1:16" s="85" customFormat="1" ht="21.75" customHeight="1" x14ac:dyDescent="0.25">
      <c r="A75" s="47" t="s">
        <v>97</v>
      </c>
      <c r="B75" s="50"/>
      <c r="C75" s="2" t="s">
        <v>98</v>
      </c>
      <c r="D75" s="63">
        <f t="shared" ref="D75:O75" si="7">D76+D77+D78+D79+D80+D81</f>
        <v>44277470</v>
      </c>
      <c r="E75" s="63">
        <f t="shared" si="7"/>
        <v>44277470</v>
      </c>
      <c r="F75" s="63">
        <f t="shared" si="7"/>
        <v>17286800</v>
      </c>
      <c r="G75" s="63">
        <f t="shared" si="7"/>
        <v>1430790</v>
      </c>
      <c r="H75" s="63">
        <f t="shared" si="7"/>
        <v>0</v>
      </c>
      <c r="I75" s="63">
        <f t="shared" si="7"/>
        <v>2129120</v>
      </c>
      <c r="J75" s="63">
        <f t="shared" si="7"/>
        <v>1950000</v>
      </c>
      <c r="K75" s="63">
        <f t="shared" si="7"/>
        <v>179120</v>
      </c>
      <c r="L75" s="63">
        <f t="shared" si="7"/>
        <v>91105</v>
      </c>
      <c r="M75" s="63">
        <f t="shared" si="7"/>
        <v>51050</v>
      </c>
      <c r="N75" s="63">
        <f t="shared" si="7"/>
        <v>1950000</v>
      </c>
      <c r="O75" s="63">
        <f t="shared" si="7"/>
        <v>46406590</v>
      </c>
      <c r="P75" s="130"/>
    </row>
    <row r="76" spans="1:16" s="87" customFormat="1" ht="43.5" customHeight="1" x14ac:dyDescent="0.25">
      <c r="A76" s="46" t="s">
        <v>99</v>
      </c>
      <c r="B76" s="46" t="s">
        <v>100</v>
      </c>
      <c r="C76" s="3" t="s">
        <v>29</v>
      </c>
      <c r="D76" s="64">
        <f>'дод 3 '!E28</f>
        <v>750000</v>
      </c>
      <c r="E76" s="64">
        <f>'дод 3 '!F28</f>
        <v>750000</v>
      </c>
      <c r="F76" s="64">
        <f>'дод 3 '!G28</f>
        <v>0</v>
      </c>
      <c r="G76" s="64">
        <f>'дод 3 '!H28</f>
        <v>0</v>
      </c>
      <c r="H76" s="64">
        <f>'дод 3 '!I28</f>
        <v>0</v>
      </c>
      <c r="I76" s="64">
        <f>'дод 3 '!J28</f>
        <v>0</v>
      </c>
      <c r="J76" s="64">
        <f>'дод 3 '!K28</f>
        <v>0</v>
      </c>
      <c r="K76" s="64">
        <f>'дод 3 '!L28</f>
        <v>0</v>
      </c>
      <c r="L76" s="64">
        <f>'дод 3 '!M28</f>
        <v>0</v>
      </c>
      <c r="M76" s="64">
        <f>'дод 3 '!N28</f>
        <v>0</v>
      </c>
      <c r="N76" s="64">
        <f>'дод 3 '!O28</f>
        <v>0</v>
      </c>
      <c r="O76" s="64">
        <f>'дод 3 '!P28</f>
        <v>750000</v>
      </c>
      <c r="P76" s="130"/>
    </row>
    <row r="77" spans="1:16" s="87" customFormat="1" ht="39.75" customHeight="1" x14ac:dyDescent="0.25">
      <c r="A77" s="46" t="s">
        <v>101</v>
      </c>
      <c r="B77" s="46" t="s">
        <v>100</v>
      </c>
      <c r="C77" s="3" t="s">
        <v>22</v>
      </c>
      <c r="D77" s="64">
        <f>'дод 3 '!E29</f>
        <v>2050000</v>
      </c>
      <c r="E77" s="64">
        <f>'дод 3 '!F29</f>
        <v>2050000</v>
      </c>
      <c r="F77" s="64">
        <f>'дод 3 '!G29</f>
        <v>0</v>
      </c>
      <c r="G77" s="64">
        <f>'дод 3 '!H29</f>
        <v>0</v>
      </c>
      <c r="H77" s="64">
        <f>'дод 3 '!I29</f>
        <v>0</v>
      </c>
      <c r="I77" s="64">
        <f>'дод 3 '!J29</f>
        <v>0</v>
      </c>
      <c r="J77" s="64">
        <f>'дод 3 '!K29</f>
        <v>0</v>
      </c>
      <c r="K77" s="64">
        <f>'дод 3 '!L29</f>
        <v>0</v>
      </c>
      <c r="L77" s="64">
        <f>'дод 3 '!M29</f>
        <v>0</v>
      </c>
      <c r="M77" s="64">
        <f>'дод 3 '!N29</f>
        <v>0</v>
      </c>
      <c r="N77" s="64">
        <f>'дод 3 '!O29</f>
        <v>0</v>
      </c>
      <c r="O77" s="64">
        <f>'дод 3 '!P29</f>
        <v>2050000</v>
      </c>
      <c r="P77" s="130"/>
    </row>
    <row r="78" spans="1:16" s="87" customFormat="1" ht="36.75" customHeight="1" x14ac:dyDescent="0.25">
      <c r="A78" s="46" t="s">
        <v>137</v>
      </c>
      <c r="B78" s="46" t="s">
        <v>100</v>
      </c>
      <c r="C78" s="3" t="s">
        <v>30</v>
      </c>
      <c r="D78" s="64">
        <f>'дод 3 '!E66+'дод 3 '!E30</f>
        <v>19832330</v>
      </c>
      <c r="E78" s="64">
        <f>'дод 3 '!F66+'дод 3 '!F30</f>
        <v>19832330</v>
      </c>
      <c r="F78" s="64">
        <f>'дод 3 '!G66+'дод 3 '!G30</f>
        <v>14839900</v>
      </c>
      <c r="G78" s="64">
        <f>'дод 3 '!H66+'дод 3 '!H30</f>
        <v>1060690</v>
      </c>
      <c r="H78" s="64">
        <f>'дод 3 '!I66+'дод 3 '!I30</f>
        <v>0</v>
      </c>
      <c r="I78" s="64">
        <f>'дод 3 '!J66+'дод 3 '!J30</f>
        <v>1050000</v>
      </c>
      <c r="J78" s="64">
        <f>'дод 3 '!K66+'дод 3 '!K30</f>
        <v>1050000</v>
      </c>
      <c r="K78" s="64">
        <f>'дод 3 '!L66+'дод 3 '!L30</f>
        <v>0</v>
      </c>
      <c r="L78" s="64">
        <f>'дод 3 '!M66+'дод 3 '!M30</f>
        <v>0</v>
      </c>
      <c r="M78" s="64">
        <f>'дод 3 '!N66+'дод 3 '!N30</f>
        <v>0</v>
      </c>
      <c r="N78" s="64">
        <f>'дод 3 '!O66+'дод 3 '!O30</f>
        <v>1050000</v>
      </c>
      <c r="O78" s="64">
        <f>'дод 3 '!P66+'дод 3 '!P30</f>
        <v>20882330</v>
      </c>
      <c r="P78" s="130"/>
    </row>
    <row r="79" spans="1:16" s="87" customFormat="1" ht="31.5" customHeight="1" x14ac:dyDescent="0.25">
      <c r="A79" s="46" t="s">
        <v>138</v>
      </c>
      <c r="B79" s="46" t="s">
        <v>100</v>
      </c>
      <c r="C79" s="3" t="s">
        <v>31</v>
      </c>
      <c r="D79" s="64">
        <f>'дод 3 '!E31</f>
        <v>11143630</v>
      </c>
      <c r="E79" s="64">
        <f>'дод 3 '!F31</f>
        <v>11143630</v>
      </c>
      <c r="F79" s="64">
        <f>'дод 3 '!G31</f>
        <v>0</v>
      </c>
      <c r="G79" s="64">
        <f>'дод 3 '!H31</f>
        <v>0</v>
      </c>
      <c r="H79" s="64">
        <f>'дод 3 '!I31</f>
        <v>0</v>
      </c>
      <c r="I79" s="64">
        <f>'дод 3 '!J31</f>
        <v>0</v>
      </c>
      <c r="J79" s="64">
        <f>'дод 3 '!K31</f>
        <v>0</v>
      </c>
      <c r="K79" s="64">
        <f>'дод 3 '!L31</f>
        <v>0</v>
      </c>
      <c r="L79" s="64">
        <f>'дод 3 '!M31</f>
        <v>0</v>
      </c>
      <c r="M79" s="64">
        <f>'дод 3 '!N31</f>
        <v>0</v>
      </c>
      <c r="N79" s="64">
        <f>'дод 3 '!O31</f>
        <v>0</v>
      </c>
      <c r="O79" s="64">
        <f>'дод 3 '!P31</f>
        <v>11143630</v>
      </c>
      <c r="P79" s="130"/>
    </row>
    <row r="80" spans="1:16" s="87" customFormat="1" ht="60" customHeight="1" x14ac:dyDescent="0.25">
      <c r="A80" s="46" t="s">
        <v>133</v>
      </c>
      <c r="B80" s="46" t="s">
        <v>100</v>
      </c>
      <c r="C80" s="3" t="s">
        <v>134</v>
      </c>
      <c r="D80" s="64">
        <f>'дод 3 '!E32</f>
        <v>3893120</v>
      </c>
      <c r="E80" s="64">
        <f>'дод 3 '!F32</f>
        <v>3893120</v>
      </c>
      <c r="F80" s="64">
        <f>'дод 3 '!G32</f>
        <v>2446900</v>
      </c>
      <c r="G80" s="64">
        <f>'дод 3 '!H32</f>
        <v>370100</v>
      </c>
      <c r="H80" s="64">
        <f>'дод 3 '!I32</f>
        <v>0</v>
      </c>
      <c r="I80" s="64">
        <f>'дод 3 '!J32</f>
        <v>1079120</v>
      </c>
      <c r="J80" s="64">
        <f>'дод 3 '!K32</f>
        <v>900000</v>
      </c>
      <c r="K80" s="64">
        <f>'дод 3 '!L32</f>
        <v>179120</v>
      </c>
      <c r="L80" s="64">
        <f>'дод 3 '!M32</f>
        <v>91105</v>
      </c>
      <c r="M80" s="64">
        <f>'дод 3 '!N32</f>
        <v>51050</v>
      </c>
      <c r="N80" s="64">
        <f>'дод 3 '!O32</f>
        <v>900000</v>
      </c>
      <c r="O80" s="64">
        <f>'дод 3 '!P32</f>
        <v>4972240</v>
      </c>
      <c r="P80" s="130"/>
    </row>
    <row r="81" spans="1:16" s="87" customFormat="1" ht="42" customHeight="1" x14ac:dyDescent="0.25">
      <c r="A81" s="46" t="s">
        <v>136</v>
      </c>
      <c r="B81" s="46" t="s">
        <v>100</v>
      </c>
      <c r="C81" s="3" t="s">
        <v>135</v>
      </c>
      <c r="D81" s="64">
        <f>'дод 3 '!E33</f>
        <v>6608390</v>
      </c>
      <c r="E81" s="64">
        <f>'дод 3 '!F33</f>
        <v>6608390</v>
      </c>
      <c r="F81" s="64">
        <f>'дод 3 '!G33</f>
        <v>0</v>
      </c>
      <c r="G81" s="64">
        <f>'дод 3 '!H33</f>
        <v>0</v>
      </c>
      <c r="H81" s="64">
        <f>'дод 3 '!I33</f>
        <v>0</v>
      </c>
      <c r="I81" s="64">
        <f>'дод 3 '!J33</f>
        <v>0</v>
      </c>
      <c r="J81" s="64">
        <f>'дод 3 '!K33</f>
        <v>0</v>
      </c>
      <c r="K81" s="64">
        <f>'дод 3 '!L33</f>
        <v>0</v>
      </c>
      <c r="L81" s="64">
        <f>'дод 3 '!M33</f>
        <v>0</v>
      </c>
      <c r="M81" s="64">
        <f>'дод 3 '!N33</f>
        <v>0</v>
      </c>
      <c r="N81" s="64">
        <f>'дод 3 '!O33</f>
        <v>0</v>
      </c>
      <c r="O81" s="64">
        <f>'дод 3 '!P33</f>
        <v>6608390</v>
      </c>
      <c r="P81" s="130"/>
    </row>
    <row r="82" spans="1:16" s="85" customFormat="1" ht="27" customHeight="1" x14ac:dyDescent="0.25">
      <c r="A82" s="47" t="s">
        <v>85</v>
      </c>
      <c r="B82" s="50"/>
      <c r="C82" s="2" t="s">
        <v>86</v>
      </c>
      <c r="D82" s="63">
        <f>D83+D84+D85+D86+D87+D88+D89+D90</f>
        <v>268372804</v>
      </c>
      <c r="E82" s="63">
        <f t="shared" ref="E82:O82" si="8">E83+E84+E85+E86+E87+E88+E89+E90</f>
        <v>235192666</v>
      </c>
      <c r="F82" s="63">
        <f t="shared" si="8"/>
        <v>0</v>
      </c>
      <c r="G82" s="63">
        <f t="shared" si="8"/>
        <v>27913306</v>
      </c>
      <c r="H82" s="63">
        <f t="shared" si="8"/>
        <v>33180138</v>
      </c>
      <c r="I82" s="63">
        <f t="shared" si="8"/>
        <v>129490471</v>
      </c>
      <c r="J82" s="63">
        <f t="shared" si="8"/>
        <v>129363747</v>
      </c>
      <c r="K82" s="63">
        <f t="shared" si="8"/>
        <v>0</v>
      </c>
      <c r="L82" s="63">
        <f t="shared" si="8"/>
        <v>0</v>
      </c>
      <c r="M82" s="63">
        <f t="shared" si="8"/>
        <v>0</v>
      </c>
      <c r="N82" s="63">
        <f t="shared" si="8"/>
        <v>129490471</v>
      </c>
      <c r="O82" s="63">
        <f t="shared" si="8"/>
        <v>397863275</v>
      </c>
      <c r="P82" s="130"/>
    </row>
    <row r="83" spans="1:16" s="87" customFormat="1" ht="33.75" customHeight="1" x14ac:dyDescent="0.25">
      <c r="A83" s="46" t="s">
        <v>155</v>
      </c>
      <c r="B83" s="46" t="s">
        <v>87</v>
      </c>
      <c r="C83" s="3" t="s">
        <v>156</v>
      </c>
      <c r="D83" s="64">
        <f>'дод 3 '!E127</f>
        <v>0</v>
      </c>
      <c r="E83" s="64">
        <f>'дод 3 '!F127</f>
        <v>0</v>
      </c>
      <c r="F83" s="64">
        <f>'дод 3 '!G127</f>
        <v>0</v>
      </c>
      <c r="G83" s="64">
        <f>'дод 3 '!H127</f>
        <v>0</v>
      </c>
      <c r="H83" s="64">
        <f>'дод 3 '!I127</f>
        <v>0</v>
      </c>
      <c r="I83" s="64">
        <f>'дод 3 '!J127</f>
        <v>10530000</v>
      </c>
      <c r="J83" s="64">
        <f>'дод 3 '!K127</f>
        <v>10500000</v>
      </c>
      <c r="K83" s="64">
        <f>'дод 3 '!L127</f>
        <v>0</v>
      </c>
      <c r="L83" s="64">
        <f>'дод 3 '!M127</f>
        <v>0</v>
      </c>
      <c r="M83" s="64">
        <f>'дод 3 '!N127</f>
        <v>0</v>
      </c>
      <c r="N83" s="64">
        <f>'дод 3 '!O127</f>
        <v>10530000</v>
      </c>
      <c r="O83" s="64">
        <f>'дод 3 '!P127</f>
        <v>10530000</v>
      </c>
      <c r="P83" s="130"/>
    </row>
    <row r="84" spans="1:16" s="87" customFormat="1" ht="36.75" customHeight="1" x14ac:dyDescent="0.25">
      <c r="A84" s="46" t="s">
        <v>157</v>
      </c>
      <c r="B84" s="46" t="s">
        <v>89</v>
      </c>
      <c r="C84" s="3" t="s">
        <v>178</v>
      </c>
      <c r="D84" s="64">
        <f>'дод 3 '!E128</f>
        <v>30925000</v>
      </c>
      <c r="E84" s="64">
        <f>'дод 3 '!F128</f>
        <v>425000</v>
      </c>
      <c r="F84" s="64">
        <f>'дод 3 '!G128</f>
        <v>0</v>
      </c>
      <c r="G84" s="64">
        <f>'дод 3 '!H128</f>
        <v>0</v>
      </c>
      <c r="H84" s="64">
        <f>'дод 3 '!I128</f>
        <v>30500000</v>
      </c>
      <c r="I84" s="64">
        <f>'дод 3 '!J128</f>
        <v>1720000</v>
      </c>
      <c r="J84" s="64">
        <f>'дод 3 '!K128</f>
        <v>1720000</v>
      </c>
      <c r="K84" s="64">
        <f>'дод 3 '!L128</f>
        <v>0</v>
      </c>
      <c r="L84" s="64">
        <f>'дод 3 '!M128</f>
        <v>0</v>
      </c>
      <c r="M84" s="64">
        <f>'дод 3 '!N128</f>
        <v>0</v>
      </c>
      <c r="N84" s="64">
        <f>'дод 3 '!O128</f>
        <v>1720000</v>
      </c>
      <c r="O84" s="64">
        <f>'дод 3 '!P128</f>
        <v>32645000</v>
      </c>
      <c r="P84" s="130"/>
    </row>
    <row r="85" spans="1:16" s="87" customFormat="1" ht="36.75" customHeight="1" x14ac:dyDescent="0.25">
      <c r="A85" s="49" t="s">
        <v>302</v>
      </c>
      <c r="B85" s="49" t="s">
        <v>89</v>
      </c>
      <c r="C85" s="3" t="s">
        <v>303</v>
      </c>
      <c r="D85" s="64">
        <f>'дод 3 '!E129</f>
        <v>200000</v>
      </c>
      <c r="E85" s="64">
        <f>'дод 3 '!F129</f>
        <v>200000</v>
      </c>
      <c r="F85" s="64">
        <f>'дод 3 '!G129</f>
        <v>0</v>
      </c>
      <c r="G85" s="64">
        <f>'дод 3 '!H129</f>
        <v>0</v>
      </c>
      <c r="H85" s="64">
        <f>'дод 3 '!I129</f>
        <v>0</v>
      </c>
      <c r="I85" s="64">
        <f>'дод 3 '!J129</f>
        <v>13550009</v>
      </c>
      <c r="J85" s="64">
        <f>'дод 3 '!K129</f>
        <v>13500009</v>
      </c>
      <c r="K85" s="64">
        <f>'дод 3 '!L129</f>
        <v>0</v>
      </c>
      <c r="L85" s="64">
        <f>'дод 3 '!M129</f>
        <v>0</v>
      </c>
      <c r="M85" s="64">
        <f>'дод 3 '!N129</f>
        <v>0</v>
      </c>
      <c r="N85" s="64">
        <f>'дод 3 '!O129</f>
        <v>13550009</v>
      </c>
      <c r="O85" s="64">
        <f>'дод 3 '!P129</f>
        <v>13750009</v>
      </c>
      <c r="P85" s="130"/>
    </row>
    <row r="86" spans="1:16" s="87" customFormat="1" ht="33" customHeight="1" x14ac:dyDescent="0.25">
      <c r="A86" s="46" t="s">
        <v>305</v>
      </c>
      <c r="B86" s="46" t="s">
        <v>89</v>
      </c>
      <c r="C86" s="3" t="s">
        <v>405</v>
      </c>
      <c r="D86" s="64">
        <f>'дод 3 '!E130</f>
        <v>100000</v>
      </c>
      <c r="E86" s="64">
        <f>'дод 3 '!F130</f>
        <v>100000</v>
      </c>
      <c r="F86" s="64">
        <f>'дод 3 '!G130</f>
        <v>0</v>
      </c>
      <c r="G86" s="64">
        <f>'дод 3 '!H130</f>
        <v>0</v>
      </c>
      <c r="H86" s="64">
        <f>'дод 3 '!I130</f>
        <v>0</v>
      </c>
      <c r="I86" s="64">
        <f>'дод 3 '!J130</f>
        <v>0</v>
      </c>
      <c r="J86" s="64">
        <f>'дод 3 '!K130</f>
        <v>0</v>
      </c>
      <c r="K86" s="64">
        <f>'дод 3 '!L130</f>
        <v>0</v>
      </c>
      <c r="L86" s="64">
        <f>'дод 3 '!M130</f>
        <v>0</v>
      </c>
      <c r="M86" s="64">
        <f>'дод 3 '!N130</f>
        <v>0</v>
      </c>
      <c r="N86" s="64">
        <f>'дод 3 '!O130</f>
        <v>0</v>
      </c>
      <c r="O86" s="64">
        <f>'дод 3 '!P130</f>
        <v>100000</v>
      </c>
      <c r="P86" s="130"/>
    </row>
    <row r="87" spans="1:16" s="87" customFormat="1" ht="52.5" customHeight="1" x14ac:dyDescent="0.25">
      <c r="A87" s="46" t="s">
        <v>88</v>
      </c>
      <c r="B87" s="46" t="s">
        <v>89</v>
      </c>
      <c r="C87" s="3" t="s">
        <v>160</v>
      </c>
      <c r="D87" s="64">
        <f>'дод 3 '!E131</f>
        <v>2595232</v>
      </c>
      <c r="E87" s="64">
        <f>'дод 3 '!F131</f>
        <v>0</v>
      </c>
      <c r="F87" s="64">
        <f>'дод 3 '!G131</f>
        <v>0</v>
      </c>
      <c r="G87" s="64">
        <f>'дод 3 '!H131</f>
        <v>0</v>
      </c>
      <c r="H87" s="64">
        <f>'дод 3 '!I131</f>
        <v>2595232</v>
      </c>
      <c r="I87" s="64">
        <f>'дод 3 '!J131</f>
        <v>0</v>
      </c>
      <c r="J87" s="64">
        <f>'дод 3 '!K131</f>
        <v>0</v>
      </c>
      <c r="K87" s="64">
        <f>'дод 3 '!L131</f>
        <v>0</v>
      </c>
      <c r="L87" s="64">
        <f>'дод 3 '!M131</f>
        <v>0</v>
      </c>
      <c r="M87" s="64">
        <f>'дод 3 '!N131</f>
        <v>0</v>
      </c>
      <c r="N87" s="64">
        <f>'дод 3 '!O131</f>
        <v>0</v>
      </c>
      <c r="O87" s="64">
        <f>'дод 3 '!P131</f>
        <v>2595232</v>
      </c>
      <c r="P87" s="130"/>
    </row>
    <row r="88" spans="1:16" ht="30" customHeight="1" x14ac:dyDescent="0.25">
      <c r="A88" s="46" t="s">
        <v>158</v>
      </c>
      <c r="B88" s="46" t="s">
        <v>89</v>
      </c>
      <c r="C88" s="3" t="s">
        <v>159</v>
      </c>
      <c r="D88" s="64">
        <f>'дод 3 '!E132+'дод 3 '!E149</f>
        <v>189703836</v>
      </c>
      <c r="E88" s="64">
        <f>'дод 3 '!F132+'дод 3 '!F149</f>
        <v>189703836</v>
      </c>
      <c r="F88" s="64">
        <f>'дод 3 '!G132+'дод 3 '!G149</f>
        <v>0</v>
      </c>
      <c r="G88" s="64">
        <f>'дод 3 '!H132+'дод 3 '!H149</f>
        <v>27870906</v>
      </c>
      <c r="H88" s="64">
        <f>'дод 3 '!I132+'дод 3 '!I149</f>
        <v>0</v>
      </c>
      <c r="I88" s="64">
        <f>'дод 3 '!J132+'дод 3 '!J149</f>
        <v>81850000</v>
      </c>
      <c r="J88" s="64">
        <f>'дод 3 '!K132+'дод 3 '!K149</f>
        <v>81850000</v>
      </c>
      <c r="K88" s="64">
        <f>'дод 3 '!L132+'дод 3 '!L149</f>
        <v>0</v>
      </c>
      <c r="L88" s="64">
        <f>'дод 3 '!M132+'дод 3 '!M149</f>
        <v>0</v>
      </c>
      <c r="M88" s="64">
        <f>'дод 3 '!N132+'дод 3 '!N149</f>
        <v>0</v>
      </c>
      <c r="N88" s="64">
        <f>'дод 3 '!O132+'дод 3 '!O149</f>
        <v>81850000</v>
      </c>
      <c r="O88" s="64">
        <f>'дод 3 '!P132+'дод 3 '!P149</f>
        <v>271553836</v>
      </c>
      <c r="P88" s="130"/>
    </row>
    <row r="89" spans="1:16" s="87" customFormat="1" ht="57" customHeight="1" x14ac:dyDescent="0.25">
      <c r="A89" s="46" t="s">
        <v>162</v>
      </c>
      <c r="B89" s="51" t="s">
        <v>87</v>
      </c>
      <c r="C89" s="3" t="s">
        <v>163</v>
      </c>
      <c r="D89" s="64">
        <f>'дод 3 '!E150</f>
        <v>84906</v>
      </c>
      <c r="E89" s="64">
        <f>'дод 3 '!F150</f>
        <v>0</v>
      </c>
      <c r="F89" s="64">
        <f>'дод 3 '!G150</f>
        <v>0</v>
      </c>
      <c r="G89" s="64">
        <f>'дод 3 '!H150</f>
        <v>0</v>
      </c>
      <c r="H89" s="64">
        <f>'дод 3 '!I150</f>
        <v>84906</v>
      </c>
      <c r="I89" s="64">
        <f>'дод 3 '!J150</f>
        <v>46724</v>
      </c>
      <c r="J89" s="64">
        <f>'дод 3 '!K150</f>
        <v>0</v>
      </c>
      <c r="K89" s="64">
        <f>'дод 3 '!L150</f>
        <v>0</v>
      </c>
      <c r="L89" s="64">
        <f>'дод 3 '!M150</f>
        <v>0</v>
      </c>
      <c r="M89" s="64">
        <f>'дод 3 '!N150</f>
        <v>0</v>
      </c>
      <c r="N89" s="64">
        <f>'дод 3 '!O150</f>
        <v>46724</v>
      </c>
      <c r="O89" s="64">
        <f>'дод 3 '!P150</f>
        <v>131630</v>
      </c>
      <c r="P89" s="130"/>
    </row>
    <row r="90" spans="1:16" ht="39.75" customHeight="1" x14ac:dyDescent="0.25">
      <c r="A90" s="46" t="s">
        <v>172</v>
      </c>
      <c r="B90" s="51" t="s">
        <v>364</v>
      </c>
      <c r="C90" s="3" t="s">
        <v>173</v>
      </c>
      <c r="D90" s="64">
        <f>'дод 3 '!E133+'дод 3 '!E160</f>
        <v>44763830</v>
      </c>
      <c r="E90" s="64">
        <f>'дод 3 '!F133+'дод 3 '!F160</f>
        <v>44763830</v>
      </c>
      <c r="F90" s="64">
        <f>'дод 3 '!G133+'дод 3 '!G160</f>
        <v>0</v>
      </c>
      <c r="G90" s="64">
        <f>'дод 3 '!H133+'дод 3 '!H160</f>
        <v>42400</v>
      </c>
      <c r="H90" s="64">
        <f>'дод 3 '!I133+'дод 3 '!I160</f>
        <v>0</v>
      </c>
      <c r="I90" s="64">
        <f>'дод 3 '!J133+'дод 3 '!J160</f>
        <v>21793738</v>
      </c>
      <c r="J90" s="64">
        <f>'дод 3 '!K133+'дод 3 '!K160</f>
        <v>21793738</v>
      </c>
      <c r="K90" s="64">
        <f>'дод 3 '!L133+'дод 3 '!L160</f>
        <v>0</v>
      </c>
      <c r="L90" s="64">
        <f>'дод 3 '!M133+'дод 3 '!M160</f>
        <v>0</v>
      </c>
      <c r="M90" s="64">
        <f>'дод 3 '!N133+'дод 3 '!N160</f>
        <v>0</v>
      </c>
      <c r="N90" s="64">
        <f>'дод 3 '!O133+'дод 3 '!O160</f>
        <v>21793738</v>
      </c>
      <c r="O90" s="64">
        <f>'дод 3 '!P133+'дод 3 '!P160</f>
        <v>66557568</v>
      </c>
      <c r="P90" s="130"/>
    </row>
    <row r="91" spans="1:16" s="85" customFormat="1" ht="29.25" customHeight="1" x14ac:dyDescent="0.25">
      <c r="A91" s="47" t="s">
        <v>164</v>
      </c>
      <c r="B91" s="50"/>
      <c r="C91" s="2" t="s">
        <v>165</v>
      </c>
      <c r="D91" s="63">
        <f>D92+D94+D102+D104+D106+D115</f>
        <v>32496667</v>
      </c>
      <c r="E91" s="63">
        <f t="shared" ref="E91:O91" si="9">E92+E94+E102+E104+E106+E115</f>
        <v>20679667</v>
      </c>
      <c r="F91" s="63">
        <f t="shared" si="9"/>
        <v>0</v>
      </c>
      <c r="G91" s="63">
        <f t="shared" si="9"/>
        <v>0</v>
      </c>
      <c r="H91" s="63">
        <f t="shared" si="9"/>
        <v>11817000</v>
      </c>
      <c r="I91" s="63">
        <f t="shared" si="9"/>
        <v>252466328</v>
      </c>
      <c r="J91" s="63">
        <f t="shared" si="9"/>
        <v>240284594</v>
      </c>
      <c r="K91" s="63">
        <f t="shared" si="9"/>
        <v>1427082</v>
      </c>
      <c r="L91" s="63">
        <f t="shared" si="9"/>
        <v>0</v>
      </c>
      <c r="M91" s="63">
        <f t="shared" si="9"/>
        <v>0</v>
      </c>
      <c r="N91" s="63">
        <f t="shared" si="9"/>
        <v>251039246</v>
      </c>
      <c r="O91" s="63">
        <f t="shared" si="9"/>
        <v>284962995</v>
      </c>
      <c r="P91" s="130"/>
    </row>
    <row r="92" spans="1:16" s="85" customFormat="1" x14ac:dyDescent="0.25">
      <c r="A92" s="47" t="s">
        <v>174</v>
      </c>
      <c r="B92" s="50"/>
      <c r="C92" s="2" t="s">
        <v>175</v>
      </c>
      <c r="D92" s="63">
        <f t="shared" ref="D92:O92" si="10">D93</f>
        <v>700000</v>
      </c>
      <c r="E92" s="63">
        <f t="shared" si="10"/>
        <v>700000</v>
      </c>
      <c r="F92" s="63">
        <f t="shared" si="10"/>
        <v>0</v>
      </c>
      <c r="G92" s="63">
        <f t="shared" si="10"/>
        <v>0</v>
      </c>
      <c r="H92" s="63">
        <f t="shared" si="10"/>
        <v>0</v>
      </c>
      <c r="I92" s="63">
        <f t="shared" si="10"/>
        <v>0</v>
      </c>
      <c r="J92" s="63">
        <f t="shared" si="10"/>
        <v>0</v>
      </c>
      <c r="K92" s="63">
        <f t="shared" si="10"/>
        <v>0</v>
      </c>
      <c r="L92" s="63">
        <f t="shared" si="10"/>
        <v>0</v>
      </c>
      <c r="M92" s="63">
        <f t="shared" si="10"/>
        <v>0</v>
      </c>
      <c r="N92" s="63">
        <f t="shared" si="10"/>
        <v>0</v>
      </c>
      <c r="O92" s="63">
        <f t="shared" si="10"/>
        <v>700000</v>
      </c>
      <c r="P92" s="130"/>
    </row>
    <row r="93" spans="1:16" ht="24" customHeight="1" x14ac:dyDescent="0.25">
      <c r="A93" s="46" t="s">
        <v>166</v>
      </c>
      <c r="B93" s="46" t="s">
        <v>103</v>
      </c>
      <c r="C93" s="3" t="s">
        <v>406</v>
      </c>
      <c r="D93" s="64">
        <f>'дод 3 '!E168</f>
        <v>700000</v>
      </c>
      <c r="E93" s="64">
        <f>'дод 3 '!F168</f>
        <v>700000</v>
      </c>
      <c r="F93" s="64">
        <f>'дод 3 '!G168</f>
        <v>0</v>
      </c>
      <c r="G93" s="64">
        <f>'дод 3 '!H168</f>
        <v>0</v>
      </c>
      <c r="H93" s="64">
        <f>'дод 3 '!I168</f>
        <v>0</v>
      </c>
      <c r="I93" s="64">
        <f>'дод 3 '!J168</f>
        <v>0</v>
      </c>
      <c r="J93" s="64">
        <f>'дод 3 '!K168</f>
        <v>0</v>
      </c>
      <c r="K93" s="64">
        <f>'дод 3 '!L168</f>
        <v>0</v>
      </c>
      <c r="L93" s="64">
        <f>'дод 3 '!M168</f>
        <v>0</v>
      </c>
      <c r="M93" s="64">
        <f>'дод 3 '!N168</f>
        <v>0</v>
      </c>
      <c r="N93" s="64">
        <f>'дод 3 '!O168</f>
        <v>0</v>
      </c>
      <c r="O93" s="64">
        <f>'дод 3 '!P168</f>
        <v>700000</v>
      </c>
      <c r="P93" s="130"/>
    </row>
    <row r="94" spans="1:16" s="85" customFormat="1" ht="21" customHeight="1" x14ac:dyDescent="0.25">
      <c r="A94" s="47" t="s">
        <v>117</v>
      </c>
      <c r="B94" s="47"/>
      <c r="C94" s="13" t="s">
        <v>167</v>
      </c>
      <c r="D94" s="63">
        <f>D95+D96+D97+D99+D100+D101+D98</f>
        <v>0</v>
      </c>
      <c r="E94" s="63">
        <f t="shared" ref="E94:O94" si="11">E95+E96+E97+E99+E100+E101+E98</f>
        <v>0</v>
      </c>
      <c r="F94" s="63">
        <f t="shared" si="11"/>
        <v>0</v>
      </c>
      <c r="G94" s="63">
        <f t="shared" si="11"/>
        <v>0</v>
      </c>
      <c r="H94" s="63">
        <f t="shared" si="11"/>
        <v>0</v>
      </c>
      <c r="I94" s="63">
        <f t="shared" si="11"/>
        <v>91029212</v>
      </c>
      <c r="J94" s="63">
        <f t="shared" si="11"/>
        <v>91029212</v>
      </c>
      <c r="K94" s="63">
        <f t="shared" si="11"/>
        <v>0</v>
      </c>
      <c r="L94" s="63">
        <f t="shared" si="11"/>
        <v>0</v>
      </c>
      <c r="M94" s="63">
        <f t="shared" si="11"/>
        <v>0</v>
      </c>
      <c r="N94" s="63">
        <f t="shared" si="11"/>
        <v>91029212</v>
      </c>
      <c r="O94" s="63">
        <f t="shared" si="11"/>
        <v>91029212</v>
      </c>
      <c r="P94" s="130"/>
    </row>
    <row r="95" spans="1:16" ht="36" customHeight="1" x14ac:dyDescent="0.25">
      <c r="A95" s="49" t="s">
        <v>315</v>
      </c>
      <c r="B95" s="49" t="s">
        <v>132</v>
      </c>
      <c r="C95" s="3" t="s">
        <v>324</v>
      </c>
      <c r="D95" s="64">
        <f>'дод 3 '!E151+'дод 3 '!E134</f>
        <v>0</v>
      </c>
      <c r="E95" s="64">
        <f>'дод 3 '!F151+'дод 3 '!F134</f>
        <v>0</v>
      </c>
      <c r="F95" s="64">
        <f>'дод 3 '!G151+'дод 3 '!G134</f>
        <v>0</v>
      </c>
      <c r="G95" s="64">
        <f>'дод 3 '!H151+'дод 3 '!H134</f>
        <v>0</v>
      </c>
      <c r="H95" s="64">
        <f>'дод 3 '!I151+'дод 3 '!I134</f>
        <v>0</v>
      </c>
      <c r="I95" s="64">
        <f>'дод 3 '!J151+'дод 3 '!J134</f>
        <v>20473612</v>
      </c>
      <c r="J95" s="64">
        <f>'дод 3 '!K151+'дод 3 '!K134</f>
        <v>20473612</v>
      </c>
      <c r="K95" s="64">
        <f>'дод 3 '!L151+'дод 3 '!L134</f>
        <v>0</v>
      </c>
      <c r="L95" s="64">
        <f>'дод 3 '!M151+'дод 3 '!M134</f>
        <v>0</v>
      </c>
      <c r="M95" s="64">
        <f>'дод 3 '!N151+'дод 3 '!N134</f>
        <v>0</v>
      </c>
      <c r="N95" s="64">
        <f>'дод 3 '!O151+'дод 3 '!O134</f>
        <v>20473612</v>
      </c>
      <c r="O95" s="64">
        <f>'дод 3 '!P151+'дод 3 '!P134</f>
        <v>20473612</v>
      </c>
      <c r="P95" s="130"/>
    </row>
    <row r="96" spans="1:16" s="87" customFormat="1" ht="32.25" customHeight="1" x14ac:dyDescent="0.25">
      <c r="A96" s="49" t="s">
        <v>320</v>
      </c>
      <c r="B96" s="49" t="s">
        <v>132</v>
      </c>
      <c r="C96" s="3" t="s">
        <v>325</v>
      </c>
      <c r="D96" s="64">
        <f>'дод 3 '!E152</f>
        <v>0</v>
      </c>
      <c r="E96" s="64">
        <f>'дод 3 '!F152</f>
        <v>0</v>
      </c>
      <c r="F96" s="64">
        <f>'дод 3 '!G152</f>
        <v>0</v>
      </c>
      <c r="G96" s="64">
        <f>'дод 3 '!H152</f>
        <v>0</v>
      </c>
      <c r="H96" s="64">
        <f>'дод 3 '!I152</f>
        <v>0</v>
      </c>
      <c r="I96" s="64">
        <f>'дод 3 '!J152</f>
        <v>9000000</v>
      </c>
      <c r="J96" s="64">
        <f>'дод 3 '!K152</f>
        <v>9000000</v>
      </c>
      <c r="K96" s="64">
        <f>'дод 3 '!L152</f>
        <v>0</v>
      </c>
      <c r="L96" s="64">
        <f>'дод 3 '!M152</f>
        <v>0</v>
      </c>
      <c r="M96" s="64">
        <f>'дод 3 '!N152</f>
        <v>0</v>
      </c>
      <c r="N96" s="64">
        <f>'дод 3 '!O152</f>
        <v>9000000</v>
      </c>
      <c r="O96" s="64">
        <f>'дод 3 '!P152</f>
        <v>9000000</v>
      </c>
      <c r="P96" s="130"/>
    </row>
    <row r="97" spans="1:16" s="87" customFormat="1" ht="32.25" customHeight="1" x14ac:dyDescent="0.25">
      <c r="A97" s="49" t="s">
        <v>322</v>
      </c>
      <c r="B97" s="49" t="s">
        <v>132</v>
      </c>
      <c r="C97" s="3" t="s">
        <v>326</v>
      </c>
      <c r="D97" s="64">
        <f>'дод 3 '!E153</f>
        <v>0</v>
      </c>
      <c r="E97" s="64">
        <f>'дод 3 '!F153</f>
        <v>0</v>
      </c>
      <c r="F97" s="64">
        <f>'дод 3 '!G153</f>
        <v>0</v>
      </c>
      <c r="G97" s="64">
        <f>'дод 3 '!H153</f>
        <v>0</v>
      </c>
      <c r="H97" s="64">
        <f>'дод 3 '!I153</f>
        <v>0</v>
      </c>
      <c r="I97" s="64">
        <f>'дод 3 '!J153</f>
        <v>7000000</v>
      </c>
      <c r="J97" s="64">
        <f>'дод 3 '!K153</f>
        <v>7000000</v>
      </c>
      <c r="K97" s="64">
        <f>'дод 3 '!L153</f>
        <v>0</v>
      </c>
      <c r="L97" s="64">
        <f>'дод 3 '!M153</f>
        <v>0</v>
      </c>
      <c r="M97" s="64">
        <f>'дод 3 '!N153</f>
        <v>0</v>
      </c>
      <c r="N97" s="64">
        <f>'дод 3 '!O153</f>
        <v>7000000</v>
      </c>
      <c r="O97" s="64">
        <f>'дод 3 '!P153</f>
        <v>7000000</v>
      </c>
      <c r="P97" s="130"/>
    </row>
    <row r="98" spans="1:16" s="87" customFormat="1" ht="32.25" hidden="1" customHeight="1" x14ac:dyDescent="0.25">
      <c r="A98" s="49">
        <v>7325</v>
      </c>
      <c r="B98" s="49">
        <v>443</v>
      </c>
      <c r="C98" s="3" t="s">
        <v>422</v>
      </c>
      <c r="D98" s="64">
        <f>'дод 3 '!E154</f>
        <v>0</v>
      </c>
      <c r="E98" s="64">
        <f>'дод 3 '!F154</f>
        <v>0</v>
      </c>
      <c r="F98" s="64">
        <f>'дод 3 '!G154</f>
        <v>0</v>
      </c>
      <c r="G98" s="64">
        <f>'дод 3 '!H154</f>
        <v>0</v>
      </c>
      <c r="H98" s="64">
        <f>'дод 3 '!I154</f>
        <v>0</v>
      </c>
      <c r="I98" s="64">
        <f>'дод 3 '!J154</f>
        <v>0</v>
      </c>
      <c r="J98" s="64">
        <f>'дод 3 '!K154</f>
        <v>0</v>
      </c>
      <c r="K98" s="64">
        <f>'дод 3 '!L154</f>
        <v>0</v>
      </c>
      <c r="L98" s="64">
        <f>'дод 3 '!M154</f>
        <v>0</v>
      </c>
      <c r="M98" s="64">
        <f>'дод 3 '!N154</f>
        <v>0</v>
      </c>
      <c r="N98" s="64">
        <f>'дод 3 '!O154</f>
        <v>0</v>
      </c>
      <c r="O98" s="64">
        <f>'дод 3 '!P154</f>
        <v>0</v>
      </c>
      <c r="P98" s="130"/>
    </row>
    <row r="99" spans="1:16" ht="32.25" customHeight="1" x14ac:dyDescent="0.25">
      <c r="A99" s="49" t="s">
        <v>317</v>
      </c>
      <c r="B99" s="49" t="s">
        <v>132</v>
      </c>
      <c r="C99" s="3" t="s">
        <v>389</v>
      </c>
      <c r="D99" s="64">
        <f>'дод 3 '!E155+'дод 3 '!E135</f>
        <v>0</v>
      </c>
      <c r="E99" s="64">
        <f>'дод 3 '!F155+'дод 3 '!F135</f>
        <v>0</v>
      </c>
      <c r="F99" s="64">
        <f>'дод 3 '!G155+'дод 3 '!G135</f>
        <v>0</v>
      </c>
      <c r="G99" s="64">
        <f>'дод 3 '!H155+'дод 3 '!H135</f>
        <v>0</v>
      </c>
      <c r="H99" s="64">
        <f>'дод 3 '!I155+'дод 3 '!I135</f>
        <v>0</v>
      </c>
      <c r="I99" s="64">
        <f>'дод 3 '!J155+'дод 3 '!J135</f>
        <v>51480000</v>
      </c>
      <c r="J99" s="64">
        <f>'дод 3 '!K155+'дод 3 '!K135</f>
        <v>51480000</v>
      </c>
      <c r="K99" s="64">
        <f>'дод 3 '!L155+'дод 3 '!L135</f>
        <v>0</v>
      </c>
      <c r="L99" s="64">
        <f>'дод 3 '!M155+'дод 3 '!M135</f>
        <v>0</v>
      </c>
      <c r="M99" s="64">
        <f>'дод 3 '!N155+'дод 3 '!N135</f>
        <v>0</v>
      </c>
      <c r="N99" s="64">
        <f>'дод 3 '!O155+'дод 3 '!O135</f>
        <v>51480000</v>
      </c>
      <c r="O99" s="64">
        <f>'дод 3 '!P155+'дод 3 '!P135</f>
        <v>51480000</v>
      </c>
      <c r="P99" s="130"/>
    </row>
    <row r="100" spans="1:16" ht="35.25" customHeight="1" x14ac:dyDescent="0.25">
      <c r="A100" s="46" t="s">
        <v>168</v>
      </c>
      <c r="B100" s="46" t="s">
        <v>132</v>
      </c>
      <c r="C100" s="3" t="s">
        <v>1</v>
      </c>
      <c r="D100" s="64">
        <f>'дод 3 '!E136</f>
        <v>0</v>
      </c>
      <c r="E100" s="64">
        <f>'дод 3 '!F136</f>
        <v>0</v>
      </c>
      <c r="F100" s="64">
        <f>'дод 3 '!G136</f>
        <v>0</v>
      </c>
      <c r="G100" s="64">
        <f>'дод 3 '!H136</f>
        <v>0</v>
      </c>
      <c r="H100" s="64">
        <f>'дод 3 '!I136</f>
        <v>0</v>
      </c>
      <c r="I100" s="64">
        <f>'дод 3 '!J136</f>
        <v>3000000</v>
      </c>
      <c r="J100" s="64">
        <f>'дод 3 '!K136</f>
        <v>3000000</v>
      </c>
      <c r="K100" s="64">
        <f>'дод 3 '!L136</f>
        <v>0</v>
      </c>
      <c r="L100" s="64">
        <f>'дод 3 '!M136</f>
        <v>0</v>
      </c>
      <c r="M100" s="64">
        <f>'дод 3 '!N136</f>
        <v>0</v>
      </c>
      <c r="N100" s="64">
        <f>'дод 3 '!O136</f>
        <v>3000000</v>
      </c>
      <c r="O100" s="64">
        <f>'дод 3 '!P136</f>
        <v>3000000</v>
      </c>
      <c r="P100" s="130"/>
    </row>
    <row r="101" spans="1:16" s="87" customFormat="1" ht="46.5" customHeight="1" x14ac:dyDescent="0.25">
      <c r="A101" s="46">
        <v>7362</v>
      </c>
      <c r="B101" s="46" t="s">
        <v>102</v>
      </c>
      <c r="C101" s="3" t="s">
        <v>431</v>
      </c>
      <c r="D101" s="64">
        <f>'дод 3 '!E137</f>
        <v>0</v>
      </c>
      <c r="E101" s="64">
        <f>'дод 3 '!F137</f>
        <v>0</v>
      </c>
      <c r="F101" s="64">
        <f>'дод 3 '!G137</f>
        <v>0</v>
      </c>
      <c r="G101" s="64">
        <f>'дод 3 '!H137</f>
        <v>0</v>
      </c>
      <c r="H101" s="64">
        <f>'дод 3 '!I137</f>
        <v>0</v>
      </c>
      <c r="I101" s="64">
        <f>'дод 3 '!J137</f>
        <v>75600</v>
      </c>
      <c r="J101" s="64">
        <f>'дод 3 '!K137</f>
        <v>75600</v>
      </c>
      <c r="K101" s="64">
        <f>'дод 3 '!L137</f>
        <v>0</v>
      </c>
      <c r="L101" s="64">
        <f>'дод 3 '!M137</f>
        <v>0</v>
      </c>
      <c r="M101" s="64">
        <f>'дод 3 '!N137</f>
        <v>0</v>
      </c>
      <c r="N101" s="64">
        <f>'дод 3 '!O137</f>
        <v>75600</v>
      </c>
      <c r="O101" s="64">
        <f>'дод 3 '!P137</f>
        <v>75600</v>
      </c>
      <c r="P101" s="130"/>
    </row>
    <row r="102" spans="1:16" s="85" customFormat="1" ht="39.75" customHeight="1" x14ac:dyDescent="0.25">
      <c r="A102" s="47" t="s">
        <v>105</v>
      </c>
      <c r="B102" s="50"/>
      <c r="C102" s="2" t="s">
        <v>2</v>
      </c>
      <c r="D102" s="63">
        <f>D103</f>
        <v>10000000</v>
      </c>
      <c r="E102" s="63">
        <f t="shared" ref="E102:O102" si="12">E103</f>
        <v>0</v>
      </c>
      <c r="F102" s="63">
        <f t="shared" si="12"/>
        <v>0</v>
      </c>
      <c r="G102" s="63">
        <f t="shared" si="12"/>
        <v>0</v>
      </c>
      <c r="H102" s="63">
        <f t="shared" si="12"/>
        <v>10000000</v>
      </c>
      <c r="I102" s="63">
        <f t="shared" si="12"/>
        <v>0</v>
      </c>
      <c r="J102" s="63">
        <f t="shared" si="12"/>
        <v>0</v>
      </c>
      <c r="K102" s="63">
        <f t="shared" si="12"/>
        <v>0</v>
      </c>
      <c r="L102" s="63">
        <f t="shared" si="12"/>
        <v>0</v>
      </c>
      <c r="M102" s="63">
        <f t="shared" si="12"/>
        <v>0</v>
      </c>
      <c r="N102" s="63">
        <f t="shared" si="12"/>
        <v>0</v>
      </c>
      <c r="O102" s="63">
        <f t="shared" si="12"/>
        <v>10000000</v>
      </c>
      <c r="P102" s="130"/>
    </row>
    <row r="103" spans="1:16" s="87" customFormat="1" ht="30" customHeight="1" x14ac:dyDescent="0.25">
      <c r="A103" s="46" t="s">
        <v>4</v>
      </c>
      <c r="B103" s="46" t="s">
        <v>104</v>
      </c>
      <c r="C103" s="3" t="s">
        <v>49</v>
      </c>
      <c r="D103" s="64">
        <f>'дод 3 '!E34</f>
        <v>10000000</v>
      </c>
      <c r="E103" s="64">
        <f>'дод 3 '!F34</f>
        <v>0</v>
      </c>
      <c r="F103" s="64">
        <f>'дод 3 '!G34</f>
        <v>0</v>
      </c>
      <c r="G103" s="64">
        <f>'дод 3 '!H34</f>
        <v>0</v>
      </c>
      <c r="H103" s="64">
        <f>'дод 3 '!I34</f>
        <v>10000000</v>
      </c>
      <c r="I103" s="64">
        <f>'дод 3 '!J34</f>
        <v>0</v>
      </c>
      <c r="J103" s="64">
        <f>'дод 3 '!K34</f>
        <v>0</v>
      </c>
      <c r="K103" s="64">
        <f>'дод 3 '!L34</f>
        <v>0</v>
      </c>
      <c r="L103" s="64">
        <f>'дод 3 '!M34</f>
        <v>0</v>
      </c>
      <c r="M103" s="64">
        <f>'дод 3 '!N34</f>
        <v>0</v>
      </c>
      <c r="N103" s="64">
        <f>'дод 3 '!O34</f>
        <v>0</v>
      </c>
      <c r="O103" s="64">
        <f>'дод 3 '!P34</f>
        <v>10000000</v>
      </c>
      <c r="P103" s="130"/>
    </row>
    <row r="104" spans="1:16" s="85" customFormat="1" ht="28.5" customHeight="1" x14ac:dyDescent="0.25">
      <c r="A104" s="48" t="s">
        <v>279</v>
      </c>
      <c r="B104" s="50"/>
      <c r="C104" s="2" t="s">
        <v>280</v>
      </c>
      <c r="D104" s="63">
        <f t="shared" ref="D104:O104" si="13">D105</f>
        <v>13450000</v>
      </c>
      <c r="E104" s="63">
        <f t="shared" si="13"/>
        <v>13450000</v>
      </c>
      <c r="F104" s="63">
        <f t="shared" si="13"/>
        <v>0</v>
      </c>
      <c r="G104" s="63">
        <f t="shared" si="13"/>
        <v>0</v>
      </c>
      <c r="H104" s="63">
        <f t="shared" si="13"/>
        <v>0</v>
      </c>
      <c r="I104" s="63">
        <f t="shared" si="13"/>
        <v>6050000</v>
      </c>
      <c r="J104" s="63">
        <f t="shared" si="13"/>
        <v>6050000</v>
      </c>
      <c r="K104" s="63">
        <f t="shared" si="13"/>
        <v>0</v>
      </c>
      <c r="L104" s="63">
        <f t="shared" si="13"/>
        <v>0</v>
      </c>
      <c r="M104" s="63">
        <f t="shared" si="13"/>
        <v>0</v>
      </c>
      <c r="N104" s="63">
        <f t="shared" si="13"/>
        <v>6050000</v>
      </c>
      <c r="O104" s="63">
        <f t="shared" si="13"/>
        <v>19500000</v>
      </c>
      <c r="P104" s="130"/>
    </row>
    <row r="105" spans="1:16" ht="37.5" customHeight="1" x14ac:dyDescent="0.25">
      <c r="A105" s="49" t="s">
        <v>277</v>
      </c>
      <c r="B105" s="49" t="s">
        <v>278</v>
      </c>
      <c r="C105" s="11" t="s">
        <v>276</v>
      </c>
      <c r="D105" s="64">
        <f>'дод 3 '!E35</f>
        <v>13450000</v>
      </c>
      <c r="E105" s="64">
        <f>'дод 3 '!F35</f>
        <v>13450000</v>
      </c>
      <c r="F105" s="64">
        <f>'дод 3 '!G35</f>
        <v>0</v>
      </c>
      <c r="G105" s="64">
        <f>'дод 3 '!H35</f>
        <v>0</v>
      </c>
      <c r="H105" s="64">
        <f>'дод 3 '!I35</f>
        <v>0</v>
      </c>
      <c r="I105" s="64">
        <f>'дод 3 '!J35</f>
        <v>6050000</v>
      </c>
      <c r="J105" s="64">
        <f>'дод 3 '!K35</f>
        <v>6050000</v>
      </c>
      <c r="K105" s="64">
        <f>'дод 3 '!L35</f>
        <v>0</v>
      </c>
      <c r="L105" s="64">
        <f>'дод 3 '!M35</f>
        <v>0</v>
      </c>
      <c r="M105" s="64">
        <f>'дод 3 '!N35</f>
        <v>0</v>
      </c>
      <c r="N105" s="64">
        <f>'дод 3 '!O35</f>
        <v>6050000</v>
      </c>
      <c r="O105" s="64">
        <f>'дод 3 '!P35</f>
        <v>19500000</v>
      </c>
      <c r="P105" s="130"/>
    </row>
    <row r="106" spans="1:16" s="85" customFormat="1" ht="38.25" customHeight="1" x14ac:dyDescent="0.25">
      <c r="A106" s="47" t="s">
        <v>108</v>
      </c>
      <c r="B106" s="50"/>
      <c r="C106" s="2" t="s">
        <v>5</v>
      </c>
      <c r="D106" s="63">
        <f t="shared" ref="D106:O106" si="14">D107+D108+D109+D110+D111+D112+D113+D114</f>
        <v>8346667</v>
      </c>
      <c r="E106" s="63">
        <f t="shared" si="14"/>
        <v>6529667</v>
      </c>
      <c r="F106" s="63">
        <f t="shared" si="14"/>
        <v>0</v>
      </c>
      <c r="G106" s="63">
        <f t="shared" si="14"/>
        <v>0</v>
      </c>
      <c r="H106" s="63">
        <f t="shared" si="14"/>
        <v>1817000</v>
      </c>
      <c r="I106" s="63">
        <f t="shared" si="14"/>
        <v>154502116</v>
      </c>
      <c r="J106" s="63">
        <f t="shared" si="14"/>
        <v>143205382</v>
      </c>
      <c r="K106" s="63">
        <f t="shared" si="14"/>
        <v>1427082</v>
      </c>
      <c r="L106" s="63">
        <f t="shared" si="14"/>
        <v>0</v>
      </c>
      <c r="M106" s="63">
        <f t="shared" si="14"/>
        <v>0</v>
      </c>
      <c r="N106" s="63">
        <f t="shared" si="14"/>
        <v>153075034</v>
      </c>
      <c r="O106" s="63">
        <f t="shared" si="14"/>
        <v>162848783</v>
      </c>
      <c r="P106" s="130"/>
    </row>
    <row r="107" spans="1:16" ht="30.75" customHeight="1" x14ac:dyDescent="0.25">
      <c r="A107" s="46" t="s">
        <v>6</v>
      </c>
      <c r="B107" s="46" t="s">
        <v>107</v>
      </c>
      <c r="C107" s="3" t="s">
        <v>32</v>
      </c>
      <c r="D107" s="64">
        <f>'дод 3 '!E36+'дод 3 '!E169</f>
        <v>1235000</v>
      </c>
      <c r="E107" s="64">
        <f>'дод 3 '!F36+'дод 3 '!F169</f>
        <v>617000</v>
      </c>
      <c r="F107" s="64">
        <f>'дод 3 '!G36+'дод 3 '!G169</f>
        <v>0</v>
      </c>
      <c r="G107" s="64">
        <f>'дод 3 '!H36+'дод 3 '!H169</f>
        <v>0</v>
      </c>
      <c r="H107" s="64">
        <f>'дод 3 '!I36+'дод 3 '!I169</f>
        <v>618000</v>
      </c>
      <c r="I107" s="64">
        <f>'дод 3 '!J36+'дод 3 '!J169</f>
        <v>0</v>
      </c>
      <c r="J107" s="64">
        <f>'дод 3 '!K36+'дод 3 '!K169</f>
        <v>0</v>
      </c>
      <c r="K107" s="64">
        <f>'дод 3 '!L36+'дод 3 '!L169</f>
        <v>0</v>
      </c>
      <c r="L107" s="64">
        <f>'дод 3 '!M36+'дод 3 '!M169</f>
        <v>0</v>
      </c>
      <c r="M107" s="64">
        <f>'дод 3 '!N36+'дод 3 '!N169</f>
        <v>0</v>
      </c>
      <c r="N107" s="64">
        <f>'дод 3 '!O36+'дод 3 '!O169</f>
        <v>0</v>
      </c>
      <c r="O107" s="64">
        <f>'дод 3 '!P36+'дод 3 '!P169</f>
        <v>1235000</v>
      </c>
      <c r="P107" s="130"/>
    </row>
    <row r="108" spans="1:16" ht="24.75" customHeight="1" x14ac:dyDescent="0.25">
      <c r="A108" s="46" t="s">
        <v>3</v>
      </c>
      <c r="B108" s="46" t="s">
        <v>106</v>
      </c>
      <c r="C108" s="3" t="s">
        <v>45</v>
      </c>
      <c r="D108" s="64">
        <f>'дод 3 '!E67+'дод 3 '!E84+'дод 3 '!E121+'дод 3 '!E138+'дод 3 '!E156+'дод 3 '!E176</f>
        <v>4350811</v>
      </c>
      <c r="E108" s="64">
        <f>'дод 3 '!F67+'дод 3 '!F84+'дод 3 '!F121+'дод 3 '!F138+'дод 3 '!F156+'дод 3 '!F176</f>
        <v>3151811</v>
      </c>
      <c r="F108" s="64">
        <f>'дод 3 '!G67+'дод 3 '!G84+'дод 3 '!G121+'дод 3 '!G138+'дод 3 '!G156+'дод 3 '!G176</f>
        <v>0</v>
      </c>
      <c r="G108" s="64">
        <f>'дод 3 '!H67+'дод 3 '!H84+'дод 3 '!H121+'дод 3 '!H138+'дод 3 '!H156+'дод 3 '!H176</f>
        <v>0</v>
      </c>
      <c r="H108" s="64">
        <f>'дод 3 '!I67+'дод 3 '!I84+'дод 3 '!I121+'дод 3 '!I138+'дод 3 '!I156+'дод 3 '!I176</f>
        <v>1199000</v>
      </c>
      <c r="I108" s="64">
        <f>'дод 3 '!J67+'дод 3 '!J84+'дод 3 '!J121+'дод 3 '!J138+'дод 3 '!J156+'дод 3 '!J176</f>
        <v>113252504</v>
      </c>
      <c r="J108" s="64">
        <f>'дод 3 '!K67+'дод 3 '!K84+'дод 3 '!K121+'дод 3 '!K138+'дод 3 '!K156+'дод 3 '!K176</f>
        <v>103516052</v>
      </c>
      <c r="K108" s="64">
        <f>'дод 3 '!L67+'дод 3 '!L84+'дод 3 '!L121+'дод 3 '!L138+'дод 3 '!L156+'дод 3 '!L176</f>
        <v>0</v>
      </c>
      <c r="L108" s="64">
        <f>'дод 3 '!M67+'дод 3 '!M84+'дод 3 '!M121+'дод 3 '!M138+'дод 3 '!M156+'дод 3 '!M176</f>
        <v>0</v>
      </c>
      <c r="M108" s="64">
        <f>'дод 3 '!N67+'дод 3 '!N84+'дод 3 '!N121+'дод 3 '!N138+'дод 3 '!N156+'дод 3 '!N176</f>
        <v>0</v>
      </c>
      <c r="N108" s="64">
        <f>'дод 3 '!O67+'дод 3 '!O84+'дод 3 '!O121+'дод 3 '!O138+'дод 3 '!O156+'дод 3 '!O176</f>
        <v>113252504</v>
      </c>
      <c r="O108" s="64">
        <f>'дод 3 '!P67+'дод 3 '!P84+'дод 3 '!P121+'дод 3 '!P138+'дод 3 '!P156+'дод 3 '!P176</f>
        <v>117603315</v>
      </c>
      <c r="P108" s="130"/>
    </row>
    <row r="109" spans="1:16" ht="33.75" customHeight="1" x14ac:dyDescent="0.25">
      <c r="A109" s="46" t="s">
        <v>310</v>
      </c>
      <c r="B109" s="46" t="s">
        <v>102</v>
      </c>
      <c r="C109" s="3" t="s">
        <v>407</v>
      </c>
      <c r="D109" s="64">
        <f>'дод 3 '!E170</f>
        <v>0</v>
      </c>
      <c r="E109" s="64">
        <f>'дод 3 '!F170</f>
        <v>0</v>
      </c>
      <c r="F109" s="64">
        <f>'дод 3 '!G170</f>
        <v>0</v>
      </c>
      <c r="G109" s="64">
        <f>'дод 3 '!H170</f>
        <v>0</v>
      </c>
      <c r="H109" s="64">
        <f>'дод 3 '!I170</f>
        <v>0</v>
      </c>
      <c r="I109" s="64">
        <f>'дод 3 '!J170</f>
        <v>30000</v>
      </c>
      <c r="J109" s="64">
        <f>'дод 3 '!K170</f>
        <v>30000</v>
      </c>
      <c r="K109" s="64">
        <f>'дод 3 '!L170</f>
        <v>0</v>
      </c>
      <c r="L109" s="64">
        <f>'дод 3 '!M170</f>
        <v>0</v>
      </c>
      <c r="M109" s="64">
        <f>'дод 3 '!N170</f>
        <v>0</v>
      </c>
      <c r="N109" s="64">
        <f>'дод 3 '!O170</f>
        <v>30000</v>
      </c>
      <c r="O109" s="64">
        <f>'дод 3 '!P170</f>
        <v>30000</v>
      </c>
      <c r="P109" s="130"/>
    </row>
    <row r="110" spans="1:16" ht="59.25" customHeight="1" x14ac:dyDescent="0.25">
      <c r="A110" s="46" t="s">
        <v>312</v>
      </c>
      <c r="B110" s="46" t="s">
        <v>102</v>
      </c>
      <c r="C110" s="3" t="s">
        <v>313</v>
      </c>
      <c r="D110" s="64">
        <f>'дод 3 '!E171</f>
        <v>0</v>
      </c>
      <c r="E110" s="64">
        <f>'дод 3 '!F171</f>
        <v>0</v>
      </c>
      <c r="F110" s="64">
        <f>'дод 3 '!G171</f>
        <v>0</v>
      </c>
      <c r="G110" s="64">
        <f>'дод 3 '!H171</f>
        <v>0</v>
      </c>
      <c r="H110" s="64">
        <f>'дод 3 '!I171</f>
        <v>0</v>
      </c>
      <c r="I110" s="64">
        <f>'дод 3 '!J171</f>
        <v>45000</v>
      </c>
      <c r="J110" s="64">
        <f>'дод 3 '!K171</f>
        <v>45000</v>
      </c>
      <c r="K110" s="64">
        <f>'дод 3 '!L171</f>
        <v>0</v>
      </c>
      <c r="L110" s="64">
        <f>'дод 3 '!M171</f>
        <v>0</v>
      </c>
      <c r="M110" s="64">
        <f>'дод 3 '!N171</f>
        <v>0</v>
      </c>
      <c r="N110" s="64">
        <f>'дод 3 '!O171</f>
        <v>45000</v>
      </c>
      <c r="O110" s="64">
        <f>'дод 3 '!P171</f>
        <v>45000</v>
      </c>
      <c r="P110" s="130"/>
    </row>
    <row r="111" spans="1:16" ht="30.75" customHeight="1" x14ac:dyDescent="0.25">
      <c r="A111" s="46" t="s">
        <v>7</v>
      </c>
      <c r="B111" s="46" t="s">
        <v>102</v>
      </c>
      <c r="C111" s="3" t="s">
        <v>33</v>
      </c>
      <c r="D111" s="64">
        <f>'дод 3 '!E37+'дод 3 '!E139</f>
        <v>0</v>
      </c>
      <c r="E111" s="64">
        <f>'дод 3 '!F37+'дод 3 '!F139</f>
        <v>0</v>
      </c>
      <c r="F111" s="64">
        <f>'дод 3 '!G37+'дод 3 '!G139</f>
        <v>0</v>
      </c>
      <c r="G111" s="64">
        <f>'дод 3 '!H37+'дод 3 '!H139</f>
        <v>0</v>
      </c>
      <c r="H111" s="64">
        <f>'дод 3 '!I37+'дод 3 '!I139</f>
        <v>0</v>
      </c>
      <c r="I111" s="64">
        <f>'дод 3 '!J37+'дод 3 '!J139</f>
        <v>39614330</v>
      </c>
      <c r="J111" s="64">
        <f>'дод 3 '!K37+'дод 3 '!K139</f>
        <v>39614330</v>
      </c>
      <c r="K111" s="64">
        <f>'дод 3 '!L37+'дод 3 '!L139</f>
        <v>0</v>
      </c>
      <c r="L111" s="64">
        <f>'дод 3 '!M37+'дод 3 '!M139</f>
        <v>0</v>
      </c>
      <c r="M111" s="64">
        <f>'дод 3 '!N37+'дод 3 '!N139</f>
        <v>0</v>
      </c>
      <c r="N111" s="64">
        <f>'дод 3 '!O37+'дод 3 '!O139</f>
        <v>39614330</v>
      </c>
      <c r="O111" s="64">
        <f>'дод 3 '!P37+'дод 3 '!P139</f>
        <v>39614330</v>
      </c>
      <c r="P111" s="130"/>
    </row>
    <row r="112" spans="1:16" ht="36.75" customHeight="1" x14ac:dyDescent="0.25">
      <c r="A112" s="46" t="s">
        <v>290</v>
      </c>
      <c r="B112" s="46" t="s">
        <v>102</v>
      </c>
      <c r="C112" s="3" t="s">
        <v>291</v>
      </c>
      <c r="D112" s="64">
        <f>'дод 3 '!E38</f>
        <v>240069</v>
      </c>
      <c r="E112" s="64">
        <f>'дод 3 '!F38</f>
        <v>240069</v>
      </c>
      <c r="F112" s="64">
        <f>'дод 3 '!G38</f>
        <v>0</v>
      </c>
      <c r="G112" s="64">
        <f>'дод 3 '!H38</f>
        <v>0</v>
      </c>
      <c r="H112" s="64">
        <f>'дод 3 '!I38</f>
        <v>0</v>
      </c>
      <c r="I112" s="64">
        <f>'дод 3 '!J38</f>
        <v>0</v>
      </c>
      <c r="J112" s="64">
        <f>'дод 3 '!K38</f>
        <v>0</v>
      </c>
      <c r="K112" s="64">
        <f>'дод 3 '!L38</f>
        <v>0</v>
      </c>
      <c r="L112" s="64">
        <f>'дод 3 '!M38</f>
        <v>0</v>
      </c>
      <c r="M112" s="64">
        <f>'дод 3 '!N38</f>
        <v>0</v>
      </c>
      <c r="N112" s="64">
        <f>'дод 3 '!O38</f>
        <v>0</v>
      </c>
      <c r="O112" s="64">
        <f>'дод 3 '!P38</f>
        <v>240069</v>
      </c>
      <c r="P112" s="130"/>
    </row>
    <row r="113" spans="1:16" s="87" customFormat="1" ht="108" customHeight="1" x14ac:dyDescent="0.25">
      <c r="A113" s="46" t="s">
        <v>346</v>
      </c>
      <c r="B113" s="46" t="s">
        <v>102</v>
      </c>
      <c r="C113" s="3" t="s">
        <v>367</v>
      </c>
      <c r="D113" s="64">
        <f>'дод 3 '!E39+'дод 3 '!E161+'дод 3 '!E140</f>
        <v>0</v>
      </c>
      <c r="E113" s="64">
        <f>'дод 3 '!F39+'дод 3 '!F161+'дод 3 '!F140</f>
        <v>0</v>
      </c>
      <c r="F113" s="64">
        <f>'дод 3 '!G39+'дод 3 '!G161+'дод 3 '!G140</f>
        <v>0</v>
      </c>
      <c r="G113" s="64">
        <f>'дод 3 '!H39+'дод 3 '!H161+'дод 3 '!H140</f>
        <v>0</v>
      </c>
      <c r="H113" s="64">
        <f>'дод 3 '!I39+'дод 3 '!I161+'дод 3 '!I140</f>
        <v>0</v>
      </c>
      <c r="I113" s="64">
        <f>'дод 3 '!J39+'дод 3 '!J161+'дод 3 '!J140</f>
        <v>1560282</v>
      </c>
      <c r="J113" s="64">
        <f>'дод 3 '!K39+'дод 3 '!K161+'дод 3 '!K140</f>
        <v>0</v>
      </c>
      <c r="K113" s="64">
        <f>'дод 3 '!L39+'дод 3 '!L161+'дод 3 '!L140</f>
        <v>1427082</v>
      </c>
      <c r="L113" s="64">
        <f>'дод 3 '!M39+'дод 3 '!M161+'дод 3 '!M140</f>
        <v>0</v>
      </c>
      <c r="M113" s="64">
        <f>'дод 3 '!N39+'дод 3 '!N161+'дод 3 '!N140</f>
        <v>0</v>
      </c>
      <c r="N113" s="64">
        <f>'дод 3 '!O39+'дод 3 '!O161+'дод 3 '!O140</f>
        <v>133200</v>
      </c>
      <c r="O113" s="64">
        <f>'дод 3 '!P39+'дод 3 '!P161+'дод 3 '!P140</f>
        <v>1560282</v>
      </c>
      <c r="P113" s="131"/>
    </row>
    <row r="114" spans="1:16" s="87" customFormat="1" ht="30.75" customHeight="1" x14ac:dyDescent="0.25">
      <c r="A114" s="46" t="s">
        <v>281</v>
      </c>
      <c r="B114" s="46" t="s">
        <v>102</v>
      </c>
      <c r="C114" s="3" t="s">
        <v>23</v>
      </c>
      <c r="D114" s="64">
        <f>'дод 3 '!E40+'дод 3 '!E172+'дод 3 '!E177</f>
        <v>2520787</v>
      </c>
      <c r="E114" s="64">
        <f>'дод 3 '!F40+'дод 3 '!F172+'дод 3 '!F177</f>
        <v>2520787</v>
      </c>
      <c r="F114" s="64">
        <f>'дод 3 '!G40+'дод 3 '!G172+'дод 3 '!G177</f>
        <v>0</v>
      </c>
      <c r="G114" s="64">
        <f>'дод 3 '!H40+'дод 3 '!H172+'дод 3 '!H177</f>
        <v>0</v>
      </c>
      <c r="H114" s="64">
        <f>'дод 3 '!I40+'дод 3 '!I172+'дод 3 '!I177</f>
        <v>0</v>
      </c>
      <c r="I114" s="64">
        <f>'дод 3 '!J40+'дод 3 '!J172+'дод 3 '!J177</f>
        <v>0</v>
      </c>
      <c r="J114" s="64">
        <f>'дод 3 '!K40+'дод 3 '!K172+'дод 3 '!K177</f>
        <v>0</v>
      </c>
      <c r="K114" s="64">
        <f>'дод 3 '!L40+'дод 3 '!L172+'дод 3 '!L177</f>
        <v>0</v>
      </c>
      <c r="L114" s="64">
        <f>'дод 3 '!M40+'дод 3 '!M172+'дод 3 '!M177</f>
        <v>0</v>
      </c>
      <c r="M114" s="64">
        <f>'дод 3 '!N40+'дод 3 '!N172+'дод 3 '!N177</f>
        <v>0</v>
      </c>
      <c r="N114" s="64">
        <f>'дод 3 '!O40+'дод 3 '!O172+'дод 3 '!O177</f>
        <v>0</v>
      </c>
      <c r="O114" s="64">
        <f>'дод 3 '!P40+'дод 3 '!P172+'дод 3 '!P177</f>
        <v>2520787</v>
      </c>
      <c r="P114" s="131"/>
    </row>
    <row r="115" spans="1:16" s="86" customFormat="1" ht="48.75" customHeight="1" x14ac:dyDescent="0.25">
      <c r="A115" s="47">
        <v>7700</v>
      </c>
      <c r="B115" s="47"/>
      <c r="C115" s="117" t="s">
        <v>427</v>
      </c>
      <c r="D115" s="63">
        <f>D116</f>
        <v>0</v>
      </c>
      <c r="E115" s="63">
        <f t="shared" ref="E115:O115" si="15">E116</f>
        <v>0</v>
      </c>
      <c r="F115" s="63">
        <f t="shared" si="15"/>
        <v>0</v>
      </c>
      <c r="G115" s="63">
        <f t="shared" si="15"/>
        <v>0</v>
      </c>
      <c r="H115" s="63">
        <f t="shared" si="15"/>
        <v>0</v>
      </c>
      <c r="I115" s="63">
        <f t="shared" si="15"/>
        <v>885000</v>
      </c>
      <c r="J115" s="63">
        <f t="shared" si="15"/>
        <v>0</v>
      </c>
      <c r="K115" s="63">
        <f t="shared" si="15"/>
        <v>0</v>
      </c>
      <c r="L115" s="63">
        <f t="shared" si="15"/>
        <v>0</v>
      </c>
      <c r="M115" s="63">
        <f t="shared" si="15"/>
        <v>0</v>
      </c>
      <c r="N115" s="63">
        <f t="shared" si="15"/>
        <v>885000</v>
      </c>
      <c r="O115" s="63">
        <f t="shared" si="15"/>
        <v>885000</v>
      </c>
      <c r="P115" s="131"/>
    </row>
    <row r="116" spans="1:16" s="87" customFormat="1" ht="46.5" customHeight="1" x14ac:dyDescent="0.25">
      <c r="A116" s="46">
        <v>7700</v>
      </c>
      <c r="B116" s="116" t="s">
        <v>113</v>
      </c>
      <c r="C116" s="24" t="s">
        <v>427</v>
      </c>
      <c r="D116" s="64">
        <f>'дод 3 '!E85</f>
        <v>0</v>
      </c>
      <c r="E116" s="64">
        <f>'дод 3 '!F85</f>
        <v>0</v>
      </c>
      <c r="F116" s="64">
        <f>'дод 3 '!G85</f>
        <v>0</v>
      </c>
      <c r="G116" s="64">
        <f>'дод 3 '!H85</f>
        <v>0</v>
      </c>
      <c r="H116" s="64">
        <f>'дод 3 '!I85</f>
        <v>0</v>
      </c>
      <c r="I116" s="64">
        <f>'дод 3 '!J85</f>
        <v>885000</v>
      </c>
      <c r="J116" s="64">
        <f>'дод 3 '!K85</f>
        <v>0</v>
      </c>
      <c r="K116" s="64">
        <f>'дод 3 '!L85</f>
        <v>0</v>
      </c>
      <c r="L116" s="64">
        <f>'дод 3 '!M85</f>
        <v>0</v>
      </c>
      <c r="M116" s="64">
        <f>'дод 3 '!N85</f>
        <v>0</v>
      </c>
      <c r="N116" s="64">
        <f>'дод 3 '!O85</f>
        <v>885000</v>
      </c>
      <c r="O116" s="64">
        <f>'дод 3 '!P85</f>
        <v>885000</v>
      </c>
      <c r="P116" s="131"/>
    </row>
    <row r="117" spans="1:16" s="85" customFormat="1" x14ac:dyDescent="0.25">
      <c r="A117" s="47" t="s">
        <v>114</v>
      </c>
      <c r="B117" s="48"/>
      <c r="C117" s="2" t="s">
        <v>9</v>
      </c>
      <c r="D117" s="63">
        <f t="shared" ref="D117:O117" si="16">D118+D121+D123+D126+D128+D129</f>
        <v>23917205</v>
      </c>
      <c r="E117" s="63">
        <f t="shared" si="16"/>
        <v>3877205</v>
      </c>
      <c r="F117" s="63">
        <f t="shared" si="16"/>
        <v>1542220</v>
      </c>
      <c r="G117" s="63">
        <f t="shared" si="16"/>
        <v>365540</v>
      </c>
      <c r="H117" s="63">
        <f t="shared" si="16"/>
        <v>0</v>
      </c>
      <c r="I117" s="63">
        <f t="shared" si="16"/>
        <v>6683600</v>
      </c>
      <c r="J117" s="63">
        <f t="shared" si="16"/>
        <v>2159600</v>
      </c>
      <c r="K117" s="63">
        <f t="shared" si="16"/>
        <v>2493500</v>
      </c>
      <c r="L117" s="63">
        <f t="shared" si="16"/>
        <v>0</v>
      </c>
      <c r="M117" s="63">
        <f t="shared" si="16"/>
        <v>1400</v>
      </c>
      <c r="N117" s="63">
        <f t="shared" si="16"/>
        <v>4190100</v>
      </c>
      <c r="O117" s="63">
        <f t="shared" si="16"/>
        <v>30600805</v>
      </c>
      <c r="P117" s="131"/>
    </row>
    <row r="118" spans="1:16" s="85" customFormat="1" ht="39.75" customHeight="1" x14ac:dyDescent="0.25">
      <c r="A118" s="47" t="s">
        <v>116</v>
      </c>
      <c r="B118" s="48"/>
      <c r="C118" s="2" t="s">
        <v>10</v>
      </c>
      <c r="D118" s="63">
        <f t="shared" ref="D118:O118" si="17">D119+D120</f>
        <v>2306780</v>
      </c>
      <c r="E118" s="63">
        <f t="shared" si="17"/>
        <v>2306780</v>
      </c>
      <c r="F118" s="63">
        <f t="shared" si="17"/>
        <v>1542220</v>
      </c>
      <c r="G118" s="63">
        <f t="shared" si="17"/>
        <v>87380</v>
      </c>
      <c r="H118" s="63">
        <f t="shared" si="17"/>
        <v>0</v>
      </c>
      <c r="I118" s="63">
        <f t="shared" si="17"/>
        <v>2165100</v>
      </c>
      <c r="J118" s="63">
        <f t="shared" si="17"/>
        <v>2159600</v>
      </c>
      <c r="K118" s="63">
        <f t="shared" si="17"/>
        <v>5500</v>
      </c>
      <c r="L118" s="63">
        <f t="shared" si="17"/>
        <v>0</v>
      </c>
      <c r="M118" s="63">
        <f t="shared" si="17"/>
        <v>1400</v>
      </c>
      <c r="N118" s="63">
        <f t="shared" si="17"/>
        <v>2159600</v>
      </c>
      <c r="O118" s="63">
        <f t="shared" si="17"/>
        <v>4471880</v>
      </c>
      <c r="P118" s="131"/>
    </row>
    <row r="119" spans="1:16" s="85" customFormat="1" ht="36.75" customHeight="1" x14ac:dyDescent="0.25">
      <c r="A119" s="49" t="s">
        <v>11</v>
      </c>
      <c r="B119" s="49" t="s">
        <v>109</v>
      </c>
      <c r="C119" s="3" t="s">
        <v>347</v>
      </c>
      <c r="D119" s="64">
        <f>'дод 3 '!E41</f>
        <v>284500</v>
      </c>
      <c r="E119" s="64">
        <f>'дод 3 '!F41</f>
        <v>284500</v>
      </c>
      <c r="F119" s="64">
        <f>'дод 3 '!G41</f>
        <v>0</v>
      </c>
      <c r="G119" s="64">
        <f>'дод 3 '!H41</f>
        <v>7500</v>
      </c>
      <c r="H119" s="64">
        <f>'дод 3 '!I41</f>
        <v>0</v>
      </c>
      <c r="I119" s="64">
        <f>'дод 3 '!J41</f>
        <v>2159600</v>
      </c>
      <c r="J119" s="64">
        <f>'дод 3 '!K41</f>
        <v>2159600</v>
      </c>
      <c r="K119" s="64">
        <f>'дод 3 '!L41</f>
        <v>0</v>
      </c>
      <c r="L119" s="64">
        <f>'дод 3 '!M41</f>
        <v>0</v>
      </c>
      <c r="M119" s="64">
        <f>'дод 3 '!N41</f>
        <v>0</v>
      </c>
      <c r="N119" s="64">
        <f>'дод 3 '!O41</f>
        <v>2159600</v>
      </c>
      <c r="O119" s="64">
        <f>'дод 3 '!P41</f>
        <v>2444100</v>
      </c>
      <c r="P119" s="131"/>
    </row>
    <row r="120" spans="1:16" ht="24.75" customHeight="1" x14ac:dyDescent="0.25">
      <c r="A120" s="46" t="s">
        <v>179</v>
      </c>
      <c r="B120" s="51" t="s">
        <v>109</v>
      </c>
      <c r="C120" s="3" t="s">
        <v>12</v>
      </c>
      <c r="D120" s="64">
        <f>'дод 3 '!E42</f>
        <v>2022280</v>
      </c>
      <c r="E120" s="64">
        <f>'дод 3 '!F42</f>
        <v>2022280</v>
      </c>
      <c r="F120" s="64">
        <f>'дод 3 '!G42</f>
        <v>1542220</v>
      </c>
      <c r="G120" s="64">
        <f>'дод 3 '!H42</f>
        <v>79880</v>
      </c>
      <c r="H120" s="64">
        <f>'дод 3 '!I42</f>
        <v>0</v>
      </c>
      <c r="I120" s="64">
        <f>'дод 3 '!J42</f>
        <v>5500</v>
      </c>
      <c r="J120" s="64">
        <f>'дод 3 '!K42</f>
        <v>0</v>
      </c>
      <c r="K120" s="64">
        <f>'дод 3 '!L42</f>
        <v>5500</v>
      </c>
      <c r="L120" s="64">
        <f>'дод 3 '!M42</f>
        <v>0</v>
      </c>
      <c r="M120" s="64">
        <f>'дод 3 '!N42</f>
        <v>1400</v>
      </c>
      <c r="N120" s="64">
        <f>'дод 3 '!O42</f>
        <v>0</v>
      </c>
      <c r="O120" s="64">
        <f>'дод 3 '!P42</f>
        <v>2027780</v>
      </c>
      <c r="P120" s="131"/>
    </row>
    <row r="121" spans="1:16" s="85" customFormat="1" ht="30" customHeight="1" x14ac:dyDescent="0.25">
      <c r="A121" s="47" t="s">
        <v>292</v>
      </c>
      <c r="B121" s="47"/>
      <c r="C121" s="12" t="s">
        <v>293</v>
      </c>
      <c r="D121" s="63">
        <f t="shared" ref="D121:O121" si="18">D122</f>
        <v>683360</v>
      </c>
      <c r="E121" s="63">
        <f t="shared" si="18"/>
        <v>683360</v>
      </c>
      <c r="F121" s="63">
        <f t="shared" si="18"/>
        <v>0</v>
      </c>
      <c r="G121" s="63">
        <f t="shared" si="18"/>
        <v>278160</v>
      </c>
      <c r="H121" s="63">
        <f t="shared" si="18"/>
        <v>0</v>
      </c>
      <c r="I121" s="63">
        <f t="shared" si="18"/>
        <v>0</v>
      </c>
      <c r="J121" s="63">
        <f t="shared" si="18"/>
        <v>0</v>
      </c>
      <c r="K121" s="63">
        <f t="shared" si="18"/>
        <v>0</v>
      </c>
      <c r="L121" s="63">
        <f t="shared" si="18"/>
        <v>0</v>
      </c>
      <c r="M121" s="63">
        <f t="shared" si="18"/>
        <v>0</v>
      </c>
      <c r="N121" s="63">
        <f t="shared" si="18"/>
        <v>0</v>
      </c>
      <c r="O121" s="63">
        <f t="shared" si="18"/>
        <v>683360</v>
      </c>
      <c r="P121" s="131"/>
    </row>
    <row r="122" spans="1:16" ht="30" customHeight="1" x14ac:dyDescent="0.25">
      <c r="A122" s="46" t="s">
        <v>286</v>
      </c>
      <c r="B122" s="51" t="s">
        <v>287</v>
      </c>
      <c r="C122" s="3" t="s">
        <v>288</v>
      </c>
      <c r="D122" s="64">
        <f>'дод 3 '!E43</f>
        <v>683360</v>
      </c>
      <c r="E122" s="64">
        <f>'дод 3 '!F43</f>
        <v>683360</v>
      </c>
      <c r="F122" s="64">
        <f>'дод 3 '!G43</f>
        <v>0</v>
      </c>
      <c r="G122" s="64">
        <f>'дод 3 '!H43</f>
        <v>278160</v>
      </c>
      <c r="H122" s="64">
        <f>'дод 3 '!I43</f>
        <v>0</v>
      </c>
      <c r="I122" s="64">
        <f>'дод 3 '!J43</f>
        <v>0</v>
      </c>
      <c r="J122" s="64">
        <f>'дод 3 '!K43</f>
        <v>0</v>
      </c>
      <c r="K122" s="64">
        <f>'дод 3 '!L43</f>
        <v>0</v>
      </c>
      <c r="L122" s="64">
        <f>'дод 3 '!M43</f>
        <v>0</v>
      </c>
      <c r="M122" s="64">
        <f>'дод 3 '!N43</f>
        <v>0</v>
      </c>
      <c r="N122" s="64">
        <f>'дод 3 '!O43</f>
        <v>0</v>
      </c>
      <c r="O122" s="64">
        <f>'дод 3 '!P43</f>
        <v>683360</v>
      </c>
      <c r="P122" s="131"/>
    </row>
    <row r="123" spans="1:16" s="85" customFormat="1" ht="22.5" customHeight="1" x14ac:dyDescent="0.25">
      <c r="A123" s="47" t="s">
        <v>8</v>
      </c>
      <c r="B123" s="48"/>
      <c r="C123" s="2" t="s">
        <v>13</v>
      </c>
      <c r="D123" s="63">
        <f t="shared" ref="D123:O123" si="19">D125+D124</f>
        <v>75000</v>
      </c>
      <c r="E123" s="63">
        <f t="shared" si="19"/>
        <v>75000</v>
      </c>
      <c r="F123" s="63">
        <f t="shared" si="19"/>
        <v>0</v>
      </c>
      <c r="G123" s="63">
        <f t="shared" si="19"/>
        <v>0</v>
      </c>
      <c r="H123" s="63">
        <f t="shared" si="19"/>
        <v>0</v>
      </c>
      <c r="I123" s="63">
        <f t="shared" si="19"/>
        <v>4518500</v>
      </c>
      <c r="J123" s="63">
        <f t="shared" si="19"/>
        <v>0</v>
      </c>
      <c r="K123" s="63">
        <f t="shared" si="19"/>
        <v>2488000</v>
      </c>
      <c r="L123" s="63">
        <f t="shared" si="19"/>
        <v>0</v>
      </c>
      <c r="M123" s="63">
        <f t="shared" si="19"/>
        <v>0</v>
      </c>
      <c r="N123" s="63">
        <f t="shared" si="19"/>
        <v>2030500</v>
      </c>
      <c r="O123" s="63">
        <f t="shared" si="19"/>
        <v>4593500</v>
      </c>
      <c r="P123" s="131"/>
    </row>
    <row r="124" spans="1:16" s="85" customFormat="1" ht="46.5" customHeight="1" x14ac:dyDescent="0.25">
      <c r="A124" s="46">
        <v>8330</v>
      </c>
      <c r="B124" s="46">
        <v>540</v>
      </c>
      <c r="C124" s="3" t="s">
        <v>409</v>
      </c>
      <c r="D124" s="64">
        <f>'дод 3 '!E178</f>
        <v>75000</v>
      </c>
      <c r="E124" s="64">
        <f>'дод 3 '!F178</f>
        <v>75000</v>
      </c>
      <c r="F124" s="64">
        <f>'дод 3 '!G178</f>
        <v>0</v>
      </c>
      <c r="G124" s="64">
        <f>'дод 3 '!H178</f>
        <v>0</v>
      </c>
      <c r="H124" s="64">
        <f>'дод 3 '!I178</f>
        <v>0</v>
      </c>
      <c r="I124" s="64">
        <f>'дод 3 '!J178</f>
        <v>0</v>
      </c>
      <c r="J124" s="64">
        <f>'дод 3 '!K178</f>
        <v>0</v>
      </c>
      <c r="K124" s="64">
        <f>'дод 3 '!L178</f>
        <v>0</v>
      </c>
      <c r="L124" s="64">
        <f>'дод 3 '!M178</f>
        <v>0</v>
      </c>
      <c r="M124" s="64">
        <f>'дод 3 '!N178</f>
        <v>0</v>
      </c>
      <c r="N124" s="64">
        <f>'дод 3 '!O178</f>
        <v>0</v>
      </c>
      <c r="O124" s="64">
        <f>'дод 3 '!P178</f>
        <v>75000</v>
      </c>
      <c r="P124" s="131"/>
    </row>
    <row r="125" spans="1:16" s="85" customFormat="1" ht="25.5" customHeight="1" x14ac:dyDescent="0.25">
      <c r="A125" s="46" t="s">
        <v>14</v>
      </c>
      <c r="B125" s="46" t="s">
        <v>112</v>
      </c>
      <c r="C125" s="3" t="s">
        <v>15</v>
      </c>
      <c r="D125" s="64">
        <f>'дод 3 '!E44+'дод 3 '!E68+'дод 3 '!E141+'дод 3 '!E179+'дод 3 '!E122</f>
        <v>0</v>
      </c>
      <c r="E125" s="64">
        <f>'дод 3 '!F44+'дод 3 '!F68+'дод 3 '!F141+'дод 3 '!F179+'дод 3 '!F122</f>
        <v>0</v>
      </c>
      <c r="F125" s="64">
        <f>'дод 3 '!G44+'дод 3 '!G68+'дод 3 '!G141+'дод 3 '!G179+'дод 3 '!G122</f>
        <v>0</v>
      </c>
      <c r="G125" s="64">
        <f>'дод 3 '!H44+'дод 3 '!H68+'дод 3 '!H141+'дод 3 '!H179+'дод 3 '!H122</f>
        <v>0</v>
      </c>
      <c r="H125" s="64">
        <f>'дод 3 '!I44+'дод 3 '!I68+'дод 3 '!I141+'дод 3 '!I179+'дод 3 '!I122</f>
        <v>0</v>
      </c>
      <c r="I125" s="64">
        <f>'дод 3 '!J44+'дод 3 '!J68+'дод 3 '!J141+'дод 3 '!J179+'дод 3 '!J122</f>
        <v>4518500</v>
      </c>
      <c r="J125" s="64">
        <f>'дод 3 '!K44+'дод 3 '!K68+'дод 3 '!K141+'дод 3 '!K179+'дод 3 '!K122</f>
        <v>0</v>
      </c>
      <c r="K125" s="64">
        <f>'дод 3 '!L44+'дод 3 '!L68+'дод 3 '!L141+'дод 3 '!L179+'дод 3 '!L122</f>
        <v>2488000</v>
      </c>
      <c r="L125" s="64">
        <f>'дод 3 '!M44+'дод 3 '!M68+'дод 3 '!M141+'дод 3 '!M179+'дод 3 '!M122</f>
        <v>0</v>
      </c>
      <c r="M125" s="64">
        <f>'дод 3 '!N44+'дод 3 '!N68+'дод 3 '!N141+'дод 3 '!N179+'дод 3 '!N122</f>
        <v>0</v>
      </c>
      <c r="N125" s="64">
        <f>'дод 3 '!O44+'дод 3 '!O68+'дод 3 '!O141+'дод 3 '!O179+'дод 3 '!O122</f>
        <v>2030500</v>
      </c>
      <c r="O125" s="64">
        <f>'дод 3 '!P44+'дод 3 '!P68+'дод 3 '!P141+'дод 3 '!P179+'дод 3 '!P122</f>
        <v>4518500</v>
      </c>
      <c r="P125" s="131"/>
    </row>
    <row r="126" spans="1:16" s="85" customFormat="1" ht="26.25" customHeight="1" x14ac:dyDescent="0.25">
      <c r="A126" s="47" t="s">
        <v>161</v>
      </c>
      <c r="B126" s="48"/>
      <c r="C126" s="2" t="s">
        <v>95</v>
      </c>
      <c r="D126" s="63">
        <f t="shared" ref="D126:O126" si="20">D127</f>
        <v>100000</v>
      </c>
      <c r="E126" s="63">
        <f t="shared" si="20"/>
        <v>100000</v>
      </c>
      <c r="F126" s="63">
        <f t="shared" si="20"/>
        <v>0</v>
      </c>
      <c r="G126" s="63">
        <f t="shared" si="20"/>
        <v>0</v>
      </c>
      <c r="H126" s="63">
        <f t="shared" si="20"/>
        <v>0</v>
      </c>
      <c r="I126" s="63">
        <f t="shared" si="20"/>
        <v>0</v>
      </c>
      <c r="J126" s="63">
        <f t="shared" si="20"/>
        <v>0</v>
      </c>
      <c r="K126" s="63">
        <f t="shared" si="20"/>
        <v>0</v>
      </c>
      <c r="L126" s="63">
        <f t="shared" si="20"/>
        <v>0</v>
      </c>
      <c r="M126" s="63">
        <f t="shared" si="20"/>
        <v>0</v>
      </c>
      <c r="N126" s="63">
        <f t="shared" si="20"/>
        <v>0</v>
      </c>
      <c r="O126" s="63">
        <f t="shared" si="20"/>
        <v>100000</v>
      </c>
      <c r="P126" s="131"/>
    </row>
    <row r="127" spans="1:16" s="85" customFormat="1" ht="25.5" customHeight="1" x14ac:dyDescent="0.25">
      <c r="A127" s="46" t="s">
        <v>297</v>
      </c>
      <c r="B127" s="51" t="s">
        <v>96</v>
      </c>
      <c r="C127" s="3" t="s">
        <v>298</v>
      </c>
      <c r="D127" s="64">
        <f>'дод 3 '!E45</f>
        <v>100000</v>
      </c>
      <c r="E127" s="64">
        <f>'дод 3 '!F45</f>
        <v>100000</v>
      </c>
      <c r="F127" s="64">
        <f>'дод 3 '!G45</f>
        <v>0</v>
      </c>
      <c r="G127" s="64">
        <f>'дод 3 '!H45</f>
        <v>0</v>
      </c>
      <c r="H127" s="64">
        <f>'дод 3 '!I45</f>
        <v>0</v>
      </c>
      <c r="I127" s="64">
        <f>'дод 3 '!J45</f>
        <v>0</v>
      </c>
      <c r="J127" s="64">
        <f>'дод 3 '!K45</f>
        <v>0</v>
      </c>
      <c r="K127" s="64">
        <f>'дод 3 '!L45</f>
        <v>0</v>
      </c>
      <c r="L127" s="64">
        <f>'дод 3 '!M45</f>
        <v>0</v>
      </c>
      <c r="M127" s="64">
        <f>'дод 3 '!N45</f>
        <v>0</v>
      </c>
      <c r="N127" s="64">
        <f>'дод 3 '!O45</f>
        <v>0</v>
      </c>
      <c r="O127" s="64">
        <f>'дод 3 '!P45</f>
        <v>100000</v>
      </c>
      <c r="P127" s="131"/>
    </row>
    <row r="128" spans="1:16" s="85" customFormat="1" ht="26.25" customHeight="1" x14ac:dyDescent="0.25">
      <c r="A128" s="47" t="s">
        <v>115</v>
      </c>
      <c r="B128" s="47" t="s">
        <v>110</v>
      </c>
      <c r="C128" s="2" t="s">
        <v>16</v>
      </c>
      <c r="D128" s="63">
        <f>'дод 3 '!E180</f>
        <v>712065</v>
      </c>
      <c r="E128" s="63">
        <f>'дод 3 '!F180</f>
        <v>712065</v>
      </c>
      <c r="F128" s="63">
        <f>'дод 3 '!G180</f>
        <v>0</v>
      </c>
      <c r="G128" s="63">
        <f>'дод 3 '!H180</f>
        <v>0</v>
      </c>
      <c r="H128" s="63">
        <f>'дод 3 '!I180</f>
        <v>0</v>
      </c>
      <c r="I128" s="63">
        <f>'дод 3 '!J180</f>
        <v>0</v>
      </c>
      <c r="J128" s="63">
        <f>'дод 3 '!K180</f>
        <v>0</v>
      </c>
      <c r="K128" s="63">
        <f>'дод 3 '!L180</f>
        <v>0</v>
      </c>
      <c r="L128" s="63">
        <f>'дод 3 '!M180</f>
        <v>0</v>
      </c>
      <c r="M128" s="63">
        <f>'дод 3 '!N180</f>
        <v>0</v>
      </c>
      <c r="N128" s="63">
        <f>'дод 3 '!O180</f>
        <v>0</v>
      </c>
      <c r="O128" s="63">
        <f>'дод 3 '!P180</f>
        <v>712065</v>
      </c>
      <c r="P128" s="131"/>
    </row>
    <row r="129" spans="1:16" s="85" customFormat="1" ht="26.25" customHeight="1" x14ac:dyDescent="0.25">
      <c r="A129" s="47" t="s">
        <v>17</v>
      </c>
      <c r="B129" s="47" t="s">
        <v>113</v>
      </c>
      <c r="C129" s="2" t="s">
        <v>26</v>
      </c>
      <c r="D129" s="63">
        <f>'дод 3 '!E181</f>
        <v>20040000</v>
      </c>
      <c r="E129" s="63">
        <f>'дод 3 '!F181</f>
        <v>0</v>
      </c>
      <c r="F129" s="63">
        <f>'дод 3 '!G181</f>
        <v>0</v>
      </c>
      <c r="G129" s="63">
        <f>'дод 3 '!H181</f>
        <v>0</v>
      </c>
      <c r="H129" s="63">
        <f>'дод 3 '!I181</f>
        <v>0</v>
      </c>
      <c r="I129" s="63">
        <f>'дод 3 '!J181</f>
        <v>0</v>
      </c>
      <c r="J129" s="63">
        <f>'дод 3 '!K181</f>
        <v>0</v>
      </c>
      <c r="K129" s="63">
        <f>'дод 3 '!L181</f>
        <v>0</v>
      </c>
      <c r="L129" s="63">
        <f>'дод 3 '!M181</f>
        <v>0</v>
      </c>
      <c r="M129" s="63">
        <f>'дод 3 '!N181</f>
        <v>0</v>
      </c>
      <c r="N129" s="63">
        <f>'дод 3 '!O181</f>
        <v>0</v>
      </c>
      <c r="O129" s="63">
        <f>'дод 3 '!P181</f>
        <v>20040000</v>
      </c>
      <c r="P129" s="131"/>
    </row>
    <row r="130" spans="1:16" s="85" customFormat="1" ht="27.75" customHeight="1" x14ac:dyDescent="0.25">
      <c r="A130" s="47" t="s">
        <v>18</v>
      </c>
      <c r="B130" s="47"/>
      <c r="C130" s="2" t="s">
        <v>131</v>
      </c>
      <c r="D130" s="63">
        <f>D131+D133</f>
        <v>109554600</v>
      </c>
      <c r="E130" s="63">
        <f t="shared" ref="E130:O130" si="21">E131+E133</f>
        <v>109554600</v>
      </c>
      <c r="F130" s="63">
        <f t="shared" si="21"/>
        <v>0</v>
      </c>
      <c r="G130" s="63">
        <f t="shared" si="21"/>
        <v>0</v>
      </c>
      <c r="H130" s="63">
        <f t="shared" si="21"/>
        <v>0</v>
      </c>
      <c r="I130" s="63">
        <f t="shared" si="21"/>
        <v>7632000</v>
      </c>
      <c r="J130" s="63">
        <f t="shared" si="21"/>
        <v>7632000</v>
      </c>
      <c r="K130" s="63">
        <f t="shared" si="21"/>
        <v>0</v>
      </c>
      <c r="L130" s="63">
        <f t="shared" si="21"/>
        <v>0</v>
      </c>
      <c r="M130" s="63">
        <f t="shared" si="21"/>
        <v>0</v>
      </c>
      <c r="N130" s="63">
        <f t="shared" si="21"/>
        <v>7632000</v>
      </c>
      <c r="O130" s="63">
        <f t="shared" si="21"/>
        <v>117186600</v>
      </c>
      <c r="P130" s="131"/>
    </row>
    <row r="131" spans="1:16" s="85" customFormat="1" ht="21.75" customHeight="1" x14ac:dyDescent="0.25">
      <c r="A131" s="47" t="s">
        <v>295</v>
      </c>
      <c r="B131" s="47"/>
      <c r="C131" s="2" t="s">
        <v>348</v>
      </c>
      <c r="D131" s="63">
        <f t="shared" ref="D131:O131" si="22">D132</f>
        <v>108116600</v>
      </c>
      <c r="E131" s="63">
        <f t="shared" si="22"/>
        <v>108116600</v>
      </c>
      <c r="F131" s="63">
        <f t="shared" si="22"/>
        <v>0</v>
      </c>
      <c r="G131" s="63">
        <f t="shared" si="22"/>
        <v>0</v>
      </c>
      <c r="H131" s="63">
        <f t="shared" si="22"/>
        <v>0</v>
      </c>
      <c r="I131" s="63">
        <f t="shared" si="22"/>
        <v>0</v>
      </c>
      <c r="J131" s="63">
        <f t="shared" si="22"/>
        <v>0</v>
      </c>
      <c r="K131" s="63">
        <f t="shared" si="22"/>
        <v>0</v>
      </c>
      <c r="L131" s="63">
        <f t="shared" si="22"/>
        <v>0</v>
      </c>
      <c r="M131" s="63">
        <f t="shared" si="22"/>
        <v>0</v>
      </c>
      <c r="N131" s="63">
        <f t="shared" si="22"/>
        <v>0</v>
      </c>
      <c r="O131" s="63">
        <f t="shared" si="22"/>
        <v>108116600</v>
      </c>
      <c r="P131" s="131"/>
    </row>
    <row r="132" spans="1:16" s="85" customFormat="1" ht="21.75" customHeight="1" x14ac:dyDescent="0.25">
      <c r="A132" s="46" t="s">
        <v>111</v>
      </c>
      <c r="B132" s="51" t="s">
        <v>59</v>
      </c>
      <c r="C132" s="3" t="s">
        <v>130</v>
      </c>
      <c r="D132" s="64">
        <f>'дод 3 '!E182</f>
        <v>108116600</v>
      </c>
      <c r="E132" s="64">
        <f>'дод 3 '!F182</f>
        <v>108116600</v>
      </c>
      <c r="F132" s="64">
        <f>'дод 3 '!G182</f>
        <v>0</v>
      </c>
      <c r="G132" s="64">
        <f>'дод 3 '!H182</f>
        <v>0</v>
      </c>
      <c r="H132" s="64">
        <f>'дод 3 '!I182</f>
        <v>0</v>
      </c>
      <c r="I132" s="64">
        <f>'дод 3 '!J182</f>
        <v>0</v>
      </c>
      <c r="J132" s="64">
        <f>'дод 3 '!K182</f>
        <v>0</v>
      </c>
      <c r="K132" s="64">
        <f>'дод 3 '!L182</f>
        <v>0</v>
      </c>
      <c r="L132" s="64">
        <f>'дод 3 '!M182</f>
        <v>0</v>
      </c>
      <c r="M132" s="64">
        <f>'дод 3 '!N182</f>
        <v>0</v>
      </c>
      <c r="N132" s="64">
        <f>'дод 3 '!O182</f>
        <v>0</v>
      </c>
      <c r="O132" s="64">
        <f>'дод 3 '!P182</f>
        <v>108116600</v>
      </c>
      <c r="P132" s="131"/>
    </row>
    <row r="133" spans="1:16" s="85" customFormat="1" ht="50.25" customHeight="1" x14ac:dyDescent="0.25">
      <c r="A133" s="47" t="s">
        <v>19</v>
      </c>
      <c r="B133" s="48"/>
      <c r="C133" s="2" t="s">
        <v>408</v>
      </c>
      <c r="D133" s="63">
        <f t="shared" ref="D133:O133" si="23">D134</f>
        <v>1438000</v>
      </c>
      <c r="E133" s="63">
        <f t="shared" si="23"/>
        <v>1438000</v>
      </c>
      <c r="F133" s="63">
        <f t="shared" si="23"/>
        <v>0</v>
      </c>
      <c r="G133" s="63">
        <f t="shared" si="23"/>
        <v>0</v>
      </c>
      <c r="H133" s="63">
        <f t="shared" si="23"/>
        <v>0</v>
      </c>
      <c r="I133" s="63">
        <f t="shared" si="23"/>
        <v>7632000</v>
      </c>
      <c r="J133" s="63">
        <f t="shared" si="23"/>
        <v>7632000</v>
      </c>
      <c r="K133" s="63">
        <f t="shared" si="23"/>
        <v>0</v>
      </c>
      <c r="L133" s="63">
        <f t="shared" si="23"/>
        <v>0</v>
      </c>
      <c r="M133" s="63">
        <f t="shared" si="23"/>
        <v>0</v>
      </c>
      <c r="N133" s="63">
        <f t="shared" si="23"/>
        <v>7632000</v>
      </c>
      <c r="O133" s="63">
        <f t="shared" si="23"/>
        <v>9070000</v>
      </c>
      <c r="P133" s="131"/>
    </row>
    <row r="134" spans="1:16" s="85" customFormat="1" ht="30.75" customHeight="1" x14ac:dyDescent="0.25">
      <c r="A134" s="46" t="s">
        <v>20</v>
      </c>
      <c r="B134" s="51" t="s">
        <v>59</v>
      </c>
      <c r="C134" s="6" t="s">
        <v>417</v>
      </c>
      <c r="D134" s="64">
        <f>'дод 3 '!E142+'дод 3 '!E107</f>
        <v>1438000</v>
      </c>
      <c r="E134" s="64">
        <f>'дод 3 '!F142+'дод 3 '!F107</f>
        <v>1438000</v>
      </c>
      <c r="F134" s="64">
        <f>'дод 3 '!G142+'дод 3 '!G107</f>
        <v>0</v>
      </c>
      <c r="G134" s="64">
        <f>'дод 3 '!H142+'дод 3 '!H107</f>
        <v>0</v>
      </c>
      <c r="H134" s="64">
        <f>'дод 3 '!I142+'дод 3 '!I107</f>
        <v>0</v>
      </c>
      <c r="I134" s="64">
        <f>'дод 3 '!J142+'дод 3 '!J107</f>
        <v>7632000</v>
      </c>
      <c r="J134" s="64">
        <f>'дод 3 '!K142+'дод 3 '!K107</f>
        <v>7632000</v>
      </c>
      <c r="K134" s="64">
        <f>'дод 3 '!L142+'дод 3 '!L107</f>
        <v>0</v>
      </c>
      <c r="L134" s="64">
        <f>'дод 3 '!M142+'дод 3 '!M107</f>
        <v>0</v>
      </c>
      <c r="M134" s="64">
        <f>'дод 3 '!N142+'дод 3 '!N107</f>
        <v>0</v>
      </c>
      <c r="N134" s="64">
        <f>'дод 3 '!O142+'дод 3 '!O107</f>
        <v>7632000</v>
      </c>
      <c r="O134" s="64">
        <f>'дод 3 '!P142+'дод 3 '!P107</f>
        <v>9070000</v>
      </c>
      <c r="P134" s="131"/>
    </row>
    <row r="135" spans="1:16" s="85" customFormat="1" ht="25.5" customHeight="1" x14ac:dyDescent="0.25">
      <c r="A135" s="7"/>
      <c r="B135" s="7"/>
      <c r="C135" s="2" t="s">
        <v>27</v>
      </c>
      <c r="D135" s="63">
        <f>D13+D16+D33+D46+D70+D75+D82+D91+D117+D130</f>
        <v>2041548014</v>
      </c>
      <c r="E135" s="63">
        <f t="shared" ref="E135:O135" si="24">E13+E16+E33+E46+E70+E75+E82+E91+E117+E130</f>
        <v>1976510876</v>
      </c>
      <c r="F135" s="63">
        <f t="shared" si="24"/>
        <v>905515185</v>
      </c>
      <c r="G135" s="63">
        <f t="shared" si="24"/>
        <v>121640963</v>
      </c>
      <c r="H135" s="63">
        <f t="shared" si="24"/>
        <v>44997138</v>
      </c>
      <c r="I135" s="63">
        <f t="shared" si="24"/>
        <v>527490012</v>
      </c>
      <c r="J135" s="63">
        <f t="shared" si="24"/>
        <v>451038186</v>
      </c>
      <c r="K135" s="63">
        <f t="shared" si="24"/>
        <v>63430230</v>
      </c>
      <c r="L135" s="63">
        <f t="shared" si="24"/>
        <v>9012497</v>
      </c>
      <c r="M135" s="63">
        <f t="shared" si="24"/>
        <v>3270541</v>
      </c>
      <c r="N135" s="63">
        <f t="shared" si="24"/>
        <v>464059782</v>
      </c>
      <c r="O135" s="63">
        <f t="shared" si="24"/>
        <v>2569038026</v>
      </c>
      <c r="P135" s="131"/>
    </row>
    <row r="136" spans="1:16" s="85" customFormat="1" ht="25.5" customHeight="1" x14ac:dyDescent="0.25">
      <c r="A136" s="7"/>
      <c r="B136" s="7"/>
      <c r="C136" s="2" t="s">
        <v>308</v>
      </c>
      <c r="D136" s="63">
        <f>D17+D34</f>
        <v>417759465</v>
      </c>
      <c r="E136" s="63">
        <f t="shared" ref="E136:O136" si="25">E17+E34</f>
        <v>417759465</v>
      </c>
      <c r="F136" s="63">
        <f t="shared" si="25"/>
        <v>294458780</v>
      </c>
      <c r="G136" s="63">
        <f t="shared" si="25"/>
        <v>0</v>
      </c>
      <c r="H136" s="63">
        <f t="shared" si="25"/>
        <v>0</v>
      </c>
      <c r="I136" s="63">
        <f t="shared" si="25"/>
        <v>828008</v>
      </c>
      <c r="J136" s="63">
        <f t="shared" si="25"/>
        <v>828008</v>
      </c>
      <c r="K136" s="63">
        <f t="shared" si="25"/>
        <v>0</v>
      </c>
      <c r="L136" s="63">
        <f t="shared" si="25"/>
        <v>0</v>
      </c>
      <c r="M136" s="63">
        <f t="shared" si="25"/>
        <v>0</v>
      </c>
      <c r="N136" s="63">
        <f t="shared" si="25"/>
        <v>828008</v>
      </c>
      <c r="O136" s="63">
        <f t="shared" si="25"/>
        <v>418587473</v>
      </c>
      <c r="P136" s="131"/>
    </row>
    <row r="137" spans="1:16" s="56" customFormat="1" x14ac:dyDescent="0.25">
      <c r="A137" s="149"/>
      <c r="B137" s="55"/>
      <c r="C137" s="55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31"/>
    </row>
    <row r="138" spans="1:16" s="54" customFormat="1" x14ac:dyDescent="0.25">
      <c r="A138" s="149"/>
      <c r="B138" s="53"/>
      <c r="C138" s="53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31"/>
    </row>
    <row r="139" spans="1:16" ht="26.25" x14ac:dyDescent="0.25">
      <c r="A139" s="147"/>
      <c r="B139" s="147"/>
      <c r="C139" s="147"/>
      <c r="P139" s="131"/>
    </row>
    <row r="140" spans="1:16" ht="27.75" customHeight="1" x14ac:dyDescent="0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31"/>
    </row>
    <row r="141" spans="1:16" ht="15.75" customHeight="1" x14ac:dyDescent="0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31"/>
    </row>
    <row r="142" spans="1:16" ht="35.25" customHeight="1" x14ac:dyDescent="0.4">
      <c r="A142" s="143" t="s">
        <v>429</v>
      </c>
      <c r="B142" s="143"/>
      <c r="C142" s="143"/>
      <c r="D142" s="143"/>
      <c r="E142" s="143"/>
      <c r="F142" s="143"/>
      <c r="G142" s="143"/>
      <c r="H142" s="143"/>
      <c r="I142" s="112"/>
      <c r="J142" s="112"/>
      <c r="K142" s="112"/>
      <c r="L142" s="144" t="s">
        <v>430</v>
      </c>
      <c r="M142" s="144"/>
      <c r="N142" s="144"/>
      <c r="O142" s="113"/>
      <c r="P142" s="131"/>
    </row>
    <row r="143" spans="1:16" ht="31.5" customHeight="1" x14ac:dyDescent="0.3">
      <c r="A143" s="135" t="s">
        <v>439</v>
      </c>
      <c r="B143" s="118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31"/>
    </row>
    <row r="144" spans="1:16" ht="27.75" x14ac:dyDescent="0.25">
      <c r="A144" s="136" t="s">
        <v>440</v>
      </c>
      <c r="B144" s="134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31"/>
    </row>
    <row r="145" spans="1:15" ht="15.75" customHeight="1" x14ac:dyDescent="0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1:15" x14ac:dyDescent="0.25">
      <c r="A146" s="94"/>
      <c r="B146" s="83"/>
      <c r="C146" s="83"/>
      <c r="D146" s="4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</row>
    <row r="147" spans="1:15" ht="6.75" customHeight="1" x14ac:dyDescent="0.25"/>
    <row r="148" spans="1:15" ht="1.5" customHeight="1" x14ac:dyDescent="0.25"/>
    <row r="149" spans="1:15" ht="22.5" customHeight="1" x14ac:dyDescent="0.25"/>
  </sheetData>
  <mergeCells count="24">
    <mergeCell ref="K11:K12"/>
    <mergeCell ref="L11:M11"/>
    <mergeCell ref="N11:N12"/>
    <mergeCell ref="D10:H10"/>
    <mergeCell ref="I10:N10"/>
    <mergeCell ref="H11:H12"/>
    <mergeCell ref="I11:I12"/>
    <mergeCell ref="J11:J12"/>
    <mergeCell ref="K3:O3"/>
    <mergeCell ref="K5:O5"/>
    <mergeCell ref="A142:H142"/>
    <mergeCell ref="L142:N142"/>
    <mergeCell ref="A6:O6"/>
    <mergeCell ref="A139:C139"/>
    <mergeCell ref="B10:B12"/>
    <mergeCell ref="C10:C12"/>
    <mergeCell ref="A10:A12"/>
    <mergeCell ref="A137:A138"/>
    <mergeCell ref="D11:D12"/>
    <mergeCell ref="A7:B7"/>
    <mergeCell ref="A8:B8"/>
    <mergeCell ref="E11:E12"/>
    <mergeCell ref="O10:O12"/>
    <mergeCell ref="F11:G11"/>
  </mergeCells>
  <phoneticPr fontId="3" type="noConversion"/>
  <printOptions horizontalCentered="1"/>
  <pageMargins left="0.19685039370078741" right="0.19685039370078741" top="0.86614173228346458" bottom="0.39370078740157483" header="0.39370078740157483" footer="0.19685039370078741"/>
  <pageSetup paperSize="9" scale="44" fitToHeight="100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3-1</vt:lpstr>
      <vt:lpstr>'дод 3 '!Заголовки_для_печати</vt:lpstr>
      <vt:lpstr>'дод 3-1'!Заголовки_для_печати</vt:lpstr>
      <vt:lpstr>'дод 3 '!Область_печати</vt:lpstr>
      <vt:lpstr>'дод 3-1'!Область_печати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Пасиленко Ганна Михайлівна</cp:lastModifiedBy>
  <cp:lastPrinted>2019-12-27T13:32:46Z</cp:lastPrinted>
  <dcterms:created xsi:type="dcterms:W3CDTF">2014-01-17T10:52:16Z</dcterms:created>
  <dcterms:modified xsi:type="dcterms:W3CDTF">2019-12-28T10:30:34Z</dcterms:modified>
</cp:coreProperties>
</file>