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4.12.2019\6214-МР\"/>
    </mc:Choice>
  </mc:AlternateContent>
  <bookViews>
    <workbookView xWindow="0" yWindow="0" windowWidth="28800" windowHeight="13590" tabRatio="462" activeTab="1"/>
  </bookViews>
  <sheets>
    <sheet name="дод 1" sheetId="1" r:id="rId1"/>
    <sheet name="дод 2" sheetId="3" r:id="rId2"/>
  </sheets>
  <definedNames>
    <definedName name="_xlnm.Print_Titles" localSheetId="0">'дод 1'!$10:$12</definedName>
    <definedName name="_xlnm.Print_Titles" localSheetId="1">'дод 2'!$9:$11</definedName>
    <definedName name="_xlnm.Print_Area" localSheetId="0">'дод 1'!$A$1:$P$322</definedName>
    <definedName name="_xlnm.Print_Area" localSheetId="1">'дод 2'!$A$1:$O$239</definedName>
  </definedNames>
  <calcPr calcId="162913"/>
</workbook>
</file>

<file path=xl/calcChain.xml><?xml version="1.0" encoding="utf-8"?>
<calcChain xmlns="http://schemas.openxmlformats.org/spreadsheetml/2006/main">
  <c r="E242" i="3" l="1"/>
  <c r="F242" i="3"/>
  <c r="G242" i="3"/>
  <c r="H242" i="3"/>
  <c r="I242" i="3"/>
  <c r="J242" i="3"/>
  <c r="K242" i="3"/>
  <c r="L242" i="3"/>
  <c r="M242" i="3"/>
  <c r="N242" i="3"/>
  <c r="O242" i="3"/>
  <c r="E243" i="3"/>
  <c r="F243" i="3"/>
  <c r="G243" i="3"/>
  <c r="H243" i="3"/>
  <c r="I243" i="3"/>
  <c r="J243" i="3"/>
  <c r="K243" i="3"/>
  <c r="L243" i="3"/>
  <c r="M243" i="3"/>
  <c r="N243" i="3"/>
  <c r="O243" i="3"/>
  <c r="D243" i="3"/>
  <c r="D242" i="3"/>
  <c r="F71" i="1" l="1"/>
  <c r="G71" i="1"/>
  <c r="F59" i="1"/>
  <c r="G59" i="1"/>
  <c r="O15" i="1" l="1"/>
  <c r="K15" i="1"/>
  <c r="F15" i="1"/>
  <c r="E310" i="1" l="1"/>
  <c r="F50" i="1" l="1"/>
  <c r="K50" i="1"/>
  <c r="O217" i="1" l="1"/>
  <c r="K217" i="1"/>
  <c r="K251" i="1"/>
  <c r="O251" i="1"/>
  <c r="O258" i="1"/>
  <c r="K258" i="1"/>
  <c r="O55" i="1"/>
  <c r="K55" i="1"/>
  <c r="F55" i="1" l="1"/>
  <c r="O273" i="1"/>
  <c r="K273" i="1"/>
  <c r="F273" i="1"/>
  <c r="O224" i="1"/>
  <c r="K224" i="1"/>
  <c r="O228" i="1"/>
  <c r="K228" i="1"/>
  <c r="O302" i="1"/>
  <c r="K302" i="1"/>
  <c r="F302" i="1"/>
  <c r="H206" i="1"/>
  <c r="F206" i="1"/>
  <c r="H205" i="1"/>
  <c r="F205" i="1"/>
  <c r="F132" i="1"/>
  <c r="F130" i="1"/>
  <c r="G119" i="1"/>
  <c r="O58" i="1"/>
  <c r="K58" i="1"/>
  <c r="O57" i="1"/>
  <c r="K57" i="1"/>
  <c r="G58" i="1"/>
  <c r="F58" i="1"/>
  <c r="G57" i="1"/>
  <c r="F57" i="1"/>
  <c r="G64" i="1"/>
  <c r="F38" i="1"/>
  <c r="F26" i="1"/>
  <c r="G15" i="1"/>
  <c r="F87" i="1" l="1"/>
  <c r="F86" i="1"/>
  <c r="O78" i="1"/>
  <c r="K78" i="1"/>
  <c r="I237" i="1"/>
  <c r="F237" i="1"/>
  <c r="O200" i="1"/>
  <c r="K200" i="1"/>
  <c r="J155" i="3" s="1"/>
  <c r="O199" i="1"/>
  <c r="K199" i="1"/>
  <c r="N155" i="3"/>
  <c r="M155" i="3"/>
  <c r="L155" i="3"/>
  <c r="K155" i="3"/>
  <c r="H155" i="3"/>
  <c r="G155" i="3"/>
  <c r="F155" i="3"/>
  <c r="E155" i="3"/>
  <c r="M154" i="3"/>
  <c r="L154" i="3"/>
  <c r="K154" i="3"/>
  <c r="H154" i="3"/>
  <c r="G154" i="3"/>
  <c r="F154" i="3"/>
  <c r="E154" i="3"/>
  <c r="N118" i="1"/>
  <c r="M118" i="1"/>
  <c r="L118" i="1"/>
  <c r="I118" i="1"/>
  <c r="H118" i="1"/>
  <c r="G118" i="1"/>
  <c r="N117" i="1"/>
  <c r="M117" i="1"/>
  <c r="L117" i="1"/>
  <c r="I117" i="1"/>
  <c r="J187" i="1"/>
  <c r="E187" i="1"/>
  <c r="P187" i="1" s="1"/>
  <c r="J186" i="1"/>
  <c r="E186" i="1"/>
  <c r="F183" i="1"/>
  <c r="F182" i="1"/>
  <c r="O175" i="1"/>
  <c r="O174" i="1"/>
  <c r="K175" i="1"/>
  <c r="K174" i="1"/>
  <c r="F123" i="1"/>
  <c r="F122" i="1"/>
  <c r="F121" i="1"/>
  <c r="F120" i="1"/>
  <c r="F185" i="1"/>
  <c r="P186" i="1" l="1"/>
  <c r="O231" i="1" l="1"/>
  <c r="K231" i="1"/>
  <c r="F98" i="1"/>
  <c r="F94" i="1"/>
  <c r="F88" i="1"/>
  <c r="O86" i="1" l="1"/>
  <c r="K86" i="1"/>
  <c r="G204" i="1" l="1"/>
  <c r="O233" i="1"/>
  <c r="O232" i="1"/>
  <c r="K233" i="1"/>
  <c r="K232" i="1"/>
  <c r="O191" i="1"/>
  <c r="O118" i="1" s="1"/>
  <c r="O190" i="1"/>
  <c r="K191" i="1"/>
  <c r="K118" i="1" s="1"/>
  <c r="K190" i="1"/>
  <c r="O107" i="1"/>
  <c r="O106" i="1"/>
  <c r="K107" i="1"/>
  <c r="K106" i="1"/>
  <c r="O77" i="1"/>
  <c r="O76" i="1"/>
  <c r="K77" i="1"/>
  <c r="K76" i="1"/>
  <c r="O185" i="1" l="1"/>
  <c r="K185" i="1"/>
  <c r="F73" i="1" l="1"/>
  <c r="F43" i="1" l="1"/>
  <c r="F16" i="1"/>
  <c r="G207" i="1" l="1"/>
  <c r="F207" i="1"/>
  <c r="H64" i="1" l="1"/>
  <c r="F223" i="1" l="1"/>
  <c r="O223" i="1"/>
  <c r="K223" i="1"/>
  <c r="O43" i="1" l="1"/>
  <c r="K43" i="1"/>
  <c r="G43" i="1"/>
  <c r="O219" i="1"/>
  <c r="K219" i="1"/>
  <c r="F224" i="1"/>
  <c r="H223" i="1"/>
  <c r="O229" i="1"/>
  <c r="K229" i="1"/>
  <c r="O230" i="1"/>
  <c r="K230" i="1"/>
  <c r="F64" i="1" l="1"/>
  <c r="F32" i="1"/>
  <c r="H31" i="1"/>
  <c r="G31" i="1"/>
  <c r="F31" i="1"/>
  <c r="H29" i="1"/>
  <c r="G29" i="1"/>
  <c r="F29" i="1"/>
  <c r="O260" i="1" l="1"/>
  <c r="K260" i="1"/>
  <c r="O257" i="1"/>
  <c r="K257" i="1"/>
  <c r="O256" i="1"/>
  <c r="K256" i="1"/>
  <c r="O253" i="1"/>
  <c r="N154" i="3" s="1"/>
  <c r="K253" i="1"/>
  <c r="J154" i="3" s="1"/>
  <c r="O238" i="1"/>
  <c r="K238" i="1"/>
  <c r="F304" i="1"/>
  <c r="I218" i="1"/>
  <c r="F165" i="1"/>
  <c r="G288" i="1"/>
  <c r="F288" i="1"/>
  <c r="O211" i="1"/>
  <c r="K211" i="1"/>
  <c r="O108" i="1"/>
  <c r="K108" i="1"/>
  <c r="O40" i="1"/>
  <c r="K40" i="1"/>
  <c r="F303" i="1"/>
  <c r="F305" i="1"/>
  <c r="H302" i="1"/>
  <c r="H288" i="1"/>
  <c r="H215" i="1"/>
  <c r="H207" i="1"/>
  <c r="O205" i="1"/>
  <c r="K205" i="1"/>
  <c r="H204" i="1"/>
  <c r="F170" i="1" l="1"/>
  <c r="F169" i="1"/>
  <c r="G184" i="1"/>
  <c r="G117" i="1" s="1"/>
  <c r="F153" i="1"/>
  <c r="F152" i="1"/>
  <c r="F146" i="1"/>
  <c r="F145" i="1"/>
  <c r="H85" i="1"/>
  <c r="H63" i="1"/>
  <c r="F63" i="1"/>
  <c r="G61" i="1"/>
  <c r="F61" i="1"/>
  <c r="H67" i="1"/>
  <c r="F67" i="1"/>
  <c r="H57" i="1"/>
  <c r="G55" i="1"/>
  <c r="G22" i="1"/>
  <c r="G25" i="1"/>
  <c r="G24" i="1"/>
  <c r="G19" i="1"/>
  <c r="L42" i="1"/>
  <c r="F62" i="1" l="1"/>
  <c r="F65" i="1"/>
  <c r="F131" i="1" l="1"/>
  <c r="J150" i="3" l="1"/>
  <c r="F309" i="1"/>
  <c r="F289" i="1"/>
  <c r="O259" i="1"/>
  <c r="K259" i="1"/>
  <c r="G285" i="1"/>
  <c r="I224" i="1"/>
  <c r="O88" i="1"/>
  <c r="K88" i="1"/>
  <c r="O65" i="1"/>
  <c r="K65" i="1"/>
  <c r="O64" i="1"/>
  <c r="K64" i="1"/>
  <c r="H55" i="1"/>
  <c r="F25" i="1"/>
  <c r="F37" i="1"/>
  <c r="F30" i="1" l="1"/>
  <c r="F28" i="1" l="1"/>
  <c r="N181" i="3"/>
  <c r="M181" i="3"/>
  <c r="L181" i="3"/>
  <c r="K181" i="3"/>
  <c r="J181" i="3"/>
  <c r="H181" i="3"/>
  <c r="G181" i="3"/>
  <c r="F181" i="3"/>
  <c r="E181" i="3"/>
  <c r="M213" i="1" l="1"/>
  <c r="H213" i="1"/>
  <c r="E234" i="1"/>
  <c r="D181" i="3" s="1"/>
  <c r="J234" i="1"/>
  <c r="O270" i="1"/>
  <c r="G245" i="1"/>
  <c r="H196" i="1"/>
  <c r="F166" i="1"/>
  <c r="F129" i="1"/>
  <c r="P234" i="1" l="1"/>
  <c r="O181" i="3" s="1"/>
  <c r="I181" i="3"/>
  <c r="O50" i="1"/>
  <c r="H119" i="1" l="1"/>
  <c r="I222" i="1" l="1"/>
  <c r="I213" i="1" s="1"/>
  <c r="F218" i="1"/>
  <c r="O29" i="1"/>
  <c r="K29" i="1"/>
  <c r="F24" i="1"/>
  <c r="O37" i="1"/>
  <c r="K37" i="1"/>
  <c r="F27" i="1"/>
  <c r="O24" i="1"/>
  <c r="K24" i="1"/>
  <c r="F115" i="1"/>
  <c r="O241" i="1"/>
  <c r="L241" i="1"/>
  <c r="F128" i="1"/>
  <c r="O61" i="1"/>
  <c r="K61" i="1"/>
  <c r="M226" i="3" l="1"/>
  <c r="L226" i="3"/>
  <c r="K226" i="3"/>
  <c r="H226" i="3"/>
  <c r="G226" i="3"/>
  <c r="F226" i="3"/>
  <c r="N52" i="1"/>
  <c r="M52" i="1"/>
  <c r="I52" i="1"/>
  <c r="J80" i="1"/>
  <c r="E80" i="1"/>
  <c r="F208" i="1"/>
  <c r="P80" i="1" l="1"/>
  <c r="O128" i="1"/>
  <c r="K128" i="1"/>
  <c r="F291" i="1"/>
  <c r="O261" i="1"/>
  <c r="K261" i="1"/>
  <c r="O242" i="1"/>
  <c r="N226" i="3" s="1"/>
  <c r="K242" i="1"/>
  <c r="J226" i="3" s="1"/>
  <c r="G215" i="1"/>
  <c r="G213" i="1" s="1"/>
  <c r="F215" i="1"/>
  <c r="F74" i="1"/>
  <c r="O94" i="1" l="1"/>
  <c r="K94" i="1"/>
  <c r="F281" i="1"/>
  <c r="F92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E181" i="1"/>
  <c r="D125" i="3" s="1"/>
  <c r="E180" i="1"/>
  <c r="D124" i="3" s="1"/>
  <c r="J181" i="1"/>
  <c r="P181" i="1" s="1"/>
  <c r="O125" i="3" s="1"/>
  <c r="J180" i="1"/>
  <c r="P180" i="1" s="1"/>
  <c r="O124" i="3" s="1"/>
  <c r="I124" i="3" l="1"/>
  <c r="I125" i="3"/>
  <c r="N194" i="3"/>
  <c r="M194" i="3"/>
  <c r="L194" i="3"/>
  <c r="K194" i="3"/>
  <c r="J194" i="3"/>
  <c r="H194" i="3"/>
  <c r="G194" i="3"/>
  <c r="F194" i="3"/>
  <c r="N248" i="1"/>
  <c r="M248" i="1"/>
  <c r="I248" i="1"/>
  <c r="H248" i="1"/>
  <c r="G248" i="1"/>
  <c r="E275" i="1"/>
  <c r="J275" i="1"/>
  <c r="P275" i="1" l="1"/>
  <c r="N220" i="3"/>
  <c r="M220" i="3"/>
  <c r="L220" i="3"/>
  <c r="K220" i="3"/>
  <c r="J220" i="3"/>
  <c r="G220" i="3"/>
  <c r="F220" i="3"/>
  <c r="N219" i="3"/>
  <c r="M219" i="3"/>
  <c r="L219" i="3"/>
  <c r="K219" i="3"/>
  <c r="J219" i="3"/>
  <c r="G219" i="3"/>
  <c r="F219" i="3"/>
  <c r="O184" i="1" l="1"/>
  <c r="K184" i="1"/>
  <c r="O220" i="1" l="1"/>
  <c r="K220" i="1"/>
  <c r="K213" i="1" s="1"/>
  <c r="O30" i="1"/>
  <c r="K30" i="1"/>
  <c r="F184" i="1" l="1"/>
  <c r="F104" i="1"/>
  <c r="F278" i="1"/>
  <c r="I112" i="1"/>
  <c r="H220" i="3" s="1"/>
  <c r="I111" i="1"/>
  <c r="H219" i="3" s="1"/>
  <c r="O268" i="1"/>
  <c r="O267" i="1"/>
  <c r="K268" i="1"/>
  <c r="K267" i="1"/>
  <c r="N210" i="3"/>
  <c r="N198" i="3" s="1"/>
  <c r="M210" i="3"/>
  <c r="M198" i="3" s="1"/>
  <c r="L210" i="3"/>
  <c r="L198" i="3" s="1"/>
  <c r="K210" i="3"/>
  <c r="K198" i="3" s="1"/>
  <c r="J210" i="3"/>
  <c r="J198" i="3" s="1"/>
  <c r="I210" i="3"/>
  <c r="I198" i="3" s="1"/>
  <c r="H210" i="3"/>
  <c r="H198" i="3" s="1"/>
  <c r="G210" i="3"/>
  <c r="G198" i="3" s="1"/>
  <c r="F210" i="3"/>
  <c r="F198" i="3" s="1"/>
  <c r="E210" i="3"/>
  <c r="E198" i="3" s="1"/>
  <c r="N209" i="3"/>
  <c r="M209" i="3"/>
  <c r="L209" i="3"/>
  <c r="K209" i="3"/>
  <c r="J209" i="3"/>
  <c r="H209" i="3"/>
  <c r="G209" i="3"/>
  <c r="F209" i="3"/>
  <c r="E209" i="3"/>
  <c r="O301" i="1"/>
  <c r="N301" i="1"/>
  <c r="M301" i="1"/>
  <c r="L301" i="1"/>
  <c r="K301" i="1"/>
  <c r="I301" i="1"/>
  <c r="H301" i="1"/>
  <c r="G301" i="1"/>
  <c r="F301" i="1"/>
  <c r="N300" i="1"/>
  <c r="M300" i="1"/>
  <c r="L300" i="1"/>
  <c r="I300" i="1"/>
  <c r="G300" i="1"/>
  <c r="I209" i="3"/>
  <c r="E308" i="1"/>
  <c r="P308" i="1" s="1"/>
  <c r="E307" i="1"/>
  <c r="D209" i="3" s="1"/>
  <c r="D210" i="3" l="1"/>
  <c r="D198" i="3" s="1"/>
  <c r="O210" i="3"/>
  <c r="O198" i="3" s="1"/>
  <c r="P307" i="1"/>
  <c r="G56" i="1"/>
  <c r="O209" i="3" l="1"/>
  <c r="F49" i="1" l="1"/>
  <c r="O206" i="1" l="1"/>
  <c r="K206" i="1"/>
  <c r="F198" i="1"/>
  <c r="G196" i="1"/>
  <c r="F196" i="1"/>
  <c r="G45" i="1"/>
  <c r="F45" i="1"/>
  <c r="K56" i="1"/>
  <c r="O56" i="1" l="1"/>
  <c r="F56" i="1"/>
  <c r="M183" i="3" l="1"/>
  <c r="L183" i="3"/>
  <c r="K183" i="3"/>
  <c r="J183" i="3"/>
  <c r="H183" i="3"/>
  <c r="G183" i="3"/>
  <c r="F183" i="3"/>
  <c r="E183" i="3"/>
  <c r="M182" i="3"/>
  <c r="L182" i="3"/>
  <c r="K182" i="3"/>
  <c r="J182" i="3"/>
  <c r="H182" i="3"/>
  <c r="G182" i="3"/>
  <c r="F182" i="3"/>
  <c r="E182" i="3"/>
  <c r="N214" i="1"/>
  <c r="M214" i="1"/>
  <c r="L214" i="1"/>
  <c r="I214" i="1"/>
  <c r="H214" i="1"/>
  <c r="G214" i="1"/>
  <c r="F214" i="1"/>
  <c r="J236" i="1" l="1"/>
  <c r="J235" i="1"/>
  <c r="E236" i="1"/>
  <c r="E235" i="1"/>
  <c r="F93" i="1"/>
  <c r="F89" i="1"/>
  <c r="P235" i="1" l="1"/>
  <c r="P236" i="1"/>
  <c r="F20" i="1" l="1"/>
  <c r="F294" i="1" l="1"/>
  <c r="F192" i="1" l="1"/>
  <c r="E226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4" i="1"/>
  <c r="F143" i="1"/>
  <c r="F142" i="1"/>
  <c r="F141" i="1"/>
  <c r="F140" i="1"/>
  <c r="F139" i="1"/>
  <c r="F138" i="1"/>
  <c r="F137" i="1"/>
  <c r="F134" i="1"/>
  <c r="F118" i="1" s="1"/>
  <c r="F133" i="1"/>
  <c r="F117" i="1" s="1"/>
  <c r="M13" i="3"/>
  <c r="L13" i="3"/>
  <c r="K13" i="3"/>
  <c r="H13" i="3"/>
  <c r="J298" i="1"/>
  <c r="J297" i="1" s="1"/>
  <c r="J296" i="1" s="1"/>
  <c r="E298" i="1"/>
  <c r="O297" i="1"/>
  <c r="O296" i="1" s="1"/>
  <c r="N297" i="1"/>
  <c r="N296" i="1" s="1"/>
  <c r="M297" i="1"/>
  <c r="M296" i="1" s="1"/>
  <c r="L297" i="1"/>
  <c r="L296" i="1" s="1"/>
  <c r="K297" i="1"/>
  <c r="K296" i="1" s="1"/>
  <c r="I297" i="1"/>
  <c r="I296" i="1" s="1"/>
  <c r="H297" i="1"/>
  <c r="H296" i="1" s="1"/>
  <c r="G297" i="1"/>
  <c r="G296" i="1" s="1"/>
  <c r="F297" i="1"/>
  <c r="F296" i="1" s="1"/>
  <c r="E297" i="1"/>
  <c r="E296" i="1" s="1"/>
  <c r="P298" i="1" l="1"/>
  <c r="P297" i="1" s="1"/>
  <c r="P296" i="1" s="1"/>
  <c r="P162" i="1"/>
  <c r="O101" i="3" s="1"/>
  <c r="P163" i="1"/>
  <c r="D101" i="3"/>
  <c r="O102" i="3" l="1"/>
  <c r="O254" i="1"/>
  <c r="L254" i="1"/>
  <c r="L248" i="1" s="1"/>
  <c r="F254" i="1"/>
  <c r="K248" i="1"/>
  <c r="L289" i="1"/>
  <c r="F221" i="1"/>
  <c r="F75" i="1"/>
  <c r="F66" i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F52" i="1" l="1"/>
  <c r="P56" i="1"/>
  <c r="O18" i="3" s="1"/>
  <c r="F48" i="1"/>
  <c r="F269" i="1" l="1"/>
  <c r="N173" i="3" l="1"/>
  <c r="M173" i="3"/>
  <c r="L173" i="3"/>
  <c r="K173" i="3"/>
  <c r="J173" i="3"/>
  <c r="H173" i="3"/>
  <c r="G173" i="3"/>
  <c r="F173" i="3"/>
  <c r="E173" i="3"/>
  <c r="J303" i="1"/>
  <c r="E303" i="1"/>
  <c r="P303" i="1" l="1"/>
  <c r="N241" i="1"/>
  <c r="N213" i="1" s="1"/>
  <c r="F114" i="1"/>
  <c r="F113" i="1"/>
  <c r="F112" i="1"/>
  <c r="E220" i="3" s="1"/>
  <c r="F111" i="1"/>
  <c r="E219" i="3" s="1"/>
  <c r="G68" i="1" l="1"/>
  <c r="G53" i="1" s="1"/>
  <c r="F68" i="1"/>
  <c r="G67" i="1"/>
  <c r="J269" i="1" l="1"/>
  <c r="E269" i="1"/>
  <c r="O104" i="1"/>
  <c r="K104" i="1"/>
  <c r="F53" i="1"/>
  <c r="P269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91" i="1"/>
  <c r="E191" i="1"/>
  <c r="N194" i="1"/>
  <c r="M194" i="1"/>
  <c r="L194" i="1"/>
  <c r="I194" i="1"/>
  <c r="G194" i="1"/>
  <c r="F194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9" i="1"/>
  <c r="M249" i="1"/>
  <c r="L249" i="1"/>
  <c r="I249" i="1"/>
  <c r="H249" i="1"/>
  <c r="G249" i="1"/>
  <c r="F249" i="1"/>
  <c r="K249" i="1"/>
  <c r="J268" i="1"/>
  <c r="E268" i="1"/>
  <c r="J267" i="1"/>
  <c r="E267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91" i="1" l="1"/>
  <c r="P267" i="1"/>
  <c r="P268" i="1"/>
  <c r="D121" i="1"/>
  <c r="N83" i="1" l="1"/>
  <c r="M83" i="1"/>
  <c r="L83" i="1"/>
  <c r="I83" i="1"/>
  <c r="H83" i="1"/>
  <c r="G83" i="1"/>
  <c r="N14" i="1"/>
  <c r="M14" i="1"/>
  <c r="H300" i="1" l="1"/>
  <c r="H285" i="1"/>
  <c r="L282" i="1"/>
  <c r="O282" i="1"/>
  <c r="H245" i="1"/>
  <c r="J270" i="1"/>
  <c r="E270" i="1"/>
  <c r="J266" i="1"/>
  <c r="E266" i="1"/>
  <c r="E273" i="1"/>
  <c r="J255" i="1"/>
  <c r="E255" i="1"/>
  <c r="P266" i="1" l="1"/>
  <c r="P270" i="1"/>
  <c r="P255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90" i="1"/>
  <c r="E190" i="1"/>
  <c r="H184" i="1"/>
  <c r="H165" i="1"/>
  <c r="H117" i="1" s="1"/>
  <c r="L239" i="1"/>
  <c r="L213" i="1" s="1"/>
  <c r="O214" i="1"/>
  <c r="K214" i="1"/>
  <c r="N157" i="3"/>
  <c r="J157" i="3"/>
  <c r="E157" i="3"/>
  <c r="F219" i="1"/>
  <c r="N105" i="3"/>
  <c r="M105" i="3"/>
  <c r="L105" i="3"/>
  <c r="K105" i="3"/>
  <c r="J105" i="3"/>
  <c r="H105" i="3"/>
  <c r="G105" i="3"/>
  <c r="F105" i="3"/>
  <c r="E105" i="3"/>
  <c r="J197" i="1"/>
  <c r="I105" i="3" s="1"/>
  <c r="E197" i="1"/>
  <c r="D105" i="3" s="1"/>
  <c r="H194" i="1"/>
  <c r="O109" i="1"/>
  <c r="P197" i="1" l="1"/>
  <c r="O105" i="3" s="1"/>
  <c r="P190" i="1"/>
  <c r="N224" i="3"/>
  <c r="M224" i="3"/>
  <c r="L224" i="3"/>
  <c r="K224" i="3"/>
  <c r="J224" i="3"/>
  <c r="H224" i="3"/>
  <c r="G224" i="3"/>
  <c r="F224" i="3"/>
  <c r="E224" i="3"/>
  <c r="N223" i="3"/>
  <c r="M223" i="3"/>
  <c r="L223" i="3"/>
  <c r="K223" i="3"/>
  <c r="J223" i="3"/>
  <c r="H223" i="3"/>
  <c r="G223" i="3"/>
  <c r="F223" i="3"/>
  <c r="E223" i="3"/>
  <c r="O84" i="1"/>
  <c r="N84" i="1"/>
  <c r="M84" i="1"/>
  <c r="L84" i="1"/>
  <c r="K84" i="1"/>
  <c r="I84" i="1"/>
  <c r="H84" i="1"/>
  <c r="G84" i="1"/>
  <c r="J114" i="1"/>
  <c r="I224" i="3" s="1"/>
  <c r="J113" i="1"/>
  <c r="I223" i="3" s="1"/>
  <c r="E114" i="1"/>
  <c r="E113" i="1"/>
  <c r="J112" i="1"/>
  <c r="I220" i="3" s="1"/>
  <c r="J111" i="1"/>
  <c r="I219" i="3" s="1"/>
  <c r="E112" i="1"/>
  <c r="E111" i="1"/>
  <c r="D219" i="3" s="1"/>
  <c r="P112" i="1" l="1"/>
  <c r="O220" i="3" s="1"/>
  <c r="D220" i="3"/>
  <c r="D224" i="3"/>
  <c r="P114" i="1"/>
  <c r="O224" i="3" s="1"/>
  <c r="D223" i="3"/>
  <c r="P113" i="1"/>
  <c r="O223" i="3" s="1"/>
  <c r="P111" i="1"/>
  <c r="O219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H24" i="1"/>
  <c r="F21" i="1"/>
  <c r="H19" i="1"/>
  <c r="H15" i="1"/>
  <c r="H14" i="1" l="1"/>
  <c r="G13" i="3"/>
  <c r="I14" i="1"/>
  <c r="G14" i="1"/>
  <c r="F101" i="1" l="1"/>
  <c r="F100" i="1"/>
  <c r="O92" i="1"/>
  <c r="K92" i="1"/>
  <c r="F84" i="1"/>
  <c r="E194" i="3" l="1"/>
  <c r="E37" i="1" l="1"/>
  <c r="O239" i="1"/>
  <c r="C45" i="1" l="1"/>
  <c r="O83" i="1" l="1"/>
  <c r="K83" i="1"/>
  <c r="E68" i="1" l="1"/>
  <c r="F251" i="1" l="1"/>
  <c r="F248" i="1" s="1"/>
  <c r="F311" i="1" l="1"/>
  <c r="F300" i="1" s="1"/>
  <c r="E196" i="3"/>
  <c r="E195" i="3" s="1"/>
  <c r="F196" i="3"/>
  <c r="F195" i="3" s="1"/>
  <c r="G196" i="3"/>
  <c r="G195" i="3" s="1"/>
  <c r="H196" i="3"/>
  <c r="H195" i="3" s="1"/>
  <c r="J196" i="3"/>
  <c r="J195" i="3" s="1"/>
  <c r="K196" i="3"/>
  <c r="K195" i="3" s="1"/>
  <c r="L196" i="3"/>
  <c r="L195" i="3" s="1"/>
  <c r="M196" i="3"/>
  <c r="M195" i="3" s="1"/>
  <c r="N196" i="3"/>
  <c r="N195" i="3" s="1"/>
  <c r="J109" i="1"/>
  <c r="I196" i="3" s="1"/>
  <c r="I195" i="3" s="1"/>
  <c r="E109" i="1"/>
  <c r="C109" i="1"/>
  <c r="D109" i="1"/>
  <c r="B109" i="1"/>
  <c r="E311" i="1" l="1"/>
  <c r="P109" i="1"/>
  <c r="O196" i="3" s="1"/>
  <c r="O195" i="3" s="1"/>
  <c r="D196" i="3"/>
  <c r="D195" i="3" s="1"/>
  <c r="K14" i="1" l="1"/>
  <c r="F83" i="1" l="1"/>
  <c r="F22" i="1" l="1"/>
  <c r="O300" i="1" l="1"/>
  <c r="K300" i="1"/>
  <c r="F46" i="1" l="1"/>
  <c r="K119" i="1" l="1"/>
  <c r="K117" i="1" s="1"/>
  <c r="O119" i="1"/>
  <c r="K196" i="1"/>
  <c r="K194" i="1" s="1"/>
  <c r="O196" i="1"/>
  <c r="O194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8" i="1"/>
  <c r="F13" i="3" s="1"/>
  <c r="J13" i="3" l="1"/>
  <c r="E13" i="3"/>
  <c r="F41" i="1" l="1"/>
  <c r="N26" i="3"/>
  <c r="F19" i="1" l="1"/>
  <c r="F14" i="1" s="1"/>
  <c r="F216" i="1" l="1"/>
  <c r="F213" i="1" s="1"/>
  <c r="E196" i="1" l="1"/>
  <c r="C305" i="1" l="1"/>
  <c r="D305" i="1"/>
  <c r="B305" i="1"/>
  <c r="C290" i="1"/>
  <c r="D290" i="1"/>
  <c r="B290" i="1"/>
  <c r="C281" i="1"/>
  <c r="D281" i="1"/>
  <c r="B281" i="1"/>
  <c r="C238" i="1"/>
  <c r="D238" i="1"/>
  <c r="B238" i="1"/>
  <c r="F287" i="1"/>
  <c r="G287" i="1"/>
  <c r="H287" i="1"/>
  <c r="I287" i="1"/>
  <c r="K287" i="1"/>
  <c r="L287" i="1"/>
  <c r="M287" i="1"/>
  <c r="N287" i="1"/>
  <c r="O287" i="1"/>
  <c r="F277" i="1"/>
  <c r="G277" i="1"/>
  <c r="H277" i="1"/>
  <c r="I277" i="1"/>
  <c r="K277" i="1"/>
  <c r="L277" i="1"/>
  <c r="M277" i="1"/>
  <c r="N277" i="1"/>
  <c r="O277" i="1"/>
  <c r="F202" i="1"/>
  <c r="G202" i="1"/>
  <c r="H202" i="1"/>
  <c r="I202" i="1"/>
  <c r="K202" i="1"/>
  <c r="L202" i="1"/>
  <c r="M202" i="1"/>
  <c r="N202" i="1"/>
  <c r="F203" i="1"/>
  <c r="G203" i="1"/>
  <c r="H203" i="1"/>
  <c r="I203" i="1"/>
  <c r="K203" i="1"/>
  <c r="L203" i="1"/>
  <c r="M203" i="1"/>
  <c r="N203" i="1"/>
  <c r="O203" i="1"/>
  <c r="F195" i="1"/>
  <c r="G195" i="1"/>
  <c r="H195" i="1"/>
  <c r="I195" i="1"/>
  <c r="K195" i="1"/>
  <c r="L195" i="1"/>
  <c r="M195" i="1"/>
  <c r="N195" i="1"/>
  <c r="O195" i="1"/>
  <c r="E191" i="3" l="1"/>
  <c r="F191" i="3"/>
  <c r="G191" i="3"/>
  <c r="H191" i="3"/>
  <c r="J191" i="3"/>
  <c r="K191" i="3"/>
  <c r="L191" i="3"/>
  <c r="M191" i="3"/>
  <c r="N191" i="3"/>
  <c r="J238" i="1"/>
  <c r="E238" i="1"/>
  <c r="J305" i="1"/>
  <c r="E305" i="1"/>
  <c r="P305" i="1" l="1"/>
  <c r="P238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1" i="3"/>
  <c r="J152" i="3"/>
  <c r="J153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5" i="3"/>
  <c r="J184" i="3" s="1"/>
  <c r="J187" i="3"/>
  <c r="J188" i="3"/>
  <c r="J189" i="3"/>
  <c r="J190" i="3"/>
  <c r="J192" i="3"/>
  <c r="J193" i="3"/>
  <c r="J200" i="3"/>
  <c r="J201" i="3"/>
  <c r="J203" i="3"/>
  <c r="J202" i="3" s="1"/>
  <c r="J205" i="3"/>
  <c r="J206" i="3"/>
  <c r="J208" i="3"/>
  <c r="J207" i="3" s="1"/>
  <c r="J211" i="3"/>
  <c r="J212" i="3"/>
  <c r="J216" i="3"/>
  <c r="J215" i="3" s="1"/>
  <c r="J221" i="3"/>
  <c r="J217" i="3" s="1"/>
  <c r="J222" i="3"/>
  <c r="J218" i="3" s="1"/>
  <c r="J225" i="3"/>
  <c r="J228" i="3"/>
  <c r="J227" i="3" s="1"/>
  <c r="K299" i="1"/>
  <c r="K286" i="1"/>
  <c r="K284" i="1"/>
  <c r="K283" i="1" s="1"/>
  <c r="K276" i="1"/>
  <c r="K244" i="1"/>
  <c r="K243" i="1" s="1"/>
  <c r="K201" i="1"/>
  <c r="K193" i="1"/>
  <c r="K82" i="1"/>
  <c r="J174" i="3" l="1"/>
  <c r="J58" i="3"/>
  <c r="J57" i="3"/>
  <c r="J16" i="3"/>
  <c r="J35" i="3"/>
  <c r="J15" i="3"/>
  <c r="J214" i="3"/>
  <c r="J143" i="3"/>
  <c r="K116" i="1"/>
  <c r="K212" i="1"/>
  <c r="J186" i="3"/>
  <c r="J142" i="3"/>
  <c r="J135" i="3"/>
  <c r="J130" i="3"/>
  <c r="K51" i="1"/>
  <c r="K247" i="1"/>
  <c r="J161" i="3"/>
  <c r="J36" i="3"/>
  <c r="J199" i="3"/>
  <c r="J204" i="3"/>
  <c r="K13" i="1"/>
  <c r="J12" i="3"/>
  <c r="J213" i="3"/>
  <c r="J158" i="3" l="1"/>
  <c r="J230" i="3"/>
  <c r="J197" i="3"/>
  <c r="J229" i="3" s="1"/>
  <c r="K315" i="1"/>
  <c r="K316" i="1"/>
  <c r="J232" i="3" l="1"/>
  <c r="J233" i="3"/>
  <c r="J241" i="3"/>
  <c r="J240" i="3"/>
  <c r="J290" i="1"/>
  <c r="E290" i="1"/>
  <c r="O285" i="1"/>
  <c r="O245" i="1"/>
  <c r="O215" i="1"/>
  <c r="O213" i="1" s="1"/>
  <c r="O165" i="1"/>
  <c r="O117" i="1" s="1"/>
  <c r="O75" i="1"/>
  <c r="O52" i="1" s="1"/>
  <c r="O25" i="1"/>
  <c r="N13" i="3" l="1"/>
  <c r="P290" i="1"/>
  <c r="O202" i="1"/>
  <c r="J281" i="1"/>
  <c r="I173" i="3" s="1"/>
  <c r="E281" i="1"/>
  <c r="D173" i="3" s="1"/>
  <c r="P281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3" i="3"/>
  <c r="F193" i="3"/>
  <c r="G193" i="3"/>
  <c r="H193" i="3"/>
  <c r="L193" i="3"/>
  <c r="M193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90" i="3"/>
  <c r="F190" i="3"/>
  <c r="G190" i="3"/>
  <c r="H190" i="3"/>
  <c r="K190" i="3"/>
  <c r="L190" i="3"/>
  <c r="M190" i="3"/>
  <c r="N190" i="3"/>
  <c r="E189" i="3"/>
  <c r="F189" i="3"/>
  <c r="G189" i="3"/>
  <c r="H189" i="3"/>
  <c r="K189" i="3"/>
  <c r="L189" i="3"/>
  <c r="M189" i="3"/>
  <c r="F187" i="3"/>
  <c r="G187" i="3"/>
  <c r="K187" i="3"/>
  <c r="L187" i="3"/>
  <c r="M187" i="3"/>
  <c r="N187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8" i="3"/>
  <c r="G188" i="3"/>
  <c r="H188" i="3"/>
  <c r="K188" i="3"/>
  <c r="L188" i="3"/>
  <c r="M188" i="3"/>
  <c r="F192" i="3"/>
  <c r="G192" i="3"/>
  <c r="H192" i="3"/>
  <c r="K192" i="3"/>
  <c r="L192" i="3"/>
  <c r="M192" i="3"/>
  <c r="N192" i="3"/>
  <c r="F185" i="3"/>
  <c r="F184" i="3" s="1"/>
  <c r="G185" i="3"/>
  <c r="G184" i="3" s="1"/>
  <c r="H185" i="3"/>
  <c r="H184" i="3" s="1"/>
  <c r="K185" i="3"/>
  <c r="K184" i="3" s="1"/>
  <c r="L185" i="3"/>
  <c r="L184" i="3" s="1"/>
  <c r="M185" i="3"/>
  <c r="M184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6" i="3"/>
  <c r="E215" i="3" s="1"/>
  <c r="F216" i="3"/>
  <c r="F215" i="3" s="1"/>
  <c r="G216" i="3"/>
  <c r="G215" i="3" s="1"/>
  <c r="H216" i="3"/>
  <c r="H215" i="3" s="1"/>
  <c r="K216" i="3"/>
  <c r="K215" i="3" s="1"/>
  <c r="L216" i="3"/>
  <c r="L215" i="3" s="1"/>
  <c r="M216" i="3"/>
  <c r="M215" i="3" s="1"/>
  <c r="N216" i="3"/>
  <c r="N215" i="3" s="1"/>
  <c r="F228" i="3"/>
  <c r="F227" i="3" s="1"/>
  <c r="G228" i="3"/>
  <c r="G227" i="3" s="1"/>
  <c r="H228" i="3"/>
  <c r="H227" i="3" s="1"/>
  <c r="K228" i="3"/>
  <c r="K227" i="3" s="1"/>
  <c r="L228" i="3"/>
  <c r="L227" i="3" s="1"/>
  <c r="M228" i="3"/>
  <c r="M227" i="3" s="1"/>
  <c r="F225" i="3"/>
  <c r="G225" i="3"/>
  <c r="H225" i="3"/>
  <c r="K225" i="3"/>
  <c r="L225" i="3"/>
  <c r="M225" i="3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E222" i="3"/>
  <c r="E218" i="3" s="1"/>
  <c r="F222" i="3"/>
  <c r="F218" i="3" s="1"/>
  <c r="G222" i="3"/>
  <c r="G218" i="3" s="1"/>
  <c r="H222" i="3"/>
  <c r="H218" i="3" s="1"/>
  <c r="K222" i="3"/>
  <c r="K218" i="3" s="1"/>
  <c r="L222" i="3"/>
  <c r="L218" i="3" s="1"/>
  <c r="M222" i="3"/>
  <c r="M218" i="3" s="1"/>
  <c r="N222" i="3"/>
  <c r="N218" i="3" s="1"/>
  <c r="F211" i="3"/>
  <c r="G211" i="3"/>
  <c r="H211" i="3"/>
  <c r="K211" i="3"/>
  <c r="L211" i="3"/>
  <c r="M211" i="3"/>
  <c r="N211" i="3"/>
  <c r="E212" i="3"/>
  <c r="F212" i="3"/>
  <c r="G212" i="3"/>
  <c r="H212" i="3"/>
  <c r="K212" i="3"/>
  <c r="L212" i="3"/>
  <c r="M212" i="3"/>
  <c r="N212" i="3"/>
  <c r="D212" i="3"/>
  <c r="E206" i="3"/>
  <c r="F206" i="3"/>
  <c r="G206" i="3"/>
  <c r="H206" i="3"/>
  <c r="L206" i="3"/>
  <c r="M206" i="3"/>
  <c r="E205" i="3"/>
  <c r="F205" i="3"/>
  <c r="G205" i="3"/>
  <c r="H205" i="3"/>
  <c r="K205" i="3"/>
  <c r="L205" i="3"/>
  <c r="M205" i="3"/>
  <c r="N205" i="3"/>
  <c r="F208" i="3"/>
  <c r="F207" i="3" s="1"/>
  <c r="G208" i="3"/>
  <c r="G207" i="3" s="1"/>
  <c r="H208" i="3"/>
  <c r="H207" i="3" s="1"/>
  <c r="K208" i="3"/>
  <c r="K207" i="3" s="1"/>
  <c r="L208" i="3"/>
  <c r="L207" i="3" s="1"/>
  <c r="M208" i="3"/>
  <c r="M207" i="3" s="1"/>
  <c r="N208" i="3"/>
  <c r="N207" i="3" s="1"/>
  <c r="F203" i="3"/>
  <c r="F202" i="3" s="1"/>
  <c r="H203" i="3"/>
  <c r="H202" i="3" s="1"/>
  <c r="K203" i="3"/>
  <c r="K202" i="3" s="1"/>
  <c r="L203" i="3"/>
  <c r="L202" i="3" s="1"/>
  <c r="M203" i="3"/>
  <c r="M202" i="3" s="1"/>
  <c r="N203" i="3"/>
  <c r="N202" i="3" s="1"/>
  <c r="E156" i="3"/>
  <c r="F156" i="3"/>
  <c r="G156" i="3"/>
  <c r="K156" i="3"/>
  <c r="L156" i="3"/>
  <c r="M156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F200" i="3"/>
  <c r="G200" i="3"/>
  <c r="H200" i="3"/>
  <c r="K200" i="3"/>
  <c r="L200" i="3"/>
  <c r="M200" i="3"/>
  <c r="F201" i="3"/>
  <c r="H201" i="3"/>
  <c r="L201" i="3"/>
  <c r="N201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L174" i="3" l="1"/>
  <c r="G174" i="3"/>
  <c r="M174" i="3"/>
  <c r="F174" i="3"/>
  <c r="N214" i="3"/>
  <c r="L214" i="3"/>
  <c r="H214" i="3"/>
  <c r="F214" i="3"/>
  <c r="M214" i="3"/>
  <c r="K214" i="3"/>
  <c r="G214" i="3"/>
  <c r="E214" i="3"/>
  <c r="M130" i="3"/>
  <c r="M142" i="3"/>
  <c r="K142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L186" i="3"/>
  <c r="G186" i="3"/>
  <c r="M161" i="3"/>
  <c r="K161" i="3"/>
  <c r="G161" i="3"/>
  <c r="M186" i="3"/>
  <c r="F186" i="3"/>
  <c r="L161" i="3"/>
  <c r="H161" i="3"/>
  <c r="F161" i="3"/>
  <c r="E161" i="3"/>
  <c r="F204" i="3"/>
  <c r="H213" i="3"/>
  <c r="M213" i="3"/>
  <c r="K213" i="3"/>
  <c r="H199" i="3"/>
  <c r="F199" i="3"/>
  <c r="F213" i="3"/>
  <c r="M204" i="3"/>
  <c r="H204" i="3"/>
  <c r="E204" i="3"/>
  <c r="L204" i="3"/>
  <c r="G204" i="3"/>
  <c r="L213" i="3"/>
  <c r="G213" i="3"/>
  <c r="L199" i="3"/>
  <c r="L197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L58" i="3" l="1"/>
  <c r="H58" i="3"/>
  <c r="F58" i="3"/>
  <c r="M57" i="3"/>
  <c r="K57" i="3"/>
  <c r="M58" i="3"/>
  <c r="K58" i="3"/>
  <c r="G58" i="3"/>
  <c r="L57" i="3"/>
  <c r="H57" i="3"/>
  <c r="M158" i="3"/>
  <c r="F158" i="3"/>
  <c r="G158" i="3"/>
  <c r="L158" i="3"/>
  <c r="H197" i="3"/>
  <c r="F19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H12" i="3"/>
  <c r="H230" i="3" l="1"/>
  <c r="G230" i="3"/>
  <c r="M230" i="3"/>
  <c r="L230" i="3"/>
  <c r="I299" i="1"/>
  <c r="M299" i="1"/>
  <c r="N299" i="1"/>
  <c r="G284" i="1"/>
  <c r="G283" i="1" s="1"/>
  <c r="I284" i="1"/>
  <c r="I283" i="1" s="1"/>
  <c r="L284" i="1"/>
  <c r="L283" i="1" s="1"/>
  <c r="M284" i="1"/>
  <c r="M283" i="1" s="1"/>
  <c r="N284" i="1"/>
  <c r="N283" i="1" s="1"/>
  <c r="O284" i="1"/>
  <c r="O283" i="1" s="1"/>
  <c r="H244" i="1"/>
  <c r="I244" i="1"/>
  <c r="I243" i="1" s="1"/>
  <c r="L244" i="1"/>
  <c r="L243" i="1" s="1"/>
  <c r="M244" i="1"/>
  <c r="M243" i="1" s="1"/>
  <c r="N244" i="1"/>
  <c r="N243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2" i="3" s="1"/>
  <c r="J43" i="1"/>
  <c r="J46" i="1"/>
  <c r="I203" i="3" s="1"/>
  <c r="I202" i="3" s="1"/>
  <c r="J48" i="1"/>
  <c r="I208" i="3" s="1"/>
  <c r="I207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8" i="1"/>
  <c r="J189" i="1"/>
  <c r="J192" i="1"/>
  <c r="J198" i="1"/>
  <c r="I106" i="3" s="1"/>
  <c r="J199" i="1"/>
  <c r="J208" i="1"/>
  <c r="J210" i="1"/>
  <c r="J203" i="1" s="1"/>
  <c r="J211" i="1"/>
  <c r="J216" i="1"/>
  <c r="J221" i="1"/>
  <c r="I148" i="3" s="1"/>
  <c r="J222" i="1"/>
  <c r="I149" i="3" s="1"/>
  <c r="J224" i="1"/>
  <c r="J225" i="1"/>
  <c r="J226" i="1"/>
  <c r="J227" i="1"/>
  <c r="J231" i="1"/>
  <c r="J240" i="1"/>
  <c r="I205" i="3" s="1"/>
  <c r="J242" i="1"/>
  <c r="J246" i="1"/>
  <c r="J253" i="1"/>
  <c r="J262" i="1"/>
  <c r="J265" i="1"/>
  <c r="I179" i="3" s="1"/>
  <c r="J274" i="1"/>
  <c r="J279" i="1"/>
  <c r="J280" i="1"/>
  <c r="I169" i="3" s="1"/>
  <c r="J285" i="1"/>
  <c r="J284" i="1" s="1"/>
  <c r="J283" i="1" s="1"/>
  <c r="J289" i="1"/>
  <c r="I160" i="3" s="1"/>
  <c r="I159" i="3" s="1"/>
  <c r="J291" i="1"/>
  <c r="J293" i="1"/>
  <c r="I190" i="3" s="1"/>
  <c r="J294" i="1"/>
  <c r="J295" i="1"/>
  <c r="J304" i="1"/>
  <c r="J309" i="1"/>
  <c r="I211" i="3" s="1"/>
  <c r="J310" i="1"/>
  <c r="I212" i="3" s="1"/>
  <c r="J311" i="1"/>
  <c r="I216" i="3" s="1"/>
  <c r="I215" i="3" s="1"/>
  <c r="J312" i="1"/>
  <c r="I221" i="3" s="1"/>
  <c r="I217" i="3" s="1"/>
  <c r="J313" i="1"/>
  <c r="J301" i="1" s="1"/>
  <c r="E313" i="1"/>
  <c r="E301" i="1" s="1"/>
  <c r="E312" i="1"/>
  <c r="E306" i="1"/>
  <c r="E304" i="1"/>
  <c r="E295" i="1"/>
  <c r="E293" i="1"/>
  <c r="E292" i="1"/>
  <c r="E282" i="1"/>
  <c r="E280" i="1"/>
  <c r="E274" i="1"/>
  <c r="E272" i="1"/>
  <c r="E271" i="1"/>
  <c r="D182" i="3" s="1"/>
  <c r="E265" i="1"/>
  <c r="D179" i="3" s="1"/>
  <c r="E264" i="1"/>
  <c r="E263" i="1"/>
  <c r="E262" i="1"/>
  <c r="E261" i="1"/>
  <c r="E260" i="1"/>
  <c r="E259" i="1"/>
  <c r="E258" i="1"/>
  <c r="E257" i="1"/>
  <c r="E256" i="1"/>
  <c r="E253" i="1"/>
  <c r="E252" i="1"/>
  <c r="E250" i="1"/>
  <c r="E242" i="1"/>
  <c r="E241" i="1"/>
  <c r="E240" i="1"/>
  <c r="E239" i="1"/>
  <c r="E237" i="1"/>
  <c r="E233" i="1"/>
  <c r="E232" i="1"/>
  <c r="E231" i="1"/>
  <c r="E230" i="1"/>
  <c r="E229" i="1"/>
  <c r="E228" i="1"/>
  <c r="E226" i="1"/>
  <c r="E214" i="1" s="1"/>
  <c r="E225" i="1"/>
  <c r="E220" i="1"/>
  <c r="E217" i="1"/>
  <c r="E216" i="1"/>
  <c r="E211" i="1"/>
  <c r="E210" i="1"/>
  <c r="E209" i="1"/>
  <c r="E200" i="1"/>
  <c r="D155" i="3" s="1"/>
  <c r="E199" i="1"/>
  <c r="D154" i="3" s="1"/>
  <c r="E198" i="1"/>
  <c r="E188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54" i="3" l="1"/>
  <c r="I194" i="3"/>
  <c r="E194" i="1"/>
  <c r="D172" i="3"/>
  <c r="D162" i="3" s="1"/>
  <c r="E249" i="1"/>
  <c r="D183" i="3"/>
  <c r="D175" i="3" s="1"/>
  <c r="D171" i="3"/>
  <c r="D170" i="3"/>
  <c r="I157" i="3"/>
  <c r="I170" i="3"/>
  <c r="I31" i="3"/>
  <c r="I152" i="3"/>
  <c r="E203" i="1"/>
  <c r="E195" i="1"/>
  <c r="I60" i="3"/>
  <c r="I38" i="3"/>
  <c r="M193" i="1"/>
  <c r="I193" i="1"/>
  <c r="G193" i="1"/>
  <c r="G212" i="1"/>
  <c r="N193" i="1"/>
  <c r="L193" i="1"/>
  <c r="G247" i="1"/>
  <c r="D191" i="3"/>
  <c r="N286" i="1"/>
  <c r="L286" i="1"/>
  <c r="M286" i="1"/>
  <c r="G286" i="1"/>
  <c r="I276" i="1"/>
  <c r="N276" i="1"/>
  <c r="M276" i="1"/>
  <c r="D63" i="3"/>
  <c r="D68" i="3"/>
  <c r="D73" i="3"/>
  <c r="D92" i="3"/>
  <c r="D98" i="3"/>
  <c r="D121" i="3"/>
  <c r="D106" i="3"/>
  <c r="D147" i="3"/>
  <c r="D164" i="3"/>
  <c r="D206" i="3"/>
  <c r="D65" i="3"/>
  <c r="D90" i="3"/>
  <c r="D94" i="3"/>
  <c r="D111" i="3"/>
  <c r="D123" i="3"/>
  <c r="D152" i="3"/>
  <c r="D166" i="3"/>
  <c r="D189" i="3"/>
  <c r="P312" i="1"/>
  <c r="O221" i="3" s="1"/>
  <c r="O217" i="3" s="1"/>
  <c r="D72" i="3"/>
  <c r="D89" i="3"/>
  <c r="D118" i="3"/>
  <c r="D122" i="3"/>
  <c r="P211" i="1"/>
  <c r="D144" i="3"/>
  <c r="D153" i="3"/>
  <c r="D165" i="3"/>
  <c r="D216" i="3"/>
  <c r="D215" i="3" s="1"/>
  <c r="H243" i="1"/>
  <c r="P216" i="1"/>
  <c r="P295" i="1"/>
  <c r="D193" i="3"/>
  <c r="P81" i="1"/>
  <c r="P115" i="1"/>
  <c r="P188" i="1"/>
  <c r="D167" i="3"/>
  <c r="P304" i="1"/>
  <c r="P310" i="1"/>
  <c r="I117" i="3"/>
  <c r="N51" i="1"/>
  <c r="M82" i="1"/>
  <c r="I82" i="1"/>
  <c r="G82" i="1"/>
  <c r="N201" i="1"/>
  <c r="M212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1" i="3"/>
  <c r="P240" i="1"/>
  <c r="O205" i="3" s="1"/>
  <c r="D205" i="3"/>
  <c r="D163" i="3"/>
  <c r="P293" i="1"/>
  <c r="O190" i="3" s="1"/>
  <c r="D190" i="3"/>
  <c r="D221" i="3"/>
  <c r="D217" i="3" s="1"/>
  <c r="I222" i="3"/>
  <c r="I218" i="3" s="1"/>
  <c r="I46" i="3"/>
  <c r="I187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80" i="1"/>
  <c r="O169" i="3" s="1"/>
  <c r="D169" i="3"/>
  <c r="D222" i="3"/>
  <c r="D218" i="3" s="1"/>
  <c r="I151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3" i="1"/>
  <c r="P311" i="1"/>
  <c r="O216" i="3" s="1"/>
  <c r="O215" i="3" s="1"/>
  <c r="M13" i="1"/>
  <c r="N116" i="1"/>
  <c r="L116" i="1"/>
  <c r="M201" i="1"/>
  <c r="N212" i="1"/>
  <c r="P210" i="1"/>
  <c r="P203" i="1" s="1"/>
  <c r="I116" i="1"/>
  <c r="P225" i="1"/>
  <c r="P199" i="1"/>
  <c r="O154" i="3" s="1"/>
  <c r="M51" i="1"/>
  <c r="I51" i="1"/>
  <c r="P68" i="1"/>
  <c r="P124" i="1"/>
  <c r="O63" i="3" s="1"/>
  <c r="P150" i="1"/>
  <c r="O89" i="3" s="1"/>
  <c r="P226" i="1"/>
  <c r="P134" i="1"/>
  <c r="O73" i="3" s="1"/>
  <c r="P198" i="1"/>
  <c r="P242" i="1"/>
  <c r="P262" i="1"/>
  <c r="P274" i="1"/>
  <c r="P265" i="1"/>
  <c r="O179" i="3" s="1"/>
  <c r="P231" i="1"/>
  <c r="P167" i="1"/>
  <c r="P151" i="1"/>
  <c r="O90" i="3" s="1"/>
  <c r="P133" i="1"/>
  <c r="O72" i="3" s="1"/>
  <c r="P125" i="1"/>
  <c r="N82" i="1"/>
  <c r="P313" i="1"/>
  <c r="P301" i="1" s="1"/>
  <c r="M116" i="1"/>
  <c r="I201" i="1"/>
  <c r="O212" i="3" l="1"/>
  <c r="O170" i="3"/>
  <c r="D214" i="3"/>
  <c r="I214" i="3"/>
  <c r="I36" i="3"/>
  <c r="D143" i="3"/>
  <c r="D161" i="3"/>
  <c r="D204" i="3"/>
  <c r="H286" i="1"/>
  <c r="H116" i="1"/>
  <c r="H247" i="1"/>
  <c r="N316" i="1"/>
  <c r="M233" i="3" s="1"/>
  <c r="H316" i="1"/>
  <c r="G233" i="3" s="1"/>
  <c r="O111" i="3"/>
  <c r="O151" i="3"/>
  <c r="O222" i="3"/>
  <c r="O218" i="3" s="1"/>
  <c r="O64" i="3"/>
  <c r="O106" i="3"/>
  <c r="O152" i="3"/>
  <c r="O31" i="3"/>
  <c r="I316" i="1"/>
  <c r="H233" i="3" s="1"/>
  <c r="M316" i="1"/>
  <c r="L233" i="3" s="1"/>
  <c r="H241" i="3" l="1"/>
  <c r="M241" i="3"/>
  <c r="L241" i="3"/>
  <c r="G241" i="3"/>
  <c r="O214" i="3"/>
  <c r="G150" i="3"/>
  <c r="G276" i="1"/>
  <c r="H149" i="3"/>
  <c r="F131" i="3"/>
  <c r="E131" i="3"/>
  <c r="E104" i="3"/>
  <c r="E47" i="3"/>
  <c r="E45" i="3"/>
  <c r="E48" i="3"/>
  <c r="E46" i="3"/>
  <c r="E38" i="3"/>
  <c r="E19" i="3"/>
  <c r="E17" i="3"/>
  <c r="E208" i="3"/>
  <c r="E207" i="3" s="1"/>
  <c r="H178" i="3"/>
  <c r="F133" i="3"/>
  <c r="E133" i="3"/>
  <c r="F132" i="3"/>
  <c r="E132" i="3"/>
  <c r="F130" i="3" l="1"/>
  <c r="J223" i="1"/>
  <c r="J256" i="1"/>
  <c r="J260" i="1"/>
  <c r="P260" i="1" s="1"/>
  <c r="E29" i="1"/>
  <c r="E48" i="1"/>
  <c r="E57" i="1"/>
  <c r="E95" i="1"/>
  <c r="E94" i="1"/>
  <c r="E165" i="1"/>
  <c r="G201" i="1"/>
  <c r="E24" i="1"/>
  <c r="E25" i="1"/>
  <c r="E26" i="1"/>
  <c r="E35" i="1"/>
  <c r="E55" i="1"/>
  <c r="D17" i="3" s="1"/>
  <c r="E87" i="1"/>
  <c r="E97" i="1"/>
  <c r="E96" i="1"/>
  <c r="E206" i="1"/>
  <c r="E207" i="1"/>
  <c r="E222" i="1"/>
  <c r="E278" i="1"/>
  <c r="F284" i="1"/>
  <c r="F283" i="1" s="1"/>
  <c r="E285" i="1"/>
  <c r="E37" i="3"/>
  <c r="E49" i="3"/>
  <c r="D47" i="3" l="1"/>
  <c r="D38" i="3"/>
  <c r="D178" i="3"/>
  <c r="D104" i="3"/>
  <c r="D45" i="3"/>
  <c r="D46" i="3"/>
  <c r="D19" i="3"/>
  <c r="D131" i="3"/>
  <c r="P222" i="1"/>
  <c r="O149" i="3" s="1"/>
  <c r="D149" i="3"/>
  <c r="P97" i="1"/>
  <c r="O48" i="3" s="1"/>
  <c r="D48" i="3"/>
  <c r="P26" i="1"/>
  <c r="P48" i="1"/>
  <c r="O208" i="3" s="1"/>
  <c r="O207" i="3" s="1"/>
  <c r="D208" i="3"/>
  <c r="D207" i="3" s="1"/>
  <c r="D133" i="3"/>
  <c r="P24" i="1"/>
  <c r="O132" i="3" s="1"/>
  <c r="D132" i="3"/>
  <c r="P256" i="1"/>
  <c r="E86" i="1"/>
  <c r="P87" i="1"/>
  <c r="E98" i="1"/>
  <c r="E284" i="1"/>
  <c r="P285" i="1"/>
  <c r="P284" i="1" s="1"/>
  <c r="P283" i="1" s="1"/>
  <c r="P165" i="1"/>
  <c r="P95" i="1"/>
  <c r="O38" i="3" l="1"/>
  <c r="E283" i="1"/>
  <c r="D49" i="3"/>
  <c r="D37" i="3"/>
  <c r="O104" i="3"/>
  <c r="O46" i="3"/>
  <c r="L299" i="1"/>
  <c r="J306" i="1"/>
  <c r="P98" i="1"/>
  <c r="O49" i="3" s="1"/>
  <c r="H187" i="3"/>
  <c r="H186" i="3" s="1"/>
  <c r="H160" i="3"/>
  <c r="H159" i="3" s="1"/>
  <c r="J273" i="1"/>
  <c r="N166" i="3"/>
  <c r="N165" i="3"/>
  <c r="N164" i="3"/>
  <c r="G244" i="1"/>
  <c r="G243" i="1" s="1"/>
  <c r="N167" i="3"/>
  <c r="N163" i="3"/>
  <c r="E148" i="3"/>
  <c r="N145" i="3"/>
  <c r="H145" i="3"/>
  <c r="E145" i="3"/>
  <c r="N144" i="3"/>
  <c r="P306" i="1" l="1"/>
  <c r="E218" i="1"/>
  <c r="J218" i="1"/>
  <c r="E221" i="1"/>
  <c r="J257" i="1"/>
  <c r="I164" i="3" s="1"/>
  <c r="J258" i="1"/>
  <c r="I165" i="3" s="1"/>
  <c r="J259" i="1"/>
  <c r="I166" i="3" s="1"/>
  <c r="I286" i="1"/>
  <c r="J217" i="1"/>
  <c r="I144" i="3" s="1"/>
  <c r="J228" i="1"/>
  <c r="J229" i="1"/>
  <c r="J241" i="1"/>
  <c r="P241" i="1" s="1"/>
  <c r="E185" i="1"/>
  <c r="E114" i="3"/>
  <c r="E62" i="3"/>
  <c r="E61" i="3"/>
  <c r="E60" i="3"/>
  <c r="E59" i="3"/>
  <c r="N45" i="3"/>
  <c r="N37" i="3"/>
  <c r="N25" i="3"/>
  <c r="N19" i="3"/>
  <c r="N17" i="3"/>
  <c r="F17" i="3"/>
  <c r="N200" i="3"/>
  <c r="N199" i="3" s="1"/>
  <c r="E14" i="3"/>
  <c r="E201" i="3"/>
  <c r="E52" i="3"/>
  <c r="E51" i="3"/>
  <c r="E185" i="3"/>
  <c r="E184" i="3" s="1"/>
  <c r="I167" i="3" l="1"/>
  <c r="I145" i="3"/>
  <c r="I163" i="3"/>
  <c r="G201" i="3"/>
  <c r="G199" i="3" s="1"/>
  <c r="D145" i="3"/>
  <c r="E39" i="1"/>
  <c r="E73" i="1"/>
  <c r="P221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8" i="1"/>
  <c r="E100" i="1"/>
  <c r="E130" i="1"/>
  <c r="E16" i="1"/>
  <c r="E44" i="1"/>
  <c r="J44" i="1"/>
  <c r="I200" i="3" s="1"/>
  <c r="J63" i="1"/>
  <c r="I25" i="3" s="1"/>
  <c r="J75" i="1"/>
  <c r="E74" i="1"/>
  <c r="E121" i="1"/>
  <c r="E123" i="1"/>
  <c r="P229" i="1"/>
  <c r="O167" i="3" s="1"/>
  <c r="P228" i="1"/>
  <c r="O163" i="3" s="1"/>
  <c r="P217" i="1"/>
  <c r="O144" i="3" s="1"/>
  <c r="P259" i="1"/>
  <c r="O166" i="3" s="1"/>
  <c r="P258" i="1"/>
  <c r="O165" i="3" s="1"/>
  <c r="P257" i="1"/>
  <c r="O164" i="3" s="1"/>
  <c r="E141" i="3"/>
  <c r="E228" i="3"/>
  <c r="E227" i="3" s="1"/>
  <c r="O145" i="3" l="1"/>
  <c r="D60" i="3"/>
  <c r="D51" i="3"/>
  <c r="D114" i="3"/>
  <c r="D59" i="3"/>
  <c r="D201" i="3"/>
  <c r="D52" i="3"/>
  <c r="D185" i="3"/>
  <c r="D184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8" i="3"/>
  <c r="D227" i="3" s="1"/>
  <c r="O59" i="3"/>
  <c r="P32" i="1"/>
  <c r="O141" i="3" s="1"/>
  <c r="D141" i="3"/>
  <c r="O52" i="3"/>
  <c r="O51" i="3"/>
  <c r="O60" i="3"/>
  <c r="E42" i="3"/>
  <c r="O272" i="1"/>
  <c r="O271" i="1"/>
  <c r="O248" i="1" s="1"/>
  <c r="N150" i="3"/>
  <c r="E150" i="3"/>
  <c r="I227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8" i="3"/>
  <c r="N227" i="3" s="1"/>
  <c r="E49" i="1"/>
  <c r="N139" i="3"/>
  <c r="E139" i="3"/>
  <c r="N138" i="3"/>
  <c r="E137" i="3"/>
  <c r="N107" i="3"/>
  <c r="N182" i="3" l="1"/>
  <c r="O249" i="1"/>
  <c r="N183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8" i="1"/>
  <c r="E251" i="1"/>
  <c r="J251" i="1"/>
  <c r="I150" i="3" s="1"/>
  <c r="L316" i="1"/>
  <c r="J272" i="1"/>
  <c r="I183" i="3" s="1"/>
  <c r="J232" i="1"/>
  <c r="J29" i="1"/>
  <c r="I138" i="3" s="1"/>
  <c r="E30" i="1"/>
  <c r="J50" i="1"/>
  <c r="I228" i="3" s="1"/>
  <c r="I227" i="3" s="1"/>
  <c r="E64" i="1"/>
  <c r="J128" i="1"/>
  <c r="E135" i="1"/>
  <c r="E141" i="1"/>
  <c r="E156" i="1"/>
  <c r="E166" i="1"/>
  <c r="E169" i="1"/>
  <c r="J220" i="1"/>
  <c r="I147" i="3" s="1"/>
  <c r="E227" i="1"/>
  <c r="J271" i="1"/>
  <c r="I182" i="3" s="1"/>
  <c r="E91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30" i="3"/>
  <c r="I175" i="3"/>
  <c r="J249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4" i="1"/>
  <c r="P227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2" i="1"/>
  <c r="J207" i="1"/>
  <c r="E215" i="1"/>
  <c r="E219" i="1"/>
  <c r="E289" i="1"/>
  <c r="P271" i="1"/>
  <c r="O182" i="3" s="1"/>
  <c r="P220" i="1"/>
  <c r="O147" i="3" s="1"/>
  <c r="P50" i="1"/>
  <c r="O228" i="3" s="1"/>
  <c r="O227" i="3" s="1"/>
  <c r="P30" i="1"/>
  <c r="O139" i="3" s="1"/>
  <c r="P29" i="1"/>
  <c r="P272" i="1"/>
  <c r="P251" i="1"/>
  <c r="P171" i="1"/>
  <c r="P157" i="1"/>
  <c r="P136" i="1"/>
  <c r="P96" i="1"/>
  <c r="E66" i="1"/>
  <c r="E75" i="1"/>
  <c r="E92" i="1"/>
  <c r="E131" i="1"/>
  <c r="E132" i="1"/>
  <c r="F193" i="1"/>
  <c r="J204" i="1"/>
  <c r="E205" i="1"/>
  <c r="E288" i="1"/>
  <c r="E302" i="1"/>
  <c r="E61" i="1"/>
  <c r="P156" i="1"/>
  <c r="P135" i="1"/>
  <c r="P232" i="1"/>
  <c r="P208" i="1"/>
  <c r="O134" i="3" s="1"/>
  <c r="P43" i="1"/>
  <c r="E203" i="3"/>
  <c r="E202" i="3" s="1"/>
  <c r="N185" i="3"/>
  <c r="N184" i="3" s="1"/>
  <c r="O35" i="1"/>
  <c r="O14" i="1" s="1"/>
  <c r="H177" i="3"/>
  <c r="H176" i="3"/>
  <c r="E140" i="3"/>
  <c r="K241" i="3" l="1"/>
  <c r="K233" i="3"/>
  <c r="H174" i="3"/>
  <c r="P249" i="1"/>
  <c r="O183" i="3"/>
  <c r="O175" i="3" s="1"/>
  <c r="I128" i="3"/>
  <c r="G15" i="3"/>
  <c r="D26" i="3"/>
  <c r="N178" i="3"/>
  <c r="N174" i="3" s="1"/>
  <c r="H158" i="3"/>
  <c r="G12" i="3"/>
  <c r="G133" i="3"/>
  <c r="G140" i="3"/>
  <c r="G203" i="3"/>
  <c r="G202" i="3" s="1"/>
  <c r="G197" i="3" s="1"/>
  <c r="D67" i="3"/>
  <c r="P192" i="1"/>
  <c r="H299" i="1"/>
  <c r="H276" i="1"/>
  <c r="G132" i="3"/>
  <c r="G138" i="3"/>
  <c r="D23" i="3"/>
  <c r="D138" i="3"/>
  <c r="D146" i="3"/>
  <c r="H201" i="1"/>
  <c r="D39" i="3"/>
  <c r="H283" i="1"/>
  <c r="H193" i="1"/>
  <c r="H82" i="1"/>
  <c r="O74" i="3"/>
  <c r="O95" i="3"/>
  <c r="P132" i="1"/>
  <c r="P92" i="1"/>
  <c r="O43" i="3" s="1"/>
  <c r="D43" i="3"/>
  <c r="O47" i="3"/>
  <c r="O75" i="3"/>
  <c r="O96" i="3"/>
  <c r="O115" i="3"/>
  <c r="P289" i="1"/>
  <c r="O160" i="3" s="1"/>
  <c r="O159" i="3" s="1"/>
  <c r="D160" i="3"/>
  <c r="D159" i="3" s="1"/>
  <c r="P59" i="1"/>
  <c r="O21" i="3" s="1"/>
  <c r="D21" i="3"/>
  <c r="P131" i="1"/>
  <c r="O70" i="3" s="1"/>
  <c r="D70" i="3"/>
  <c r="P66" i="1"/>
  <c r="O29" i="3" s="1"/>
  <c r="D29" i="3"/>
  <c r="J15" i="1"/>
  <c r="E31" i="1"/>
  <c r="E34" i="1"/>
  <c r="J40" i="1"/>
  <c r="I191" i="3" s="1"/>
  <c r="E46" i="1"/>
  <c r="P207" i="1"/>
  <c r="P128" i="1"/>
  <c r="E33" i="1"/>
  <c r="J37" i="1"/>
  <c r="I185" i="3" s="1"/>
  <c r="I184" i="3" s="1"/>
  <c r="P75" i="1"/>
  <c r="P119" i="1"/>
  <c r="G130" i="3" l="1"/>
  <c r="G135" i="3"/>
  <c r="D177" i="3"/>
  <c r="D140" i="3"/>
  <c r="D176" i="3"/>
  <c r="E193" i="1"/>
  <c r="H51" i="1"/>
  <c r="I13" i="1"/>
  <c r="O138" i="3"/>
  <c r="O67" i="3"/>
  <c r="P46" i="1"/>
  <c r="O203" i="3" s="1"/>
  <c r="O202" i="3" s="1"/>
  <c r="D203" i="3"/>
  <c r="D202" i="3" s="1"/>
  <c r="P37" i="1"/>
  <c r="O185" i="3" s="1"/>
  <c r="O184" i="3" s="1"/>
  <c r="P33" i="1"/>
  <c r="P40" i="1"/>
  <c r="O191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2" i="1"/>
  <c r="N162" i="3"/>
  <c r="F246" i="1"/>
  <c r="E246" i="1" s="1"/>
  <c r="N206" i="3"/>
  <c r="N204" i="3" s="1"/>
  <c r="N197" i="3" s="1"/>
  <c r="E55" i="3"/>
  <c r="N23" i="3"/>
  <c r="N15" i="3" s="1"/>
  <c r="N140" i="3"/>
  <c r="N135" i="3" s="1"/>
  <c r="F20" i="3"/>
  <c r="F16" i="3" s="1"/>
  <c r="F230" i="3" s="1"/>
  <c r="E20" i="3"/>
  <c r="N143" i="3"/>
  <c r="D177" i="1"/>
  <c r="N119" i="3"/>
  <c r="N58" i="3" s="1"/>
  <c r="N118" i="3"/>
  <c r="E142" i="3"/>
  <c r="N20" i="3"/>
  <c r="N16" i="3" s="1"/>
  <c r="E127" i="3"/>
  <c r="E58" i="3" s="1"/>
  <c r="E40" i="3"/>
  <c r="E44" i="3"/>
  <c r="E56" i="3"/>
  <c r="E24" i="3"/>
  <c r="N225" i="3"/>
  <c r="N213" i="3" s="1"/>
  <c r="K201" i="3"/>
  <c r="K199" i="3" s="1"/>
  <c r="J237" i="1"/>
  <c r="P237" i="1" s="1"/>
  <c r="N193" i="3"/>
  <c r="N189" i="3"/>
  <c r="N146" i="3"/>
  <c r="N156" i="3"/>
  <c r="N153" i="3"/>
  <c r="K140" i="3"/>
  <c r="K135" i="3" s="1"/>
  <c r="K131" i="3"/>
  <c r="K130" i="3" s="1"/>
  <c r="N133" i="3"/>
  <c r="N130" i="3" s="1"/>
  <c r="N129" i="3"/>
  <c r="K37" i="3"/>
  <c r="K35" i="3" s="1"/>
  <c r="N39" i="3"/>
  <c r="N35" i="3" s="1"/>
  <c r="K17" i="3"/>
  <c r="K19" i="3"/>
  <c r="K12" i="3"/>
  <c r="L12" i="3"/>
  <c r="L229" i="3" s="1"/>
  <c r="M201" i="3"/>
  <c r="M199" i="3" s="1"/>
  <c r="M197" i="3" s="1"/>
  <c r="M12" i="3"/>
  <c r="H150" i="3"/>
  <c r="H156" i="3"/>
  <c r="E136" i="3"/>
  <c r="E135" i="3" s="1"/>
  <c r="E225" i="3"/>
  <c r="E213" i="3" s="1"/>
  <c r="E200" i="3"/>
  <c r="E199" i="3" s="1"/>
  <c r="E211" i="3"/>
  <c r="E180" i="3"/>
  <c r="E174" i="3" s="1"/>
  <c r="E187" i="3"/>
  <c r="E188" i="3"/>
  <c r="E192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9" i="1"/>
  <c r="D175" i="1"/>
  <c r="B232" i="1"/>
  <c r="C225" i="1"/>
  <c r="B225" i="1"/>
  <c r="C280" i="1"/>
  <c r="D280" i="1"/>
  <c r="B280" i="1"/>
  <c r="C49" i="1"/>
  <c r="D49" i="1"/>
  <c r="B49" i="1"/>
  <c r="C227" i="1"/>
  <c r="D227" i="1"/>
  <c r="B227" i="1"/>
  <c r="C252" i="1"/>
  <c r="D252" i="1"/>
  <c r="B252" i="1"/>
  <c r="C231" i="1"/>
  <c r="D231" i="1"/>
  <c r="B231" i="1"/>
  <c r="C189" i="1"/>
  <c r="D189" i="1"/>
  <c r="B189" i="1"/>
  <c r="C265" i="1"/>
  <c r="D265" i="1"/>
  <c r="B265" i="1"/>
  <c r="C274" i="1"/>
  <c r="B274" i="1"/>
  <c r="C263" i="1"/>
  <c r="D263" i="1"/>
  <c r="B263" i="1"/>
  <c r="C232" i="1"/>
  <c r="D232" i="1"/>
  <c r="C220" i="1"/>
  <c r="D220" i="1"/>
  <c r="B220" i="1"/>
  <c r="C106" i="1"/>
  <c r="D106" i="1"/>
  <c r="B106" i="1"/>
  <c r="C76" i="1"/>
  <c r="D76" i="1"/>
  <c r="B76" i="1"/>
  <c r="C295" i="1"/>
  <c r="D295" i="1"/>
  <c r="B295" i="1"/>
  <c r="C131" i="1"/>
  <c r="D131" i="1"/>
  <c r="B131" i="1"/>
  <c r="D81" i="1"/>
  <c r="C81" i="1"/>
  <c r="B81" i="1"/>
  <c r="C50" i="1"/>
  <c r="D50" i="1"/>
  <c r="B50" i="1"/>
  <c r="C24" i="1"/>
  <c r="D24" i="1"/>
  <c r="B24" i="1"/>
  <c r="C261" i="1"/>
  <c r="D261" i="1"/>
  <c r="B261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4" i="1"/>
  <c r="D314" i="1"/>
  <c r="B314" i="1"/>
  <c r="C282" i="1"/>
  <c r="B282" i="1"/>
  <c r="C279" i="1"/>
  <c r="D279" i="1"/>
  <c r="B279" i="1"/>
  <c r="D104" i="1"/>
  <c r="C104" i="1"/>
  <c r="B104" i="1"/>
  <c r="C102" i="1"/>
  <c r="D102" i="1"/>
  <c r="B102" i="1"/>
  <c r="C42" i="1"/>
  <c r="B42" i="1"/>
  <c r="C36" i="1"/>
  <c r="D36" i="1"/>
  <c r="B36" i="1"/>
  <c r="C192" i="1"/>
  <c r="D192" i="1"/>
  <c r="B192" i="1"/>
  <c r="C188" i="1"/>
  <c r="D188" i="1"/>
  <c r="B188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8" i="1"/>
  <c r="C198" i="1"/>
  <c r="B198" i="1"/>
  <c r="C205" i="1"/>
  <c r="D205" i="1"/>
  <c r="B205" i="1"/>
  <c r="C206" i="1"/>
  <c r="D206" i="1"/>
  <c r="B206" i="1"/>
  <c r="C207" i="1"/>
  <c r="D207" i="1"/>
  <c r="C208" i="1"/>
  <c r="D208" i="1"/>
  <c r="B208" i="1"/>
  <c r="B207" i="1"/>
  <c r="C211" i="1"/>
  <c r="D211" i="1"/>
  <c r="B211" i="1"/>
  <c r="C216" i="1"/>
  <c r="D216" i="1"/>
  <c r="B216" i="1"/>
  <c r="C221" i="1"/>
  <c r="D221" i="1"/>
  <c r="B221" i="1"/>
  <c r="C219" i="1"/>
  <c r="D219" i="1"/>
  <c r="B219" i="1"/>
  <c r="C218" i="1"/>
  <c r="D218" i="1"/>
  <c r="B218" i="1"/>
  <c r="C217" i="1"/>
  <c r="D217" i="1"/>
  <c r="B217" i="1"/>
  <c r="C222" i="1"/>
  <c r="D222" i="1"/>
  <c r="B222" i="1"/>
  <c r="C223" i="1"/>
  <c r="D223" i="1"/>
  <c r="B223" i="1"/>
  <c r="C224" i="1"/>
  <c r="D224" i="1"/>
  <c r="B224" i="1"/>
  <c r="C228" i="1"/>
  <c r="D228" i="1"/>
  <c r="B228" i="1"/>
  <c r="C229" i="1"/>
  <c r="D229" i="1"/>
  <c r="B229" i="1"/>
  <c r="C230" i="1"/>
  <c r="D230" i="1"/>
  <c r="B230" i="1"/>
  <c r="C237" i="1"/>
  <c r="D237" i="1"/>
  <c r="B237" i="1"/>
  <c r="C240" i="1"/>
  <c r="D240" i="1"/>
  <c r="B240" i="1"/>
  <c r="C241" i="1"/>
  <c r="D241" i="1"/>
  <c r="B241" i="1"/>
  <c r="C242" i="1"/>
  <c r="D242" i="1"/>
  <c r="B242" i="1"/>
  <c r="C251" i="1"/>
  <c r="D251" i="1"/>
  <c r="B251" i="1"/>
  <c r="C254" i="1"/>
  <c r="D254" i="1"/>
  <c r="B254" i="1"/>
  <c r="C256" i="1"/>
  <c r="D256" i="1"/>
  <c r="B256" i="1"/>
  <c r="C259" i="1"/>
  <c r="D259" i="1"/>
  <c r="B259" i="1"/>
  <c r="C258" i="1"/>
  <c r="D258" i="1"/>
  <c r="B258" i="1"/>
  <c r="C257" i="1"/>
  <c r="D257" i="1"/>
  <c r="B257" i="1"/>
  <c r="C260" i="1"/>
  <c r="D260" i="1"/>
  <c r="B260" i="1"/>
  <c r="C273" i="1"/>
  <c r="D273" i="1"/>
  <c r="B273" i="1"/>
  <c r="C246" i="1"/>
  <c r="D246" i="1"/>
  <c r="B246" i="1"/>
  <c r="C289" i="1"/>
  <c r="D289" i="1"/>
  <c r="B289" i="1"/>
  <c r="C291" i="1"/>
  <c r="D291" i="1"/>
  <c r="B291" i="1"/>
  <c r="C292" i="1"/>
  <c r="D292" i="1"/>
  <c r="B292" i="1"/>
  <c r="C293" i="1"/>
  <c r="D293" i="1"/>
  <c r="B293" i="1"/>
  <c r="C294" i="1"/>
  <c r="D294" i="1"/>
  <c r="B294" i="1"/>
  <c r="C304" i="1"/>
  <c r="D304" i="1"/>
  <c r="B304" i="1"/>
  <c r="C306" i="1"/>
  <c r="D306" i="1"/>
  <c r="B306" i="1"/>
  <c r="C309" i="1"/>
  <c r="D309" i="1"/>
  <c r="B309" i="1"/>
  <c r="C310" i="1"/>
  <c r="D310" i="1"/>
  <c r="B310" i="1"/>
  <c r="C311" i="1"/>
  <c r="D311" i="1"/>
  <c r="B311" i="1"/>
  <c r="C302" i="1"/>
  <c r="B302" i="1"/>
  <c r="C288" i="1"/>
  <c r="B288" i="1"/>
  <c r="C285" i="1"/>
  <c r="B285" i="1"/>
  <c r="C278" i="1"/>
  <c r="B278" i="1"/>
  <c r="C250" i="1"/>
  <c r="B250" i="1"/>
  <c r="C245" i="1"/>
  <c r="B245" i="1"/>
  <c r="C215" i="1"/>
  <c r="B215" i="1"/>
  <c r="C204" i="1"/>
  <c r="B204" i="1"/>
  <c r="C196" i="1"/>
  <c r="B196" i="1"/>
  <c r="C119" i="1"/>
  <c r="B119" i="1"/>
  <c r="C85" i="1"/>
  <c r="B85" i="1"/>
  <c r="C54" i="1"/>
  <c r="B54" i="1"/>
  <c r="C15" i="1"/>
  <c r="B15" i="1"/>
  <c r="D302" i="1"/>
  <c r="D288" i="1"/>
  <c r="D285" i="1"/>
  <c r="D278" i="1"/>
  <c r="D250" i="1"/>
  <c r="D245" i="1"/>
  <c r="D215" i="1"/>
  <c r="D204" i="1"/>
  <c r="D196" i="1"/>
  <c r="D119" i="1"/>
  <c r="D85" i="1"/>
  <c r="D54" i="1"/>
  <c r="D15" i="1"/>
  <c r="N57" i="3" l="1"/>
  <c r="F57" i="3"/>
  <c r="M229" i="3"/>
  <c r="N230" i="3"/>
  <c r="E197" i="3"/>
  <c r="E16" i="3"/>
  <c r="E35" i="3"/>
  <c r="K15" i="3"/>
  <c r="F15" i="3"/>
  <c r="E186" i="3"/>
  <c r="E158" i="3" s="1"/>
  <c r="H142" i="3"/>
  <c r="H229" i="3" s="1"/>
  <c r="N142" i="3"/>
  <c r="F135" i="3"/>
  <c r="E36" i="3"/>
  <c r="G142" i="3"/>
  <c r="G107" i="3"/>
  <c r="G57" i="3" s="1"/>
  <c r="P246" i="1"/>
  <c r="D30" i="3"/>
  <c r="D15" i="3" s="1"/>
  <c r="E128" i="3"/>
  <c r="E57" i="3" s="1"/>
  <c r="E12" i="3"/>
  <c r="N12" i="3"/>
  <c r="J47" i="1"/>
  <c r="K206" i="3"/>
  <c r="K204" i="3" s="1"/>
  <c r="K197" i="3" s="1"/>
  <c r="F12" i="3"/>
  <c r="K193" i="3"/>
  <c r="K186" i="3" s="1"/>
  <c r="N188" i="3"/>
  <c r="N186" i="3" s="1"/>
  <c r="J261" i="1"/>
  <c r="N168" i="3"/>
  <c r="N161" i="3" s="1"/>
  <c r="G51" i="1"/>
  <c r="F201" i="1"/>
  <c r="E204" i="1"/>
  <c r="E202" i="1" s="1"/>
  <c r="F82" i="1"/>
  <c r="E102" i="1"/>
  <c r="F116" i="1"/>
  <c r="E184" i="1"/>
  <c r="E173" i="1"/>
  <c r="E20" i="1"/>
  <c r="E149" i="1"/>
  <c r="E18" i="1"/>
  <c r="E294" i="1"/>
  <c r="D194" i="3" s="1"/>
  <c r="E291" i="1"/>
  <c r="E36" i="1"/>
  <c r="E309" i="1"/>
  <c r="F299" i="1"/>
  <c r="E314" i="1"/>
  <c r="D226" i="3" s="1"/>
  <c r="E254" i="1"/>
  <c r="E248" i="1" s="1"/>
  <c r="I247" i="1"/>
  <c r="N247" i="1"/>
  <c r="M247" i="1"/>
  <c r="M315" i="1" s="1"/>
  <c r="L232" i="3" s="1"/>
  <c r="O286" i="1"/>
  <c r="J288" i="1"/>
  <c r="O244" i="1"/>
  <c r="O243" i="1" s="1"/>
  <c r="J245" i="1"/>
  <c r="J244" i="1" s="1"/>
  <c r="J243" i="1" s="1"/>
  <c r="O193" i="1"/>
  <c r="J196" i="1"/>
  <c r="J194" i="1" s="1"/>
  <c r="J64" i="1"/>
  <c r="I27" i="3" s="1"/>
  <c r="L201" i="1"/>
  <c r="J205" i="1"/>
  <c r="I26" i="3" s="1"/>
  <c r="L51" i="1"/>
  <c r="J55" i="1"/>
  <c r="L82" i="1"/>
  <c r="J86" i="1"/>
  <c r="I37" i="3" s="1"/>
  <c r="J25" i="1"/>
  <c r="J31" i="1"/>
  <c r="I140" i="3" s="1"/>
  <c r="I135" i="3" s="1"/>
  <c r="J254" i="1"/>
  <c r="I156" i="3" s="1"/>
  <c r="J292" i="1"/>
  <c r="I189" i="3" s="1"/>
  <c r="J239" i="1"/>
  <c r="J42" i="1"/>
  <c r="J108" i="1"/>
  <c r="J45" i="1"/>
  <c r="I201" i="3" s="1"/>
  <c r="I199" i="3" s="1"/>
  <c r="E105" i="1"/>
  <c r="E93" i="1"/>
  <c r="E89" i="1"/>
  <c r="E183" i="1"/>
  <c r="E118" i="1" s="1"/>
  <c r="J65" i="1"/>
  <c r="I28" i="3" s="1"/>
  <c r="E279" i="1"/>
  <c r="E277" i="1" s="1"/>
  <c r="F276" i="1"/>
  <c r="J200" i="1"/>
  <c r="I155" i="3" s="1"/>
  <c r="G316" i="1"/>
  <c r="F233" i="3" s="1"/>
  <c r="J79" i="1"/>
  <c r="E224" i="1"/>
  <c r="P178" i="1"/>
  <c r="O122" i="3" s="1"/>
  <c r="P67" i="1"/>
  <c r="G116" i="1"/>
  <c r="F244" i="1"/>
  <c r="F243" i="1" s="1"/>
  <c r="E245" i="1"/>
  <c r="E54" i="1"/>
  <c r="E52" i="1" s="1"/>
  <c r="F51" i="1"/>
  <c r="E182" i="1"/>
  <c r="E23" i="1"/>
  <c r="E22" i="1"/>
  <c r="E21" i="1"/>
  <c r="E19" i="1"/>
  <c r="E17" i="1"/>
  <c r="E41" i="1"/>
  <c r="F247" i="1"/>
  <c r="E189" i="1"/>
  <c r="E27" i="1"/>
  <c r="E223" i="1"/>
  <c r="E213" i="1" s="1"/>
  <c r="I212" i="1"/>
  <c r="N13" i="1"/>
  <c r="O299" i="1"/>
  <c r="J302" i="1"/>
  <c r="O276" i="1"/>
  <c r="J278" i="1"/>
  <c r="L247" i="1"/>
  <c r="J250" i="1"/>
  <c r="J248" i="1" s="1"/>
  <c r="J215" i="1"/>
  <c r="J85" i="1"/>
  <c r="J57" i="1"/>
  <c r="I19" i="3" s="1"/>
  <c r="J88" i="1"/>
  <c r="I39" i="3" s="1"/>
  <c r="J185" i="1"/>
  <c r="I129" i="3" s="1"/>
  <c r="J206" i="1"/>
  <c r="I131" i="3" s="1"/>
  <c r="J252" i="1"/>
  <c r="I153" i="3" s="1"/>
  <c r="J219" i="1"/>
  <c r="I146" i="3" s="1"/>
  <c r="J282" i="1"/>
  <c r="J314" i="1"/>
  <c r="I226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30" i="1"/>
  <c r="O51" i="1"/>
  <c r="J76" i="1"/>
  <c r="J77" i="1"/>
  <c r="O82" i="1"/>
  <c r="J106" i="1"/>
  <c r="J107" i="1"/>
  <c r="J84" i="1" s="1"/>
  <c r="O201" i="1"/>
  <c r="J209" i="1"/>
  <c r="J233" i="1"/>
  <c r="J214" i="1" s="1"/>
  <c r="J263" i="1"/>
  <c r="J264" i="1"/>
  <c r="P179" i="1"/>
  <c r="O123" i="3" s="1"/>
  <c r="E117" i="1" l="1"/>
  <c r="F241" i="3"/>
  <c r="L240" i="3"/>
  <c r="J213" i="1"/>
  <c r="N158" i="3"/>
  <c r="N229" i="3" s="1"/>
  <c r="F229" i="3"/>
  <c r="G229" i="3"/>
  <c r="E229" i="3"/>
  <c r="J52" i="1"/>
  <c r="J51" i="1" s="1"/>
  <c r="I315" i="1"/>
  <c r="H232" i="3" s="1"/>
  <c r="J300" i="1"/>
  <c r="J299" i="1" s="1"/>
  <c r="E300" i="1"/>
  <c r="E230" i="3"/>
  <c r="I13" i="3"/>
  <c r="I12" i="3" s="1"/>
  <c r="N315" i="1"/>
  <c r="M232" i="3" s="1"/>
  <c r="P223" i="1"/>
  <c r="D13" i="3"/>
  <c r="D12" i="3" s="1"/>
  <c r="E53" i="1"/>
  <c r="J53" i="1"/>
  <c r="D157" i="3"/>
  <c r="I172" i="3"/>
  <c r="I171" i="3"/>
  <c r="E287" i="1"/>
  <c r="E286" i="1" s="1"/>
  <c r="I35" i="3"/>
  <c r="D20" i="3"/>
  <c r="E14" i="1"/>
  <c r="E13" i="1" s="1"/>
  <c r="J83" i="1"/>
  <c r="J82" i="1" s="1"/>
  <c r="E84" i="1"/>
  <c r="E83" i="1"/>
  <c r="I188" i="3"/>
  <c r="D28" i="3"/>
  <c r="J287" i="1"/>
  <c r="J286" i="1" s="1"/>
  <c r="J277" i="1"/>
  <c r="J202" i="1"/>
  <c r="J201" i="1" s="1"/>
  <c r="I143" i="3"/>
  <c r="J195" i="1"/>
  <c r="I119" i="3"/>
  <c r="I58" i="3" s="1"/>
  <c r="I118" i="3"/>
  <c r="I57" i="3" s="1"/>
  <c r="I20" i="3"/>
  <c r="I16" i="3" s="1"/>
  <c r="I17" i="3"/>
  <c r="I15" i="3" s="1"/>
  <c r="I133" i="3"/>
  <c r="I130" i="3" s="1"/>
  <c r="I142" i="3"/>
  <c r="L212" i="1"/>
  <c r="O212" i="1"/>
  <c r="I225" i="3"/>
  <c r="I213" i="3" s="1"/>
  <c r="F286" i="1"/>
  <c r="L276" i="1"/>
  <c r="D150" i="3"/>
  <c r="D127" i="3"/>
  <c r="D58" i="3" s="1"/>
  <c r="D56" i="3"/>
  <c r="D225" i="3"/>
  <c r="D213" i="3" s="1"/>
  <c r="D211" i="3"/>
  <c r="D187" i="3"/>
  <c r="D88" i="3"/>
  <c r="D53" i="3"/>
  <c r="H212" i="1"/>
  <c r="D136" i="3"/>
  <c r="D135" i="3" s="1"/>
  <c r="D69" i="3"/>
  <c r="D107" i="3"/>
  <c r="D40" i="3"/>
  <c r="D156" i="3"/>
  <c r="D180" i="3"/>
  <c r="D174" i="3" s="1"/>
  <c r="D108" i="3"/>
  <c r="P62" i="1"/>
  <c r="O24" i="3" s="1"/>
  <c r="D24" i="3"/>
  <c r="P189" i="1"/>
  <c r="O200" i="3" s="1"/>
  <c r="D200" i="3"/>
  <c r="D199" i="3" s="1"/>
  <c r="P273" i="1"/>
  <c r="D188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6" i="3"/>
  <c r="I204" i="3" s="1"/>
  <c r="I197" i="3" s="1"/>
  <c r="P104" i="1"/>
  <c r="O55" i="3" s="1"/>
  <c r="D55" i="3"/>
  <c r="P41" i="1"/>
  <c r="O192" i="3" s="1"/>
  <c r="D192" i="3"/>
  <c r="P23" i="1"/>
  <c r="D129" i="3"/>
  <c r="G13" i="1"/>
  <c r="G315" i="1" s="1"/>
  <c r="O30" i="3"/>
  <c r="P224" i="1"/>
  <c r="I193" i="3"/>
  <c r="D128" i="3"/>
  <c r="P261" i="1"/>
  <c r="I168" i="3"/>
  <c r="P65" i="1"/>
  <c r="O28" i="3" s="1"/>
  <c r="O116" i="1"/>
  <c r="O247" i="1"/>
  <c r="F316" i="1"/>
  <c r="O316" i="1"/>
  <c r="N233" i="3" s="1"/>
  <c r="P230" i="1"/>
  <c r="P58" i="1"/>
  <c r="P174" i="1"/>
  <c r="P206" i="1"/>
  <c r="O131" i="3" s="1"/>
  <c r="P88" i="1"/>
  <c r="O39" i="3" s="1"/>
  <c r="P85" i="1"/>
  <c r="P215" i="1"/>
  <c r="P250" i="1"/>
  <c r="P278" i="1"/>
  <c r="P302" i="1"/>
  <c r="P27" i="1"/>
  <c r="P17" i="1"/>
  <c r="P54" i="1"/>
  <c r="P279" i="1"/>
  <c r="P89" i="1"/>
  <c r="P292" i="1"/>
  <c r="O189" i="3" s="1"/>
  <c r="P25" i="1"/>
  <c r="P86" i="1"/>
  <c r="O37" i="3" s="1"/>
  <c r="P205" i="1"/>
  <c r="O26" i="3" s="1"/>
  <c r="P64" i="1"/>
  <c r="O27" i="3" s="1"/>
  <c r="J193" i="1"/>
  <c r="P196" i="1"/>
  <c r="P194" i="1" s="1"/>
  <c r="P309" i="1"/>
  <c r="P264" i="1"/>
  <c r="P263" i="1"/>
  <c r="P233" i="1"/>
  <c r="P214" i="1" s="1"/>
  <c r="P209" i="1"/>
  <c r="P107" i="1"/>
  <c r="P106" i="1"/>
  <c r="P77" i="1"/>
  <c r="O172" i="3" s="1"/>
  <c r="P76" i="1"/>
  <c r="O171" i="3" s="1"/>
  <c r="P61" i="1"/>
  <c r="O23" i="3" s="1"/>
  <c r="P175" i="1"/>
  <c r="P282" i="1"/>
  <c r="P219" i="1"/>
  <c r="O146" i="3" s="1"/>
  <c r="P252" i="1"/>
  <c r="O153" i="3" s="1"/>
  <c r="P185" i="1"/>
  <c r="P57" i="1"/>
  <c r="O19" i="3" s="1"/>
  <c r="F13" i="1"/>
  <c r="P19" i="1"/>
  <c r="P22" i="1"/>
  <c r="E244" i="1"/>
  <c r="P245" i="1"/>
  <c r="P244" i="1" s="1"/>
  <c r="P243" i="1" s="1"/>
  <c r="P79" i="1"/>
  <c r="P200" i="1"/>
  <c r="P183" i="1"/>
  <c r="O127" i="3" s="1"/>
  <c r="P105" i="1"/>
  <c r="P45" i="1"/>
  <c r="O201" i="3" s="1"/>
  <c r="P108" i="1"/>
  <c r="P42" i="1"/>
  <c r="P239" i="1"/>
  <c r="P31" i="1"/>
  <c r="O140" i="3" s="1"/>
  <c r="O13" i="1"/>
  <c r="P55" i="1"/>
  <c r="O17" i="3" s="1"/>
  <c r="P288" i="1"/>
  <c r="P254" i="1"/>
  <c r="O156" i="3" s="1"/>
  <c r="P314" i="1"/>
  <c r="O226" i="3" s="1"/>
  <c r="P36" i="1"/>
  <c r="O180" i="3" s="1"/>
  <c r="P291" i="1"/>
  <c r="O187" i="3" s="1"/>
  <c r="P294" i="1"/>
  <c r="O194" i="3" s="1"/>
  <c r="P149" i="1"/>
  <c r="P20" i="1"/>
  <c r="P184" i="1"/>
  <c r="P102" i="1"/>
  <c r="O53" i="3" s="1"/>
  <c r="P204" i="1"/>
  <c r="P117" i="1" l="1"/>
  <c r="P118" i="1"/>
  <c r="E233" i="3"/>
  <c r="F232" i="3"/>
  <c r="P195" i="1"/>
  <c r="O155" i="3"/>
  <c r="O143" i="3" s="1"/>
  <c r="H240" i="3"/>
  <c r="M240" i="3"/>
  <c r="N241" i="3"/>
  <c r="D57" i="3"/>
  <c r="F240" i="3"/>
  <c r="E241" i="3"/>
  <c r="P213" i="1"/>
  <c r="D197" i="3"/>
  <c r="P52" i="1"/>
  <c r="P51" i="1" s="1"/>
  <c r="D35" i="3"/>
  <c r="P248" i="1"/>
  <c r="P247" i="1" s="1"/>
  <c r="P300" i="1"/>
  <c r="P299" i="1" s="1"/>
  <c r="F315" i="1"/>
  <c r="E232" i="3" s="1"/>
  <c r="O315" i="1"/>
  <c r="N232" i="3" s="1"/>
  <c r="O13" i="3"/>
  <c r="O12" i="3" s="1"/>
  <c r="P53" i="1"/>
  <c r="D16" i="3"/>
  <c r="O35" i="3"/>
  <c r="O157" i="3"/>
  <c r="E316" i="1"/>
  <c r="P83" i="1"/>
  <c r="P82" i="1" s="1"/>
  <c r="D186" i="3"/>
  <c r="D158" i="3" s="1"/>
  <c r="O15" i="3"/>
  <c r="D36" i="3"/>
  <c r="D142" i="3"/>
  <c r="P84" i="1"/>
  <c r="I186" i="3"/>
  <c r="O211" i="3"/>
  <c r="P277" i="1"/>
  <c r="P276" i="1" s="1"/>
  <c r="P287" i="1"/>
  <c r="P202" i="1"/>
  <c r="P201" i="1" s="1"/>
  <c r="P193" i="1"/>
  <c r="O88" i="3"/>
  <c r="O119" i="3"/>
  <c r="O58" i="3" s="1"/>
  <c r="O40" i="3"/>
  <c r="O20" i="3"/>
  <c r="O16" i="3" s="1"/>
  <c r="I161" i="3"/>
  <c r="J212" i="1"/>
  <c r="I162" i="3"/>
  <c r="O150" i="3"/>
  <c r="O225" i="3"/>
  <c r="O213" i="3" s="1"/>
  <c r="J276" i="1"/>
  <c r="E201" i="1"/>
  <c r="E51" i="1"/>
  <c r="E243" i="1"/>
  <c r="E212" i="1"/>
  <c r="E276" i="1"/>
  <c r="H13" i="1"/>
  <c r="O188" i="3"/>
  <c r="O129" i="3"/>
  <c r="O128" i="3"/>
  <c r="O108" i="3"/>
  <c r="O193" i="3"/>
  <c r="O162" i="3"/>
  <c r="O118" i="3"/>
  <c r="O56" i="3"/>
  <c r="O107" i="3"/>
  <c r="O133" i="3"/>
  <c r="O130" i="3" s="1"/>
  <c r="O69" i="3"/>
  <c r="O136" i="3"/>
  <c r="O135" i="3" s="1"/>
  <c r="O168" i="3"/>
  <c r="O206" i="3"/>
  <c r="O204" i="3" s="1"/>
  <c r="O199" i="3"/>
  <c r="E299" i="1"/>
  <c r="J247" i="1"/>
  <c r="J316" i="1"/>
  <c r="J116" i="1"/>
  <c r="D230" i="3" l="1"/>
  <c r="D233" i="3"/>
  <c r="E240" i="3"/>
  <c r="N240" i="3"/>
  <c r="O57" i="3"/>
  <c r="D229" i="3"/>
  <c r="O197" i="3"/>
  <c r="D241" i="3"/>
  <c r="I230" i="3"/>
  <c r="H315" i="1"/>
  <c r="G232" i="3" s="1"/>
  <c r="O36" i="3"/>
  <c r="O230" i="3" s="1"/>
  <c r="O161" i="3"/>
  <c r="P116" i="1"/>
  <c r="O186" i="3"/>
  <c r="O142" i="3"/>
  <c r="P212" i="1"/>
  <c r="P286" i="1"/>
  <c r="E247" i="1"/>
  <c r="E116" i="1"/>
  <c r="E82" i="1"/>
  <c r="P316" i="1"/>
  <c r="O233" i="3" l="1"/>
  <c r="I241" i="3"/>
  <c r="I233" i="3"/>
  <c r="G240" i="3"/>
  <c r="O241" i="3"/>
  <c r="E315" i="1"/>
  <c r="D232" i="3" s="1"/>
  <c r="D240" i="3" l="1"/>
  <c r="K178" i="3"/>
  <c r="K174" i="3" s="1"/>
  <c r="L13" i="1"/>
  <c r="L315" i="1" s="1"/>
  <c r="J35" i="1"/>
  <c r="J14" i="1" s="1"/>
  <c r="J13" i="1" l="1"/>
  <c r="J315" i="1" s="1"/>
  <c r="K158" i="3"/>
  <c r="K229" i="3" s="1"/>
  <c r="P35" i="1"/>
  <c r="P14" i="1" s="1"/>
  <c r="I178" i="3"/>
  <c r="I174" i="3" s="1"/>
  <c r="K240" i="3" l="1"/>
  <c r="K232" i="3"/>
  <c r="O178" i="3"/>
  <c r="P13" i="1"/>
  <c r="P315" i="1" s="1"/>
  <c r="I158" i="3"/>
  <c r="I229" i="3" s="1"/>
  <c r="I240" i="3" l="1"/>
  <c r="I232" i="3"/>
  <c r="O174" i="3"/>
  <c r="O158" i="3" s="1"/>
  <c r="O229" i="3" s="1"/>
  <c r="O240" i="3" l="1"/>
  <c r="O232" i="3"/>
</calcChain>
</file>

<file path=xl/comments1.xml><?xml version="1.0" encoding="utf-8"?>
<comments xmlns="http://schemas.openxmlformats.org/spreadsheetml/2006/main">
  <authors>
    <author>User</author>
  </authors>
  <commentList>
    <comment ref="B2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<sst xmlns="http://schemas.openxmlformats.org/spreadsheetml/2006/main" count="940" uniqueCount="620">
  <si>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</si>
  <si>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</si>
  <si>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</si>
  <si>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</si>
  <si>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</si>
  <si>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</si>
  <si>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</si>
  <si>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</si>
  <si>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</si>
  <si>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</si>
  <si>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</si>
  <si>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</si>
  <si>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</si>
  <si>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</si>
  <si>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</si>
  <si>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</si>
  <si>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</si>
  <si>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</si>
  <si>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</si>
  <si>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</si>
  <si>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</si>
  <si>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</si>
  <si>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</si>
  <si>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</si>
  <si>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</si>
  <si>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</si>
  <si>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</si>
  <si>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</si>
  <si>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</si>
  <si>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</si>
  <si>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</si>
  <si>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</si>
  <si>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</si>
  <si>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</si>
  <si>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</si>
  <si>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</si>
  <si>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</si>
  <si>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</si>
  <si>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</si>
  <si>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</si>
  <si>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</si>
  <si>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</si>
  <si>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</si>
  <si>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</si>
  <si>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</si>
  <si>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</si>
  <si>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</si>
  <si>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</si>
  <si>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</si>
  <si>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</si>
  <si>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</si>
  <si>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</si>
  <si>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</si>
  <si>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</si>
  <si>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</si>
  <si>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</si>
  <si>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</si>
  <si>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</si>
  <si>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</si>
  <si>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</si>
  <si>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</si>
  <si>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</si>
  <si>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</si>
  <si>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</si>
  <si>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</si>
  <si>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</si>
  <si>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</si>
  <si>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</si>
  <si>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</si>
  <si>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</si>
  <si>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</si>
  <si>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</si>
  <si>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</si>
  <si>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</si>
  <si>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</si>
  <si>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</si>
  <si>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</si>
  <si>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</si>
  <si>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</si>
  <si>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</si>
  <si>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</si>
  <si>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</si>
  <si>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</si>
  <si>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</si>
  <si>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</si>
  <si>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</si>
  <si>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</si>
  <si>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</si>
  <si>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</si>
  <si>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</si>
  <si>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</si>
  <si>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</si>
  <si>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</si>
  <si>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</si>
  <si>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</si>
  <si>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</si>
  <si>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</si>
  <si>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</si>
  <si>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</si>
  <si>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</si>
  <si>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</si>
  <si>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</si>
  <si>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</si>
  <si>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</si>
  <si>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</si>
  <si>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</si>
  <si>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</si>
  <si>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</si>
  <si>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</si>
  <si>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</si>
  <si>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</si>
  <si>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</si>
  <si>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</si>
  <si>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</si>
  <si>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</si>
  <si>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</si>
  <si>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</si>
  <si>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</si>
  <si>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</si>
  <si>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</si>
  <si>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</si>
  <si>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</si>
  <si>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</si>
  <si>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</si>
  <si>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</si>
  <si>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</si>
  <si>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</si>
  <si>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</si>
  <si>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</si>
  <si>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</si>
  <si>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</si>
  <si>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</si>
  <si>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</si>
  <si>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</si>
  <si>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</si>
  <si>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</si>
  <si>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</si>
  <si>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</si>
  <si>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</si>
  <si>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</si>
  <si>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</si>
  <si>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</si>
  <si>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</si>
  <si>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</si>
  <si>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</si>
  <si>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</si>
  <si>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</si>
  <si>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</si>
  <si>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</si>
  <si>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</si>
  <si>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</si>
  <si>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</si>
  <si>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</si>
  <si>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</si>
  <si>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</si>
  <si>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</si>
  <si>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</si>
  <si>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</si>
  <si>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</si>
  <si>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</si>
  <si>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</si>
  <si>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</si>
  <si>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</si>
  <si>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</si>
  <si>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</si>
  <si>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</si>
  <si>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</si>
  <si>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</si>
  <si>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</si>
  <si>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</si>
  <si>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</si>
  <si>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</si>
  <si>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</si>
  <si>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</si>
  <si>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</si>
  <si>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</si>
  <si>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</si>
  <si>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</si>
  <si>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</si>
  <si>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</si>
  <si>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</si>
  <si>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</si>
  <si>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</si>
  <si>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</si>
  <si>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</si>
  <si>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</si>
  <si>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</si>
  <si>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</si>
  <si>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</si>
  <si>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</si>
  <si>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</si>
  <si>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</si>
  <si>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</si>
  <si>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</si>
  <si>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</si>
  <si>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</si>
  <si>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</si>
  <si>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</si>
  <si>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</si>
  <si>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</si>
  <si>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</si>
  <si>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</si>
  <si>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</si>
  <si>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</si>
  <si>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</si>
  <si>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</si>
  <si>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</si>
  <si>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</si>
  <si>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</si>
  <si>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</si>
  <si>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</si>
  <si>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</si>
  <si>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</si>
  <si>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</si>
  <si>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</si>
  <si>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</si>
  <si>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</si>
  <si>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</si>
  <si>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</si>
  <si>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</si>
  <si>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</si>
  <si>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</si>
  <si>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</si>
  <si>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</si>
  <si>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</si>
  <si>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</si>
  <si>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</si>
  <si>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</si>
  <si>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</si>
  <si>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</si>
  <si>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</si>
  <si>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</si>
  <si>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</si>
  <si>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</si>
  <si>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</si>
  <si>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</si>
  <si>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</si>
  <si>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</si>
  <si>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</si>
  <si>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</si>
  <si>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</si>
  <si>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</si>
  <si>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</si>
  <si>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</si>
  <si>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</si>
  <si>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</si>
  <si>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</si>
  <si>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</si>
  <si>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</si>
  <si>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</si>
  <si>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</si>
  <si>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</si>
  <si>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</si>
  <si>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</si>
  <si>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</si>
  <si>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</si>
  <si>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</si>
  <si>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</si>
  <si>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</si>
  <si>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</si>
  <si>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</si>
  <si>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</si>
  <si>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</si>
  <si>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</si>
  <si>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</si>
  <si>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</si>
  <si>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</si>
  <si>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</si>
  <si>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</si>
  <si>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</si>
  <si>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</si>
  <si>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</si>
  <si>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</si>
  <si>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</si>
  <si>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</si>
  <si>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</si>
  <si>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</si>
  <si>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</si>
  <si>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</si>
  <si>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</si>
  <si>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</si>
  <si>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</si>
  <si>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</si>
  <si>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</si>
  <si>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</si>
  <si>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</si>
  <si>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</si>
  <si>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</si>
  <si>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</si>
  <si>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</si>
  <si>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</si>
  <si>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</si>
  <si>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</si>
  <si>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</si>
  <si>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</si>
  <si>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</si>
  <si>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</si>
  <si>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</si>
  <si>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</si>
  <si>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</si>
  <si>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</si>
  <si>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</si>
  <si>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</si>
  <si>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</si>
  <si>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</si>
  <si>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</si>
  <si>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</si>
  <si>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</si>
  <si>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</si>
  <si>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</si>
  <si>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</si>
  <si>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</si>
  <si>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</si>
  <si>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</si>
  <si>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</si>
  <si>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</si>
  <si>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</si>
  <si>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</si>
  <si>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</si>
  <si>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</si>
  <si>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</si>
  <si>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</si>
  <si>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</si>
  <si>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</si>
  <si>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</si>
  <si>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</si>
  <si>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</si>
  <si>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</si>
  <si>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</si>
  <si>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</si>
  <si>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</si>
  <si>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</si>
  <si>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</si>
  <si>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</si>
  <si>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</si>
  <si>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</si>
  <si>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</si>
  <si>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</si>
  <si>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</si>
  <si>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</si>
  <si>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</si>
  <si>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</si>
  <si>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</si>
  <si>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</si>
  <si>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</si>
  <si>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</si>
  <si>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</si>
  <si>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</si>
  <si>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</si>
  <si>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</si>
  <si>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</si>
  <si>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</si>
  <si>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</si>
  <si>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</si>
  <si>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</si>
  <si>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</si>
  <si>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</si>
  <si>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</si>
  <si>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</si>
  <si>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</si>
  <si>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</si>
  <si>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</si>
  <si>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</si>
  <si>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</si>
  <si>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</si>
  <si>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</si>
  <si>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</si>
  <si>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</si>
  <si>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</si>
  <si>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</si>
  <si>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</si>
  <si>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</si>
  <si>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</si>
  <si>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</si>
  <si>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</si>
  <si>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</si>
  <si>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</si>
  <si>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</si>
  <si>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</si>
  <si>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</si>
  <si>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</si>
  <si>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</si>
  <si>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</si>
  <si>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</si>
  <si>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</si>
  <si>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</si>
  <si>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</si>
  <si>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</si>
  <si>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</si>
  <si>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</si>
  <si>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</si>
  <si>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</si>
  <si>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</si>
  <si>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</si>
  <si>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</si>
  <si>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</si>
  <si>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</si>
  <si>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</si>
  <si>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</si>
  <si>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</si>
  <si>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</si>
  <si>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</si>
  <si>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</si>
  <si>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</si>
  <si>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</si>
  <si>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</si>
  <si>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</si>
  <si>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</si>
  <si>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</si>
  <si>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</si>
  <si>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</si>
  <si>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</si>
  <si>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</si>
  <si>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</si>
  <si>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</si>
  <si>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</si>
  <si>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</si>
  <si>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</si>
  <si>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</si>
  <si>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</si>
  <si>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</si>
  <si>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</si>
  <si>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</si>
  <si>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</si>
  <si>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</si>
  <si>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</si>
  <si>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</si>
  <si>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</si>
  <si>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</si>
  <si>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</si>
  <si>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</si>
  <si>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</si>
  <si>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</si>
  <si>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</si>
  <si>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</si>
  <si>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</si>
  <si>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</si>
  <si>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</si>
  <si>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</si>
  <si>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</si>
  <si>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</si>
  <si>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</si>
  <si>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</si>
  <si>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</si>
  <si>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</si>
  <si>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</si>
  <si>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</si>
  <si>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</si>
  <si>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</si>
  <si>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</si>
  <si>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</si>
  <si>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</si>
  <si>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</si>
  <si>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</si>
  <si>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</si>
  <si>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</si>
  <si>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</si>
  <si>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</si>
  <si>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</si>
  <si>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</si>
  <si>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</si>
  <si>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</si>
  <si>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</si>
  <si>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</si>
  <si>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</si>
  <si>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</si>
  <si>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</si>
  <si>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</si>
  <si>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</si>
  <si>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</si>
  <si>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</si>
  <si>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</si>
  <si>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</si>
  <si>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</si>
  <si>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</si>
  <si>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</si>
  <si>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</si>
  <si>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</si>
  <si>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</si>
  <si>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</si>
  <si>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</si>
  <si>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</si>
  <si>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</si>
  <si>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</si>
  <si>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</si>
  <si>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</si>
  <si>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</si>
  <si>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</si>
  <si>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</si>
  <si>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</si>
  <si>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</si>
  <si>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</si>
  <si>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</si>
  <si>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</si>
  <si>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</si>
  <si>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</si>
  <si>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</si>
  <si>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</si>
  <si>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</si>
  <si>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</si>
  <si>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</si>
  <si>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</si>
  <si>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</si>
  <si>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</si>
  <si>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</si>
  <si>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</si>
  <si>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</si>
  <si>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</si>
  <si>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</si>
  <si>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</si>
  <si>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</si>
  <si>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</si>
  <si>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</si>
  <si>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</si>
  <si>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</si>
  <si>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</si>
  <si>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</si>
  <si>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</si>
  <si>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</si>
  <si>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</si>
  <si>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</si>
  <si>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</si>
  <si>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</si>
  <si>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</si>
  <si>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</si>
  <si>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</si>
  <si>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</si>
  <si>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</si>
  <si>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</si>
  <si>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</si>
  <si>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</si>
  <si>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</si>
  <si>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</si>
  <si>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</si>
  <si>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</si>
  <si>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</si>
  <si>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</si>
  <si>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</si>
  <si>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</si>
  <si>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</si>
  <si>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</si>
  <si>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</si>
  <si>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</si>
  <si>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</si>
  <si>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</si>
  <si>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</si>
  <si>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</si>
  <si>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</si>
  <si>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</si>
  <si>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</si>
  <si>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</si>
  <si>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</si>
  <si>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</si>
  <si>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</si>
  <si>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</si>
  <si>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</si>
  <si>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</si>
  <si>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</si>
  <si>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</si>
  <si>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</si>
  <si>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</si>
  <si>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</si>
  <si>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</si>
  <si>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</si>
  <si>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</si>
  <si>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</si>
  <si>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</si>
  <si>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</si>
  <si>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</si>
  <si>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</si>
  <si>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</si>
  <si>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</si>
  <si>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</si>
  <si>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</si>
  <si>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</si>
  <si>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</si>
  <si>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</si>
  <si>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</si>
  <si>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</si>
  <si>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</si>
  <si>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</si>
  <si>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</si>
  <si>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</si>
  <si>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</si>
  <si>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</si>
  <si>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</si>
  <si>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</si>
  <si>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</si>
  <si>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</si>
  <si>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</si>
  <si>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</si>
  <si>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</si>
  <si>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</si>
  <si>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</si>
  <si>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</si>
  <si>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</si>
  <si>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</si>
  <si>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</si>
  <si>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</si>
  <si>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</si>
  <si>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</si>
  <si>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</si>
  <si>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</si>
  <si>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</si>
  <si>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__________________</t>
  </si>
  <si>
    <t>0619770</t>
  </si>
  <si>
    <t>Виконавець: Липова С.А.</t>
  </si>
  <si>
    <t>Утримання та розвиток автомобільних доріг та дорожньої інфраструктури за рахунок коштів місцевого бюджету</t>
  </si>
  <si>
    <t>0816083</t>
  </si>
  <si>
    <t>Додаток № 1</t>
  </si>
  <si>
    <t xml:space="preserve">                      Додаток № 2</t>
  </si>
  <si>
    <t>Секретар Сумської міської ради</t>
  </si>
  <si>
    <t>А.В. Баранов</t>
  </si>
  <si>
    <t>міського бюджету м. Суми на 2019 рік»</t>
  </si>
  <si>
    <t xml:space="preserve">«Про  внесення  змін  та   доповнень до </t>
  </si>
  <si>
    <t>до   рішення   Сумської    міської   ради</t>
  </si>
  <si>
    <t>від  24  грудня  2019  року  № 6214 - МР</t>
  </si>
  <si>
    <t>від 24 грудня 2019 року  №  6214 - МР</t>
  </si>
  <si>
    <t>до   рішення   Сумської  міської    ради</t>
  </si>
  <si>
    <t xml:space="preserve">«Про  внесення  змін  та доповнень 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</si>
</sst>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40" fillId="36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26" borderId="0" applyNumberFormat="0" applyBorder="0" applyAlignment="0" applyProtection="0"/>
    <xf numFmtId="0" fontId="39" fillId="32" borderId="0" applyNumberFormat="0" applyBorder="0" applyAlignment="0" applyProtection="0"/>
    <xf numFmtId="0" fontId="40" fillId="38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40" fillId="39" borderId="0" applyNumberFormat="0" applyBorder="0" applyAlignment="0" applyProtection="0"/>
    <xf numFmtId="0" fontId="39" fillId="28" borderId="0" applyNumberFormat="0" applyBorder="0" applyAlignment="0" applyProtection="0"/>
    <xf numFmtId="0" fontId="39" fillId="34" borderId="0" applyNumberFormat="0" applyBorder="0" applyAlignment="0" applyProtection="0"/>
    <xf numFmtId="0" fontId="40" fillId="40" borderId="0" applyNumberFormat="0" applyBorder="0" applyAlignment="0" applyProtection="0"/>
    <xf numFmtId="0" fontId="39" fillId="29" borderId="0" applyNumberFormat="0" applyBorder="0" applyAlignment="0" applyProtection="0"/>
    <xf numFmtId="0" fontId="39" fillId="35" borderId="0" applyNumberFormat="0" applyBorder="0" applyAlignment="0" applyProtection="0"/>
    <xf numFmtId="0" fontId="40" fillId="41" borderId="0" applyNumberFormat="0" applyBorder="0" applyAlignment="0" applyProtection="0"/>
  </cellStyleXfs>
  <cellXfs count="21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3" fontId="3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8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2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8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wrapText="1"/>
    </xf>
    <xf numFmtId="3" fontId="43" fillId="0" borderId="0" xfId="0" applyNumberFormat="1" applyFont="1" applyFill="1" applyBorder="1" applyAlignment="1">
      <alignment vertical="center" wrapText="1"/>
    </xf>
    <xf numFmtId="49" fontId="43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/>
    <xf numFmtId="3" fontId="33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6" fillId="0" borderId="0" xfId="0" applyNumberFormat="1" applyFont="1" applyFill="1" applyAlignment="1">
      <alignment vertical="center" textRotation="180"/>
    </xf>
    <xf numFmtId="1" fontId="44" fillId="0" borderId="0" xfId="0" applyNumberFormat="1" applyFont="1" applyFill="1" applyAlignment="1">
      <alignment vertical="center" textRotation="180"/>
    </xf>
    <xf numFmtId="1" fontId="36" fillId="0" borderId="0" xfId="0" applyNumberFormat="1" applyFont="1" applyFill="1" applyBorder="1"/>
    <xf numFmtId="1" fontId="36" fillId="0" borderId="0" xfId="0" applyNumberFormat="1" applyFont="1" applyFill="1"/>
    <xf numFmtId="1" fontId="36" fillId="0" borderId="0" xfId="0" applyNumberFormat="1" applyFont="1" applyFill="1" applyBorder="1" applyAlignment="1">
      <alignment vertical="center" textRotation="180"/>
    </xf>
    <xf numFmtId="1" fontId="36" fillId="0" borderId="13" xfId="0" applyNumberFormat="1" applyFont="1" applyFill="1" applyBorder="1" applyAlignment="1">
      <alignment vertical="center" textRotation="180"/>
    </xf>
    <xf numFmtId="1" fontId="36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 applyBorder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165" fontId="21" fillId="0" borderId="0" xfId="0" applyNumberFormat="1" applyFont="1" applyFill="1" applyBorder="1" applyAlignment="1">
      <alignment vertical="center"/>
    </xf>
    <xf numFmtId="165" fontId="36" fillId="0" borderId="0" xfId="0" applyNumberFormat="1" applyFont="1" applyFill="1" applyBorder="1"/>
    <xf numFmtId="165" fontId="21" fillId="0" borderId="0" xfId="0" applyNumberFormat="1" applyFont="1" applyFill="1" applyBorder="1"/>
    <xf numFmtId="1" fontId="3" fillId="0" borderId="13" xfId="0" applyNumberFormat="1" applyFont="1" applyFill="1" applyBorder="1" applyAlignment="1">
      <alignment vertical="center" textRotation="180"/>
    </xf>
    <xf numFmtId="4" fontId="21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/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 applyProtection="1">
      <alignment horizontal="center" vertical="center"/>
    </xf>
    <xf numFmtId="4" fontId="24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Protection="1">
      <protection locked="0"/>
    </xf>
    <xf numFmtId="3" fontId="23" fillId="0" borderId="0" xfId="0" applyNumberFormat="1" applyFont="1" applyFill="1" applyBorder="1" applyAlignment="1" applyProtection="1">
      <alignment horizontal="center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1" fontId="36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 hidden="1"/>
    </xf>
    <xf numFmtId="4" fontId="45" fillId="0" borderId="0" xfId="0" applyNumberFormat="1" applyFont="1" applyFill="1" applyBorder="1" applyProtection="1">
      <protection locked="0"/>
    </xf>
    <xf numFmtId="49" fontId="28" fillId="0" borderId="14" xfId="0" applyNumberFormat="1" applyFont="1" applyFill="1" applyBorder="1" applyAlignment="1">
      <alignment vertical="center"/>
    </xf>
    <xf numFmtId="3" fontId="43" fillId="0" borderId="0" xfId="0" applyNumberFormat="1" applyFont="1" applyFill="1"/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vertical="center"/>
    </xf>
    <xf numFmtId="0" fontId="42" fillId="0" borderId="0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67"/>
  <sheetViews>
    <sheetView showGridLines="0" showZeros="0" view="pageBreakPreview" topLeftCell="A313" zoomScale="84" zoomScaleNormal="55" zoomScaleSheetLayoutView="84" workbookViewId="0">
      <selection activeCell="N318" sqref="N318"/>
    </sheetView>
  </sheetViews>
  <sheetFormatPr defaultColWidth="9.1640625" defaultRowHeight="20.25" x14ac:dyDescent="0.3"/>
  <cols>
    <col min="1" max="1" width="21.1640625" style="47" customWidth="1"/>
    <col min="2" max="2" width="17.5" style="47" customWidth="1"/>
    <col min="3" max="3" width="18" style="47" customWidth="1"/>
    <col min="4" max="4" width="62" style="68" customWidth="1"/>
    <col min="5" max="5" width="19.1640625" style="50" customWidth="1"/>
    <col min="6" max="6" width="20.1640625" style="50" customWidth="1"/>
    <col min="7" max="9" width="18.6640625" style="50" customWidth="1"/>
    <col min="10" max="10" width="19.6640625" style="50" customWidth="1"/>
    <col min="11" max="12" width="18" style="50" customWidth="1"/>
    <col min="13" max="13" width="15.83203125" style="50" customWidth="1"/>
    <col min="14" max="14" width="16" style="50" customWidth="1"/>
    <col min="15" max="15" width="16.5" style="50" customWidth="1"/>
    <col min="16" max="16" width="18.5" style="95" customWidth="1"/>
    <col min="17" max="17" width="6.33203125" style="156" customWidth="1"/>
    <col min="18" max="575" width="9.1640625" style="85"/>
    <col min="576" max="16384" width="9.1640625" style="51"/>
  </cols>
  <sheetData>
    <row r="1" spans="1:575" ht="22.5" customHeight="1" x14ac:dyDescent="0.25">
      <c r="K1" s="194" t="s">
        <v>609</v>
      </c>
      <c r="L1" s="194"/>
      <c r="M1" s="194"/>
      <c r="N1" s="194"/>
      <c r="O1" s="194"/>
      <c r="P1" s="93"/>
      <c r="Q1" s="158"/>
    </row>
    <row r="2" spans="1:575" ht="22.5" customHeight="1" x14ac:dyDescent="0.4">
      <c r="K2" s="150" t="s">
        <v>615</v>
      </c>
      <c r="L2" s="151"/>
      <c r="M2" s="150"/>
      <c r="N2" s="150"/>
      <c r="O2" s="150"/>
      <c r="P2" s="84"/>
      <c r="Q2" s="158"/>
    </row>
    <row r="3" spans="1:575" ht="22.5" customHeight="1" x14ac:dyDescent="0.4">
      <c r="K3" s="195" t="s">
        <v>614</v>
      </c>
      <c r="L3" s="195"/>
      <c r="M3" s="195"/>
      <c r="N3" s="195"/>
      <c r="O3" s="195"/>
      <c r="P3" s="129"/>
      <c r="Q3" s="158"/>
    </row>
    <row r="4" spans="1:575" ht="22.5" customHeight="1" x14ac:dyDescent="0.4">
      <c r="K4" s="151" t="s">
        <v>613</v>
      </c>
      <c r="L4" s="150"/>
      <c r="M4" s="150"/>
      <c r="N4" s="150"/>
      <c r="O4" s="150"/>
      <c r="P4" s="93"/>
      <c r="Q4" s="158"/>
    </row>
    <row r="5" spans="1:575" ht="22.5" customHeight="1" x14ac:dyDescent="0.4">
      <c r="K5" s="151" t="s">
        <v>616</v>
      </c>
      <c r="L5" s="175"/>
      <c r="M5" s="175"/>
      <c r="N5" s="175"/>
      <c r="O5" s="175"/>
      <c r="P5" s="129"/>
      <c r="Q5" s="158"/>
    </row>
    <row r="6" spans="1:575" ht="22.5" customHeight="1" x14ac:dyDescent="0.4">
      <c r="K6" s="151"/>
      <c r="L6" s="175"/>
      <c r="M6" s="175"/>
      <c r="N6" s="175"/>
      <c r="O6" s="175"/>
      <c r="P6" s="129"/>
      <c r="Q6" s="158"/>
    </row>
    <row r="7" spans="1:575" ht="22.5" customHeight="1" x14ac:dyDescent="0.25">
      <c r="L7" s="129"/>
      <c r="M7" s="129"/>
      <c r="N7" s="129"/>
      <c r="O7" s="129"/>
      <c r="P7" s="129"/>
      <c r="Q7" s="158"/>
    </row>
    <row r="8" spans="1:575" s="48" customFormat="1" ht="57.75" customHeight="1" x14ac:dyDescent="0.35">
      <c r="A8" s="196" t="s">
        <v>553</v>
      </c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58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</row>
    <row r="9" spans="1:575" ht="17.25" customHeight="1" x14ac:dyDescent="0.4">
      <c r="D9" s="49"/>
      <c r="P9" s="152" t="s">
        <v>303</v>
      </c>
      <c r="Q9" s="158"/>
    </row>
    <row r="10" spans="1:575" s="52" customFormat="1" ht="30" customHeight="1" x14ac:dyDescent="0.2">
      <c r="A10" s="190" t="s">
        <v>558</v>
      </c>
      <c r="B10" s="190" t="s">
        <v>559</v>
      </c>
      <c r="C10" s="190" t="s">
        <v>560</v>
      </c>
      <c r="D10" s="190" t="s">
        <v>563</v>
      </c>
      <c r="E10" s="190" t="s">
        <v>295</v>
      </c>
      <c r="F10" s="190"/>
      <c r="G10" s="190"/>
      <c r="H10" s="190"/>
      <c r="I10" s="190"/>
      <c r="J10" s="191" t="s">
        <v>296</v>
      </c>
      <c r="K10" s="192"/>
      <c r="L10" s="192"/>
      <c r="M10" s="192"/>
      <c r="N10" s="192"/>
      <c r="O10" s="193"/>
      <c r="P10" s="190" t="s">
        <v>297</v>
      </c>
      <c r="Q10" s="158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</row>
    <row r="11" spans="1:575" s="52" customFormat="1" ht="25.5" customHeight="1" x14ac:dyDescent="0.2">
      <c r="A11" s="190"/>
      <c r="B11" s="190"/>
      <c r="C11" s="190"/>
      <c r="D11" s="190"/>
      <c r="E11" s="190" t="s">
        <v>561</v>
      </c>
      <c r="F11" s="190" t="s">
        <v>298</v>
      </c>
      <c r="G11" s="190" t="s">
        <v>299</v>
      </c>
      <c r="H11" s="190"/>
      <c r="I11" s="190" t="s">
        <v>300</v>
      </c>
      <c r="J11" s="190" t="s">
        <v>561</v>
      </c>
      <c r="K11" s="197" t="s">
        <v>562</v>
      </c>
      <c r="L11" s="190" t="s">
        <v>298</v>
      </c>
      <c r="M11" s="190" t="s">
        <v>299</v>
      </c>
      <c r="N11" s="190"/>
      <c r="O11" s="190" t="s">
        <v>300</v>
      </c>
      <c r="P11" s="190"/>
      <c r="Q11" s="158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</row>
    <row r="12" spans="1:575" s="52" customFormat="1" ht="49.5" customHeight="1" x14ac:dyDescent="0.2">
      <c r="A12" s="190"/>
      <c r="B12" s="190"/>
      <c r="C12" s="190"/>
      <c r="D12" s="190"/>
      <c r="E12" s="190"/>
      <c r="F12" s="190"/>
      <c r="G12" s="174" t="s">
        <v>301</v>
      </c>
      <c r="H12" s="174" t="s">
        <v>302</v>
      </c>
      <c r="I12" s="190"/>
      <c r="J12" s="190"/>
      <c r="K12" s="198"/>
      <c r="L12" s="190"/>
      <c r="M12" s="174" t="s">
        <v>301</v>
      </c>
      <c r="N12" s="174" t="s">
        <v>302</v>
      </c>
      <c r="O12" s="190"/>
      <c r="P12" s="190"/>
      <c r="Q12" s="158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</row>
    <row r="13" spans="1:575" s="72" customFormat="1" ht="19.5" customHeight="1" x14ac:dyDescent="0.2">
      <c r="A13" s="73" t="s">
        <v>201</v>
      </c>
      <c r="B13" s="73"/>
      <c r="C13" s="73"/>
      <c r="D13" s="74" t="s">
        <v>57</v>
      </c>
      <c r="E13" s="130">
        <f>E14</f>
        <v>167603522</v>
      </c>
      <c r="F13" s="130">
        <f t="shared" ref="F13:P13" si="0">F14</f>
        <v>156603522</v>
      </c>
      <c r="G13" s="130">
        <f t="shared" si="0"/>
        <v>84332964</v>
      </c>
      <c r="H13" s="130">
        <f t="shared" si="0"/>
        <v>4847025</v>
      </c>
      <c r="I13" s="130">
        <f t="shared" si="0"/>
        <v>11000000</v>
      </c>
      <c r="J13" s="130">
        <f t="shared" si="0"/>
        <v>40422772.159999996</v>
      </c>
      <c r="K13" s="130">
        <f t="shared" si="0"/>
        <v>39771582</v>
      </c>
      <c r="L13" s="130">
        <f t="shared" si="0"/>
        <v>651190.16</v>
      </c>
      <c r="M13" s="130">
        <f t="shared" si="0"/>
        <v>158895</v>
      </c>
      <c r="N13" s="130">
        <f t="shared" si="0"/>
        <v>56455</v>
      </c>
      <c r="O13" s="130">
        <f t="shared" si="0"/>
        <v>39771582</v>
      </c>
      <c r="P13" s="130">
        <f t="shared" si="0"/>
        <v>208026294.16</v>
      </c>
      <c r="Q13" s="158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  <c r="IW13" s="90"/>
      <c r="IX13" s="90"/>
      <c r="IY13" s="90"/>
      <c r="IZ13" s="90"/>
      <c r="JA13" s="90"/>
      <c r="JB13" s="90"/>
      <c r="JC13" s="90"/>
      <c r="JD13" s="90"/>
      <c r="JE13" s="90"/>
      <c r="JF13" s="90"/>
      <c r="JG13" s="90"/>
      <c r="JH13" s="90"/>
      <c r="JI13" s="90"/>
      <c r="JJ13" s="90"/>
      <c r="JK13" s="90"/>
      <c r="JL13" s="90"/>
      <c r="JM13" s="90"/>
      <c r="JN13" s="90"/>
      <c r="JO13" s="90"/>
      <c r="JP13" s="90"/>
      <c r="JQ13" s="90"/>
      <c r="JR13" s="90"/>
      <c r="JS13" s="90"/>
      <c r="JT13" s="90"/>
      <c r="JU13" s="90"/>
      <c r="JV13" s="90"/>
      <c r="JW13" s="90"/>
      <c r="JX13" s="90"/>
      <c r="JY13" s="90"/>
      <c r="JZ13" s="90"/>
      <c r="KA13" s="90"/>
      <c r="KB13" s="90"/>
      <c r="KC13" s="90"/>
      <c r="KD13" s="90"/>
      <c r="KE13" s="90"/>
      <c r="KF13" s="90"/>
      <c r="KG13" s="90"/>
      <c r="KH13" s="90"/>
      <c r="KI13" s="90"/>
      <c r="KJ13" s="90"/>
      <c r="KK13" s="90"/>
      <c r="KL13" s="90"/>
      <c r="KM13" s="90"/>
      <c r="KN13" s="90"/>
      <c r="KO13" s="90"/>
      <c r="KP13" s="90"/>
      <c r="KQ13" s="90"/>
      <c r="KR13" s="90"/>
      <c r="KS13" s="90"/>
      <c r="KT13" s="90"/>
      <c r="KU13" s="90"/>
      <c r="KV13" s="90"/>
      <c r="KW13" s="90"/>
      <c r="KX13" s="90"/>
      <c r="KY13" s="90"/>
      <c r="KZ13" s="90"/>
      <c r="LA13" s="90"/>
      <c r="LB13" s="90"/>
      <c r="LC13" s="90"/>
      <c r="LD13" s="90"/>
      <c r="LE13" s="90"/>
      <c r="LF13" s="90"/>
      <c r="LG13" s="90"/>
      <c r="LH13" s="90"/>
      <c r="LI13" s="90"/>
      <c r="LJ13" s="90"/>
      <c r="LK13" s="90"/>
      <c r="LL13" s="90"/>
      <c r="LM13" s="90"/>
      <c r="LN13" s="90"/>
      <c r="LO13" s="90"/>
      <c r="LP13" s="90"/>
      <c r="LQ13" s="90"/>
      <c r="LR13" s="90"/>
      <c r="LS13" s="90"/>
      <c r="LT13" s="90"/>
      <c r="LU13" s="90"/>
      <c r="LV13" s="90"/>
      <c r="LW13" s="90"/>
      <c r="LX13" s="90"/>
      <c r="LY13" s="90"/>
      <c r="LZ13" s="90"/>
      <c r="MA13" s="90"/>
      <c r="MB13" s="90"/>
      <c r="MC13" s="90"/>
      <c r="MD13" s="90"/>
      <c r="ME13" s="90"/>
      <c r="MF13" s="90"/>
      <c r="MG13" s="90"/>
      <c r="MH13" s="90"/>
      <c r="MI13" s="90"/>
      <c r="MJ13" s="90"/>
      <c r="MK13" s="90"/>
      <c r="ML13" s="90"/>
      <c r="MM13" s="90"/>
      <c r="MN13" s="90"/>
      <c r="MO13" s="90"/>
      <c r="MP13" s="90"/>
      <c r="MQ13" s="90"/>
      <c r="MR13" s="90"/>
      <c r="MS13" s="90"/>
      <c r="MT13" s="90"/>
      <c r="MU13" s="90"/>
      <c r="MV13" s="90"/>
      <c r="MW13" s="90"/>
      <c r="MX13" s="90"/>
      <c r="MY13" s="90"/>
      <c r="MZ13" s="90"/>
      <c r="NA13" s="90"/>
      <c r="NB13" s="90"/>
      <c r="NC13" s="90"/>
      <c r="ND13" s="90"/>
      <c r="NE13" s="90"/>
      <c r="NF13" s="90"/>
      <c r="NG13" s="90"/>
      <c r="NH13" s="90"/>
      <c r="NI13" s="90"/>
      <c r="NJ13" s="90"/>
      <c r="NK13" s="90"/>
      <c r="NL13" s="90"/>
      <c r="NM13" s="90"/>
      <c r="NN13" s="90"/>
      <c r="NO13" s="90"/>
      <c r="NP13" s="90"/>
      <c r="NQ13" s="90"/>
      <c r="NR13" s="90"/>
      <c r="NS13" s="90"/>
      <c r="NT13" s="90"/>
      <c r="NU13" s="90"/>
      <c r="NV13" s="90"/>
      <c r="NW13" s="90"/>
      <c r="NX13" s="90"/>
      <c r="NY13" s="90"/>
      <c r="NZ13" s="90"/>
      <c r="OA13" s="90"/>
      <c r="OB13" s="90"/>
      <c r="OC13" s="90"/>
      <c r="OD13" s="90"/>
      <c r="OE13" s="90"/>
      <c r="OF13" s="90"/>
      <c r="OG13" s="90"/>
      <c r="OH13" s="90"/>
      <c r="OI13" s="90"/>
      <c r="OJ13" s="90"/>
      <c r="OK13" s="90"/>
      <c r="OL13" s="90"/>
      <c r="OM13" s="90"/>
      <c r="ON13" s="90"/>
      <c r="OO13" s="90"/>
      <c r="OP13" s="90"/>
      <c r="OQ13" s="90"/>
      <c r="OR13" s="90"/>
      <c r="OS13" s="90"/>
      <c r="OT13" s="90"/>
      <c r="OU13" s="90"/>
      <c r="OV13" s="90"/>
      <c r="OW13" s="90"/>
      <c r="OX13" s="90"/>
      <c r="OY13" s="90"/>
      <c r="OZ13" s="90"/>
      <c r="PA13" s="90"/>
      <c r="PB13" s="90"/>
      <c r="PC13" s="90"/>
      <c r="PD13" s="90"/>
      <c r="PE13" s="90"/>
      <c r="PF13" s="90"/>
      <c r="PG13" s="90"/>
      <c r="PH13" s="90"/>
      <c r="PI13" s="90"/>
      <c r="PJ13" s="90"/>
      <c r="PK13" s="90"/>
      <c r="PL13" s="90"/>
      <c r="PM13" s="90"/>
      <c r="PN13" s="90"/>
      <c r="PO13" s="90"/>
      <c r="PP13" s="90"/>
      <c r="PQ13" s="90"/>
      <c r="PR13" s="90"/>
      <c r="PS13" s="90"/>
      <c r="PT13" s="90"/>
      <c r="PU13" s="90"/>
      <c r="PV13" s="90"/>
      <c r="PW13" s="90"/>
      <c r="PX13" s="90"/>
      <c r="PY13" s="90"/>
      <c r="PZ13" s="90"/>
      <c r="QA13" s="90"/>
      <c r="QB13" s="90"/>
      <c r="QC13" s="90"/>
      <c r="QD13" s="90"/>
      <c r="QE13" s="90"/>
      <c r="QF13" s="90"/>
      <c r="QG13" s="90"/>
      <c r="QH13" s="90"/>
      <c r="QI13" s="90"/>
      <c r="QJ13" s="90"/>
      <c r="QK13" s="90"/>
      <c r="QL13" s="90"/>
      <c r="QM13" s="90"/>
      <c r="QN13" s="90"/>
      <c r="QO13" s="90"/>
      <c r="QP13" s="90"/>
      <c r="QQ13" s="90"/>
      <c r="QR13" s="90"/>
      <c r="QS13" s="90"/>
      <c r="QT13" s="90"/>
      <c r="QU13" s="90"/>
      <c r="QV13" s="90"/>
      <c r="QW13" s="90"/>
      <c r="QX13" s="90"/>
      <c r="QY13" s="90"/>
      <c r="QZ13" s="90"/>
      <c r="RA13" s="90"/>
      <c r="RB13" s="90"/>
      <c r="RC13" s="90"/>
      <c r="RD13" s="90"/>
      <c r="RE13" s="90"/>
      <c r="RF13" s="90"/>
      <c r="RG13" s="90"/>
      <c r="RH13" s="90"/>
      <c r="RI13" s="90"/>
      <c r="RJ13" s="90"/>
      <c r="RK13" s="90"/>
      <c r="RL13" s="90"/>
      <c r="RM13" s="90"/>
      <c r="RN13" s="90"/>
      <c r="RO13" s="90"/>
      <c r="RP13" s="90"/>
      <c r="RQ13" s="90"/>
      <c r="RR13" s="90"/>
      <c r="RS13" s="90"/>
      <c r="RT13" s="90"/>
      <c r="RU13" s="90"/>
      <c r="RV13" s="90"/>
      <c r="RW13" s="90"/>
      <c r="RX13" s="90"/>
      <c r="RY13" s="90"/>
      <c r="RZ13" s="90"/>
      <c r="SA13" s="90"/>
      <c r="SB13" s="90"/>
      <c r="SC13" s="90"/>
      <c r="SD13" s="90"/>
      <c r="SE13" s="90"/>
      <c r="SF13" s="90"/>
      <c r="SG13" s="90"/>
      <c r="SH13" s="90"/>
      <c r="SI13" s="90"/>
      <c r="SJ13" s="90"/>
      <c r="SK13" s="90"/>
      <c r="SL13" s="90"/>
      <c r="SM13" s="90"/>
      <c r="SN13" s="90"/>
      <c r="SO13" s="90"/>
      <c r="SP13" s="90"/>
      <c r="SQ13" s="90"/>
      <c r="SR13" s="90"/>
      <c r="SS13" s="90"/>
      <c r="ST13" s="90"/>
      <c r="SU13" s="90"/>
      <c r="SV13" s="90"/>
      <c r="SW13" s="90"/>
      <c r="SX13" s="90"/>
      <c r="SY13" s="90"/>
      <c r="SZ13" s="90"/>
      <c r="TA13" s="90"/>
      <c r="TB13" s="90"/>
      <c r="TC13" s="90"/>
      <c r="TD13" s="90"/>
      <c r="TE13" s="90"/>
      <c r="TF13" s="90"/>
      <c r="TG13" s="90"/>
      <c r="TH13" s="90"/>
      <c r="TI13" s="90"/>
      <c r="TJ13" s="90"/>
      <c r="TK13" s="90"/>
      <c r="TL13" s="90"/>
      <c r="TM13" s="90"/>
      <c r="TN13" s="90"/>
      <c r="TO13" s="90"/>
      <c r="TP13" s="90"/>
      <c r="TQ13" s="90"/>
      <c r="TR13" s="90"/>
      <c r="TS13" s="90"/>
      <c r="TT13" s="90"/>
      <c r="TU13" s="90"/>
      <c r="TV13" s="90"/>
      <c r="TW13" s="90"/>
      <c r="TX13" s="90"/>
      <c r="TY13" s="90"/>
      <c r="TZ13" s="90"/>
      <c r="UA13" s="90"/>
      <c r="UB13" s="90"/>
      <c r="UC13" s="90"/>
      <c r="UD13" s="90"/>
      <c r="UE13" s="90"/>
      <c r="UF13" s="90"/>
      <c r="UG13" s="90"/>
      <c r="UH13" s="90"/>
      <c r="UI13" s="90"/>
      <c r="UJ13" s="90"/>
      <c r="UK13" s="90"/>
      <c r="UL13" s="90"/>
      <c r="UM13" s="90"/>
      <c r="UN13" s="90"/>
      <c r="UO13" s="90"/>
      <c r="UP13" s="90"/>
      <c r="UQ13" s="90"/>
      <c r="UR13" s="90"/>
      <c r="US13" s="90"/>
      <c r="UT13" s="90"/>
      <c r="UU13" s="90"/>
      <c r="UV13" s="90"/>
      <c r="UW13" s="90"/>
      <c r="UX13" s="90"/>
      <c r="UY13" s="90"/>
      <c r="UZ13" s="90"/>
      <c r="VA13" s="90"/>
      <c r="VB13" s="90"/>
      <c r="VC13" s="90"/>
    </row>
    <row r="14" spans="1:575" s="92" customFormat="1" ht="19.5" customHeight="1" x14ac:dyDescent="0.25">
      <c r="A14" s="75" t="s">
        <v>202</v>
      </c>
      <c r="B14" s="75"/>
      <c r="C14" s="75"/>
      <c r="D14" s="76" t="s">
        <v>57</v>
      </c>
      <c r="E14" s="131">
        <f>E15+E16+E17+E18+E19+E20+E21+E22+E23+E24+E25+E26+E27+E28+E29+E30+E31+E32+E33+E34+E35+E36+E37+E38+E39+E40+E41+E42+E43+E44+E45+E46+E47+E48+E49+E50</f>
        <v>167603522</v>
      </c>
      <c r="F14" s="131">
        <f t="shared" ref="F14:P14" si="1">F15+F16+F17+F18+F19+F20+F21+F22+F23+F24+F25+F26+F27+F28+F29+F30+F31+F32+F33+F34+F35+F36+F37+F38+F39+F40+F41+F42+F43+F44+F45+F46+F47+F48+F49+F50</f>
        <v>156603522</v>
      </c>
      <c r="G14" s="131">
        <f t="shared" si="1"/>
        <v>84332964</v>
      </c>
      <c r="H14" s="131">
        <f t="shared" si="1"/>
        <v>4847025</v>
      </c>
      <c r="I14" s="131">
        <f t="shared" si="1"/>
        <v>11000000</v>
      </c>
      <c r="J14" s="131">
        <f t="shared" si="1"/>
        <v>40422772.159999996</v>
      </c>
      <c r="K14" s="131">
        <f t="shared" si="1"/>
        <v>39771582</v>
      </c>
      <c r="L14" s="131">
        <f t="shared" si="1"/>
        <v>651190.16</v>
      </c>
      <c r="M14" s="131">
        <f t="shared" si="1"/>
        <v>158895</v>
      </c>
      <c r="N14" s="131">
        <f t="shared" si="1"/>
        <v>56455</v>
      </c>
      <c r="O14" s="131">
        <f t="shared" si="1"/>
        <v>39771582</v>
      </c>
      <c r="P14" s="131">
        <f t="shared" si="1"/>
        <v>208026294.16</v>
      </c>
      <c r="Q14" s="158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</row>
    <row r="15" spans="1:575" s="55" customFormat="1" ht="42" customHeight="1" x14ac:dyDescent="0.25">
      <c r="A15" s="53" t="s">
        <v>203</v>
      </c>
      <c r="B15" s="102" t="str">
        <f>'дод 2'!A13</f>
        <v>0160</v>
      </c>
      <c r="C15" s="102" t="str">
        <f>'дод 2'!B13</f>
        <v>0111</v>
      </c>
      <c r="D1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5" s="132">
        <f t="shared" ref="E15:E50" si="2">F15+I15</f>
        <v>93916595</v>
      </c>
      <c r="F15" s="132">
        <f>93735600+100000-400000-12752+95000+220903+686232-35952+39000-272704-136450+47718-150000</f>
        <v>93916595</v>
      </c>
      <c r="G15" s="132">
        <f>67900413+181068+562486+39113-150000+150000</f>
        <v>68683080</v>
      </c>
      <c r="H15" s="132">
        <f>2571728+35280</f>
        <v>2607008</v>
      </c>
      <c r="I15" s="132"/>
      <c r="J15" s="132">
        <f t="shared" ref="J15:J66" si="3">L15+O15</f>
        <v>2607858</v>
      </c>
      <c r="K15" s="132">
        <f>2000000+12752+35952+272704+136450+150000</f>
        <v>2607858</v>
      </c>
      <c r="L15" s="132"/>
      <c r="M15" s="132"/>
      <c r="N15" s="132"/>
      <c r="O15" s="132">
        <f>2000000+12752+35952+272704+136450+150000</f>
        <v>2607858</v>
      </c>
      <c r="P15" s="132">
        <f t="shared" ref="P15:P50" si="4">E15+J15</f>
        <v>96524453</v>
      </c>
      <c r="Q15" s="158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</row>
    <row r="16" spans="1:575" s="55" customFormat="1" ht="27" customHeight="1" x14ac:dyDescent="0.25">
      <c r="A16" s="53" t="s">
        <v>315</v>
      </c>
      <c r="B16" s="102" t="str">
        <f>'дод 2'!A14</f>
        <v>0180</v>
      </c>
      <c r="C16" s="102" t="str">
        <f>'дод 2'!B14</f>
        <v>0133</v>
      </c>
      <c r="D16" s="56" t="str">
        <f>'дод 2'!C14</f>
        <v>Інша діяльність у сфері державного управління</v>
      </c>
      <c r="E16" s="132">
        <f t="shared" si="2"/>
        <v>303300</v>
      </c>
      <c r="F16" s="132">
        <f>200000+10000+59000+34300</f>
        <v>303300</v>
      </c>
      <c r="G16" s="132"/>
      <c r="H16" s="132"/>
      <c r="I16" s="132"/>
      <c r="J16" s="132">
        <f t="shared" si="3"/>
        <v>0</v>
      </c>
      <c r="K16" s="132"/>
      <c r="L16" s="132"/>
      <c r="M16" s="132"/>
      <c r="N16" s="132"/>
      <c r="O16" s="132"/>
      <c r="P16" s="132">
        <f t="shared" si="4"/>
        <v>303300</v>
      </c>
      <c r="Q16" s="158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</row>
    <row r="17" spans="1:575" s="55" customFormat="1" ht="45.75" customHeight="1" x14ac:dyDescent="0.25">
      <c r="A17" s="53" t="s">
        <v>331</v>
      </c>
      <c r="B17" s="102" t="str">
        <f>'дод 2'!A69</f>
        <v>3033</v>
      </c>
      <c r="C17" s="102" t="str">
        <f>'дод 2'!B69</f>
        <v>1070</v>
      </c>
      <c r="D17" s="56" t="str">
        <f>'дод 2'!C69</f>
        <v>Компенсаційні виплати на пільговий проїзд автомобільним транспортом окремим категоріям громадян</v>
      </c>
      <c r="E17" s="132">
        <f t="shared" si="2"/>
        <v>116396</v>
      </c>
      <c r="F17" s="132">
        <v>116396</v>
      </c>
      <c r="G17" s="132"/>
      <c r="H17" s="132"/>
      <c r="I17" s="132"/>
      <c r="J17" s="132">
        <f t="shared" si="3"/>
        <v>0</v>
      </c>
      <c r="K17" s="132"/>
      <c r="L17" s="132"/>
      <c r="M17" s="132"/>
      <c r="N17" s="132"/>
      <c r="O17" s="132"/>
      <c r="P17" s="132">
        <f t="shared" si="4"/>
        <v>116396</v>
      </c>
      <c r="Q17" s="158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</row>
    <row r="18" spans="1:575" s="55" customFormat="1" ht="46.5" customHeight="1" x14ac:dyDescent="0.25">
      <c r="A18" s="53" t="s">
        <v>204</v>
      </c>
      <c r="B18" s="102" t="str">
        <f>'дод 2'!A71</f>
        <v>3036</v>
      </c>
      <c r="C18" s="102" t="str">
        <f>'дод 2'!B71</f>
        <v>1070</v>
      </c>
      <c r="D18" s="56" t="str">
        <f>'дод 2'!C71</f>
        <v>Компенсаційні виплати на пільговий проїзд електротранспортом окремим категоріям громадян</v>
      </c>
      <c r="E18" s="132">
        <f t="shared" si="2"/>
        <v>253530</v>
      </c>
      <c r="F18" s="132">
        <v>253530</v>
      </c>
      <c r="G18" s="132"/>
      <c r="H18" s="132"/>
      <c r="I18" s="132"/>
      <c r="J18" s="132">
        <f t="shared" si="3"/>
        <v>0</v>
      </c>
      <c r="K18" s="132"/>
      <c r="L18" s="132"/>
      <c r="M18" s="132"/>
      <c r="N18" s="132"/>
      <c r="O18" s="132"/>
      <c r="P18" s="132">
        <f t="shared" si="4"/>
        <v>253530</v>
      </c>
      <c r="Q18" s="158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</row>
    <row r="19" spans="1:575" s="55" customFormat="1" ht="36" customHeight="1" x14ac:dyDescent="0.25">
      <c r="A19" s="53" t="s">
        <v>205</v>
      </c>
      <c r="B19" s="102" t="str">
        <f>'дод 2'!A107</f>
        <v>3121</v>
      </c>
      <c r="C19" s="102" t="str">
        <f>'дод 2'!B107</f>
        <v>1040</v>
      </c>
      <c r="D19" s="56" t="str">
        <f>'дод 2'!C107</f>
        <v>Утримання та забезпечення діяльності центрів соціальних служб для сім’ї, дітей та молоді</v>
      </c>
      <c r="E19" s="132">
        <f t="shared" si="2"/>
        <v>2260500</v>
      </c>
      <c r="F19" s="132">
        <f>2195500+65000</f>
        <v>2260500</v>
      </c>
      <c r="G19" s="132">
        <f>1724250-3300</f>
        <v>1720950</v>
      </c>
      <c r="H19" s="132">
        <f>53204+510</f>
        <v>53714</v>
      </c>
      <c r="I19" s="132"/>
      <c r="J19" s="132">
        <f t="shared" si="3"/>
        <v>0</v>
      </c>
      <c r="K19" s="132"/>
      <c r="L19" s="132"/>
      <c r="M19" s="132"/>
      <c r="N19" s="132"/>
      <c r="O19" s="132"/>
      <c r="P19" s="132">
        <f t="shared" si="4"/>
        <v>2260500</v>
      </c>
      <c r="Q19" s="158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</row>
    <row r="20" spans="1:575" s="55" customFormat="1" ht="51" customHeight="1" x14ac:dyDescent="0.25">
      <c r="A20" s="53" t="s">
        <v>206</v>
      </c>
      <c r="B20" s="102" t="str">
        <f>'дод 2'!A108</f>
        <v>3131</v>
      </c>
      <c r="C20" s="102" t="str">
        <f>'дод 2'!B108</f>
        <v>1040</v>
      </c>
      <c r="D20" s="56" t="str">
        <f>'дод 2'!C108</f>
        <v>Здійснення заходів та реалізація проектів на виконання Державної цільової соціальної програми «Молодь України»</v>
      </c>
      <c r="E20" s="132">
        <f t="shared" si="2"/>
        <v>850000</v>
      </c>
      <c r="F20" s="132">
        <f>800000+50000</f>
        <v>850000</v>
      </c>
      <c r="G20" s="132"/>
      <c r="H20" s="132"/>
      <c r="I20" s="132"/>
      <c r="J20" s="132">
        <f t="shared" si="3"/>
        <v>0</v>
      </c>
      <c r="K20" s="132"/>
      <c r="L20" s="132"/>
      <c r="M20" s="132"/>
      <c r="N20" s="132"/>
      <c r="O20" s="132"/>
      <c r="P20" s="132">
        <f t="shared" si="4"/>
        <v>850000</v>
      </c>
      <c r="Q20" s="158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</row>
    <row r="21" spans="1:575" s="55" customFormat="1" ht="60" customHeight="1" x14ac:dyDescent="0.25">
      <c r="A21" s="53" t="s">
        <v>207</v>
      </c>
      <c r="B21" s="102" t="str">
        <f>'дод 2'!A109</f>
        <v>3140</v>
      </c>
      <c r="C21" s="102" t="str">
        <f>'дод 2'!B109</f>
        <v>1040</v>
      </c>
      <c r="D21" s="56" t="str">
        <f>'дод 2'!C109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2">
        <f t="shared" si="2"/>
        <v>3076854</v>
      </c>
      <c r="F21" s="132">
        <f>488000+2588854</f>
        <v>3076854</v>
      </c>
      <c r="G21" s="132"/>
      <c r="H21" s="132"/>
      <c r="I21" s="132"/>
      <c r="J21" s="132">
        <f t="shared" si="3"/>
        <v>0</v>
      </c>
      <c r="K21" s="132"/>
      <c r="L21" s="132"/>
      <c r="M21" s="132"/>
      <c r="N21" s="132"/>
      <c r="O21" s="132"/>
      <c r="P21" s="132">
        <f t="shared" si="4"/>
        <v>3076854</v>
      </c>
      <c r="Q21" s="158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</row>
    <row r="22" spans="1:575" s="55" customFormat="1" ht="37.5" customHeight="1" x14ac:dyDescent="0.25">
      <c r="A22" s="53" t="s">
        <v>397</v>
      </c>
      <c r="B22" s="102" t="str">
        <f>'дод 2'!A128</f>
        <v>3241</v>
      </c>
      <c r="C22" s="102" t="str">
        <f>'дод 2'!B128</f>
        <v>1090</v>
      </c>
      <c r="D22" s="56" t="str">
        <f>'дод 2'!C128</f>
        <v>Забезпечення діяльності інших закладів у сфері соціального захисту і соціального забезпечення</v>
      </c>
      <c r="E22" s="132">
        <f t="shared" si="2"/>
        <v>1028700</v>
      </c>
      <c r="F22" s="132">
        <f>973700+55000</f>
        <v>1028700</v>
      </c>
      <c r="G22" s="132">
        <f>720662-1839</f>
        <v>718823</v>
      </c>
      <c r="H22" s="132">
        <v>114491</v>
      </c>
      <c r="I22" s="132"/>
      <c r="J22" s="132">
        <f t="shared" si="3"/>
        <v>0</v>
      </c>
      <c r="K22" s="132"/>
      <c r="L22" s="132"/>
      <c r="M22" s="132"/>
      <c r="N22" s="132"/>
      <c r="O22" s="132"/>
      <c r="P22" s="132">
        <f t="shared" si="4"/>
        <v>1028700</v>
      </c>
      <c r="Q22" s="158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</row>
    <row r="23" spans="1:575" s="55" customFormat="1" ht="33.75" customHeight="1" x14ac:dyDescent="0.25">
      <c r="A23" s="53" t="s">
        <v>398</v>
      </c>
      <c r="B23" s="102" t="str">
        <f>'дод 2'!A129</f>
        <v>3242</v>
      </c>
      <c r="C23" s="102" t="str">
        <f>'дод 2'!B129</f>
        <v>1090</v>
      </c>
      <c r="D23" s="56" t="str">
        <f>'дод 2'!C129</f>
        <v>Інші заходи у сфері соціального захисту і соціального забезпечення</v>
      </c>
      <c r="E23" s="132">
        <f t="shared" si="2"/>
        <v>238590</v>
      </c>
      <c r="F23" s="132">
        <v>238590</v>
      </c>
      <c r="G23" s="132"/>
      <c r="H23" s="132"/>
      <c r="I23" s="132"/>
      <c r="J23" s="132">
        <f t="shared" si="3"/>
        <v>0</v>
      </c>
      <c r="K23" s="132"/>
      <c r="L23" s="132"/>
      <c r="M23" s="132"/>
      <c r="N23" s="132"/>
      <c r="O23" s="132"/>
      <c r="P23" s="132">
        <f t="shared" si="4"/>
        <v>238590</v>
      </c>
      <c r="Q23" s="158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</row>
    <row r="24" spans="1:575" s="55" customFormat="1" ht="33.75" customHeight="1" x14ac:dyDescent="0.25">
      <c r="A24" s="53" t="s">
        <v>485</v>
      </c>
      <c r="B24" s="102" t="str">
        <f>'дод 2'!A132</f>
        <v>4060</v>
      </c>
      <c r="C24" s="102" t="str">
        <f>'дод 2'!B132</f>
        <v>0828</v>
      </c>
      <c r="D24" s="56" t="str">
        <f>'дод 2'!C132</f>
        <v>Забезпечення діяльності палаців i будинків культури, клубів, центрів дозвілля та iнших клубних закладів</v>
      </c>
      <c r="E24" s="132">
        <f t="shared" si="2"/>
        <v>3195567</v>
      </c>
      <c r="F24" s="133">
        <f>2487400+85000+623167</f>
        <v>3195567</v>
      </c>
      <c r="G24" s="132">
        <f>1067040+69800-4500</f>
        <v>1132340</v>
      </c>
      <c r="H24" s="132">
        <f>409840+389</f>
        <v>410229</v>
      </c>
      <c r="I24" s="132"/>
      <c r="J24" s="132">
        <f t="shared" si="3"/>
        <v>1725833</v>
      </c>
      <c r="K24" s="132">
        <f>20000+1705833</f>
        <v>1725833</v>
      </c>
      <c r="L24" s="132"/>
      <c r="M24" s="132"/>
      <c r="N24" s="132"/>
      <c r="O24" s="132">
        <f>20000+1705833</f>
        <v>1725833</v>
      </c>
      <c r="P24" s="132">
        <f t="shared" si="4"/>
        <v>4921400</v>
      </c>
      <c r="Q24" s="158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</row>
    <row r="25" spans="1:575" s="55" customFormat="1" ht="30.75" customHeight="1" x14ac:dyDescent="0.25">
      <c r="A25" s="53" t="s">
        <v>395</v>
      </c>
      <c r="B25" s="102" t="str">
        <f>'дод 2'!A133</f>
        <v>4081</v>
      </c>
      <c r="C25" s="102" t="str">
        <f>'дод 2'!B133</f>
        <v>0829</v>
      </c>
      <c r="D25" s="56" t="str">
        <f>'дод 2'!C133</f>
        <v xml:space="preserve">Забезпечення діяльності інших закладів в галузі культури і мистецтва </v>
      </c>
      <c r="E25" s="132">
        <f t="shared" si="2"/>
        <v>2782500</v>
      </c>
      <c r="F25" s="132">
        <f>2598000+25000+130000+9500+20000</f>
        <v>2782500</v>
      </c>
      <c r="G25" s="132">
        <f>1268300-4290</f>
        <v>1264010</v>
      </c>
      <c r="H25" s="132">
        <v>95365</v>
      </c>
      <c r="I25" s="132"/>
      <c r="J25" s="132">
        <f t="shared" si="3"/>
        <v>23000</v>
      </c>
      <c r="K25" s="132">
        <v>23000</v>
      </c>
      <c r="L25" s="132"/>
      <c r="M25" s="132"/>
      <c r="N25" s="132"/>
      <c r="O25" s="132">
        <f>23000</f>
        <v>23000</v>
      </c>
      <c r="P25" s="132">
        <f t="shared" si="4"/>
        <v>2805500</v>
      </c>
      <c r="Q25" s="158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</row>
    <row r="26" spans="1:575" s="55" customFormat="1" ht="25.5" customHeight="1" x14ac:dyDescent="0.25">
      <c r="A26" s="53" t="s">
        <v>396</v>
      </c>
      <c r="B26" s="102" t="str">
        <f>'дод 2'!A134</f>
        <v>4082</v>
      </c>
      <c r="C26" s="102" t="str">
        <f>'дод 2'!B134</f>
        <v>0829</v>
      </c>
      <c r="D26" s="56" t="str">
        <f>'дод 2'!C134</f>
        <v>Інші заходи в галузі культури і мистецтва</v>
      </c>
      <c r="E26" s="132">
        <f t="shared" si="2"/>
        <v>328100</v>
      </c>
      <c r="F26" s="132">
        <f>429100-59000-42000</f>
        <v>328100</v>
      </c>
      <c r="G26" s="132"/>
      <c r="H26" s="132"/>
      <c r="I26" s="132"/>
      <c r="J26" s="132">
        <f t="shared" si="3"/>
        <v>0</v>
      </c>
      <c r="K26" s="132"/>
      <c r="L26" s="132"/>
      <c r="M26" s="132"/>
      <c r="N26" s="132"/>
      <c r="O26" s="132"/>
      <c r="P26" s="132">
        <f t="shared" si="4"/>
        <v>328100</v>
      </c>
      <c r="Q26" s="158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</row>
    <row r="27" spans="1:575" s="55" customFormat="1" ht="36.75" customHeight="1" x14ac:dyDescent="0.25">
      <c r="A27" s="57" t="s">
        <v>208</v>
      </c>
      <c r="B27" s="107" t="str">
        <f>'дод 2'!A136</f>
        <v>5011</v>
      </c>
      <c r="C27" s="107" t="str">
        <f>'дод 2'!B136</f>
        <v>0810</v>
      </c>
      <c r="D27" s="54" t="str">
        <f>'дод 2'!C136</f>
        <v>Проведення навчально-тренувальних зборів і змагань з олімпійських видів спорту</v>
      </c>
      <c r="E27" s="132">
        <f t="shared" si="2"/>
        <v>860000</v>
      </c>
      <c r="F27" s="132">
        <f>750000+60000+30000+20000</f>
        <v>860000</v>
      </c>
      <c r="G27" s="132"/>
      <c r="H27" s="132"/>
      <c r="I27" s="132"/>
      <c r="J27" s="132">
        <f t="shared" si="3"/>
        <v>0</v>
      </c>
      <c r="K27" s="132"/>
      <c r="L27" s="132"/>
      <c r="M27" s="132"/>
      <c r="N27" s="132"/>
      <c r="O27" s="132"/>
      <c r="P27" s="132">
        <f t="shared" si="4"/>
        <v>860000</v>
      </c>
      <c r="Q27" s="158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</row>
    <row r="28" spans="1:575" s="55" customFormat="1" ht="34.5" customHeight="1" x14ac:dyDescent="0.25">
      <c r="A28" s="57" t="s">
        <v>209</v>
      </c>
      <c r="B28" s="107" t="str">
        <f>'дод 2'!A137</f>
        <v>5012</v>
      </c>
      <c r="C28" s="107" t="str">
        <f>'дод 2'!B137</f>
        <v>0810</v>
      </c>
      <c r="D28" s="54" t="str">
        <f>'дод 2'!C137</f>
        <v>Проведення навчально-тренувальних зборів і змагань з неолімпійських видів спорту</v>
      </c>
      <c r="E28" s="132">
        <f t="shared" si="2"/>
        <v>1004500</v>
      </c>
      <c r="F28" s="132">
        <f>750000+65000+22000+25000+10000+5000+77000+5000+50000+6000-20000+9500</f>
        <v>1004500</v>
      </c>
      <c r="G28" s="132"/>
      <c r="H28" s="132"/>
      <c r="I28" s="132"/>
      <c r="J28" s="132">
        <f t="shared" si="3"/>
        <v>0</v>
      </c>
      <c r="K28" s="132"/>
      <c r="L28" s="132"/>
      <c r="M28" s="132"/>
      <c r="N28" s="132"/>
      <c r="O28" s="132"/>
      <c r="P28" s="132">
        <f t="shared" si="4"/>
        <v>1004500</v>
      </c>
      <c r="Q28" s="158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</row>
    <row r="29" spans="1:575" s="55" customFormat="1" ht="39" customHeight="1" x14ac:dyDescent="0.25">
      <c r="A29" s="57" t="s">
        <v>210</v>
      </c>
      <c r="B29" s="107" t="str">
        <f>'дод 2'!A138</f>
        <v>5031</v>
      </c>
      <c r="C29" s="107" t="str">
        <f>'дод 2'!B138</f>
        <v>0810</v>
      </c>
      <c r="D29" s="54" t="str">
        <f>'дод 2'!C138</f>
        <v>Утримання та навчально-тренувальна робота комунальних дитячо-юнацьких спортивних шкіл</v>
      </c>
      <c r="E29" s="132">
        <f t="shared" si="2"/>
        <v>10221500</v>
      </c>
      <c r="F29" s="132">
        <f>10041300+70000+30000+35000-10000+10000+20000+25200</f>
        <v>10221500</v>
      </c>
      <c r="G29" s="132">
        <f>7398000+10539</f>
        <v>7408539</v>
      </c>
      <c r="H29" s="132">
        <f>659700+29024</f>
        <v>688724</v>
      </c>
      <c r="I29" s="132"/>
      <c r="J29" s="132">
        <f t="shared" si="3"/>
        <v>500000</v>
      </c>
      <c r="K29" s="132">
        <f>200000+10000+290000</f>
        <v>500000</v>
      </c>
      <c r="L29" s="132"/>
      <c r="M29" s="132"/>
      <c r="N29" s="132"/>
      <c r="O29" s="132">
        <f>200000+10000+290000</f>
        <v>500000</v>
      </c>
      <c r="P29" s="132">
        <f t="shared" si="4"/>
        <v>10721500</v>
      </c>
      <c r="Q29" s="158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</row>
    <row r="30" spans="1:575" s="55" customFormat="1" ht="42" customHeight="1" x14ac:dyDescent="0.25">
      <c r="A30" s="57" t="s">
        <v>211</v>
      </c>
      <c r="B30" s="107" t="str">
        <f>'дод 2'!A139</f>
        <v>5032</v>
      </c>
      <c r="C30" s="107" t="str">
        <f>'дод 2'!B139</f>
        <v>0810</v>
      </c>
      <c r="D30" s="54" t="str">
        <f>'дод 2'!C139</f>
        <v>Фінансова підтримка дитячо-юнацьких спортивних шкіл фізкультурно-спортивних товариств</v>
      </c>
      <c r="E30" s="132">
        <f t="shared" si="2"/>
        <v>9116300</v>
      </c>
      <c r="F30" s="132">
        <f>8727300+38000+20000+40000+25000+20000+22500+3000+20000+25000+2000+10000+80000+5000+50000+28500</f>
        <v>9116300</v>
      </c>
      <c r="G30" s="132"/>
      <c r="H30" s="132"/>
      <c r="I30" s="132"/>
      <c r="J30" s="132">
        <f t="shared" si="3"/>
        <v>292000</v>
      </c>
      <c r="K30" s="132">
        <f>120000+52000+10000+100000+10000</f>
        <v>292000</v>
      </c>
      <c r="L30" s="132"/>
      <c r="M30" s="132"/>
      <c r="N30" s="132"/>
      <c r="O30" s="132">
        <f>120000+52000+10000+100000+10000</f>
        <v>292000</v>
      </c>
      <c r="P30" s="132">
        <f t="shared" si="4"/>
        <v>9408300</v>
      </c>
      <c r="Q30" s="158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</row>
    <row r="31" spans="1:575" s="55" customFormat="1" ht="56.25" customHeight="1" x14ac:dyDescent="0.25">
      <c r="A31" s="57" t="s">
        <v>212</v>
      </c>
      <c r="B31" s="107" t="str">
        <f>'дод 2'!A140</f>
        <v>5061</v>
      </c>
      <c r="C31" s="107" t="str">
        <f>'дод 2'!B140</f>
        <v>0810</v>
      </c>
      <c r="D31" s="54" t="str">
        <f>'дод 2'!C140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2">
        <f t="shared" si="2"/>
        <v>3524500</v>
      </c>
      <c r="F31" s="132">
        <f>3511500+23000-10000</f>
        <v>3524500</v>
      </c>
      <c r="G31" s="132">
        <f>2106300-8745</f>
        <v>2097555</v>
      </c>
      <c r="H31" s="132">
        <f>486300+27605</f>
        <v>513905</v>
      </c>
      <c r="I31" s="132"/>
      <c r="J31" s="132">
        <f t="shared" si="3"/>
        <v>892389</v>
      </c>
      <c r="K31" s="132">
        <f>135000+7000+500000</f>
        <v>642000</v>
      </c>
      <c r="L31" s="132">
        <v>250389</v>
      </c>
      <c r="M31" s="132">
        <v>158895</v>
      </c>
      <c r="N31" s="132">
        <v>55055</v>
      </c>
      <c r="O31" s="132">
        <f>135000+7000+500000</f>
        <v>642000</v>
      </c>
      <c r="P31" s="132">
        <f t="shared" si="4"/>
        <v>4416889</v>
      </c>
      <c r="Q31" s="158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</row>
    <row r="32" spans="1:575" s="55" customFormat="1" ht="39" customHeight="1" x14ac:dyDescent="0.25">
      <c r="A32" s="57" t="s">
        <v>213</v>
      </c>
      <c r="B32" s="107" t="str">
        <f>'дод 2'!A141</f>
        <v>5062</v>
      </c>
      <c r="C32" s="107" t="str">
        <f>'дод 2'!B141</f>
        <v>0810</v>
      </c>
      <c r="D32" s="54" t="str">
        <f>'дод 2'!C141</f>
        <v>Підтримка спорту вищих досягнень та організацій, які здійснюють фізкультурно-спортивну діяльність в регіоні</v>
      </c>
      <c r="E32" s="132">
        <f t="shared" si="2"/>
        <v>6398180</v>
      </c>
      <c r="F32" s="132">
        <f>6057200+40000+251180+25000+30000+10000-15200</f>
        <v>6398180</v>
      </c>
      <c r="G32" s="132"/>
      <c r="H32" s="132"/>
      <c r="I32" s="132"/>
      <c r="J32" s="132">
        <f t="shared" si="3"/>
        <v>0</v>
      </c>
      <c r="K32" s="132"/>
      <c r="L32" s="132"/>
      <c r="M32" s="132"/>
      <c r="N32" s="132"/>
      <c r="O32" s="132"/>
      <c r="P32" s="132">
        <f t="shared" si="4"/>
        <v>6398180</v>
      </c>
      <c r="Q32" s="158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</row>
    <row r="33" spans="1:575" s="55" customFormat="1" ht="31.5" customHeight="1" x14ac:dyDescent="0.25">
      <c r="A33" s="57" t="s">
        <v>214</v>
      </c>
      <c r="B33" s="107" t="str">
        <f>'дод 2'!A176</f>
        <v>7412</v>
      </c>
      <c r="C33" s="107" t="str">
        <f>'дод 2'!B176</f>
        <v>0451</v>
      </c>
      <c r="D33" s="54" t="str">
        <f>'дод 2'!C176</f>
        <v>Регулювання цін на послуги місцевого автотранспорту</v>
      </c>
      <c r="E33" s="132">
        <f t="shared" si="2"/>
        <v>10102369.4</v>
      </c>
      <c r="F33" s="132"/>
      <c r="G33" s="132"/>
      <c r="H33" s="132"/>
      <c r="I33" s="132">
        <f>4000000+6102369.4</f>
        <v>10102369.4</v>
      </c>
      <c r="J33" s="132">
        <f t="shared" si="3"/>
        <v>0</v>
      </c>
      <c r="K33" s="132"/>
      <c r="L33" s="132"/>
      <c r="M33" s="132"/>
      <c r="N33" s="132"/>
      <c r="O33" s="132"/>
      <c r="P33" s="132">
        <f t="shared" si="4"/>
        <v>10102369.4</v>
      </c>
      <c r="Q33" s="159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</row>
    <row r="34" spans="1:575" s="55" customFormat="1" ht="30" x14ac:dyDescent="0.25">
      <c r="A34" s="57" t="s">
        <v>215</v>
      </c>
      <c r="B34" s="107" t="str">
        <f>'дод 2'!A177</f>
        <v>7422</v>
      </c>
      <c r="C34" s="107" t="str">
        <f>'дод 2'!B177</f>
        <v>0453</v>
      </c>
      <c r="D34" s="54" t="str">
        <f>'дод 2'!C177</f>
        <v>Регулювання цін на послуги місцевого наземного електротранспорту</v>
      </c>
      <c r="E34" s="132">
        <f t="shared" si="2"/>
        <v>897630.59999999963</v>
      </c>
      <c r="F34" s="132"/>
      <c r="G34" s="132"/>
      <c r="H34" s="132"/>
      <c r="I34" s="132">
        <f>7000000-6102369.4</f>
        <v>897630.59999999963</v>
      </c>
      <c r="J34" s="132">
        <f t="shared" si="3"/>
        <v>0</v>
      </c>
      <c r="K34" s="132"/>
      <c r="L34" s="132"/>
      <c r="M34" s="132"/>
      <c r="N34" s="132"/>
      <c r="O34" s="132"/>
      <c r="P34" s="132">
        <f t="shared" si="4"/>
        <v>897630.59999999963</v>
      </c>
      <c r="Q34" s="159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</row>
    <row r="35" spans="1:575" s="55" customFormat="1" ht="21.75" hidden="1" customHeight="1" x14ac:dyDescent="0.25">
      <c r="A35" s="57" t="s">
        <v>306</v>
      </c>
      <c r="B35" s="107" t="str">
        <f>'дод 2'!A178</f>
        <v>7426</v>
      </c>
      <c r="C35" s="107" t="str">
        <f>'дод 2'!B178</f>
        <v>0453</v>
      </c>
      <c r="D35" s="54" t="str">
        <f>'дод 2'!C178</f>
        <v>Інші заходи у сфері електротранспорту</v>
      </c>
      <c r="E35" s="132">
        <f t="shared" si="2"/>
        <v>0</v>
      </c>
      <c r="F35" s="132"/>
      <c r="G35" s="132"/>
      <c r="H35" s="132"/>
      <c r="I35" s="132"/>
      <c r="J35" s="132">
        <f t="shared" si="3"/>
        <v>0</v>
      </c>
      <c r="K35" s="132"/>
      <c r="L35" s="132"/>
      <c r="M35" s="132"/>
      <c r="N35" s="132"/>
      <c r="O35" s="132">
        <f>810000+680000-1490000</f>
        <v>0</v>
      </c>
      <c r="P35" s="132">
        <f t="shared" si="4"/>
        <v>0</v>
      </c>
      <c r="Q35" s="15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</row>
    <row r="36" spans="1:575" s="55" customFormat="1" ht="21.75" hidden="1" customHeight="1" x14ac:dyDescent="0.25">
      <c r="A36" s="57" t="s">
        <v>408</v>
      </c>
      <c r="B36" s="107" t="str">
        <f>'дод 2'!A180</f>
        <v>7450</v>
      </c>
      <c r="C36" s="107" t="str">
        <f>'дод 2'!B180</f>
        <v>0456</v>
      </c>
      <c r="D36" s="54" t="str">
        <f>'дод 2'!C180</f>
        <v xml:space="preserve">Інша діяльність у сфері транспорту </v>
      </c>
      <c r="E36" s="132">
        <f t="shared" si="2"/>
        <v>0</v>
      </c>
      <c r="F36" s="132"/>
      <c r="G36" s="132"/>
      <c r="H36" s="132"/>
      <c r="I36" s="132"/>
      <c r="J36" s="132">
        <f t="shared" si="3"/>
        <v>0</v>
      </c>
      <c r="K36" s="132"/>
      <c r="L36" s="132"/>
      <c r="M36" s="132"/>
      <c r="N36" s="132"/>
      <c r="O36" s="132"/>
      <c r="P36" s="132">
        <f t="shared" si="4"/>
        <v>0</v>
      </c>
      <c r="Q36" s="159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</row>
    <row r="37" spans="1:575" s="55" customFormat="1" ht="32.25" customHeight="1" x14ac:dyDescent="0.25">
      <c r="A37" s="57" t="s">
        <v>307</v>
      </c>
      <c r="B37" s="107" t="str">
        <f>'дод 2'!A185</f>
        <v>7530</v>
      </c>
      <c r="C37" s="107" t="str">
        <f>'дод 2'!B185</f>
        <v>0460</v>
      </c>
      <c r="D37" s="54" t="str">
        <f>'дод 2'!C185</f>
        <v>Інші заходи у сфері зв'язку, телекомунікації та інформатики</v>
      </c>
      <c r="E37" s="132">
        <f>F37+I37</f>
        <v>9573860</v>
      </c>
      <c r="F37" s="132">
        <f>6802500+2861360+400000+100000+20000-590000-20000</f>
        <v>9573860</v>
      </c>
      <c r="G37" s="132"/>
      <c r="H37" s="132"/>
      <c r="I37" s="132"/>
      <c r="J37" s="132">
        <f t="shared" si="3"/>
        <v>4927500</v>
      </c>
      <c r="K37" s="132">
        <f>3197500+590000+550000+590000</f>
        <v>4927500</v>
      </c>
      <c r="L37" s="132"/>
      <c r="M37" s="132"/>
      <c r="N37" s="132"/>
      <c r="O37" s="132">
        <f>3197500+590000+550000+590000</f>
        <v>4927500</v>
      </c>
      <c r="P37" s="132">
        <f t="shared" si="4"/>
        <v>14501360</v>
      </c>
      <c r="Q37" s="159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</row>
    <row r="38" spans="1:575" s="55" customFormat="1" ht="25.5" customHeight="1" x14ac:dyDescent="0.25">
      <c r="A38" s="57" t="s">
        <v>216</v>
      </c>
      <c r="B38" s="107" t="str">
        <f>'дод 2'!A187</f>
        <v>7610</v>
      </c>
      <c r="C38" s="107" t="str">
        <f>'дод 2'!B187</f>
        <v>0411</v>
      </c>
      <c r="D38" s="54" t="str">
        <f>'дод 2'!C187</f>
        <v>Сприяння розвитку малого та середнього підприємництва</v>
      </c>
      <c r="E38" s="132">
        <f t="shared" si="2"/>
        <v>142000</v>
      </c>
      <c r="F38" s="132">
        <f>100000+42000</f>
        <v>142000</v>
      </c>
      <c r="G38" s="132"/>
      <c r="H38" s="132"/>
      <c r="I38" s="132"/>
      <c r="J38" s="132">
        <f t="shared" si="3"/>
        <v>0</v>
      </c>
      <c r="K38" s="132"/>
      <c r="L38" s="132"/>
      <c r="M38" s="132"/>
      <c r="N38" s="132"/>
      <c r="O38" s="132"/>
      <c r="P38" s="132">
        <f t="shared" si="4"/>
        <v>142000</v>
      </c>
      <c r="Q38" s="159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</row>
    <row r="39" spans="1:575" s="55" customFormat="1" ht="18.75" hidden="1" customHeight="1" x14ac:dyDescent="0.25">
      <c r="A39" s="57" t="s">
        <v>332</v>
      </c>
      <c r="B39" s="107" t="str">
        <f>'дод 2'!A188</f>
        <v>7640</v>
      </c>
      <c r="C39" s="107" t="str">
        <f>'дод 2'!B188</f>
        <v>0470</v>
      </c>
      <c r="D39" s="54" t="str">
        <f>'дод 2'!C188</f>
        <v>Заходи з енергозбереження</v>
      </c>
      <c r="E39" s="132">
        <f t="shared" si="2"/>
        <v>0</v>
      </c>
      <c r="F39" s="132"/>
      <c r="G39" s="132"/>
      <c r="H39" s="132"/>
      <c r="I39" s="132"/>
      <c r="J39" s="132">
        <f t="shared" si="3"/>
        <v>0</v>
      </c>
      <c r="K39" s="132"/>
      <c r="L39" s="132"/>
      <c r="M39" s="132"/>
      <c r="N39" s="132"/>
      <c r="O39" s="132"/>
      <c r="P39" s="132">
        <f t="shared" si="4"/>
        <v>0</v>
      </c>
      <c r="Q39" s="159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</row>
    <row r="40" spans="1:575" s="55" customFormat="1" ht="31.5" customHeight="1" x14ac:dyDescent="0.25">
      <c r="A40" s="57" t="s">
        <v>217</v>
      </c>
      <c r="B40" s="107" t="str">
        <f>'дод 2'!A191</f>
        <v>7670</v>
      </c>
      <c r="C40" s="107" t="str">
        <f>'дод 2'!B191</f>
        <v>0490</v>
      </c>
      <c r="D40" s="54" t="str">
        <f>'дод 2'!C191</f>
        <v>Внески до статутного капіталу суб’єктів господарювання</v>
      </c>
      <c r="E40" s="132">
        <f t="shared" si="2"/>
        <v>0</v>
      </c>
      <c r="F40" s="132"/>
      <c r="G40" s="132"/>
      <c r="H40" s="132"/>
      <c r="I40" s="132"/>
      <c r="J40" s="132">
        <f t="shared" si="3"/>
        <v>25595199</v>
      </c>
      <c r="K40" s="132">
        <f>36900000+25089300-9000000-7680000-500000-999000-6400000-297500-135000-40000-3896761-2483239-224081-4738520</f>
        <v>25595199</v>
      </c>
      <c r="L40" s="132"/>
      <c r="M40" s="132"/>
      <c r="N40" s="132"/>
      <c r="O40" s="132">
        <f>36900000+25089300-9000000-7680000-500000-999000-6400000-297500-135000-40000-3896761-2483239-224081-4738520</f>
        <v>25595199</v>
      </c>
      <c r="P40" s="132">
        <f t="shared" si="4"/>
        <v>25595199</v>
      </c>
      <c r="Q40" s="159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</row>
    <row r="41" spans="1:575" s="55" customFormat="1" ht="36.75" customHeight="1" x14ac:dyDescent="0.25">
      <c r="A41" s="57" t="s">
        <v>321</v>
      </c>
      <c r="B41" s="107" t="str">
        <f>'дод 2'!A192</f>
        <v>7680</v>
      </c>
      <c r="C41" s="107" t="str">
        <f>'дод 2'!B192</f>
        <v>0490</v>
      </c>
      <c r="D41" s="54" t="str">
        <f>'дод 2'!C192</f>
        <v>Членські внески до асоціацій органів місцевого самоврядування</v>
      </c>
      <c r="E41" s="132">
        <f t="shared" si="2"/>
        <v>243690</v>
      </c>
      <c r="F41" s="132">
        <f>158690+85000</f>
        <v>243690</v>
      </c>
      <c r="G41" s="132"/>
      <c r="H41" s="132"/>
      <c r="I41" s="132"/>
      <c r="J41" s="132">
        <f t="shared" si="3"/>
        <v>0</v>
      </c>
      <c r="K41" s="132"/>
      <c r="L41" s="132"/>
      <c r="M41" s="132"/>
      <c r="N41" s="132"/>
      <c r="O41" s="132"/>
      <c r="P41" s="132">
        <f t="shared" si="4"/>
        <v>243690</v>
      </c>
      <c r="Q41" s="159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</row>
    <row r="42" spans="1:575" s="55" customFormat="1" ht="104.25" customHeight="1" x14ac:dyDescent="0.25">
      <c r="A42" s="57" t="s">
        <v>393</v>
      </c>
      <c r="B42" s="107" t="str">
        <f>'дод 2'!A193</f>
        <v>7691</v>
      </c>
      <c r="C42" s="107" t="str">
        <f>'дод 2'!B193</f>
        <v>0490</v>
      </c>
      <c r="D42" s="54" t="s">
        <v>415</v>
      </c>
      <c r="E42" s="132">
        <f t="shared" si="2"/>
        <v>0</v>
      </c>
      <c r="F42" s="132"/>
      <c r="G42" s="132"/>
      <c r="H42" s="132"/>
      <c r="I42" s="132"/>
      <c r="J42" s="132">
        <f t="shared" si="3"/>
        <v>85501.16</v>
      </c>
      <c r="K42" s="132"/>
      <c r="L42" s="132">
        <f>59464+8701.16+15336+2000</f>
        <v>85501.16</v>
      </c>
      <c r="M42" s="132"/>
      <c r="N42" s="132"/>
      <c r="O42" s="132"/>
      <c r="P42" s="132">
        <f t="shared" si="4"/>
        <v>85501.16</v>
      </c>
      <c r="Q42" s="159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</row>
    <row r="43" spans="1:575" s="55" customFormat="1" ht="23.25" customHeight="1" x14ac:dyDescent="0.25">
      <c r="A43" s="57" t="s">
        <v>314</v>
      </c>
      <c r="B43" s="107" t="str">
        <f>'дод 2'!A194</f>
        <v>7693</v>
      </c>
      <c r="C43" s="107" t="str">
        <f>'дод 2'!B194</f>
        <v>0490</v>
      </c>
      <c r="D43" s="54" t="str">
        <f>'дод 2'!C194</f>
        <v>Інші заходи, пов'язані з економічною діяльністю</v>
      </c>
      <c r="E43" s="132">
        <f t="shared" si="2"/>
        <v>2132582</v>
      </c>
      <c r="F43" s="132">
        <f>2172100+93000+450000-87000-34300-461218</f>
        <v>2132582</v>
      </c>
      <c r="G43" s="132">
        <f>37557-37557</f>
        <v>0</v>
      </c>
      <c r="H43" s="132"/>
      <c r="I43" s="132"/>
      <c r="J43" s="132">
        <f t="shared" si="3"/>
        <v>0</v>
      </c>
      <c r="K43" s="132">
        <f>25900-25900</f>
        <v>0</v>
      </c>
      <c r="L43" s="132"/>
      <c r="M43" s="132"/>
      <c r="N43" s="132"/>
      <c r="O43" s="132">
        <f>25900-25900</f>
        <v>0</v>
      </c>
      <c r="P43" s="132">
        <f t="shared" si="4"/>
        <v>2132582</v>
      </c>
      <c r="Q43" s="159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</row>
    <row r="44" spans="1:575" s="55" customFormat="1" ht="34.5" customHeight="1" x14ac:dyDescent="0.25">
      <c r="A44" s="57" t="s">
        <v>218</v>
      </c>
      <c r="B44" s="107" t="str">
        <f>'дод 2'!A200</f>
        <v>8110</v>
      </c>
      <c r="C44" s="107" t="str">
        <f>'дод 2'!B200</f>
        <v>0320</v>
      </c>
      <c r="D44" s="54" t="str">
        <f>'дод 2'!C200</f>
        <v>Заходи із запобігання та ліквідації надзвичайних ситуацій та наслідків стихійного лиха</v>
      </c>
      <c r="E44" s="132">
        <f t="shared" si="2"/>
        <v>450600</v>
      </c>
      <c r="F44" s="132">
        <v>450600</v>
      </c>
      <c r="G44" s="132"/>
      <c r="H44" s="132">
        <v>6500</v>
      </c>
      <c r="I44" s="132"/>
      <c r="J44" s="132">
        <f t="shared" si="3"/>
        <v>2007200</v>
      </c>
      <c r="K44" s="132">
        <v>2007200</v>
      </c>
      <c r="L44" s="132"/>
      <c r="M44" s="132"/>
      <c r="N44" s="132"/>
      <c r="O44" s="132">
        <v>2007200</v>
      </c>
      <c r="P44" s="132">
        <f t="shared" si="4"/>
        <v>2457800</v>
      </c>
      <c r="Q44" s="159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</row>
    <row r="45" spans="1:575" s="55" customFormat="1" ht="19.5" customHeight="1" x14ac:dyDescent="0.25">
      <c r="A45" s="57" t="s">
        <v>294</v>
      </c>
      <c r="B45" s="107" t="str">
        <f>'дод 2'!A201</f>
        <v>8120</v>
      </c>
      <c r="C45" s="107" t="str">
        <f>'дод 2'!B201</f>
        <v>0320</v>
      </c>
      <c r="D45" s="54" t="str">
        <f>'дод 2'!C201</f>
        <v>Заходи з організації рятування на водах</v>
      </c>
      <c r="E45" s="132">
        <f t="shared" si="2"/>
        <v>1751330</v>
      </c>
      <c r="F45" s="132">
        <f>1698200+37510-37510+5000-5000+188450-163450+28130</f>
        <v>1751330</v>
      </c>
      <c r="G45" s="132">
        <f>1264118+20492+23057</f>
        <v>1307667</v>
      </c>
      <c r="H45" s="132">
        <v>86593</v>
      </c>
      <c r="I45" s="132"/>
      <c r="J45" s="132">
        <f t="shared" si="3"/>
        <v>5300</v>
      </c>
      <c r="K45" s="132"/>
      <c r="L45" s="132">
        <v>5300</v>
      </c>
      <c r="M45" s="132"/>
      <c r="N45" s="132">
        <v>1400</v>
      </c>
      <c r="O45" s="132"/>
      <c r="P45" s="132">
        <f t="shared" si="4"/>
        <v>1756630</v>
      </c>
      <c r="Q45" s="159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</row>
    <row r="46" spans="1:575" s="55" customFormat="1" ht="21.75" customHeight="1" x14ac:dyDescent="0.25">
      <c r="A46" s="57" t="s">
        <v>317</v>
      </c>
      <c r="B46" s="107" t="str">
        <f>'дод 2'!A203</f>
        <v>8230</v>
      </c>
      <c r="C46" s="107" t="str">
        <f>'дод 2'!B203</f>
        <v>0380</v>
      </c>
      <c r="D46" s="54" t="str">
        <f>'дод 2'!C203</f>
        <v>Інші заходи громадського порядку та безпеки</v>
      </c>
      <c r="E46" s="132">
        <f t="shared" si="2"/>
        <v>819800</v>
      </c>
      <c r="F46" s="132">
        <f>789800+30000</f>
        <v>819800</v>
      </c>
      <c r="G46" s="132"/>
      <c r="H46" s="132">
        <f>269900+596</f>
        <v>270496</v>
      </c>
      <c r="I46" s="132"/>
      <c r="J46" s="132">
        <f t="shared" si="3"/>
        <v>0</v>
      </c>
      <c r="K46" s="132"/>
      <c r="L46" s="132"/>
      <c r="M46" s="132"/>
      <c r="N46" s="132"/>
      <c r="O46" s="132"/>
      <c r="P46" s="132">
        <f t="shared" si="4"/>
        <v>819800</v>
      </c>
      <c r="Q46" s="159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</row>
    <row r="47" spans="1:575" s="55" customFormat="1" ht="23.25" customHeight="1" x14ac:dyDescent="0.25">
      <c r="A47" s="53" t="s">
        <v>219</v>
      </c>
      <c r="B47" s="102" t="str">
        <f>'дод 2'!A206</f>
        <v>8340</v>
      </c>
      <c r="C47" s="102" t="str">
        <f>'дод 2'!B206</f>
        <v>0540</v>
      </c>
      <c r="D47" s="56" t="str">
        <f>'дод 2'!C206</f>
        <v>Природоохоронні заходи за рахунок цільових фондів</v>
      </c>
      <c r="E47" s="132">
        <f t="shared" si="2"/>
        <v>0</v>
      </c>
      <c r="F47" s="132"/>
      <c r="G47" s="132"/>
      <c r="H47" s="132"/>
      <c r="I47" s="132"/>
      <c r="J47" s="132">
        <f t="shared" si="3"/>
        <v>310000</v>
      </c>
      <c r="K47" s="132"/>
      <c r="L47" s="132">
        <f>260000+50000</f>
        <v>310000</v>
      </c>
      <c r="M47" s="132"/>
      <c r="N47" s="132"/>
      <c r="O47" s="132"/>
      <c r="P47" s="132">
        <f t="shared" si="4"/>
        <v>310000</v>
      </c>
      <c r="Q47" s="159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</row>
    <row r="48" spans="1:575" s="55" customFormat="1" ht="26.25" customHeight="1" x14ac:dyDescent="0.25">
      <c r="A48" s="57" t="s">
        <v>328</v>
      </c>
      <c r="B48" s="107" t="str">
        <f>'дод 2'!A208</f>
        <v>8420</v>
      </c>
      <c r="C48" s="107" t="str">
        <f>'дод 2'!B208</f>
        <v>0830</v>
      </c>
      <c r="D48" s="54" t="str">
        <f>'дод 2'!C208</f>
        <v>Інші заходи у сфері засобів масової інформації</v>
      </c>
      <c r="E48" s="132">
        <f t="shared" si="2"/>
        <v>198000</v>
      </c>
      <c r="F48" s="132">
        <f>150000+43000+5000</f>
        <v>198000</v>
      </c>
      <c r="G48" s="132"/>
      <c r="H48" s="132"/>
      <c r="I48" s="132"/>
      <c r="J48" s="132">
        <f t="shared" si="3"/>
        <v>0</v>
      </c>
      <c r="K48" s="132"/>
      <c r="L48" s="132"/>
      <c r="M48" s="132"/>
      <c r="N48" s="132"/>
      <c r="O48" s="132"/>
      <c r="P48" s="132">
        <f t="shared" si="4"/>
        <v>198000</v>
      </c>
      <c r="Q48" s="159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</row>
    <row r="49" spans="1:575" s="55" customFormat="1" ht="15" x14ac:dyDescent="0.25">
      <c r="A49" s="57" t="s">
        <v>520</v>
      </c>
      <c r="B49" s="107" t="str">
        <f>'дод 2'!A226</f>
        <v>9770</v>
      </c>
      <c r="C49" s="107" t="str">
        <f>'дод 2'!B226</f>
        <v>0180</v>
      </c>
      <c r="D49" s="58" t="str">
        <f>'дод 2'!C226</f>
        <v xml:space="preserve">Інші субвенції з місцевого бюджету </v>
      </c>
      <c r="E49" s="132">
        <f t="shared" si="2"/>
        <v>741000</v>
      </c>
      <c r="F49" s="132">
        <f>241000+200000+150000+150000</f>
        <v>741000</v>
      </c>
      <c r="G49" s="132"/>
      <c r="H49" s="132"/>
      <c r="I49" s="132"/>
      <c r="J49" s="132">
        <f t="shared" si="3"/>
        <v>159000</v>
      </c>
      <c r="K49" s="132">
        <v>159000</v>
      </c>
      <c r="L49" s="132"/>
      <c r="M49" s="132"/>
      <c r="N49" s="132"/>
      <c r="O49" s="132">
        <v>159000</v>
      </c>
      <c r="P49" s="132">
        <f t="shared" si="4"/>
        <v>900000</v>
      </c>
      <c r="Q49" s="159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</row>
    <row r="50" spans="1:575" s="55" customFormat="1" ht="45" x14ac:dyDescent="0.25">
      <c r="A50" s="57" t="s">
        <v>491</v>
      </c>
      <c r="B50" s="107" t="str">
        <f>'дод 2'!A228</f>
        <v>9800</v>
      </c>
      <c r="C50" s="107" t="str">
        <f>'дод 2'!B228</f>
        <v>0180</v>
      </c>
      <c r="D50" s="54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2">
        <f t="shared" si="2"/>
        <v>1075048</v>
      </c>
      <c r="F50" s="132">
        <f>271850+238190+45000+240008+45000+50000+185000</f>
        <v>1075048</v>
      </c>
      <c r="G50" s="132"/>
      <c r="H50" s="132"/>
      <c r="I50" s="132"/>
      <c r="J50" s="132">
        <f t="shared" si="3"/>
        <v>1291992</v>
      </c>
      <c r="K50" s="132">
        <f>150000+9992+500000+632000</f>
        <v>1291992</v>
      </c>
      <c r="L50" s="132"/>
      <c r="M50" s="132"/>
      <c r="N50" s="132"/>
      <c r="O50" s="132">
        <f>150000+9992+500000+632000</f>
        <v>1291992</v>
      </c>
      <c r="P50" s="132">
        <f t="shared" si="4"/>
        <v>2367040</v>
      </c>
      <c r="Q50" s="159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</row>
    <row r="51" spans="1:575" s="72" customFormat="1" ht="23.25" customHeight="1" x14ac:dyDescent="0.2">
      <c r="A51" s="77" t="s">
        <v>220</v>
      </c>
      <c r="B51" s="109"/>
      <c r="C51" s="109"/>
      <c r="D51" s="71" t="s">
        <v>41</v>
      </c>
      <c r="E51" s="134">
        <f>E52</f>
        <v>856046389.57999992</v>
      </c>
      <c r="F51" s="134">
        <f t="shared" ref="F51:P51" si="5">F52</f>
        <v>856046389.57999992</v>
      </c>
      <c r="G51" s="134">
        <f t="shared" si="5"/>
        <v>554588654</v>
      </c>
      <c r="H51" s="134">
        <f t="shared" si="5"/>
        <v>77262662</v>
      </c>
      <c r="I51" s="134">
        <f t="shared" si="5"/>
        <v>0</v>
      </c>
      <c r="J51" s="134">
        <f t="shared" si="5"/>
        <v>89537081.090000004</v>
      </c>
      <c r="K51" s="134">
        <f t="shared" si="5"/>
        <v>46078242.090000004</v>
      </c>
      <c r="L51" s="134">
        <f t="shared" si="5"/>
        <v>43287339</v>
      </c>
      <c r="M51" s="134">
        <f t="shared" si="5"/>
        <v>3455421</v>
      </c>
      <c r="N51" s="134">
        <f t="shared" si="5"/>
        <v>2628089</v>
      </c>
      <c r="O51" s="134">
        <f t="shared" si="5"/>
        <v>46249742.090000004</v>
      </c>
      <c r="P51" s="134">
        <f t="shared" si="5"/>
        <v>945583470.67000008</v>
      </c>
      <c r="Q51" s="159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90"/>
      <c r="KB51" s="90"/>
      <c r="KC51" s="90"/>
      <c r="KD51" s="90"/>
      <c r="KE51" s="90"/>
      <c r="KF51" s="90"/>
      <c r="KG51" s="90"/>
      <c r="KH51" s="90"/>
      <c r="KI51" s="90"/>
      <c r="KJ51" s="90"/>
      <c r="KK51" s="90"/>
      <c r="KL51" s="90"/>
      <c r="KM51" s="90"/>
      <c r="KN51" s="90"/>
      <c r="KO51" s="90"/>
      <c r="KP51" s="90"/>
      <c r="KQ51" s="90"/>
      <c r="KR51" s="90"/>
      <c r="KS51" s="90"/>
      <c r="KT51" s="90"/>
      <c r="KU51" s="90"/>
      <c r="KV51" s="90"/>
      <c r="KW51" s="90"/>
      <c r="KX51" s="90"/>
      <c r="KY51" s="90"/>
      <c r="KZ51" s="90"/>
      <c r="LA51" s="90"/>
      <c r="LB51" s="90"/>
      <c r="LC51" s="90"/>
      <c r="LD51" s="90"/>
      <c r="LE51" s="90"/>
      <c r="LF51" s="90"/>
      <c r="LG51" s="90"/>
      <c r="LH51" s="90"/>
      <c r="LI51" s="90"/>
      <c r="LJ51" s="90"/>
      <c r="LK51" s="90"/>
      <c r="LL51" s="90"/>
      <c r="LM51" s="90"/>
      <c r="LN51" s="90"/>
      <c r="LO51" s="90"/>
      <c r="LP51" s="90"/>
      <c r="LQ51" s="90"/>
      <c r="LR51" s="90"/>
      <c r="LS51" s="90"/>
      <c r="LT51" s="90"/>
      <c r="LU51" s="90"/>
      <c r="LV51" s="90"/>
      <c r="LW51" s="90"/>
      <c r="LX51" s="90"/>
      <c r="LY51" s="90"/>
      <c r="LZ51" s="90"/>
      <c r="MA51" s="90"/>
      <c r="MB51" s="90"/>
      <c r="MC51" s="90"/>
      <c r="MD51" s="90"/>
      <c r="ME51" s="90"/>
      <c r="MF51" s="90"/>
      <c r="MG51" s="90"/>
      <c r="MH51" s="90"/>
      <c r="MI51" s="90"/>
      <c r="MJ51" s="90"/>
      <c r="MK51" s="90"/>
      <c r="ML51" s="90"/>
      <c r="MM51" s="90"/>
      <c r="MN51" s="90"/>
      <c r="MO51" s="90"/>
      <c r="MP51" s="90"/>
      <c r="MQ51" s="90"/>
      <c r="MR51" s="90"/>
      <c r="MS51" s="90"/>
      <c r="MT51" s="90"/>
      <c r="MU51" s="90"/>
      <c r="MV51" s="90"/>
      <c r="MW51" s="90"/>
      <c r="MX51" s="90"/>
      <c r="MY51" s="90"/>
      <c r="MZ51" s="90"/>
      <c r="NA51" s="90"/>
      <c r="NB51" s="90"/>
      <c r="NC51" s="90"/>
      <c r="ND51" s="90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0"/>
      <c r="NX51" s="90"/>
      <c r="NY51" s="90"/>
      <c r="NZ51" s="90"/>
      <c r="OA51" s="90"/>
      <c r="OB51" s="90"/>
      <c r="OC51" s="90"/>
      <c r="OD51" s="90"/>
      <c r="OE51" s="90"/>
      <c r="OF51" s="90"/>
      <c r="OG51" s="90"/>
      <c r="OH51" s="90"/>
      <c r="OI51" s="90"/>
      <c r="OJ51" s="90"/>
      <c r="OK51" s="90"/>
      <c r="OL51" s="90"/>
      <c r="OM51" s="90"/>
      <c r="ON51" s="90"/>
      <c r="OO51" s="90"/>
      <c r="OP51" s="90"/>
      <c r="OQ51" s="90"/>
      <c r="OR51" s="90"/>
      <c r="OS51" s="90"/>
      <c r="OT51" s="90"/>
      <c r="OU51" s="90"/>
      <c r="OV51" s="90"/>
      <c r="OW51" s="90"/>
      <c r="OX51" s="90"/>
      <c r="OY51" s="90"/>
      <c r="OZ51" s="90"/>
      <c r="PA51" s="90"/>
      <c r="PB51" s="90"/>
      <c r="PC51" s="90"/>
      <c r="PD51" s="90"/>
      <c r="PE51" s="90"/>
      <c r="PF51" s="90"/>
      <c r="PG51" s="90"/>
      <c r="PH51" s="90"/>
      <c r="PI51" s="90"/>
      <c r="PJ51" s="90"/>
      <c r="PK51" s="90"/>
      <c r="PL51" s="90"/>
      <c r="PM51" s="90"/>
      <c r="PN51" s="90"/>
      <c r="PO51" s="90"/>
      <c r="PP51" s="90"/>
      <c r="PQ51" s="90"/>
      <c r="PR51" s="90"/>
      <c r="PS51" s="90"/>
      <c r="PT51" s="90"/>
      <c r="PU51" s="90"/>
      <c r="PV51" s="90"/>
      <c r="PW51" s="90"/>
      <c r="PX51" s="90"/>
      <c r="PY51" s="90"/>
      <c r="PZ51" s="90"/>
      <c r="QA51" s="90"/>
      <c r="QB51" s="90"/>
      <c r="QC51" s="90"/>
      <c r="QD51" s="90"/>
      <c r="QE51" s="90"/>
      <c r="QF51" s="90"/>
      <c r="QG51" s="90"/>
      <c r="QH51" s="90"/>
      <c r="QI51" s="90"/>
      <c r="QJ51" s="90"/>
      <c r="QK51" s="90"/>
      <c r="QL51" s="90"/>
      <c r="QM51" s="90"/>
      <c r="QN51" s="90"/>
      <c r="QO51" s="90"/>
      <c r="QP51" s="90"/>
      <c r="QQ51" s="90"/>
      <c r="QR51" s="90"/>
      <c r="QS51" s="90"/>
      <c r="QT51" s="90"/>
      <c r="QU51" s="90"/>
      <c r="QV51" s="90"/>
      <c r="QW51" s="90"/>
      <c r="QX51" s="90"/>
      <c r="QY51" s="90"/>
      <c r="QZ51" s="90"/>
      <c r="RA51" s="90"/>
      <c r="RB51" s="90"/>
      <c r="RC51" s="90"/>
      <c r="RD51" s="90"/>
      <c r="RE51" s="90"/>
      <c r="RF51" s="90"/>
      <c r="RG51" s="90"/>
      <c r="RH51" s="90"/>
      <c r="RI51" s="90"/>
      <c r="RJ51" s="90"/>
      <c r="RK51" s="90"/>
      <c r="RL51" s="90"/>
      <c r="RM51" s="90"/>
      <c r="RN51" s="90"/>
      <c r="RO51" s="90"/>
      <c r="RP51" s="90"/>
      <c r="RQ51" s="90"/>
      <c r="RR51" s="90"/>
      <c r="RS51" s="90"/>
      <c r="RT51" s="90"/>
      <c r="RU51" s="90"/>
      <c r="RV51" s="90"/>
      <c r="RW51" s="90"/>
      <c r="RX51" s="90"/>
      <c r="RY51" s="90"/>
      <c r="RZ51" s="90"/>
      <c r="SA51" s="90"/>
      <c r="SB51" s="90"/>
      <c r="SC51" s="90"/>
      <c r="SD51" s="90"/>
      <c r="SE51" s="90"/>
      <c r="SF51" s="90"/>
      <c r="SG51" s="90"/>
      <c r="SH51" s="90"/>
      <c r="SI51" s="90"/>
      <c r="SJ51" s="90"/>
      <c r="SK51" s="90"/>
      <c r="SL51" s="90"/>
      <c r="SM51" s="90"/>
      <c r="SN51" s="90"/>
      <c r="SO51" s="90"/>
      <c r="SP51" s="90"/>
      <c r="SQ51" s="90"/>
      <c r="SR51" s="90"/>
      <c r="SS51" s="90"/>
      <c r="ST51" s="90"/>
      <c r="SU51" s="90"/>
      <c r="SV51" s="90"/>
      <c r="SW51" s="90"/>
      <c r="SX51" s="90"/>
      <c r="SY51" s="90"/>
      <c r="SZ51" s="90"/>
      <c r="TA51" s="90"/>
      <c r="TB51" s="90"/>
      <c r="TC51" s="90"/>
      <c r="TD51" s="90"/>
      <c r="TE51" s="90"/>
      <c r="TF51" s="90"/>
      <c r="TG51" s="90"/>
      <c r="TH51" s="90"/>
      <c r="TI51" s="90"/>
      <c r="TJ51" s="90"/>
      <c r="TK51" s="90"/>
      <c r="TL51" s="90"/>
      <c r="TM51" s="90"/>
      <c r="TN51" s="90"/>
      <c r="TO51" s="90"/>
      <c r="TP51" s="90"/>
      <c r="TQ51" s="90"/>
      <c r="TR51" s="90"/>
      <c r="TS51" s="90"/>
      <c r="TT51" s="90"/>
      <c r="TU51" s="90"/>
      <c r="TV51" s="90"/>
      <c r="TW51" s="90"/>
      <c r="TX51" s="90"/>
      <c r="TY51" s="90"/>
      <c r="TZ51" s="90"/>
      <c r="UA51" s="90"/>
      <c r="UB51" s="90"/>
      <c r="UC51" s="90"/>
      <c r="UD51" s="90"/>
      <c r="UE51" s="90"/>
      <c r="UF51" s="90"/>
      <c r="UG51" s="90"/>
      <c r="UH51" s="90"/>
      <c r="UI51" s="90"/>
      <c r="UJ51" s="90"/>
      <c r="UK51" s="90"/>
      <c r="UL51" s="90"/>
      <c r="UM51" s="90"/>
      <c r="UN51" s="90"/>
      <c r="UO51" s="90"/>
      <c r="UP51" s="90"/>
      <c r="UQ51" s="90"/>
      <c r="UR51" s="90"/>
      <c r="US51" s="90"/>
      <c r="UT51" s="90"/>
      <c r="UU51" s="90"/>
      <c r="UV51" s="90"/>
      <c r="UW51" s="90"/>
      <c r="UX51" s="90"/>
      <c r="UY51" s="90"/>
      <c r="UZ51" s="90"/>
      <c r="VA51" s="90"/>
      <c r="VB51" s="90"/>
      <c r="VC51" s="90"/>
    </row>
    <row r="52" spans="1:575" s="92" customFormat="1" ht="26.25" customHeight="1" x14ac:dyDescent="0.25">
      <c r="A52" s="78" t="s">
        <v>221</v>
      </c>
      <c r="B52" s="110"/>
      <c r="C52" s="110"/>
      <c r="D52" s="76" t="s">
        <v>41</v>
      </c>
      <c r="E52" s="131">
        <f>E54+E55+E57+E59+E61+E63+E64+E66+E67+E69+E71+E73+E74+E75+E76+E78+E79+E81+E80</f>
        <v>856046389.57999992</v>
      </c>
      <c r="F52" s="131">
        <f t="shared" ref="F52:P52" si="6">F54+F55+F57+F59+F61+F63+F64+F66+F67+F69+F71+F73+F74+F75+F76+F78+F79+F81+F80</f>
        <v>856046389.57999992</v>
      </c>
      <c r="G52" s="131">
        <f t="shared" si="6"/>
        <v>554588654</v>
      </c>
      <c r="H52" s="131">
        <f t="shared" si="6"/>
        <v>77262662</v>
      </c>
      <c r="I52" s="131">
        <f t="shared" si="6"/>
        <v>0</v>
      </c>
      <c r="J52" s="131">
        <f t="shared" si="6"/>
        <v>89537081.090000004</v>
      </c>
      <c r="K52" s="131">
        <f t="shared" si="6"/>
        <v>46078242.090000004</v>
      </c>
      <c r="L52" s="131">
        <f t="shared" si="6"/>
        <v>43287339</v>
      </c>
      <c r="M52" s="131">
        <f t="shared" si="6"/>
        <v>3455421</v>
      </c>
      <c r="N52" s="131">
        <f t="shared" si="6"/>
        <v>2628089</v>
      </c>
      <c r="O52" s="131">
        <f t="shared" si="6"/>
        <v>46249742.090000004</v>
      </c>
      <c r="P52" s="131">
        <f t="shared" si="6"/>
        <v>945583470.67000008</v>
      </c>
      <c r="Q52" s="159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1"/>
      <c r="NY52" s="91"/>
      <c r="NZ52" s="91"/>
      <c r="OA52" s="91"/>
      <c r="OB52" s="91"/>
      <c r="OC52" s="91"/>
      <c r="OD52" s="91"/>
      <c r="OE52" s="91"/>
      <c r="OF52" s="91"/>
      <c r="OG52" s="91"/>
      <c r="OH52" s="91"/>
      <c r="OI52" s="91"/>
      <c r="OJ52" s="91"/>
      <c r="OK52" s="91"/>
      <c r="OL52" s="91"/>
      <c r="OM52" s="91"/>
      <c r="ON52" s="91"/>
      <c r="OO52" s="91"/>
      <c r="OP52" s="91"/>
      <c r="OQ52" s="91"/>
      <c r="OR52" s="91"/>
      <c r="OS52" s="91"/>
      <c r="OT52" s="91"/>
      <c r="OU52" s="91"/>
      <c r="OV52" s="91"/>
      <c r="OW52" s="91"/>
      <c r="OX52" s="91"/>
      <c r="OY52" s="91"/>
      <c r="OZ52" s="91"/>
      <c r="PA52" s="91"/>
      <c r="PB52" s="91"/>
      <c r="PC52" s="91"/>
      <c r="PD52" s="91"/>
      <c r="PE52" s="91"/>
      <c r="PF52" s="91"/>
      <c r="PG52" s="91"/>
      <c r="PH52" s="91"/>
      <c r="PI52" s="91"/>
      <c r="PJ52" s="91"/>
      <c r="PK52" s="91"/>
      <c r="PL52" s="91"/>
      <c r="PM52" s="91"/>
      <c r="PN52" s="91"/>
      <c r="PO52" s="91"/>
      <c r="PP52" s="91"/>
      <c r="PQ52" s="91"/>
      <c r="PR52" s="91"/>
      <c r="PS52" s="91"/>
      <c r="PT52" s="91"/>
      <c r="PU52" s="91"/>
      <c r="PV52" s="91"/>
      <c r="PW52" s="91"/>
      <c r="PX52" s="91"/>
      <c r="PY52" s="91"/>
      <c r="PZ52" s="91"/>
      <c r="QA52" s="91"/>
      <c r="QB52" s="91"/>
      <c r="QC52" s="91"/>
      <c r="QD52" s="91"/>
      <c r="QE52" s="91"/>
      <c r="QF52" s="91"/>
      <c r="QG52" s="91"/>
      <c r="QH52" s="91"/>
      <c r="QI52" s="91"/>
      <c r="QJ52" s="91"/>
      <c r="QK52" s="91"/>
      <c r="QL52" s="91"/>
      <c r="QM52" s="91"/>
      <c r="QN52" s="91"/>
      <c r="QO52" s="91"/>
      <c r="QP52" s="91"/>
      <c r="QQ52" s="91"/>
      <c r="QR52" s="91"/>
      <c r="QS52" s="91"/>
      <c r="QT52" s="91"/>
      <c r="QU52" s="91"/>
      <c r="QV52" s="91"/>
      <c r="QW52" s="91"/>
      <c r="QX52" s="91"/>
      <c r="QY52" s="91"/>
      <c r="QZ52" s="91"/>
      <c r="RA52" s="91"/>
      <c r="RB52" s="91"/>
      <c r="RC52" s="91"/>
      <c r="RD52" s="91"/>
      <c r="RE52" s="91"/>
      <c r="RF52" s="91"/>
      <c r="RG52" s="91"/>
      <c r="RH52" s="91"/>
      <c r="RI52" s="91"/>
      <c r="RJ52" s="91"/>
      <c r="RK52" s="91"/>
      <c r="RL52" s="91"/>
      <c r="RM52" s="91"/>
      <c r="RN52" s="91"/>
      <c r="RO52" s="91"/>
      <c r="RP52" s="91"/>
      <c r="RQ52" s="91"/>
      <c r="RR52" s="91"/>
      <c r="RS52" s="91"/>
      <c r="RT52" s="91"/>
      <c r="RU52" s="91"/>
      <c r="RV52" s="91"/>
      <c r="RW52" s="91"/>
      <c r="RX52" s="91"/>
      <c r="RY52" s="91"/>
      <c r="RZ52" s="91"/>
      <c r="SA52" s="91"/>
      <c r="SB52" s="91"/>
      <c r="SC52" s="91"/>
      <c r="SD52" s="91"/>
      <c r="SE52" s="91"/>
      <c r="SF52" s="91"/>
      <c r="SG52" s="91"/>
      <c r="SH52" s="91"/>
      <c r="SI52" s="91"/>
      <c r="SJ52" s="91"/>
      <c r="SK52" s="91"/>
      <c r="SL52" s="91"/>
      <c r="SM52" s="91"/>
      <c r="SN52" s="91"/>
      <c r="SO52" s="91"/>
      <c r="SP52" s="91"/>
      <c r="SQ52" s="91"/>
      <c r="SR52" s="91"/>
      <c r="SS52" s="91"/>
      <c r="ST52" s="91"/>
      <c r="SU52" s="91"/>
      <c r="SV52" s="91"/>
      <c r="SW52" s="91"/>
      <c r="SX52" s="91"/>
      <c r="SY52" s="91"/>
      <c r="SZ52" s="91"/>
      <c r="TA52" s="91"/>
      <c r="TB52" s="91"/>
      <c r="TC52" s="91"/>
      <c r="TD52" s="91"/>
      <c r="TE52" s="91"/>
      <c r="TF52" s="91"/>
      <c r="TG52" s="91"/>
      <c r="TH52" s="91"/>
      <c r="TI52" s="91"/>
      <c r="TJ52" s="91"/>
      <c r="TK52" s="91"/>
      <c r="TL52" s="91"/>
      <c r="TM52" s="91"/>
      <c r="TN52" s="91"/>
      <c r="TO52" s="91"/>
      <c r="TP52" s="91"/>
      <c r="TQ52" s="91"/>
      <c r="TR52" s="91"/>
      <c r="TS52" s="91"/>
      <c r="TT52" s="91"/>
      <c r="TU52" s="91"/>
      <c r="TV52" s="91"/>
      <c r="TW52" s="91"/>
      <c r="TX52" s="91"/>
      <c r="TY52" s="91"/>
      <c r="TZ52" s="91"/>
      <c r="UA52" s="91"/>
      <c r="UB52" s="91"/>
      <c r="UC52" s="91"/>
      <c r="UD52" s="91"/>
      <c r="UE52" s="91"/>
      <c r="UF52" s="91"/>
      <c r="UG52" s="91"/>
      <c r="UH52" s="91"/>
      <c r="UI52" s="91"/>
      <c r="UJ52" s="91"/>
      <c r="UK52" s="91"/>
      <c r="UL52" s="91"/>
      <c r="UM52" s="91"/>
      <c r="UN52" s="91"/>
      <c r="UO52" s="91"/>
      <c r="UP52" s="91"/>
      <c r="UQ52" s="91"/>
      <c r="UR52" s="91"/>
      <c r="US52" s="91"/>
      <c r="UT52" s="91"/>
      <c r="UU52" s="91"/>
      <c r="UV52" s="91"/>
      <c r="UW52" s="91"/>
      <c r="UX52" s="91"/>
      <c r="UY52" s="91"/>
      <c r="UZ52" s="91"/>
      <c r="VA52" s="91"/>
      <c r="VB52" s="91"/>
      <c r="VC52" s="91"/>
    </row>
    <row r="53" spans="1:575" s="92" customFormat="1" ht="18.75" customHeight="1" x14ac:dyDescent="0.25">
      <c r="A53" s="78"/>
      <c r="B53" s="110"/>
      <c r="C53" s="110"/>
      <c r="D53" s="76" t="s">
        <v>344</v>
      </c>
      <c r="E53" s="131">
        <f>E56+E58+E60+E62+E65+E68+E70+E77+E72</f>
        <v>322153689.97999996</v>
      </c>
      <c r="F53" s="131">
        <f t="shared" ref="F53:P53" si="7">F56+F58+F60+F62+F65+F68+F70+F77+F72</f>
        <v>322153689.97999996</v>
      </c>
      <c r="G53" s="131">
        <f t="shared" si="7"/>
        <v>256716014</v>
      </c>
      <c r="H53" s="131">
        <f t="shared" si="7"/>
        <v>0</v>
      </c>
      <c r="I53" s="131">
        <f t="shared" si="7"/>
        <v>0</v>
      </c>
      <c r="J53" s="131">
        <f t="shared" si="7"/>
        <v>19899466.740000002</v>
      </c>
      <c r="K53" s="131">
        <f t="shared" si="7"/>
        <v>19899466.740000002</v>
      </c>
      <c r="L53" s="131">
        <f t="shared" si="7"/>
        <v>0</v>
      </c>
      <c r="M53" s="131">
        <f t="shared" si="7"/>
        <v>0</v>
      </c>
      <c r="N53" s="131">
        <f t="shared" si="7"/>
        <v>0</v>
      </c>
      <c r="O53" s="131">
        <f t="shared" si="7"/>
        <v>19899466.740000002</v>
      </c>
      <c r="P53" s="131">
        <f t="shared" si="7"/>
        <v>342053156.72000003</v>
      </c>
      <c r="Q53" s="159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</row>
    <row r="54" spans="1:575" s="55" customFormat="1" ht="46.5" customHeight="1" x14ac:dyDescent="0.25">
      <c r="A54" s="53" t="s">
        <v>222</v>
      </c>
      <c r="B54" s="102" t="str">
        <f>'дод 2'!A13</f>
        <v>0160</v>
      </c>
      <c r="C54" s="102" t="str">
        <f>'дод 2'!B13</f>
        <v>0111</v>
      </c>
      <c r="D54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54" s="132">
        <f t="shared" ref="E54:E68" si="8">F54+I54</f>
        <v>3327600</v>
      </c>
      <c r="F54" s="132">
        <v>3327600</v>
      </c>
      <c r="G54" s="132">
        <v>2597420</v>
      </c>
      <c r="H54" s="132">
        <f>47700+816</f>
        <v>48516</v>
      </c>
      <c r="I54" s="132"/>
      <c r="J54" s="132">
        <f t="shared" si="3"/>
        <v>0</v>
      </c>
      <c r="K54" s="132"/>
      <c r="L54" s="132"/>
      <c r="M54" s="132"/>
      <c r="N54" s="132"/>
      <c r="O54" s="132"/>
      <c r="P54" s="132">
        <f t="shared" ref="P54:P81" si="9">E54+J54</f>
        <v>3327600</v>
      </c>
      <c r="Q54" s="159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</row>
    <row r="55" spans="1:575" s="55" customFormat="1" ht="21.75" customHeight="1" x14ac:dyDescent="0.25">
      <c r="A55" s="53" t="s">
        <v>223</v>
      </c>
      <c r="B55" s="102" t="str">
        <f>'дод 2'!A17</f>
        <v>1010</v>
      </c>
      <c r="C55" s="102" t="str">
        <f>'дод 2'!B17</f>
        <v>0910</v>
      </c>
      <c r="D55" s="56" t="str">
        <f>'дод 2'!C17</f>
        <v>Надання дошкільної освіти</v>
      </c>
      <c r="E55" s="132">
        <f t="shared" si="8"/>
        <v>212905915</v>
      </c>
      <c r="F55" s="132">
        <f>213029620+72000+56500+2000+54995+44000-1000000+36200+30000+5000+50000-11000+20000+3000+8700+14000+3000+50000+80000+230000+76000+1900+50000</f>
        <v>212905915</v>
      </c>
      <c r="G55" s="132">
        <f>134790000+36066-9016-330000-20000</f>
        <v>134467050</v>
      </c>
      <c r="H55" s="132">
        <f>25657600+166344+72000-1000000+2792</f>
        <v>24898736</v>
      </c>
      <c r="I55" s="132"/>
      <c r="J55" s="132">
        <f t="shared" si="3"/>
        <v>22599017</v>
      </c>
      <c r="K55" s="132">
        <f>3500000+1163000+600000+112000-34164+73500+122800+24000+69970-30000-6000+47000+30000+37000+12000+400000+40000-76000+273249+10100+10000+13000+8000+83174-132923</f>
        <v>6349706</v>
      </c>
      <c r="L55" s="132">
        <v>16249311</v>
      </c>
      <c r="M55" s="132"/>
      <c r="N55" s="132"/>
      <c r="O55" s="132">
        <f>3500000+1163000+600000+112000-34164+73500+122800+24000+69970-30000-6000+47000+30000+37000+12000+400000+40000-76000+273249+10100+10000+13000+8000+83174-132923</f>
        <v>6349706</v>
      </c>
      <c r="P55" s="132">
        <f t="shared" si="9"/>
        <v>235504932</v>
      </c>
      <c r="Q55" s="159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</row>
    <row r="56" spans="1:575" s="55" customFormat="1" ht="21.75" customHeight="1" x14ac:dyDescent="0.25">
      <c r="A56" s="53"/>
      <c r="B56" s="102"/>
      <c r="C56" s="102"/>
      <c r="D56" s="54" t="s">
        <v>344</v>
      </c>
      <c r="E56" s="132">
        <f t="shared" si="8"/>
        <v>33000</v>
      </c>
      <c r="F56" s="132">
        <f>44000-11000</f>
        <v>33000</v>
      </c>
      <c r="G56" s="132">
        <f>36066-9016</f>
        <v>27050</v>
      </c>
      <c r="H56" s="132"/>
      <c r="I56" s="132"/>
      <c r="J56" s="132">
        <f t="shared" si="3"/>
        <v>18000</v>
      </c>
      <c r="K56" s="132">
        <f>24000-6000</f>
        <v>18000</v>
      </c>
      <c r="L56" s="132"/>
      <c r="M56" s="132"/>
      <c r="N56" s="132"/>
      <c r="O56" s="132">
        <f>24000-6000</f>
        <v>18000</v>
      </c>
      <c r="P56" s="132">
        <f t="shared" si="9"/>
        <v>51000</v>
      </c>
      <c r="Q56" s="159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</row>
    <row r="57" spans="1:575" s="55" customFormat="1" ht="69" customHeight="1" x14ac:dyDescent="0.25">
      <c r="A57" s="53" t="s">
        <v>224</v>
      </c>
      <c r="B57" s="102" t="str">
        <f>'дод 2'!A19</f>
        <v>1020</v>
      </c>
      <c r="C57" s="102" t="str">
        <f>'дод 2'!B19</f>
        <v>0921</v>
      </c>
      <c r="D57" s="56" t="str">
        <f>'дод 2'!C19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2">
        <f t="shared" si="8"/>
        <v>474185493.31</v>
      </c>
      <c r="F57" s="132">
        <f>462250840-2399200+2855820+1033063+2350000+277870+110800+152663+143654.6-190117+4218226-1124285+50000+46450-175223+73000+62000+1204400+11000+22277+2000+10000+50000+44680+70000+54860+3200+200000+21800+65000+42550-12306+51734+2000000+9000+10000+74375+50000+6500+1875+287250-29300+9321+200000+1500000-1500000-963.29-9321</f>
        <v>474185493.31</v>
      </c>
      <c r="G57" s="132">
        <f>319037700-1969800+2344680+550403-101292+9016+1630000-279000+72713+1230000-1230000-7640</f>
        <v>321286780</v>
      </c>
      <c r="H57" s="132">
        <f>39027550+244188-1124285-175223+4576-12306+345-1029300</f>
        <v>36935545</v>
      </c>
      <c r="I57" s="132"/>
      <c r="J57" s="132">
        <f t="shared" si="3"/>
        <v>33720971.859999999</v>
      </c>
      <c r="K57" s="132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L57" s="132">
        <v>19007022</v>
      </c>
      <c r="M57" s="132">
        <v>939364</v>
      </c>
      <c r="N57" s="132">
        <v>38709</v>
      </c>
      <c r="O57" s="132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P57" s="132">
        <f t="shared" si="9"/>
        <v>507906465.17000002</v>
      </c>
      <c r="Q57" s="15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</row>
    <row r="58" spans="1:575" s="55" customFormat="1" ht="15" x14ac:dyDescent="0.25">
      <c r="A58" s="53"/>
      <c r="B58" s="102"/>
      <c r="C58" s="102"/>
      <c r="D58" s="54" t="s">
        <v>344</v>
      </c>
      <c r="E58" s="132">
        <f t="shared" si="8"/>
        <v>299354846.70999998</v>
      </c>
      <c r="F58" s="132">
        <f>294994100-2399200+1033063+152663+4028109+1204400+11000+42550+1875+287250+9321-963.29-9321</f>
        <v>299354846.70999998</v>
      </c>
      <c r="G58" s="132">
        <f>242195500-1969800+550403-101292+9016-203000+72713-7640</f>
        <v>240545900</v>
      </c>
      <c r="H58" s="132"/>
      <c r="I58" s="132"/>
      <c r="J58" s="132">
        <f t="shared" si="3"/>
        <v>1110382.8</v>
      </c>
      <c r="K58" s="132">
        <f>134786+972363+6000-9321-2766.2+9321</f>
        <v>1110382.8</v>
      </c>
      <c r="L58" s="132"/>
      <c r="M58" s="132"/>
      <c r="N58" s="132"/>
      <c r="O58" s="132">
        <f>134786+972363+6000-9321-2766.2+9321</f>
        <v>1110382.8</v>
      </c>
      <c r="P58" s="132">
        <f t="shared" si="9"/>
        <v>300465229.50999999</v>
      </c>
      <c r="Q58" s="159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</row>
    <row r="59" spans="1:575" s="55" customFormat="1" ht="31.5" customHeight="1" x14ac:dyDescent="0.25">
      <c r="A59" s="53" t="s">
        <v>351</v>
      </c>
      <c r="B59" s="102" t="str">
        <f>'дод 2'!A21</f>
        <v>1030</v>
      </c>
      <c r="C59" s="102" t="str">
        <f>'дод 2'!B21</f>
        <v>0921</v>
      </c>
      <c r="D59" s="56" t="str">
        <f>'дод 2'!C21</f>
        <v>Надання загальної середньої освіти вечiрнiми (змінними) школами</v>
      </c>
      <c r="E59" s="132">
        <f t="shared" si="8"/>
        <v>1038650</v>
      </c>
      <c r="F59" s="132">
        <f>946850+91800</f>
        <v>1038650</v>
      </c>
      <c r="G59" s="132">
        <f>775000+86000</f>
        <v>861000</v>
      </c>
      <c r="H59" s="132"/>
      <c r="I59" s="132"/>
      <c r="J59" s="132">
        <f t="shared" si="3"/>
        <v>0</v>
      </c>
      <c r="K59" s="132"/>
      <c r="L59" s="132"/>
      <c r="M59" s="132"/>
      <c r="N59" s="132"/>
      <c r="O59" s="132"/>
      <c r="P59" s="132">
        <f t="shared" si="9"/>
        <v>1038650</v>
      </c>
      <c r="Q59" s="159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</row>
    <row r="60" spans="1:575" s="55" customFormat="1" ht="17.25" customHeight="1" x14ac:dyDescent="0.25">
      <c r="A60" s="53"/>
      <c r="B60" s="102"/>
      <c r="C60" s="102"/>
      <c r="D60" s="54" t="s">
        <v>344</v>
      </c>
      <c r="E60" s="132">
        <f t="shared" si="8"/>
        <v>945500</v>
      </c>
      <c r="F60" s="132">
        <v>945500</v>
      </c>
      <c r="G60" s="132">
        <v>775000</v>
      </c>
      <c r="H60" s="132"/>
      <c r="I60" s="132"/>
      <c r="J60" s="132">
        <f t="shared" si="3"/>
        <v>0</v>
      </c>
      <c r="K60" s="132"/>
      <c r="L60" s="132"/>
      <c r="M60" s="132"/>
      <c r="N60" s="132"/>
      <c r="O60" s="132"/>
      <c r="P60" s="132">
        <f t="shared" si="9"/>
        <v>945500</v>
      </c>
      <c r="Q60" s="159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</row>
    <row r="61" spans="1:575" s="55" customFormat="1" ht="72" customHeight="1" x14ac:dyDescent="0.25">
      <c r="A61" s="53" t="s">
        <v>292</v>
      </c>
      <c r="B61" s="102" t="str">
        <f>'дод 2'!A23</f>
        <v>1070</v>
      </c>
      <c r="C61" s="102" t="str">
        <f>'дод 2'!B23</f>
        <v>0922</v>
      </c>
      <c r="D61" s="56" t="str">
        <f>'дод 2'!C23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2">
        <f t="shared" si="8"/>
        <v>8979284</v>
      </c>
      <c r="F61" s="132">
        <f>8801450+80200+4000+8500+7450+32244+5150+40290</f>
        <v>8979284</v>
      </c>
      <c r="G61" s="132">
        <f>6226400+30000</f>
        <v>6256400</v>
      </c>
      <c r="H61" s="132">
        <f>758850+1680</f>
        <v>760530</v>
      </c>
      <c r="I61" s="132"/>
      <c r="J61" s="132">
        <f t="shared" si="3"/>
        <v>236202.49</v>
      </c>
      <c r="K61" s="132">
        <f>150000+33400+26500+15000+11302.49</f>
        <v>236202.49</v>
      </c>
      <c r="L61" s="132"/>
      <c r="M61" s="132"/>
      <c r="N61" s="132"/>
      <c r="O61" s="132">
        <f>150000+33400+26500+15000+11302.49</f>
        <v>236202.49</v>
      </c>
      <c r="P61" s="132">
        <f t="shared" si="9"/>
        <v>9215486.4900000002</v>
      </c>
      <c r="Q61" s="159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</row>
    <row r="62" spans="1:575" s="55" customFormat="1" ht="24" customHeight="1" x14ac:dyDescent="0.25">
      <c r="A62" s="53"/>
      <c r="B62" s="102"/>
      <c r="C62" s="102"/>
      <c r="D62" s="54" t="s">
        <v>344</v>
      </c>
      <c r="E62" s="132">
        <f t="shared" si="8"/>
        <v>6105244</v>
      </c>
      <c r="F62" s="132">
        <f>6060400+7450+32244+5150</f>
        <v>6105244</v>
      </c>
      <c r="G62" s="132">
        <v>4975700</v>
      </c>
      <c r="H62" s="132"/>
      <c r="I62" s="132"/>
      <c r="J62" s="132">
        <f t="shared" si="3"/>
        <v>11302.49</v>
      </c>
      <c r="K62" s="132">
        <v>11302.49</v>
      </c>
      <c r="L62" s="132"/>
      <c r="M62" s="132"/>
      <c r="N62" s="132"/>
      <c r="O62" s="132">
        <v>11302.49</v>
      </c>
      <c r="P62" s="132">
        <f t="shared" si="9"/>
        <v>6116546.4900000002</v>
      </c>
      <c r="Q62" s="159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</row>
    <row r="63" spans="1:575" s="55" customFormat="1" ht="32.25" customHeight="1" x14ac:dyDescent="0.25">
      <c r="A63" s="53" t="s">
        <v>293</v>
      </c>
      <c r="B63" s="102" t="str">
        <f>'дод 2'!A25</f>
        <v>1090</v>
      </c>
      <c r="C63" s="102" t="str">
        <f>'дод 2'!B25</f>
        <v>0960</v>
      </c>
      <c r="D63" s="56" t="str">
        <f>'дод 2'!C25</f>
        <v xml:space="preserve">Надання позашкільної освіти позашкільними закладами освіти, заходи із позашкільної роботи з дітьми </v>
      </c>
      <c r="E63" s="132">
        <f t="shared" si="8"/>
        <v>25146125</v>
      </c>
      <c r="F63" s="132">
        <f>24404580+10000+250882+175223+70000+40000+30000+12306-30000+183134</f>
        <v>25146125</v>
      </c>
      <c r="G63" s="132">
        <f>17339000+205640</f>
        <v>17544640</v>
      </c>
      <c r="H63" s="132">
        <f>2843070+16789+175223+12306+183134</f>
        <v>3230522</v>
      </c>
      <c r="I63" s="132"/>
      <c r="J63" s="132">
        <f t="shared" si="3"/>
        <v>300000</v>
      </c>
      <c r="K63" s="132">
        <v>300000</v>
      </c>
      <c r="L63" s="132"/>
      <c r="M63" s="132"/>
      <c r="N63" s="132"/>
      <c r="O63" s="132">
        <v>300000</v>
      </c>
      <c r="P63" s="132">
        <f t="shared" si="9"/>
        <v>25446125</v>
      </c>
      <c r="Q63" s="159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</row>
    <row r="64" spans="1:575" s="55" customFormat="1" ht="33.75" customHeight="1" x14ac:dyDescent="0.25">
      <c r="A64" s="53" t="s">
        <v>291</v>
      </c>
      <c r="B64" s="102" t="str">
        <f>'дод 2'!A27</f>
        <v>1110</v>
      </c>
      <c r="C64" s="102" t="str">
        <f>'дод 2'!B27</f>
        <v>0930</v>
      </c>
      <c r="D64" s="56" t="str">
        <f>'дод 2'!C27</f>
        <v>Підготовка кадрів професійно-технічними закладами та іншими закладами освіти</v>
      </c>
      <c r="E64" s="132">
        <f t="shared" si="8"/>
        <v>105776700.27000001</v>
      </c>
      <c r="F64" s="132">
        <f>101675500+500000+199000+10000+622000+220000+1801100+401940+40000+148325+2500+35398.04+27616.23+93321</f>
        <v>105776700.27000001</v>
      </c>
      <c r="G64" s="132">
        <f>59049100-61300-25000</f>
        <v>58962800</v>
      </c>
      <c r="H64" s="132">
        <f>10451100+39926-85000</f>
        <v>10406026</v>
      </c>
      <c r="I64" s="132">
        <v>0</v>
      </c>
      <c r="J64" s="132">
        <f t="shared" si="3"/>
        <v>12527238.960000001</v>
      </c>
      <c r="K64" s="132">
        <f>3528000+535071+288000+494060-35398.04</f>
        <v>4809732.96</v>
      </c>
      <c r="L64" s="132">
        <v>7600506</v>
      </c>
      <c r="M64" s="132">
        <v>2516057</v>
      </c>
      <c r="N64" s="132">
        <v>2589380</v>
      </c>
      <c r="O64" s="132">
        <f>117000+3528000+535071+288000+494060-35398.04</f>
        <v>4926732.96</v>
      </c>
      <c r="P64" s="132">
        <f t="shared" si="9"/>
        <v>118303939.23000002</v>
      </c>
      <c r="Q64" s="159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</row>
    <row r="65" spans="1:575" s="55" customFormat="1" ht="15.75" customHeight="1" x14ac:dyDescent="0.25">
      <c r="A65" s="53"/>
      <c r="B65" s="102"/>
      <c r="C65" s="102"/>
      <c r="D65" s="54" t="s">
        <v>344</v>
      </c>
      <c r="E65" s="132">
        <f t="shared" si="8"/>
        <v>14536379.27</v>
      </c>
      <c r="F65" s="132">
        <f>11500000+622000+1801100+401940+148325+35398.04+27616.23</f>
        <v>14536379.27</v>
      </c>
      <c r="G65" s="132">
        <v>9426200</v>
      </c>
      <c r="H65" s="132"/>
      <c r="I65" s="132"/>
      <c r="J65" s="132">
        <f t="shared" si="3"/>
        <v>4809732.96</v>
      </c>
      <c r="K65" s="132">
        <f>3528000+535071+288000+494060-35398.04</f>
        <v>4809732.96</v>
      </c>
      <c r="L65" s="132"/>
      <c r="M65" s="132"/>
      <c r="N65" s="132"/>
      <c r="O65" s="132">
        <f>3528000+535071+288000+494060-35398.04</f>
        <v>4809732.96</v>
      </c>
      <c r="P65" s="132">
        <f t="shared" si="9"/>
        <v>19346112.23</v>
      </c>
      <c r="Q65" s="159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</row>
    <row r="66" spans="1:575" s="55" customFormat="1" ht="21" customHeight="1" x14ac:dyDescent="0.25">
      <c r="A66" s="53" t="s">
        <v>225</v>
      </c>
      <c r="B66" s="102" t="str">
        <f>'дод 2'!A29</f>
        <v>1150</v>
      </c>
      <c r="C66" s="102" t="str">
        <f>'дод 2'!B29</f>
        <v>0990</v>
      </c>
      <c r="D66" s="56" t="str">
        <f>'дод 2'!C29</f>
        <v xml:space="preserve">Методичне забезпечення діяльності навчальних закладів  </v>
      </c>
      <c r="E66" s="132">
        <f t="shared" si="8"/>
        <v>2847270</v>
      </c>
      <c r="F66" s="132">
        <f>2838770+8500</f>
        <v>2847270</v>
      </c>
      <c r="G66" s="132">
        <v>2189100</v>
      </c>
      <c r="H66" s="132">
        <f>127170+1728</f>
        <v>128898</v>
      </c>
      <c r="I66" s="132"/>
      <c r="J66" s="132">
        <f t="shared" si="3"/>
        <v>6500</v>
      </c>
      <c r="K66" s="132">
        <v>6500</v>
      </c>
      <c r="L66" s="132"/>
      <c r="M66" s="132"/>
      <c r="N66" s="132"/>
      <c r="O66" s="132">
        <v>6500</v>
      </c>
      <c r="P66" s="132">
        <f t="shared" si="9"/>
        <v>2853770</v>
      </c>
      <c r="Q66" s="159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</row>
    <row r="67" spans="1:575" s="55" customFormat="1" ht="26.25" customHeight="1" x14ac:dyDescent="0.25">
      <c r="A67" s="53" t="s">
        <v>399</v>
      </c>
      <c r="B67" s="102" t="str">
        <f>'дод 2'!A30</f>
        <v>1161</v>
      </c>
      <c r="C67" s="102" t="str">
        <f>'дод 2'!B30</f>
        <v>0990</v>
      </c>
      <c r="D67" s="56" t="s">
        <v>370</v>
      </c>
      <c r="E67" s="132">
        <f t="shared" si="8"/>
        <v>8216180</v>
      </c>
      <c r="F67" s="132">
        <f>8507180+1178720+44800-1583510+5000+3500+25000+8000-1810+29300</f>
        <v>8216180</v>
      </c>
      <c r="G67" s="132">
        <f>6061800+966164-1166764</f>
        <v>5861200</v>
      </c>
      <c r="H67" s="132">
        <f>603390+704-92060+895+29300</f>
        <v>542229</v>
      </c>
      <c r="I67" s="132"/>
      <c r="J67" s="132">
        <f t="shared" ref="J67:J123" si="10">L67+O67</f>
        <v>148000</v>
      </c>
      <c r="K67" s="132">
        <f>170000+8000-30000</f>
        <v>148000</v>
      </c>
      <c r="L67" s="132"/>
      <c r="M67" s="132"/>
      <c r="N67" s="132"/>
      <c r="O67" s="132">
        <f>170000+8000-30000</f>
        <v>148000</v>
      </c>
      <c r="P67" s="132">
        <f t="shared" si="9"/>
        <v>8364180</v>
      </c>
      <c r="Q67" s="159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</row>
    <row r="68" spans="1:575" s="55" customFormat="1" ht="15" hidden="1" customHeight="1" x14ac:dyDescent="0.25">
      <c r="A68" s="53"/>
      <c r="B68" s="102"/>
      <c r="C68" s="102"/>
      <c r="D68" s="54" t="s">
        <v>344</v>
      </c>
      <c r="E68" s="132">
        <f t="shared" si="8"/>
        <v>0</v>
      </c>
      <c r="F68" s="132">
        <f>1178720-1178720</f>
        <v>0</v>
      </c>
      <c r="G68" s="132">
        <f>966164-966164</f>
        <v>0</v>
      </c>
      <c r="H68" s="132"/>
      <c r="I68" s="132"/>
      <c r="J68" s="132">
        <f t="shared" si="10"/>
        <v>0</v>
      </c>
      <c r="K68" s="132"/>
      <c r="L68" s="132"/>
      <c r="M68" s="132"/>
      <c r="N68" s="132"/>
      <c r="O68" s="132"/>
      <c r="P68" s="132">
        <f t="shared" si="9"/>
        <v>0</v>
      </c>
      <c r="Q68" s="159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</row>
    <row r="69" spans="1:575" s="55" customFormat="1" ht="20.25" customHeight="1" x14ac:dyDescent="0.25">
      <c r="A69" s="53" t="s">
        <v>400</v>
      </c>
      <c r="B69" s="102" t="str">
        <f>'дод 2'!A32</f>
        <v>1162</v>
      </c>
      <c r="C69" s="102" t="str">
        <f>'дод 2'!B32</f>
        <v>0990</v>
      </c>
      <c r="D69" s="56" t="str">
        <f>'дод 2'!C32</f>
        <v>Інші програми та заходи у сфері освіти</v>
      </c>
      <c r="E69" s="132">
        <f t="shared" ref="E69:E81" si="11">F69+I69</f>
        <v>90400</v>
      </c>
      <c r="F69" s="132">
        <v>90400</v>
      </c>
      <c r="G69" s="132"/>
      <c r="H69" s="132"/>
      <c r="I69" s="132"/>
      <c r="J69" s="132">
        <f t="shared" si="10"/>
        <v>0</v>
      </c>
      <c r="K69" s="132"/>
      <c r="L69" s="132"/>
      <c r="M69" s="132"/>
      <c r="N69" s="132"/>
      <c r="O69" s="132"/>
      <c r="P69" s="132">
        <f t="shared" si="9"/>
        <v>90400</v>
      </c>
      <c r="Q69" s="159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</row>
    <row r="70" spans="1:575" s="55" customFormat="1" ht="15" hidden="1" customHeight="1" x14ac:dyDescent="0.25">
      <c r="A70" s="53"/>
      <c r="B70" s="102"/>
      <c r="C70" s="102"/>
      <c r="D70" s="54" t="s">
        <v>344</v>
      </c>
      <c r="E70" s="132">
        <f t="shared" si="11"/>
        <v>0</v>
      </c>
      <c r="F70" s="132"/>
      <c r="G70" s="132"/>
      <c r="H70" s="132"/>
      <c r="I70" s="132"/>
      <c r="J70" s="132">
        <f t="shared" si="10"/>
        <v>0</v>
      </c>
      <c r="K70" s="132"/>
      <c r="L70" s="132"/>
      <c r="M70" s="132"/>
      <c r="N70" s="132"/>
      <c r="O70" s="132"/>
      <c r="P70" s="132">
        <f t="shared" si="9"/>
        <v>0</v>
      </c>
      <c r="Q70" s="159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</row>
    <row r="71" spans="1:575" s="55" customFormat="1" ht="15" x14ac:dyDescent="0.25">
      <c r="A71" s="79" t="s">
        <v>592</v>
      </c>
      <c r="B71" s="102">
        <v>1170</v>
      </c>
      <c r="C71" s="102" t="s">
        <v>84</v>
      </c>
      <c r="D71" s="54" t="s">
        <v>573</v>
      </c>
      <c r="E71" s="132">
        <f t="shared" si="11"/>
        <v>1451420</v>
      </c>
      <c r="F71" s="132">
        <f>1583510-40290-91800</f>
        <v>1451420</v>
      </c>
      <c r="G71" s="132">
        <f>1166764-30000-86000</f>
        <v>1050764</v>
      </c>
      <c r="H71" s="132">
        <v>92060</v>
      </c>
      <c r="I71" s="132"/>
      <c r="J71" s="132">
        <f t="shared" si="10"/>
        <v>30000</v>
      </c>
      <c r="K71" s="132">
        <v>30000</v>
      </c>
      <c r="L71" s="132"/>
      <c r="M71" s="132"/>
      <c r="N71" s="132"/>
      <c r="O71" s="132">
        <v>30000</v>
      </c>
      <c r="P71" s="132">
        <f t="shared" si="9"/>
        <v>1481420</v>
      </c>
      <c r="Q71" s="159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</row>
    <row r="72" spans="1:575" s="55" customFormat="1" ht="15" x14ac:dyDescent="0.25">
      <c r="A72" s="53"/>
      <c r="B72" s="102"/>
      <c r="C72" s="102"/>
      <c r="D72" s="54" t="s">
        <v>344</v>
      </c>
      <c r="E72" s="132">
        <f t="shared" si="11"/>
        <v>1178720</v>
      </c>
      <c r="F72" s="132">
        <v>1178720</v>
      </c>
      <c r="G72" s="132">
        <v>966164</v>
      </c>
      <c r="H72" s="132"/>
      <c r="I72" s="132"/>
      <c r="J72" s="132">
        <f t="shared" si="10"/>
        <v>0</v>
      </c>
      <c r="K72" s="132"/>
      <c r="L72" s="132"/>
      <c r="M72" s="132"/>
      <c r="N72" s="132"/>
      <c r="O72" s="132"/>
      <c r="P72" s="132">
        <f t="shared" si="9"/>
        <v>1178720</v>
      </c>
      <c r="Q72" s="159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</row>
    <row r="73" spans="1:575" s="55" customFormat="1" ht="64.5" customHeight="1" x14ac:dyDescent="0.25">
      <c r="A73" s="53" t="s">
        <v>226</v>
      </c>
      <c r="B73" s="102" t="str">
        <f>'дод 2'!A109</f>
        <v>3140</v>
      </c>
      <c r="C73" s="102" t="str">
        <f>'дод 2'!B109</f>
        <v>1040</v>
      </c>
      <c r="D73" s="56" t="str">
        <f>'дод 2'!C109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2">
        <f t="shared" si="11"/>
        <v>6692180</v>
      </c>
      <c r="F73" s="132">
        <f>7301000-54512-13000-183134-83174-200000-75000</f>
        <v>6692180</v>
      </c>
      <c r="G73" s="132"/>
      <c r="H73" s="132"/>
      <c r="I73" s="132"/>
      <c r="J73" s="132">
        <f t="shared" si="10"/>
        <v>0</v>
      </c>
      <c r="K73" s="132"/>
      <c r="L73" s="132"/>
      <c r="M73" s="132"/>
      <c r="N73" s="132"/>
      <c r="O73" s="132"/>
      <c r="P73" s="132">
        <f t="shared" si="9"/>
        <v>6692180</v>
      </c>
      <c r="Q73" s="159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</row>
    <row r="74" spans="1:575" s="55" customFormat="1" ht="31.5" customHeight="1" x14ac:dyDescent="0.25">
      <c r="A74" s="53" t="s">
        <v>478</v>
      </c>
      <c r="B74" s="102" t="str">
        <f>'дод 2'!A129</f>
        <v>3242</v>
      </c>
      <c r="C74" s="102" t="str">
        <f>'дод 2'!B129</f>
        <v>1090</v>
      </c>
      <c r="D74" s="56" t="str">
        <f>'дод 2'!C129</f>
        <v>Інші заходи у сфері соціального захисту і соціального забезпечення</v>
      </c>
      <c r="E74" s="132">
        <f t="shared" si="11"/>
        <v>57920</v>
      </c>
      <c r="F74" s="132">
        <f>56110+1810</f>
        <v>57920</v>
      </c>
      <c r="G74" s="132"/>
      <c r="H74" s="132"/>
      <c r="I74" s="132"/>
      <c r="J74" s="132">
        <f t="shared" si="10"/>
        <v>0</v>
      </c>
      <c r="K74" s="132"/>
      <c r="L74" s="132"/>
      <c r="M74" s="132"/>
      <c r="N74" s="132"/>
      <c r="O74" s="132"/>
      <c r="P74" s="132">
        <f t="shared" si="9"/>
        <v>57920</v>
      </c>
      <c r="Q74" s="159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</row>
    <row r="75" spans="1:575" s="55" customFormat="1" ht="33" customHeight="1" x14ac:dyDescent="0.25">
      <c r="A75" s="53" t="s">
        <v>227</v>
      </c>
      <c r="B75" s="102" t="str">
        <f>'дод 2'!A138</f>
        <v>5031</v>
      </c>
      <c r="C75" s="102" t="str">
        <f>'дод 2'!B138</f>
        <v>0810</v>
      </c>
      <c r="D75" s="56" t="str">
        <f>'дод 2'!C138</f>
        <v>Утримання та навчально-тренувальна робота комунальних дитячо-юнацьких спортивних шкіл</v>
      </c>
      <c r="E75" s="132">
        <f t="shared" si="11"/>
        <v>4858100</v>
      </c>
      <c r="F75" s="132">
        <f>4846100+12000</f>
        <v>4858100</v>
      </c>
      <c r="G75" s="132">
        <v>3511500</v>
      </c>
      <c r="H75" s="132">
        <v>219600</v>
      </c>
      <c r="I75" s="132"/>
      <c r="J75" s="132">
        <f t="shared" si="10"/>
        <v>50000</v>
      </c>
      <c r="K75" s="132">
        <v>50000</v>
      </c>
      <c r="L75" s="132"/>
      <c r="M75" s="132"/>
      <c r="N75" s="132"/>
      <c r="O75" s="132">
        <f>50000</f>
        <v>50000</v>
      </c>
      <c r="P75" s="132">
        <f t="shared" si="9"/>
        <v>4908100</v>
      </c>
      <c r="Q75" s="159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</row>
    <row r="76" spans="1:575" s="55" customFormat="1" ht="45" x14ac:dyDescent="0.25">
      <c r="A76" s="53" t="s">
        <v>499</v>
      </c>
      <c r="B76" s="102" t="str">
        <f>'дод 2'!A171</f>
        <v>7363</v>
      </c>
      <c r="C76" s="102" t="str">
        <f>'дод 2'!B171</f>
        <v>0490</v>
      </c>
      <c r="D76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76" s="132">
        <f t="shared" si="11"/>
        <v>0</v>
      </c>
      <c r="F76" s="132"/>
      <c r="G76" s="132"/>
      <c r="H76" s="132"/>
      <c r="I76" s="132"/>
      <c r="J76" s="132">
        <f t="shared" si="10"/>
        <v>14122436.43</v>
      </c>
      <c r="K76" s="132">
        <f>6305000+4331074.49+172387.94+1989000+3405000-2080026</f>
        <v>14122436.43</v>
      </c>
      <c r="L76" s="132"/>
      <c r="M76" s="132"/>
      <c r="N76" s="132"/>
      <c r="O76" s="132">
        <f>6305000+4331074.49+172387.94+1989000+3405000-2080026</f>
        <v>14122436.43</v>
      </c>
      <c r="P76" s="132">
        <f t="shared" si="9"/>
        <v>14122436.43</v>
      </c>
      <c r="Q76" s="159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</row>
    <row r="77" spans="1:575" s="55" customFormat="1" ht="15" x14ac:dyDescent="0.25">
      <c r="A77" s="53"/>
      <c r="B77" s="102"/>
      <c r="C77" s="102"/>
      <c r="D77" s="54" t="s">
        <v>344</v>
      </c>
      <c r="E77" s="132">
        <f t="shared" si="11"/>
        <v>0</v>
      </c>
      <c r="F77" s="132"/>
      <c r="G77" s="132"/>
      <c r="H77" s="132"/>
      <c r="I77" s="132"/>
      <c r="J77" s="132">
        <f t="shared" si="10"/>
        <v>13950048.49</v>
      </c>
      <c r="K77" s="132">
        <f>6305000+4331074.49+1989000+3405000-2080026</f>
        <v>13950048.49</v>
      </c>
      <c r="L77" s="132"/>
      <c r="M77" s="132"/>
      <c r="N77" s="132"/>
      <c r="O77" s="132">
        <f>6305000+4331074.49+1989000+3405000-2080026</f>
        <v>13950048.49</v>
      </c>
      <c r="P77" s="132">
        <f t="shared" si="9"/>
        <v>13950048.49</v>
      </c>
      <c r="Q77" s="159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</row>
    <row r="78" spans="1:575" s="55" customFormat="1" ht="25.5" customHeight="1" x14ac:dyDescent="0.25">
      <c r="A78" s="53" t="s">
        <v>228</v>
      </c>
      <c r="B78" s="102" t="str">
        <f>'дод 2'!A188</f>
        <v>7640</v>
      </c>
      <c r="C78" s="102" t="str">
        <f>'дод 2'!B188</f>
        <v>0470</v>
      </c>
      <c r="D78" s="56" t="str">
        <f>'дод 2'!C188</f>
        <v>Заходи з енергозбереження</v>
      </c>
      <c r="E78" s="132">
        <f t="shared" si="11"/>
        <v>427000</v>
      </c>
      <c r="F78" s="132">
        <v>427000</v>
      </c>
      <c r="G78" s="132"/>
      <c r="H78" s="132"/>
      <c r="I78" s="132"/>
      <c r="J78" s="132">
        <f t="shared" si="10"/>
        <v>4451714.3499999996</v>
      </c>
      <c r="K78" s="132">
        <f>4046000+3900000-3900000-450000+1300000-444285.65</f>
        <v>4451714.3499999996</v>
      </c>
      <c r="L78" s="132"/>
      <c r="M78" s="132"/>
      <c r="N78" s="132"/>
      <c r="O78" s="132">
        <f>4046000+3900000-3900000-450000+1300000-444285.65</f>
        <v>4451714.3499999996</v>
      </c>
      <c r="P78" s="132">
        <f t="shared" si="9"/>
        <v>4878714.3499999996</v>
      </c>
      <c r="Q78" s="159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</row>
    <row r="79" spans="1:575" s="55" customFormat="1" ht="27" customHeight="1" x14ac:dyDescent="0.25">
      <c r="A79" s="53" t="s">
        <v>229</v>
      </c>
      <c r="B79" s="102" t="str">
        <f>'дод 2'!A206</f>
        <v>8340</v>
      </c>
      <c r="C79" s="102" t="str">
        <f>'дод 2'!B206</f>
        <v>0540</v>
      </c>
      <c r="D79" s="56" t="str">
        <f>'дод 2'!C206</f>
        <v>Природоохоронні заходи за рахунок цільових фондів</v>
      </c>
      <c r="E79" s="132">
        <f t="shared" si="11"/>
        <v>0</v>
      </c>
      <c r="F79" s="132"/>
      <c r="G79" s="132"/>
      <c r="H79" s="132"/>
      <c r="I79" s="132"/>
      <c r="J79" s="132">
        <f t="shared" si="10"/>
        <v>485000</v>
      </c>
      <c r="K79" s="132"/>
      <c r="L79" s="132">
        <f>445000-14500</f>
        <v>430500</v>
      </c>
      <c r="M79" s="132"/>
      <c r="N79" s="132"/>
      <c r="O79" s="132">
        <f>40000+14500</f>
        <v>54500</v>
      </c>
      <c r="P79" s="132">
        <f t="shared" si="9"/>
        <v>485000</v>
      </c>
      <c r="Q79" s="159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</row>
    <row r="80" spans="1:575" s="55" customFormat="1" ht="27" customHeight="1" x14ac:dyDescent="0.25">
      <c r="A80" s="79" t="s">
        <v>605</v>
      </c>
      <c r="B80" s="102">
        <v>9770</v>
      </c>
      <c r="C80" s="79" t="s">
        <v>68</v>
      </c>
      <c r="D80" s="10" t="s">
        <v>343</v>
      </c>
      <c r="E80" s="132">
        <f t="shared" si="11"/>
        <v>0</v>
      </c>
      <c r="F80" s="132"/>
      <c r="G80" s="132"/>
      <c r="H80" s="132"/>
      <c r="I80" s="132"/>
      <c r="J80" s="132">
        <f t="shared" si="10"/>
        <v>860000</v>
      </c>
      <c r="K80" s="132">
        <v>860000</v>
      </c>
      <c r="L80" s="132"/>
      <c r="M80" s="132"/>
      <c r="N80" s="132"/>
      <c r="O80" s="132">
        <v>860000</v>
      </c>
      <c r="P80" s="132">
        <f t="shared" si="9"/>
        <v>860000</v>
      </c>
      <c r="Q80" s="159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</row>
    <row r="81" spans="1:575" s="55" customFormat="1" ht="45" x14ac:dyDescent="0.25">
      <c r="A81" s="53" t="s">
        <v>492</v>
      </c>
      <c r="B81" s="102" t="str">
        <f>'дод 2'!A228</f>
        <v>9800</v>
      </c>
      <c r="C81" s="102" t="str">
        <f>'дод 2'!B228</f>
        <v>0180</v>
      </c>
      <c r="D81" s="56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2">
        <f t="shared" si="11"/>
        <v>46152</v>
      </c>
      <c r="F81" s="132">
        <v>46152</v>
      </c>
      <c r="G81" s="132"/>
      <c r="H81" s="132"/>
      <c r="I81" s="132"/>
      <c r="J81" s="132">
        <f t="shared" si="10"/>
        <v>0</v>
      </c>
      <c r="K81" s="132"/>
      <c r="L81" s="132"/>
      <c r="M81" s="132"/>
      <c r="N81" s="132"/>
      <c r="O81" s="132"/>
      <c r="P81" s="132">
        <f t="shared" si="9"/>
        <v>46152</v>
      </c>
      <c r="Q81" s="159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</row>
    <row r="82" spans="1:575" s="72" customFormat="1" ht="21" customHeight="1" x14ac:dyDescent="0.2">
      <c r="A82" s="70" t="s">
        <v>230</v>
      </c>
      <c r="B82" s="111"/>
      <c r="C82" s="111"/>
      <c r="D82" s="71" t="s">
        <v>44</v>
      </c>
      <c r="E82" s="134">
        <f>E83</f>
        <v>348031493.74000001</v>
      </c>
      <c r="F82" s="134">
        <f t="shared" ref="F82:P82" si="12">F83</f>
        <v>347741493.74000001</v>
      </c>
      <c r="G82" s="134">
        <f t="shared" si="12"/>
        <v>1424117</v>
      </c>
      <c r="H82" s="134">
        <f t="shared" si="12"/>
        <v>37401</v>
      </c>
      <c r="I82" s="134">
        <f t="shared" si="12"/>
        <v>290000</v>
      </c>
      <c r="J82" s="134">
        <f t="shared" si="12"/>
        <v>67282898.879999995</v>
      </c>
      <c r="K82" s="134">
        <f t="shared" si="12"/>
        <v>36801567.299999997</v>
      </c>
      <c r="L82" s="134">
        <f t="shared" si="12"/>
        <v>20888678</v>
      </c>
      <c r="M82" s="134">
        <f t="shared" si="12"/>
        <v>0</v>
      </c>
      <c r="N82" s="134">
        <f t="shared" si="12"/>
        <v>0</v>
      </c>
      <c r="O82" s="134">
        <f t="shared" si="12"/>
        <v>46394220.879999995</v>
      </c>
      <c r="P82" s="134">
        <f t="shared" si="12"/>
        <v>415314392.62</v>
      </c>
      <c r="Q82" s="159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90"/>
      <c r="NF82" s="90"/>
      <c r="NG82" s="90"/>
      <c r="NH82" s="90"/>
      <c r="NI82" s="90"/>
      <c r="NJ82" s="90"/>
      <c r="NK82" s="90"/>
      <c r="NL82" s="90"/>
      <c r="NM82" s="90"/>
      <c r="NN82" s="90"/>
      <c r="NO82" s="90"/>
      <c r="NP82" s="90"/>
      <c r="NQ82" s="90"/>
      <c r="NR82" s="90"/>
      <c r="NS82" s="90"/>
      <c r="NT82" s="90"/>
      <c r="NU82" s="90"/>
      <c r="NV82" s="90"/>
      <c r="NW82" s="90"/>
      <c r="NX82" s="90"/>
      <c r="NY82" s="90"/>
      <c r="NZ82" s="90"/>
      <c r="OA82" s="90"/>
      <c r="OB82" s="90"/>
      <c r="OC82" s="90"/>
      <c r="OD82" s="90"/>
      <c r="OE82" s="90"/>
      <c r="OF82" s="90"/>
      <c r="OG82" s="90"/>
      <c r="OH82" s="90"/>
      <c r="OI82" s="90"/>
      <c r="OJ82" s="90"/>
      <c r="OK82" s="90"/>
      <c r="OL82" s="90"/>
      <c r="OM82" s="90"/>
      <c r="ON82" s="90"/>
      <c r="OO82" s="90"/>
      <c r="OP82" s="90"/>
      <c r="OQ82" s="90"/>
      <c r="OR82" s="90"/>
      <c r="OS82" s="90"/>
      <c r="OT82" s="90"/>
      <c r="OU82" s="90"/>
      <c r="OV82" s="90"/>
      <c r="OW82" s="90"/>
      <c r="OX82" s="90"/>
      <c r="OY82" s="90"/>
      <c r="OZ82" s="90"/>
      <c r="PA82" s="90"/>
      <c r="PB82" s="90"/>
      <c r="PC82" s="90"/>
      <c r="PD82" s="90"/>
      <c r="PE82" s="90"/>
      <c r="PF82" s="90"/>
      <c r="PG82" s="90"/>
      <c r="PH82" s="90"/>
      <c r="PI82" s="90"/>
      <c r="PJ82" s="90"/>
      <c r="PK82" s="90"/>
      <c r="PL82" s="90"/>
      <c r="PM82" s="90"/>
      <c r="PN82" s="90"/>
      <c r="PO82" s="90"/>
      <c r="PP82" s="90"/>
      <c r="PQ82" s="90"/>
      <c r="PR82" s="90"/>
      <c r="PS82" s="90"/>
      <c r="PT82" s="90"/>
      <c r="PU82" s="90"/>
      <c r="PV82" s="90"/>
      <c r="PW82" s="90"/>
      <c r="PX82" s="90"/>
      <c r="PY82" s="90"/>
      <c r="PZ82" s="90"/>
      <c r="QA82" s="90"/>
      <c r="QB82" s="90"/>
      <c r="QC82" s="90"/>
      <c r="QD82" s="90"/>
      <c r="QE82" s="90"/>
      <c r="QF82" s="90"/>
      <c r="QG82" s="90"/>
      <c r="QH82" s="90"/>
      <c r="QI82" s="90"/>
      <c r="QJ82" s="90"/>
      <c r="QK82" s="90"/>
      <c r="QL82" s="90"/>
      <c r="QM82" s="90"/>
      <c r="QN82" s="90"/>
      <c r="QO82" s="90"/>
      <c r="QP82" s="90"/>
      <c r="QQ82" s="90"/>
      <c r="QR82" s="90"/>
      <c r="QS82" s="90"/>
      <c r="QT82" s="90"/>
      <c r="QU82" s="90"/>
      <c r="QV82" s="90"/>
      <c r="QW82" s="90"/>
      <c r="QX82" s="90"/>
      <c r="QY82" s="90"/>
      <c r="QZ82" s="90"/>
      <c r="RA82" s="90"/>
      <c r="RB82" s="90"/>
      <c r="RC82" s="90"/>
      <c r="RD82" s="90"/>
      <c r="RE82" s="90"/>
      <c r="RF82" s="90"/>
      <c r="RG82" s="90"/>
      <c r="RH82" s="90"/>
      <c r="RI82" s="90"/>
      <c r="RJ82" s="90"/>
      <c r="RK82" s="90"/>
      <c r="RL82" s="90"/>
      <c r="RM82" s="90"/>
      <c r="RN82" s="90"/>
      <c r="RO82" s="90"/>
      <c r="RP82" s="90"/>
      <c r="RQ82" s="90"/>
      <c r="RR82" s="90"/>
      <c r="RS82" s="90"/>
      <c r="RT82" s="90"/>
      <c r="RU82" s="90"/>
      <c r="RV82" s="90"/>
      <c r="RW82" s="90"/>
      <c r="RX82" s="90"/>
      <c r="RY82" s="90"/>
      <c r="RZ82" s="90"/>
      <c r="SA82" s="90"/>
      <c r="SB82" s="90"/>
      <c r="SC82" s="90"/>
      <c r="SD82" s="90"/>
      <c r="SE82" s="90"/>
      <c r="SF82" s="90"/>
      <c r="SG82" s="90"/>
      <c r="SH82" s="90"/>
      <c r="SI82" s="90"/>
      <c r="SJ82" s="90"/>
      <c r="SK82" s="90"/>
      <c r="SL82" s="90"/>
      <c r="SM82" s="90"/>
      <c r="SN82" s="90"/>
      <c r="SO82" s="90"/>
      <c r="SP82" s="90"/>
      <c r="SQ82" s="90"/>
      <c r="SR82" s="90"/>
      <c r="SS82" s="90"/>
      <c r="ST82" s="90"/>
      <c r="SU82" s="90"/>
      <c r="SV82" s="90"/>
      <c r="SW82" s="90"/>
      <c r="SX82" s="90"/>
      <c r="SY82" s="90"/>
      <c r="SZ82" s="90"/>
      <c r="TA82" s="90"/>
      <c r="TB82" s="90"/>
      <c r="TC82" s="90"/>
      <c r="TD82" s="90"/>
      <c r="TE82" s="90"/>
      <c r="TF82" s="90"/>
      <c r="TG82" s="90"/>
      <c r="TH82" s="90"/>
      <c r="TI82" s="90"/>
      <c r="TJ82" s="90"/>
      <c r="TK82" s="90"/>
      <c r="TL82" s="90"/>
      <c r="TM82" s="90"/>
      <c r="TN82" s="90"/>
      <c r="TO82" s="90"/>
      <c r="TP82" s="90"/>
      <c r="TQ82" s="90"/>
      <c r="TR82" s="90"/>
      <c r="TS82" s="90"/>
      <c r="TT82" s="90"/>
      <c r="TU82" s="90"/>
      <c r="TV82" s="90"/>
      <c r="TW82" s="90"/>
      <c r="TX82" s="90"/>
      <c r="TY82" s="90"/>
      <c r="TZ82" s="90"/>
      <c r="UA82" s="90"/>
      <c r="UB82" s="90"/>
      <c r="UC82" s="90"/>
      <c r="UD82" s="90"/>
      <c r="UE82" s="90"/>
      <c r="UF82" s="90"/>
      <c r="UG82" s="90"/>
      <c r="UH82" s="90"/>
      <c r="UI82" s="90"/>
      <c r="UJ82" s="90"/>
      <c r="UK82" s="90"/>
      <c r="UL82" s="90"/>
      <c r="UM82" s="90"/>
      <c r="UN82" s="90"/>
      <c r="UO82" s="90"/>
      <c r="UP82" s="90"/>
      <c r="UQ82" s="90"/>
      <c r="UR82" s="90"/>
      <c r="US82" s="90"/>
      <c r="UT82" s="90"/>
      <c r="UU82" s="90"/>
      <c r="UV82" s="90"/>
      <c r="UW82" s="90"/>
      <c r="UX82" s="90"/>
      <c r="UY82" s="90"/>
      <c r="UZ82" s="90"/>
      <c r="VA82" s="90"/>
      <c r="VB82" s="90"/>
      <c r="VC82" s="90"/>
    </row>
    <row r="83" spans="1:575" s="92" customFormat="1" ht="18.75" customHeight="1" x14ac:dyDescent="0.25">
      <c r="A83" s="75" t="s">
        <v>231</v>
      </c>
      <c r="B83" s="112"/>
      <c r="C83" s="112"/>
      <c r="D83" s="76" t="s">
        <v>44</v>
      </c>
      <c r="E83" s="131">
        <f>E85+E86+E88+E90+E92+E94+E96+E98+E100+E102+E104+E106+E108+E110+E115+E109+E111+E113</f>
        <v>348031493.74000001</v>
      </c>
      <c r="F83" s="131">
        <f t="shared" ref="F83:P83" si="13">F85+F86+F88+F90+F92+F94+F96+F98+F100+F102+F104+F106+F108+F110+F115+F109+F111+F113</f>
        <v>347741493.74000001</v>
      </c>
      <c r="G83" s="131">
        <f t="shared" si="13"/>
        <v>1424117</v>
      </c>
      <c r="H83" s="131">
        <f t="shared" si="13"/>
        <v>37401</v>
      </c>
      <c r="I83" s="131">
        <f t="shared" si="13"/>
        <v>290000</v>
      </c>
      <c r="J83" s="131">
        <f t="shared" si="13"/>
        <v>67282898.879999995</v>
      </c>
      <c r="K83" s="131">
        <f t="shared" si="13"/>
        <v>36801567.299999997</v>
      </c>
      <c r="L83" s="131">
        <f t="shared" si="13"/>
        <v>20888678</v>
      </c>
      <c r="M83" s="131">
        <f t="shared" si="13"/>
        <v>0</v>
      </c>
      <c r="N83" s="131">
        <f t="shared" si="13"/>
        <v>0</v>
      </c>
      <c r="O83" s="131">
        <f t="shared" si="13"/>
        <v>46394220.879999995</v>
      </c>
      <c r="P83" s="131">
        <f t="shared" si="13"/>
        <v>415314392.62</v>
      </c>
      <c r="Q83" s="159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</row>
    <row r="84" spans="1:575" s="92" customFormat="1" ht="18.75" customHeight="1" x14ac:dyDescent="0.25">
      <c r="A84" s="75"/>
      <c r="B84" s="112"/>
      <c r="C84" s="112"/>
      <c r="D84" s="76" t="s">
        <v>344</v>
      </c>
      <c r="E84" s="131">
        <f>E87+E89+E91+E93+E95+E97+E99+E101+E103+E105+E107+E112+E114</f>
        <v>214317355.66</v>
      </c>
      <c r="F84" s="131">
        <f t="shared" ref="F84:P84" si="14">F87+F89+F91+F93+F95+F97+F99+F101+F103+F105+F107+F112+F114</f>
        <v>214027355.66</v>
      </c>
      <c r="G84" s="131">
        <f t="shared" si="14"/>
        <v>0</v>
      </c>
      <c r="H84" s="131">
        <f t="shared" si="14"/>
        <v>0</v>
      </c>
      <c r="I84" s="131">
        <f t="shared" si="14"/>
        <v>290000</v>
      </c>
      <c r="J84" s="131">
        <f t="shared" si="14"/>
        <v>4139223.3</v>
      </c>
      <c r="K84" s="131">
        <f t="shared" si="14"/>
        <v>4139223.3</v>
      </c>
      <c r="L84" s="131">
        <f t="shared" si="14"/>
        <v>0</v>
      </c>
      <c r="M84" s="131">
        <f t="shared" si="14"/>
        <v>0</v>
      </c>
      <c r="N84" s="131">
        <f t="shared" si="14"/>
        <v>0</v>
      </c>
      <c r="O84" s="131">
        <f t="shared" si="14"/>
        <v>4139223.3</v>
      </c>
      <c r="P84" s="131">
        <f t="shared" si="14"/>
        <v>218456578.96000001</v>
      </c>
      <c r="Q84" s="159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</row>
    <row r="85" spans="1:575" s="55" customFormat="1" ht="41.25" customHeight="1" x14ac:dyDescent="0.25">
      <c r="A85" s="53" t="s">
        <v>232</v>
      </c>
      <c r="B85" s="102" t="str">
        <f>'дод 2'!A13</f>
        <v>0160</v>
      </c>
      <c r="C85" s="102" t="str">
        <f>'дод 2'!B13</f>
        <v>0111</v>
      </c>
      <c r="D8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85" s="132">
        <f t="shared" ref="E85:E115" si="15">F85+I85</f>
        <v>1849500</v>
      </c>
      <c r="F85" s="132">
        <v>1849500</v>
      </c>
      <c r="G85" s="132">
        <v>1424117</v>
      </c>
      <c r="H85" s="132">
        <f>32216+5185</f>
        <v>37401</v>
      </c>
      <c r="I85" s="132"/>
      <c r="J85" s="132">
        <f t="shared" si="10"/>
        <v>0</v>
      </c>
      <c r="K85" s="132"/>
      <c r="L85" s="132"/>
      <c r="M85" s="132"/>
      <c r="N85" s="132"/>
      <c r="O85" s="132"/>
      <c r="P85" s="132">
        <f t="shared" ref="P85:P115" si="16">E85+J85</f>
        <v>1849500</v>
      </c>
      <c r="Q85" s="159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</row>
    <row r="86" spans="1:575" s="55" customFormat="1" ht="25.5" customHeight="1" x14ac:dyDescent="0.25">
      <c r="A86" s="53" t="s">
        <v>233</v>
      </c>
      <c r="B86" s="102" t="str">
        <f>'дод 2'!A37</f>
        <v>2010</v>
      </c>
      <c r="C86" s="102" t="str">
        <f>'дод 2'!B37</f>
        <v>0731</v>
      </c>
      <c r="D86" s="56" t="str">
        <f>'дод 2'!C37</f>
        <v>Багатопрофільна стаціонарна медична допомога населенню</v>
      </c>
      <c r="E86" s="132">
        <f t="shared" si="15"/>
        <v>270066168.66000003</v>
      </c>
      <c r="F86" s="132">
        <f>254742058+600000+618410+10489630+1348500+25000+62280+10000+455100+64000+80000+297500+200000+21200-700000-76365-17000+15000+32000+10000+1000000+50060+170000+10100+38025.66-164330-275000+660000+300000</f>
        <v>270066168.66000003</v>
      </c>
      <c r="G86" s="135"/>
      <c r="H86" s="135"/>
      <c r="I86" s="135"/>
      <c r="J86" s="132">
        <f t="shared" si="10"/>
        <v>26434879.300000001</v>
      </c>
      <c r="K86" s="132">
        <f>12000000+170000-675726.7+181224+70000+16000+15000+10000+23800-15000+376752+13000+500000+12000+272632+84000+164330</f>
        <v>13218011.300000001</v>
      </c>
      <c r="L86" s="132">
        <v>13216868</v>
      </c>
      <c r="M86" s="132"/>
      <c r="N86" s="132"/>
      <c r="O86" s="132">
        <f>12000000+170000-675726.7+181224+70000+16000+15000+10000+23800-15000+376752+13000+500000+12000+272632+84000+164330</f>
        <v>13218011.300000001</v>
      </c>
      <c r="P86" s="132">
        <f t="shared" si="16"/>
        <v>296501047.96000004</v>
      </c>
      <c r="Q86" s="159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</row>
    <row r="87" spans="1:575" s="55" customFormat="1" ht="17.25" customHeight="1" x14ac:dyDescent="0.25">
      <c r="A87" s="53"/>
      <c r="B87" s="102"/>
      <c r="C87" s="102"/>
      <c r="D87" s="54" t="s">
        <v>344</v>
      </c>
      <c r="E87" s="132">
        <f t="shared" si="15"/>
        <v>180256155.66</v>
      </c>
      <c r="F87" s="132">
        <f>167125500-3200+10489630+1191100+455100+38025.66+660000+300000</f>
        <v>180256155.66</v>
      </c>
      <c r="G87" s="135"/>
      <c r="H87" s="135"/>
      <c r="I87" s="135"/>
      <c r="J87" s="132">
        <f t="shared" si="10"/>
        <v>0</v>
      </c>
      <c r="K87" s="132"/>
      <c r="L87" s="132"/>
      <c r="M87" s="132"/>
      <c r="N87" s="132"/>
      <c r="O87" s="132"/>
      <c r="P87" s="132">
        <f t="shared" si="16"/>
        <v>180256155.66</v>
      </c>
      <c r="Q87" s="159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</row>
    <row r="88" spans="1:575" s="55" customFormat="1" ht="36.75" customHeight="1" x14ac:dyDescent="0.25">
      <c r="A88" s="53" t="s">
        <v>239</v>
      </c>
      <c r="B88" s="102" t="str">
        <f>'дод 2'!A39</f>
        <v>2030</v>
      </c>
      <c r="C88" s="102" t="str">
        <f>'дод 2'!B39</f>
        <v>0733</v>
      </c>
      <c r="D88" s="56" t="str">
        <f>'дод 2'!C39</f>
        <v>Лікарсько-акушерська допомога вагітним, породіллям та новонародженим</v>
      </c>
      <c r="E88" s="132">
        <f t="shared" si="15"/>
        <v>37835381</v>
      </c>
      <c r="F88" s="132">
        <f>37578216+150000+125000+76365-5000+435800-75000-450000</f>
        <v>37835381</v>
      </c>
      <c r="G88" s="135"/>
      <c r="H88" s="135"/>
      <c r="I88" s="135"/>
      <c r="J88" s="132">
        <f t="shared" si="10"/>
        <v>353908</v>
      </c>
      <c r="K88" s="132">
        <f>1000000-435800-247692</f>
        <v>316508</v>
      </c>
      <c r="L88" s="132">
        <v>37400</v>
      </c>
      <c r="M88" s="132"/>
      <c r="N88" s="132"/>
      <c r="O88" s="132">
        <f>1000000-435800-247692</f>
        <v>316508</v>
      </c>
      <c r="P88" s="132">
        <f t="shared" si="16"/>
        <v>38189289</v>
      </c>
      <c r="Q88" s="159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</row>
    <row r="89" spans="1:575" s="55" customFormat="1" ht="16.5" customHeight="1" x14ac:dyDescent="0.25">
      <c r="A89" s="53"/>
      <c r="B89" s="102"/>
      <c r="C89" s="102"/>
      <c r="D89" s="54" t="s">
        <v>344</v>
      </c>
      <c r="E89" s="132">
        <f t="shared" si="15"/>
        <v>23624600</v>
      </c>
      <c r="F89" s="132">
        <f>23499600+125000</f>
        <v>23624600</v>
      </c>
      <c r="G89" s="135"/>
      <c r="H89" s="135"/>
      <c r="I89" s="135"/>
      <c r="J89" s="132">
        <f t="shared" si="10"/>
        <v>0</v>
      </c>
      <c r="K89" s="132"/>
      <c r="L89" s="132"/>
      <c r="M89" s="132"/>
      <c r="N89" s="132"/>
      <c r="O89" s="132"/>
      <c r="P89" s="132">
        <f t="shared" si="16"/>
        <v>23624600</v>
      </c>
      <c r="Q89" s="159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</row>
    <row r="90" spans="1:575" s="55" customFormat="1" ht="33.75" hidden="1" customHeight="1" x14ac:dyDescent="0.25">
      <c r="A90" s="57" t="s">
        <v>238</v>
      </c>
      <c r="B90" s="107" t="str">
        <f>'дод 2'!A41</f>
        <v>2080</v>
      </c>
      <c r="C90" s="107" t="str">
        <f>'дод 2'!B41</f>
        <v>0721</v>
      </c>
      <c r="D90" s="54" t="str">
        <f>'дод 2'!C41</f>
        <v>Амбулаторно-поліклінічна допомога населенню, крім первинної медичної допомоги</v>
      </c>
      <c r="E90" s="132">
        <f t="shared" si="15"/>
        <v>0</v>
      </c>
      <c r="F90" s="132"/>
      <c r="G90" s="135"/>
      <c r="H90" s="135"/>
      <c r="I90" s="135"/>
      <c r="J90" s="132">
        <f t="shared" si="10"/>
        <v>0</v>
      </c>
      <c r="K90" s="132"/>
      <c r="L90" s="132"/>
      <c r="M90" s="132"/>
      <c r="N90" s="132"/>
      <c r="O90" s="132"/>
      <c r="P90" s="132">
        <f t="shared" si="16"/>
        <v>0</v>
      </c>
      <c r="Q90" s="159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</row>
    <row r="91" spans="1:575" s="55" customFormat="1" ht="22.5" hidden="1" customHeight="1" x14ac:dyDescent="0.25">
      <c r="A91" s="57"/>
      <c r="B91" s="107"/>
      <c r="C91" s="107"/>
      <c r="D91" s="54" t="s">
        <v>344</v>
      </c>
      <c r="E91" s="132">
        <f t="shared" si="15"/>
        <v>0</v>
      </c>
      <c r="F91" s="132"/>
      <c r="G91" s="135"/>
      <c r="H91" s="135"/>
      <c r="I91" s="135"/>
      <c r="J91" s="132">
        <f t="shared" si="10"/>
        <v>0</v>
      </c>
      <c r="K91" s="132"/>
      <c r="L91" s="132"/>
      <c r="M91" s="132"/>
      <c r="N91" s="132"/>
      <c r="O91" s="132"/>
      <c r="P91" s="132">
        <f t="shared" si="16"/>
        <v>0</v>
      </c>
      <c r="Q91" s="159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</row>
    <row r="92" spans="1:575" s="55" customFormat="1" ht="24" customHeight="1" x14ac:dyDescent="0.25">
      <c r="A92" s="53" t="s">
        <v>237</v>
      </c>
      <c r="B92" s="102" t="str">
        <f>'дод 2'!A43</f>
        <v>2100</v>
      </c>
      <c r="C92" s="102" t="str">
        <f>'дод 2'!B43</f>
        <v>0722</v>
      </c>
      <c r="D92" s="56" t="str">
        <f>'дод 2'!C43</f>
        <v>Стоматологічна допомога населенню</v>
      </c>
      <c r="E92" s="132">
        <f t="shared" si="15"/>
        <v>6293457</v>
      </c>
      <c r="F92" s="132">
        <f>6176457+50000+45000+22000</f>
        <v>6293457</v>
      </c>
      <c r="G92" s="135"/>
      <c r="H92" s="135"/>
      <c r="I92" s="135"/>
      <c r="J92" s="132">
        <f t="shared" si="10"/>
        <v>8044410</v>
      </c>
      <c r="K92" s="132">
        <f>400000+10000</f>
        <v>410000</v>
      </c>
      <c r="L92" s="132">
        <v>7634410</v>
      </c>
      <c r="M92" s="132"/>
      <c r="N92" s="132"/>
      <c r="O92" s="132">
        <f>400000+10000</f>
        <v>410000</v>
      </c>
      <c r="P92" s="132">
        <f t="shared" si="16"/>
        <v>14337867</v>
      </c>
      <c r="Q92" s="159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</row>
    <row r="93" spans="1:575" s="55" customFormat="1" ht="15" customHeight="1" x14ac:dyDescent="0.25">
      <c r="A93" s="53"/>
      <c r="B93" s="102"/>
      <c r="C93" s="102"/>
      <c r="D93" s="54" t="s">
        <v>344</v>
      </c>
      <c r="E93" s="132">
        <f t="shared" si="15"/>
        <v>4109800</v>
      </c>
      <c r="F93" s="132">
        <f>4064800+45000</f>
        <v>4109800</v>
      </c>
      <c r="G93" s="135"/>
      <c r="H93" s="135"/>
      <c r="I93" s="135"/>
      <c r="J93" s="132">
        <f t="shared" si="10"/>
        <v>0</v>
      </c>
      <c r="K93" s="132"/>
      <c r="L93" s="132"/>
      <c r="M93" s="132"/>
      <c r="N93" s="132"/>
      <c r="O93" s="132"/>
      <c r="P93" s="132">
        <f t="shared" si="16"/>
        <v>4109800</v>
      </c>
      <c r="Q93" s="159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</row>
    <row r="94" spans="1:575" s="55" customFormat="1" ht="45.75" customHeight="1" x14ac:dyDescent="0.25">
      <c r="A94" s="53" t="s">
        <v>236</v>
      </c>
      <c r="B94" s="102" t="str">
        <f>'дод 2'!A45</f>
        <v>2111</v>
      </c>
      <c r="C94" s="102" t="str">
        <f>'дод 2'!B45</f>
        <v>0726</v>
      </c>
      <c r="D94" s="56" t="str">
        <f>'дод 2'!C45</f>
        <v>Первинна медична допомога населенню, що надається центрами первинної медичної (медико-санітарної) допомоги</v>
      </c>
      <c r="E94" s="132">
        <f t="shared" si="15"/>
        <v>2341800</v>
      </c>
      <c r="F94" s="132">
        <f>2680000+80000+1800+50000+10000-480000</f>
        <v>2341800</v>
      </c>
      <c r="G94" s="135"/>
      <c r="H94" s="135"/>
      <c r="I94" s="135"/>
      <c r="J94" s="132">
        <f t="shared" si="10"/>
        <v>3020815</v>
      </c>
      <c r="K94" s="132">
        <f>3000000-4185+10000+15000</f>
        <v>3020815</v>
      </c>
      <c r="L94" s="132"/>
      <c r="M94" s="132"/>
      <c r="N94" s="132"/>
      <c r="O94" s="132">
        <f>3000000-4185+10000+15000</f>
        <v>3020815</v>
      </c>
      <c r="P94" s="132">
        <f t="shared" si="16"/>
        <v>5362615</v>
      </c>
      <c r="Q94" s="159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</row>
    <row r="95" spans="1:575" s="55" customFormat="1" ht="14.25" hidden="1" customHeight="1" x14ac:dyDescent="0.25">
      <c r="A95" s="53"/>
      <c r="B95" s="102"/>
      <c r="C95" s="102"/>
      <c r="D95" s="54" t="s">
        <v>344</v>
      </c>
      <c r="E95" s="132">
        <f t="shared" si="15"/>
        <v>0</v>
      </c>
      <c r="F95" s="132"/>
      <c r="G95" s="135"/>
      <c r="H95" s="135"/>
      <c r="I95" s="135"/>
      <c r="J95" s="132">
        <f t="shared" si="10"/>
        <v>0</v>
      </c>
      <c r="K95" s="132"/>
      <c r="L95" s="132"/>
      <c r="M95" s="132"/>
      <c r="N95" s="132"/>
      <c r="O95" s="132"/>
      <c r="P95" s="132">
        <f t="shared" si="16"/>
        <v>0</v>
      </c>
      <c r="Q95" s="159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</row>
    <row r="96" spans="1:575" s="55" customFormat="1" ht="39.75" hidden="1" customHeight="1" x14ac:dyDescent="0.25">
      <c r="A96" s="53" t="s">
        <v>482</v>
      </c>
      <c r="B96" s="102" t="str">
        <f>'дод 2'!A47</f>
        <v>2113</v>
      </c>
      <c r="C96" s="102" t="str">
        <f>'дод 2'!B47</f>
        <v>0721</v>
      </c>
      <c r="D96" s="56" t="str">
        <f>'дод 2'!C47</f>
        <v>Первинна медична допомога населенню, що надається амбулаторно-поліклінічними закладами (відділеннями)</v>
      </c>
      <c r="E96" s="132">
        <f t="shared" si="15"/>
        <v>0</v>
      </c>
      <c r="F96" s="132"/>
      <c r="G96" s="135"/>
      <c r="H96" s="135"/>
      <c r="I96" s="135"/>
      <c r="J96" s="132">
        <f t="shared" si="10"/>
        <v>0</v>
      </c>
      <c r="K96" s="132"/>
      <c r="L96" s="132"/>
      <c r="M96" s="132"/>
      <c r="N96" s="132"/>
      <c r="O96" s="132"/>
      <c r="P96" s="132">
        <f t="shared" si="16"/>
        <v>0</v>
      </c>
      <c r="Q96" s="159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</row>
    <row r="97" spans="1:575" s="55" customFormat="1" ht="15" hidden="1" customHeight="1" x14ac:dyDescent="0.25">
      <c r="A97" s="53"/>
      <c r="B97" s="102"/>
      <c r="C97" s="102"/>
      <c r="D97" s="54" t="s">
        <v>344</v>
      </c>
      <c r="E97" s="132">
        <f t="shared" si="15"/>
        <v>0</v>
      </c>
      <c r="F97" s="132"/>
      <c r="G97" s="135"/>
      <c r="H97" s="135"/>
      <c r="I97" s="135"/>
      <c r="J97" s="132">
        <f t="shared" si="10"/>
        <v>0</v>
      </c>
      <c r="K97" s="132"/>
      <c r="L97" s="132"/>
      <c r="M97" s="132"/>
      <c r="N97" s="132"/>
      <c r="O97" s="132"/>
      <c r="P97" s="132">
        <f t="shared" si="16"/>
        <v>0</v>
      </c>
      <c r="Q97" s="159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</row>
    <row r="98" spans="1:575" s="55" customFormat="1" ht="32.25" customHeight="1" x14ac:dyDescent="0.25">
      <c r="A98" s="53" t="s">
        <v>235</v>
      </c>
      <c r="B98" s="102">
        <f>'дод 2'!A49</f>
        <v>2144</v>
      </c>
      <c r="C98" s="102" t="str">
        <f>'дод 2'!B49</f>
        <v>0763</v>
      </c>
      <c r="D98" s="59" t="str">
        <f>'дод 2'!C49</f>
        <v>Централізовані заходи з лікування хворих на цукровий та нецукровий діабет</v>
      </c>
      <c r="E98" s="132">
        <f t="shared" si="15"/>
        <v>9985500</v>
      </c>
      <c r="F98" s="132">
        <f>4580500+2000000+600000+1200000+400000+1205000</f>
        <v>9985500</v>
      </c>
      <c r="G98" s="135"/>
      <c r="H98" s="135"/>
      <c r="I98" s="135"/>
      <c r="J98" s="132">
        <f t="shared" si="10"/>
        <v>0</v>
      </c>
      <c r="K98" s="132"/>
      <c r="L98" s="132"/>
      <c r="M98" s="132"/>
      <c r="N98" s="132"/>
      <c r="O98" s="132"/>
      <c r="P98" s="132">
        <f t="shared" si="16"/>
        <v>9985500</v>
      </c>
      <c r="Q98" s="159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</row>
    <row r="99" spans="1:575" s="55" customFormat="1" ht="18.75" customHeight="1" x14ac:dyDescent="0.25">
      <c r="A99" s="53"/>
      <c r="B99" s="102"/>
      <c r="C99" s="102"/>
      <c r="D99" s="59" t="str">
        <f>'дод 2'!C50</f>
        <v>у т.ч. за рахунок субвенцій з держбюджету</v>
      </c>
      <c r="E99" s="132">
        <f t="shared" si="15"/>
        <v>4580500</v>
      </c>
      <c r="F99" s="132">
        <v>4580500</v>
      </c>
      <c r="G99" s="135"/>
      <c r="H99" s="135"/>
      <c r="I99" s="135"/>
      <c r="J99" s="132">
        <f t="shared" si="10"/>
        <v>0</v>
      </c>
      <c r="K99" s="132"/>
      <c r="L99" s="132"/>
      <c r="M99" s="132"/>
      <c r="N99" s="132"/>
      <c r="O99" s="132"/>
      <c r="P99" s="132">
        <f t="shared" si="16"/>
        <v>4580500</v>
      </c>
      <c r="Q99" s="159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</row>
    <row r="100" spans="1:575" s="55" customFormat="1" ht="31.5" customHeight="1" x14ac:dyDescent="0.25">
      <c r="A100" s="53" t="s">
        <v>427</v>
      </c>
      <c r="B100" s="102">
        <f>'дод 2'!A51</f>
        <v>2146</v>
      </c>
      <c r="C100" s="102" t="str">
        <f>'дод 2'!B51</f>
        <v>0763</v>
      </c>
      <c r="D100" s="59" t="str">
        <f>'дод 2'!C51</f>
        <v>Відшкодування вартості лікарських засобів для лікування окремих захворювань</v>
      </c>
      <c r="E100" s="132">
        <f t="shared" si="15"/>
        <v>1456300</v>
      </c>
      <c r="F100" s="132">
        <f>1465420-9120</f>
        <v>1456300</v>
      </c>
      <c r="G100" s="135"/>
      <c r="H100" s="135"/>
      <c r="I100" s="135"/>
      <c r="J100" s="132">
        <f t="shared" si="10"/>
        <v>0</v>
      </c>
      <c r="K100" s="132"/>
      <c r="L100" s="132"/>
      <c r="M100" s="132"/>
      <c r="N100" s="132"/>
      <c r="O100" s="132"/>
      <c r="P100" s="132">
        <f t="shared" si="16"/>
        <v>1456300</v>
      </c>
      <c r="Q100" s="159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</row>
    <row r="101" spans="1:575" s="55" customFormat="1" ht="16.5" customHeight="1" x14ac:dyDescent="0.25">
      <c r="A101" s="53"/>
      <c r="B101" s="102"/>
      <c r="C101" s="102"/>
      <c r="D101" s="59" t="str">
        <f>'дод 2'!C52</f>
        <v>у т.ч. за рахунок субвенцій з держбюджету</v>
      </c>
      <c r="E101" s="132">
        <f t="shared" si="15"/>
        <v>1456300</v>
      </c>
      <c r="F101" s="132">
        <f>1465420-9120</f>
        <v>1456300</v>
      </c>
      <c r="G101" s="135"/>
      <c r="H101" s="135"/>
      <c r="I101" s="135"/>
      <c r="J101" s="132">
        <f t="shared" si="10"/>
        <v>0</v>
      </c>
      <c r="K101" s="132"/>
      <c r="L101" s="132"/>
      <c r="M101" s="132"/>
      <c r="N101" s="132"/>
      <c r="O101" s="132"/>
      <c r="P101" s="132">
        <f t="shared" si="16"/>
        <v>1456300</v>
      </c>
      <c r="Q101" s="159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</row>
    <row r="102" spans="1:575" s="55" customFormat="1" ht="30" customHeight="1" x14ac:dyDescent="0.25">
      <c r="A102" s="53" t="s">
        <v>500</v>
      </c>
      <c r="B102" s="107" t="str">
        <f>'дод 2'!A53</f>
        <v>2151</v>
      </c>
      <c r="C102" s="107" t="str">
        <f>'дод 2'!B53</f>
        <v>0763</v>
      </c>
      <c r="D102" s="56" t="str">
        <f>'дод 2'!C53</f>
        <v>Забезпечення діяльності інших закладів у сфері охорони здоров’я</v>
      </c>
      <c r="E102" s="132">
        <f t="shared" si="15"/>
        <v>2602469</v>
      </c>
      <c r="F102" s="132">
        <v>2602469</v>
      </c>
      <c r="G102" s="135"/>
      <c r="H102" s="135"/>
      <c r="I102" s="135"/>
      <c r="J102" s="132">
        <f t="shared" si="10"/>
        <v>0</v>
      </c>
      <c r="K102" s="132"/>
      <c r="L102" s="132"/>
      <c r="M102" s="132"/>
      <c r="N102" s="132"/>
      <c r="O102" s="132"/>
      <c r="P102" s="132">
        <f t="shared" si="16"/>
        <v>2602469</v>
      </c>
      <c r="Q102" s="159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</row>
    <row r="103" spans="1:575" s="55" customFormat="1" ht="13.5" hidden="1" customHeight="1" x14ac:dyDescent="0.25">
      <c r="A103" s="53"/>
      <c r="B103" s="107"/>
      <c r="C103" s="107"/>
      <c r="D103" s="54" t="s">
        <v>344</v>
      </c>
      <c r="E103" s="132">
        <f t="shared" si="15"/>
        <v>0</v>
      </c>
      <c r="F103" s="132"/>
      <c r="G103" s="132"/>
      <c r="H103" s="132"/>
      <c r="I103" s="132"/>
      <c r="J103" s="132">
        <f t="shared" si="10"/>
        <v>0</v>
      </c>
      <c r="K103" s="132"/>
      <c r="L103" s="132"/>
      <c r="M103" s="132"/>
      <c r="N103" s="132"/>
      <c r="O103" s="132"/>
      <c r="P103" s="132">
        <f t="shared" si="16"/>
        <v>0</v>
      </c>
      <c r="Q103" s="159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</row>
    <row r="104" spans="1:575" s="55" customFormat="1" ht="24.75" customHeight="1" x14ac:dyDescent="0.25">
      <c r="A104" s="53" t="s">
        <v>501</v>
      </c>
      <c r="B104" s="107" t="str">
        <f>'дод 2'!A55</f>
        <v>2152</v>
      </c>
      <c r="C104" s="107" t="str">
        <f>'дод 2'!B55</f>
        <v>0763</v>
      </c>
      <c r="D104" s="54" t="str">
        <f>'дод 2'!C55</f>
        <v>Інші програми та заходи у сфері охорони здоров’я</v>
      </c>
      <c r="E104" s="132">
        <f t="shared" si="15"/>
        <v>15286600</v>
      </c>
      <c r="F104" s="132">
        <f>14928600+88000+170000+100000</f>
        <v>15286600</v>
      </c>
      <c r="G104" s="132"/>
      <c r="H104" s="132"/>
      <c r="I104" s="132"/>
      <c r="J104" s="132">
        <f t="shared" si="10"/>
        <v>3000000</v>
      </c>
      <c r="K104" s="132">
        <f>3000000-3000000+2042260+957740</f>
        <v>3000000</v>
      </c>
      <c r="L104" s="132"/>
      <c r="M104" s="132"/>
      <c r="N104" s="132"/>
      <c r="O104" s="132">
        <f>3000000-3000000+2042260+957740</f>
        <v>3000000</v>
      </c>
      <c r="P104" s="132">
        <f t="shared" si="16"/>
        <v>18286600</v>
      </c>
      <c r="Q104" s="159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</row>
    <row r="105" spans="1:575" s="55" customFormat="1" ht="15" hidden="1" customHeight="1" x14ac:dyDescent="0.25">
      <c r="A105" s="53"/>
      <c r="B105" s="107"/>
      <c r="C105" s="107"/>
      <c r="D105" s="54" t="s">
        <v>344</v>
      </c>
      <c r="E105" s="132">
        <f t="shared" si="15"/>
        <v>0</v>
      </c>
      <c r="F105" s="132"/>
      <c r="G105" s="132"/>
      <c r="H105" s="132"/>
      <c r="I105" s="132"/>
      <c r="J105" s="132">
        <f t="shared" si="10"/>
        <v>0</v>
      </c>
      <c r="K105" s="132"/>
      <c r="L105" s="132"/>
      <c r="M105" s="132"/>
      <c r="N105" s="132"/>
      <c r="O105" s="132"/>
      <c r="P105" s="132">
        <f t="shared" si="16"/>
        <v>0</v>
      </c>
      <c r="Q105" s="159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  <c r="NU105" s="61"/>
      <c r="NV105" s="61"/>
      <c r="NW105" s="61"/>
      <c r="NX105" s="61"/>
      <c r="NY105" s="61"/>
      <c r="NZ105" s="61"/>
      <c r="OA105" s="61"/>
      <c r="OB105" s="61"/>
      <c r="OC105" s="61"/>
      <c r="OD105" s="61"/>
      <c r="OE105" s="61"/>
      <c r="OF105" s="61"/>
      <c r="OG105" s="61"/>
      <c r="OH105" s="61"/>
      <c r="OI105" s="61"/>
      <c r="OJ105" s="61"/>
      <c r="OK105" s="61"/>
      <c r="OL105" s="61"/>
      <c r="OM105" s="61"/>
      <c r="ON105" s="61"/>
      <c r="OO105" s="61"/>
      <c r="OP105" s="61"/>
      <c r="OQ105" s="61"/>
      <c r="OR105" s="61"/>
      <c r="OS105" s="61"/>
      <c r="OT105" s="61"/>
      <c r="OU105" s="61"/>
      <c r="OV105" s="61"/>
      <c r="OW105" s="61"/>
      <c r="OX105" s="61"/>
      <c r="OY105" s="61"/>
      <c r="OZ105" s="61"/>
      <c r="PA105" s="61"/>
      <c r="PB105" s="61"/>
      <c r="PC105" s="61"/>
      <c r="PD105" s="61"/>
      <c r="PE105" s="61"/>
      <c r="PF105" s="61"/>
      <c r="PG105" s="61"/>
      <c r="PH105" s="61"/>
      <c r="PI105" s="61"/>
      <c r="PJ105" s="61"/>
      <c r="PK105" s="61"/>
      <c r="PL105" s="61"/>
      <c r="PM105" s="61"/>
      <c r="PN105" s="61"/>
      <c r="PO105" s="61"/>
      <c r="PP105" s="61"/>
      <c r="PQ105" s="61"/>
      <c r="PR105" s="61"/>
      <c r="PS105" s="61"/>
      <c r="PT105" s="61"/>
      <c r="PU105" s="61"/>
      <c r="PV105" s="61"/>
      <c r="PW105" s="61"/>
      <c r="PX105" s="61"/>
      <c r="PY105" s="61"/>
      <c r="PZ105" s="61"/>
      <c r="QA105" s="61"/>
      <c r="QB105" s="61"/>
      <c r="QC105" s="61"/>
      <c r="QD105" s="61"/>
      <c r="QE105" s="61"/>
      <c r="QF105" s="61"/>
      <c r="QG105" s="61"/>
      <c r="QH105" s="61"/>
      <c r="QI105" s="61"/>
      <c r="QJ105" s="61"/>
      <c r="QK105" s="61"/>
      <c r="QL105" s="61"/>
      <c r="QM105" s="61"/>
      <c r="QN105" s="61"/>
      <c r="QO105" s="61"/>
      <c r="QP105" s="61"/>
      <c r="QQ105" s="61"/>
      <c r="QR105" s="61"/>
      <c r="QS105" s="61"/>
      <c r="QT105" s="61"/>
      <c r="QU105" s="61"/>
      <c r="QV105" s="61"/>
      <c r="QW105" s="61"/>
      <c r="QX105" s="61"/>
      <c r="QY105" s="61"/>
      <c r="QZ105" s="61"/>
      <c r="RA105" s="61"/>
      <c r="RB105" s="61"/>
      <c r="RC105" s="61"/>
      <c r="RD105" s="61"/>
      <c r="RE105" s="61"/>
      <c r="RF105" s="61"/>
      <c r="RG105" s="61"/>
      <c r="RH105" s="61"/>
      <c r="RI105" s="61"/>
      <c r="RJ105" s="61"/>
      <c r="RK105" s="61"/>
      <c r="RL105" s="61"/>
      <c r="RM105" s="61"/>
      <c r="RN105" s="61"/>
      <c r="RO105" s="61"/>
      <c r="RP105" s="61"/>
      <c r="RQ105" s="61"/>
      <c r="RR105" s="61"/>
      <c r="RS105" s="61"/>
      <c r="RT105" s="61"/>
      <c r="RU105" s="61"/>
      <c r="RV105" s="61"/>
      <c r="RW105" s="61"/>
      <c r="RX105" s="61"/>
      <c r="RY105" s="61"/>
      <c r="RZ105" s="61"/>
      <c r="SA105" s="61"/>
      <c r="SB105" s="61"/>
      <c r="SC105" s="61"/>
      <c r="SD105" s="61"/>
      <c r="SE105" s="61"/>
      <c r="SF105" s="61"/>
      <c r="SG105" s="61"/>
      <c r="SH105" s="61"/>
      <c r="SI105" s="61"/>
      <c r="SJ105" s="61"/>
      <c r="SK105" s="61"/>
      <c r="SL105" s="61"/>
      <c r="SM105" s="61"/>
      <c r="SN105" s="61"/>
      <c r="SO105" s="61"/>
      <c r="SP105" s="61"/>
      <c r="SQ105" s="61"/>
      <c r="SR105" s="61"/>
      <c r="SS105" s="61"/>
      <c r="ST105" s="61"/>
      <c r="SU105" s="61"/>
      <c r="SV105" s="61"/>
      <c r="SW105" s="61"/>
      <c r="SX105" s="61"/>
      <c r="SY105" s="61"/>
      <c r="SZ105" s="61"/>
      <c r="TA105" s="61"/>
      <c r="TB105" s="61"/>
      <c r="TC105" s="61"/>
      <c r="TD105" s="61"/>
      <c r="TE105" s="61"/>
      <c r="TF105" s="61"/>
      <c r="TG105" s="61"/>
      <c r="TH105" s="61"/>
      <c r="TI105" s="61"/>
      <c r="TJ105" s="61"/>
      <c r="TK105" s="61"/>
      <c r="TL105" s="61"/>
      <c r="TM105" s="61"/>
      <c r="TN105" s="61"/>
      <c r="TO105" s="61"/>
      <c r="TP105" s="61"/>
      <c r="TQ105" s="61"/>
      <c r="TR105" s="61"/>
      <c r="TS105" s="61"/>
      <c r="TT105" s="61"/>
      <c r="TU105" s="61"/>
      <c r="TV105" s="61"/>
      <c r="TW105" s="61"/>
      <c r="TX105" s="61"/>
      <c r="TY105" s="61"/>
      <c r="TZ105" s="61"/>
      <c r="UA105" s="61"/>
      <c r="UB105" s="61"/>
      <c r="UC105" s="61"/>
      <c r="UD105" s="61"/>
      <c r="UE105" s="61"/>
      <c r="UF105" s="61"/>
      <c r="UG105" s="61"/>
      <c r="UH105" s="61"/>
      <c r="UI105" s="61"/>
      <c r="UJ105" s="61"/>
      <c r="UK105" s="61"/>
      <c r="UL105" s="61"/>
      <c r="UM105" s="61"/>
      <c r="UN105" s="61"/>
      <c r="UO105" s="61"/>
      <c r="UP105" s="61"/>
      <c r="UQ105" s="61"/>
      <c r="UR105" s="61"/>
      <c r="US105" s="61"/>
      <c r="UT105" s="61"/>
      <c r="UU105" s="61"/>
      <c r="UV105" s="61"/>
      <c r="UW105" s="61"/>
      <c r="UX105" s="61"/>
      <c r="UY105" s="61"/>
      <c r="UZ105" s="61"/>
      <c r="VA105" s="61"/>
      <c r="VB105" s="61"/>
      <c r="VC105" s="61"/>
    </row>
    <row r="106" spans="1:575" s="55" customFormat="1" ht="45" x14ac:dyDescent="0.25">
      <c r="A106" s="53" t="s">
        <v>502</v>
      </c>
      <c r="B106" s="107" t="str">
        <f>'дод 2'!A171</f>
        <v>7363</v>
      </c>
      <c r="C106" s="107" t="str">
        <f>'дод 2'!B171</f>
        <v>0490</v>
      </c>
      <c r="D106" s="54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106" s="132">
        <f t="shared" si="15"/>
        <v>0</v>
      </c>
      <c r="F106" s="132"/>
      <c r="G106" s="132"/>
      <c r="H106" s="132"/>
      <c r="I106" s="132"/>
      <c r="J106" s="132">
        <f t="shared" si="10"/>
        <v>4819135</v>
      </c>
      <c r="K106" s="132">
        <f>679911.7+2639223.3+1500000+4000000-4000000</f>
        <v>4819135</v>
      </c>
      <c r="L106" s="132"/>
      <c r="M106" s="132"/>
      <c r="N106" s="132"/>
      <c r="O106" s="132">
        <f>679911.7+2639223.3+1500000+4000000-4000000</f>
        <v>4819135</v>
      </c>
      <c r="P106" s="132">
        <f t="shared" si="16"/>
        <v>4819135</v>
      </c>
      <c r="Q106" s="159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</row>
    <row r="107" spans="1:575" s="55" customFormat="1" ht="15" x14ac:dyDescent="0.25">
      <c r="A107" s="53"/>
      <c r="B107" s="107"/>
      <c r="C107" s="107"/>
      <c r="D107" s="59" t="s">
        <v>344</v>
      </c>
      <c r="E107" s="132">
        <f t="shared" si="15"/>
        <v>0</v>
      </c>
      <c r="F107" s="132"/>
      <c r="G107" s="132"/>
      <c r="H107" s="132"/>
      <c r="I107" s="132"/>
      <c r="J107" s="132">
        <f t="shared" si="10"/>
        <v>4139223.3</v>
      </c>
      <c r="K107" s="132">
        <f>2639223.3+1500000+4000000-4000000</f>
        <v>4139223.3</v>
      </c>
      <c r="L107" s="132"/>
      <c r="M107" s="132"/>
      <c r="N107" s="132"/>
      <c r="O107" s="132">
        <f>2639223.3+1500000+4000000-4000000</f>
        <v>4139223.3</v>
      </c>
      <c r="P107" s="132">
        <f t="shared" si="16"/>
        <v>4139223.3</v>
      </c>
      <c r="Q107" s="159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</row>
    <row r="108" spans="1:575" s="55" customFormat="1" ht="18.75" customHeight="1" x14ac:dyDescent="0.25">
      <c r="A108" s="53" t="s">
        <v>234</v>
      </c>
      <c r="B108" s="102" t="str">
        <f>'дод 2'!A188</f>
        <v>7640</v>
      </c>
      <c r="C108" s="102" t="str">
        <f>'дод 2'!B188</f>
        <v>0470</v>
      </c>
      <c r="D108" s="56" t="str">
        <f>'дод 2'!C188</f>
        <v>Заходи з енергозбереження</v>
      </c>
      <c r="E108" s="132">
        <f t="shared" si="15"/>
        <v>0</v>
      </c>
      <c r="F108" s="132"/>
      <c r="G108" s="132"/>
      <c r="H108" s="132"/>
      <c r="I108" s="132"/>
      <c r="J108" s="132">
        <f t="shared" si="10"/>
        <v>12017098</v>
      </c>
      <c r="K108" s="132">
        <f>8300000-40000+3900000+450000-376752+101000-189150-128000</f>
        <v>12017098</v>
      </c>
      <c r="L108" s="132"/>
      <c r="M108" s="132"/>
      <c r="N108" s="132"/>
      <c r="O108" s="132">
        <f>8300000-40000+3900000+450000-376752+101000-189150-128000</f>
        <v>12017098</v>
      </c>
      <c r="P108" s="132">
        <f t="shared" si="16"/>
        <v>12017098</v>
      </c>
      <c r="Q108" s="159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</row>
    <row r="109" spans="1:575" s="55" customFormat="1" ht="51.75" customHeight="1" x14ac:dyDescent="0.25">
      <c r="A109" s="79" t="s">
        <v>570</v>
      </c>
      <c r="B109" s="102" t="str">
        <f>'дод 2'!A196</f>
        <v>7700</v>
      </c>
      <c r="C109" s="102" t="str">
        <f>'дод 2'!B196</f>
        <v>0133</v>
      </c>
      <c r="D109" s="56" t="str">
        <f>'дод 2'!C196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2">
        <f t="shared" ref="E109:E114" si="17">F109+I109</f>
        <v>0</v>
      </c>
      <c r="F109" s="132"/>
      <c r="G109" s="132"/>
      <c r="H109" s="132"/>
      <c r="I109" s="132"/>
      <c r="J109" s="132">
        <f t="shared" ref="J109:J114" si="18">L109+O109</f>
        <v>9592653.5800000001</v>
      </c>
      <c r="K109" s="132"/>
      <c r="L109" s="132"/>
      <c r="M109" s="132"/>
      <c r="N109" s="132"/>
      <c r="O109" s="132">
        <f>5760000+3832653.58</f>
        <v>9592653.5800000001</v>
      </c>
      <c r="P109" s="132">
        <f t="shared" ref="P109:P114" si="19">E109+J109</f>
        <v>9592653.5800000001</v>
      </c>
      <c r="Q109" s="159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</row>
    <row r="110" spans="1:575" s="55" customFormat="1" ht="15" hidden="1" customHeight="1" x14ac:dyDescent="0.25">
      <c r="A110" s="53" t="s">
        <v>550</v>
      </c>
      <c r="B110" s="102" t="s">
        <v>17</v>
      </c>
      <c r="C110" s="102" t="s">
        <v>124</v>
      </c>
      <c r="D110" s="56" t="s">
        <v>18</v>
      </c>
      <c r="E110" s="132">
        <f t="shared" si="15"/>
        <v>0</v>
      </c>
      <c r="F110" s="132"/>
      <c r="G110" s="132"/>
      <c r="H110" s="132"/>
      <c r="I110" s="132"/>
      <c r="J110" s="132">
        <f t="shared" si="10"/>
        <v>0</v>
      </c>
      <c r="K110" s="132"/>
      <c r="L110" s="132"/>
      <c r="M110" s="132"/>
      <c r="N110" s="132"/>
      <c r="O110" s="132"/>
      <c r="P110" s="132">
        <f t="shared" si="16"/>
        <v>0</v>
      </c>
      <c r="Q110" s="158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</row>
    <row r="111" spans="1:575" s="55" customFormat="1" ht="51.75" customHeight="1" x14ac:dyDescent="0.25">
      <c r="A111" s="79" t="s">
        <v>575</v>
      </c>
      <c r="B111" s="102">
        <v>9510</v>
      </c>
      <c r="C111" s="102" t="s">
        <v>68</v>
      </c>
      <c r="D111" s="56" t="s">
        <v>577</v>
      </c>
      <c r="E111" s="132">
        <f t="shared" si="17"/>
        <v>229000</v>
      </c>
      <c r="F111" s="132">
        <f>169000-169000</f>
        <v>0</v>
      </c>
      <c r="G111" s="132"/>
      <c r="H111" s="132"/>
      <c r="I111" s="132">
        <f>169000+60000</f>
        <v>229000</v>
      </c>
      <c r="J111" s="132">
        <f t="shared" si="18"/>
        <v>0</v>
      </c>
      <c r="K111" s="132"/>
      <c r="L111" s="132"/>
      <c r="M111" s="132"/>
      <c r="N111" s="132"/>
      <c r="O111" s="132"/>
      <c r="P111" s="132">
        <f t="shared" si="19"/>
        <v>229000</v>
      </c>
      <c r="Q111" s="159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</row>
    <row r="112" spans="1:575" s="55" customFormat="1" ht="15" x14ac:dyDescent="0.25">
      <c r="A112" s="79"/>
      <c r="B112" s="102"/>
      <c r="C112" s="102"/>
      <c r="D112" s="54" t="s">
        <v>344</v>
      </c>
      <c r="E112" s="132">
        <f t="shared" si="17"/>
        <v>229000</v>
      </c>
      <c r="F112" s="132">
        <f>169000-169000</f>
        <v>0</v>
      </c>
      <c r="G112" s="132"/>
      <c r="H112" s="132"/>
      <c r="I112" s="132">
        <f>169000+60000</f>
        <v>229000</v>
      </c>
      <c r="J112" s="132">
        <f t="shared" si="18"/>
        <v>0</v>
      </c>
      <c r="K112" s="132"/>
      <c r="L112" s="132"/>
      <c r="M112" s="132"/>
      <c r="N112" s="132"/>
      <c r="O112" s="132"/>
      <c r="P112" s="132">
        <f t="shared" si="19"/>
        <v>229000</v>
      </c>
      <c r="Q112" s="159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</row>
    <row r="113" spans="1:575" s="55" customFormat="1" ht="75" x14ac:dyDescent="0.25">
      <c r="A113" s="79" t="s">
        <v>579</v>
      </c>
      <c r="B113" s="102">
        <v>9570</v>
      </c>
      <c r="C113" s="102" t="s">
        <v>68</v>
      </c>
      <c r="D113" s="54" t="s">
        <v>593</v>
      </c>
      <c r="E113" s="132">
        <f t="shared" si="17"/>
        <v>61000</v>
      </c>
      <c r="F113" s="132">
        <f>61000-61000</f>
        <v>0</v>
      </c>
      <c r="G113" s="132"/>
      <c r="H113" s="132"/>
      <c r="I113" s="132">
        <v>61000</v>
      </c>
      <c r="J113" s="132">
        <f t="shared" si="18"/>
        <v>0</v>
      </c>
      <c r="K113" s="132"/>
      <c r="L113" s="132"/>
      <c r="M113" s="132"/>
      <c r="N113" s="132"/>
      <c r="O113" s="132"/>
      <c r="P113" s="132">
        <f t="shared" si="19"/>
        <v>61000</v>
      </c>
      <c r="Q113" s="159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</row>
    <row r="114" spans="1:575" s="55" customFormat="1" ht="15" x14ac:dyDescent="0.25">
      <c r="A114" s="79"/>
      <c r="B114" s="102"/>
      <c r="C114" s="102"/>
      <c r="D114" s="54" t="s">
        <v>344</v>
      </c>
      <c r="E114" s="132">
        <f t="shared" si="17"/>
        <v>61000</v>
      </c>
      <c r="F114" s="132">
        <f>61000-61000</f>
        <v>0</v>
      </c>
      <c r="G114" s="132"/>
      <c r="H114" s="132"/>
      <c r="I114" s="132">
        <v>61000</v>
      </c>
      <c r="J114" s="132">
        <f t="shared" si="18"/>
        <v>0</v>
      </c>
      <c r="K114" s="132"/>
      <c r="L114" s="132"/>
      <c r="M114" s="132"/>
      <c r="N114" s="132"/>
      <c r="O114" s="132"/>
      <c r="P114" s="132">
        <f t="shared" si="19"/>
        <v>61000</v>
      </c>
      <c r="Q114" s="159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</row>
    <row r="115" spans="1:575" s="55" customFormat="1" ht="15" x14ac:dyDescent="0.25">
      <c r="A115" s="53" t="s">
        <v>530</v>
      </c>
      <c r="B115" s="102" t="s">
        <v>24</v>
      </c>
      <c r="C115" s="102" t="s">
        <v>531</v>
      </c>
      <c r="D115" s="99" t="s">
        <v>343</v>
      </c>
      <c r="E115" s="132">
        <f t="shared" si="15"/>
        <v>24318.080000000002</v>
      </c>
      <c r="F115" s="132">
        <f>12500+2164.58+9653.5</f>
        <v>24318.080000000002</v>
      </c>
      <c r="G115" s="132"/>
      <c r="H115" s="132"/>
      <c r="I115" s="132"/>
      <c r="J115" s="132">
        <f t="shared" si="10"/>
        <v>0</v>
      </c>
      <c r="K115" s="132"/>
      <c r="L115" s="132"/>
      <c r="M115" s="132"/>
      <c r="N115" s="132"/>
      <c r="O115" s="132"/>
      <c r="P115" s="132">
        <f t="shared" si="16"/>
        <v>24318.080000000002</v>
      </c>
      <c r="Q115" s="159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</row>
    <row r="116" spans="1:575" s="72" customFormat="1" ht="28.5" x14ac:dyDescent="0.2">
      <c r="A116" s="70" t="s">
        <v>240</v>
      </c>
      <c r="B116" s="111"/>
      <c r="C116" s="111"/>
      <c r="D116" s="71" t="s">
        <v>60</v>
      </c>
      <c r="E116" s="134">
        <f>E117</f>
        <v>695922028.32999992</v>
      </c>
      <c r="F116" s="134">
        <f t="shared" ref="F116:P116" si="20">F117</f>
        <v>695922028.32999992</v>
      </c>
      <c r="G116" s="134">
        <f t="shared" si="20"/>
        <v>49502248</v>
      </c>
      <c r="H116" s="134">
        <f t="shared" si="20"/>
        <v>1643050</v>
      </c>
      <c r="I116" s="134">
        <f t="shared" si="20"/>
        <v>0</v>
      </c>
      <c r="J116" s="134">
        <f t="shared" si="20"/>
        <v>9035284.9100000001</v>
      </c>
      <c r="K116" s="134">
        <f t="shared" si="20"/>
        <v>7426766.9100000001</v>
      </c>
      <c r="L116" s="134">
        <f t="shared" si="20"/>
        <v>95530</v>
      </c>
      <c r="M116" s="134">
        <f t="shared" si="20"/>
        <v>75100</v>
      </c>
      <c r="N116" s="134">
        <f t="shared" si="20"/>
        <v>0</v>
      </c>
      <c r="O116" s="134">
        <f t="shared" si="20"/>
        <v>8939754.9100000001</v>
      </c>
      <c r="P116" s="134">
        <f t="shared" si="20"/>
        <v>704957313.23999989</v>
      </c>
      <c r="Q116" s="159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90"/>
      <c r="IZ116" s="90"/>
      <c r="JA116" s="90"/>
      <c r="JB116" s="90"/>
      <c r="JC116" s="90"/>
      <c r="JD116" s="90"/>
      <c r="JE116" s="90"/>
      <c r="JF116" s="90"/>
      <c r="JG116" s="90"/>
      <c r="JH116" s="90"/>
      <c r="JI116" s="90"/>
      <c r="JJ116" s="90"/>
      <c r="JK116" s="90"/>
      <c r="JL116" s="90"/>
      <c r="JM116" s="90"/>
      <c r="JN116" s="90"/>
      <c r="JO116" s="90"/>
      <c r="JP116" s="90"/>
      <c r="JQ116" s="90"/>
      <c r="JR116" s="90"/>
      <c r="JS116" s="90"/>
      <c r="JT116" s="90"/>
      <c r="JU116" s="90"/>
      <c r="JV116" s="90"/>
      <c r="JW116" s="90"/>
      <c r="JX116" s="90"/>
      <c r="JY116" s="90"/>
      <c r="JZ116" s="90"/>
      <c r="KA116" s="90"/>
      <c r="KB116" s="90"/>
      <c r="KC116" s="90"/>
      <c r="KD116" s="90"/>
      <c r="KE116" s="90"/>
      <c r="KF116" s="90"/>
      <c r="KG116" s="90"/>
      <c r="KH116" s="90"/>
      <c r="KI116" s="90"/>
      <c r="KJ116" s="90"/>
      <c r="KK116" s="90"/>
      <c r="KL116" s="90"/>
      <c r="KM116" s="90"/>
      <c r="KN116" s="90"/>
      <c r="KO116" s="90"/>
      <c r="KP116" s="90"/>
      <c r="KQ116" s="90"/>
      <c r="KR116" s="90"/>
      <c r="KS116" s="90"/>
      <c r="KT116" s="90"/>
      <c r="KU116" s="90"/>
      <c r="KV116" s="90"/>
      <c r="KW116" s="90"/>
      <c r="KX116" s="90"/>
      <c r="KY116" s="90"/>
      <c r="KZ116" s="90"/>
      <c r="LA116" s="90"/>
      <c r="LB116" s="90"/>
      <c r="LC116" s="90"/>
      <c r="LD116" s="90"/>
      <c r="LE116" s="90"/>
      <c r="LF116" s="90"/>
      <c r="LG116" s="90"/>
      <c r="LH116" s="90"/>
      <c r="LI116" s="90"/>
      <c r="LJ116" s="90"/>
      <c r="LK116" s="90"/>
      <c r="LL116" s="90"/>
      <c r="LM116" s="90"/>
      <c r="LN116" s="90"/>
      <c r="LO116" s="90"/>
      <c r="LP116" s="90"/>
      <c r="LQ116" s="90"/>
      <c r="LR116" s="90"/>
      <c r="LS116" s="90"/>
      <c r="LT116" s="90"/>
      <c r="LU116" s="90"/>
      <c r="LV116" s="90"/>
      <c r="LW116" s="90"/>
      <c r="LX116" s="90"/>
      <c r="LY116" s="90"/>
      <c r="LZ116" s="90"/>
      <c r="MA116" s="90"/>
      <c r="MB116" s="90"/>
      <c r="MC116" s="90"/>
      <c r="MD116" s="90"/>
      <c r="ME116" s="90"/>
      <c r="MF116" s="90"/>
      <c r="MG116" s="90"/>
      <c r="MH116" s="90"/>
      <c r="MI116" s="90"/>
      <c r="MJ116" s="90"/>
      <c r="MK116" s="90"/>
      <c r="ML116" s="90"/>
      <c r="MM116" s="90"/>
      <c r="MN116" s="90"/>
      <c r="MO116" s="90"/>
      <c r="MP116" s="90"/>
      <c r="MQ116" s="90"/>
      <c r="MR116" s="90"/>
      <c r="MS116" s="90"/>
      <c r="MT116" s="90"/>
      <c r="MU116" s="90"/>
      <c r="MV116" s="90"/>
      <c r="MW116" s="90"/>
      <c r="MX116" s="90"/>
      <c r="MY116" s="90"/>
      <c r="MZ116" s="90"/>
      <c r="NA116" s="90"/>
      <c r="NB116" s="90"/>
      <c r="NC116" s="90"/>
      <c r="ND116" s="90"/>
      <c r="NE116" s="90"/>
      <c r="NF116" s="90"/>
      <c r="NG116" s="90"/>
      <c r="NH116" s="90"/>
      <c r="NI116" s="90"/>
      <c r="NJ116" s="90"/>
      <c r="NK116" s="90"/>
      <c r="NL116" s="90"/>
      <c r="NM116" s="90"/>
      <c r="NN116" s="90"/>
      <c r="NO116" s="90"/>
      <c r="NP116" s="90"/>
      <c r="NQ116" s="90"/>
      <c r="NR116" s="90"/>
      <c r="NS116" s="90"/>
      <c r="NT116" s="90"/>
      <c r="NU116" s="90"/>
      <c r="NV116" s="90"/>
      <c r="NW116" s="90"/>
      <c r="NX116" s="90"/>
      <c r="NY116" s="90"/>
      <c r="NZ116" s="90"/>
      <c r="OA116" s="90"/>
      <c r="OB116" s="90"/>
      <c r="OC116" s="90"/>
      <c r="OD116" s="90"/>
      <c r="OE116" s="90"/>
      <c r="OF116" s="90"/>
      <c r="OG116" s="90"/>
      <c r="OH116" s="90"/>
      <c r="OI116" s="90"/>
      <c r="OJ116" s="90"/>
      <c r="OK116" s="90"/>
      <c r="OL116" s="90"/>
      <c r="OM116" s="90"/>
      <c r="ON116" s="90"/>
      <c r="OO116" s="90"/>
      <c r="OP116" s="90"/>
      <c r="OQ116" s="90"/>
      <c r="OR116" s="90"/>
      <c r="OS116" s="90"/>
      <c r="OT116" s="90"/>
      <c r="OU116" s="90"/>
      <c r="OV116" s="90"/>
      <c r="OW116" s="90"/>
      <c r="OX116" s="90"/>
      <c r="OY116" s="90"/>
      <c r="OZ116" s="90"/>
      <c r="PA116" s="90"/>
      <c r="PB116" s="90"/>
      <c r="PC116" s="90"/>
      <c r="PD116" s="90"/>
      <c r="PE116" s="90"/>
      <c r="PF116" s="90"/>
      <c r="PG116" s="90"/>
      <c r="PH116" s="90"/>
      <c r="PI116" s="90"/>
      <c r="PJ116" s="90"/>
      <c r="PK116" s="90"/>
      <c r="PL116" s="90"/>
      <c r="PM116" s="90"/>
      <c r="PN116" s="90"/>
      <c r="PO116" s="90"/>
      <c r="PP116" s="90"/>
      <c r="PQ116" s="90"/>
      <c r="PR116" s="90"/>
      <c r="PS116" s="90"/>
      <c r="PT116" s="90"/>
      <c r="PU116" s="90"/>
      <c r="PV116" s="90"/>
      <c r="PW116" s="90"/>
      <c r="PX116" s="90"/>
      <c r="PY116" s="90"/>
      <c r="PZ116" s="90"/>
      <c r="QA116" s="90"/>
      <c r="QB116" s="90"/>
      <c r="QC116" s="90"/>
      <c r="QD116" s="90"/>
      <c r="QE116" s="90"/>
      <c r="QF116" s="90"/>
      <c r="QG116" s="90"/>
      <c r="QH116" s="90"/>
      <c r="QI116" s="90"/>
      <c r="QJ116" s="90"/>
      <c r="QK116" s="90"/>
      <c r="QL116" s="90"/>
      <c r="QM116" s="90"/>
      <c r="QN116" s="90"/>
      <c r="QO116" s="90"/>
      <c r="QP116" s="90"/>
      <c r="QQ116" s="90"/>
      <c r="QR116" s="90"/>
      <c r="QS116" s="90"/>
      <c r="QT116" s="90"/>
      <c r="QU116" s="90"/>
      <c r="QV116" s="90"/>
      <c r="QW116" s="90"/>
      <c r="QX116" s="90"/>
      <c r="QY116" s="90"/>
      <c r="QZ116" s="90"/>
      <c r="RA116" s="90"/>
      <c r="RB116" s="90"/>
      <c r="RC116" s="90"/>
      <c r="RD116" s="90"/>
      <c r="RE116" s="90"/>
      <c r="RF116" s="90"/>
      <c r="RG116" s="90"/>
      <c r="RH116" s="90"/>
      <c r="RI116" s="90"/>
      <c r="RJ116" s="90"/>
      <c r="RK116" s="90"/>
      <c r="RL116" s="90"/>
      <c r="RM116" s="90"/>
      <c r="RN116" s="90"/>
      <c r="RO116" s="90"/>
      <c r="RP116" s="90"/>
      <c r="RQ116" s="90"/>
      <c r="RR116" s="90"/>
      <c r="RS116" s="90"/>
      <c r="RT116" s="90"/>
      <c r="RU116" s="90"/>
      <c r="RV116" s="90"/>
      <c r="RW116" s="90"/>
      <c r="RX116" s="90"/>
      <c r="RY116" s="90"/>
      <c r="RZ116" s="90"/>
      <c r="SA116" s="90"/>
      <c r="SB116" s="90"/>
      <c r="SC116" s="90"/>
      <c r="SD116" s="90"/>
      <c r="SE116" s="90"/>
      <c r="SF116" s="90"/>
      <c r="SG116" s="90"/>
      <c r="SH116" s="90"/>
      <c r="SI116" s="90"/>
      <c r="SJ116" s="90"/>
      <c r="SK116" s="90"/>
      <c r="SL116" s="90"/>
      <c r="SM116" s="90"/>
      <c r="SN116" s="90"/>
      <c r="SO116" s="90"/>
      <c r="SP116" s="90"/>
      <c r="SQ116" s="90"/>
      <c r="SR116" s="90"/>
      <c r="SS116" s="90"/>
      <c r="ST116" s="90"/>
      <c r="SU116" s="90"/>
      <c r="SV116" s="90"/>
      <c r="SW116" s="90"/>
      <c r="SX116" s="90"/>
      <c r="SY116" s="90"/>
      <c r="SZ116" s="90"/>
      <c r="TA116" s="90"/>
      <c r="TB116" s="90"/>
      <c r="TC116" s="90"/>
      <c r="TD116" s="90"/>
      <c r="TE116" s="90"/>
      <c r="TF116" s="90"/>
      <c r="TG116" s="90"/>
      <c r="TH116" s="90"/>
      <c r="TI116" s="90"/>
      <c r="TJ116" s="90"/>
      <c r="TK116" s="90"/>
      <c r="TL116" s="90"/>
      <c r="TM116" s="90"/>
      <c r="TN116" s="90"/>
      <c r="TO116" s="90"/>
      <c r="TP116" s="90"/>
      <c r="TQ116" s="90"/>
      <c r="TR116" s="90"/>
      <c r="TS116" s="90"/>
      <c r="TT116" s="90"/>
      <c r="TU116" s="90"/>
      <c r="TV116" s="90"/>
      <c r="TW116" s="90"/>
      <c r="TX116" s="90"/>
      <c r="TY116" s="90"/>
      <c r="TZ116" s="90"/>
      <c r="UA116" s="90"/>
      <c r="UB116" s="90"/>
      <c r="UC116" s="90"/>
      <c r="UD116" s="90"/>
      <c r="UE116" s="90"/>
      <c r="UF116" s="90"/>
      <c r="UG116" s="90"/>
      <c r="UH116" s="90"/>
      <c r="UI116" s="90"/>
      <c r="UJ116" s="90"/>
      <c r="UK116" s="90"/>
      <c r="UL116" s="90"/>
      <c r="UM116" s="90"/>
      <c r="UN116" s="90"/>
      <c r="UO116" s="90"/>
      <c r="UP116" s="90"/>
      <c r="UQ116" s="90"/>
      <c r="UR116" s="90"/>
      <c r="US116" s="90"/>
      <c r="UT116" s="90"/>
      <c r="UU116" s="90"/>
      <c r="UV116" s="90"/>
      <c r="UW116" s="90"/>
      <c r="UX116" s="90"/>
      <c r="UY116" s="90"/>
      <c r="UZ116" s="90"/>
      <c r="VA116" s="90"/>
      <c r="VB116" s="90"/>
      <c r="VC116" s="90"/>
    </row>
    <row r="117" spans="1:575" s="92" customFormat="1" ht="32.25" customHeight="1" x14ac:dyDescent="0.25">
      <c r="A117" s="75" t="s">
        <v>241</v>
      </c>
      <c r="B117" s="112"/>
      <c r="C117" s="112"/>
      <c r="D117" s="76" t="s">
        <v>60</v>
      </c>
      <c r="E117" s="131">
        <f>E119+E120+E122+E124+E126+E128+E129+E130+E131+E132+E133+E135+E137+E139+E141+E143+E145+E149+E150+E152+E154+E156+E158+E162+E164+E165+E147+E166+E167+E168+E169+E170+E171+E172+E173+E174+E176+E178+E182+E184+E185+E188+E189+E192+E160+E190+E180+E186</f>
        <v>695922028.32999992</v>
      </c>
      <c r="F117" s="131">
        <f t="shared" ref="F117:P117" si="21">F119+F120+F122+F124+F126+F128+F129+F130+F131+F132+F133+F135+F137+F139+F141+F143+F145+F149+F150+F152+F154+F156+F158+F162+F164+F165+F147+F166+F167+F168+F169+F170+F171+F172+F173+F174+F176+F178+F182+F184+F185+F188+F189+F192+F160+F190+F180+F186</f>
        <v>695922028.32999992</v>
      </c>
      <c r="G117" s="131">
        <f t="shared" si="21"/>
        <v>49502248</v>
      </c>
      <c r="H117" s="131">
        <f t="shared" si="21"/>
        <v>1643050</v>
      </c>
      <c r="I117" s="131">
        <f t="shared" si="21"/>
        <v>0</v>
      </c>
      <c r="J117" s="131">
        <f t="shared" si="21"/>
        <v>9035284.9100000001</v>
      </c>
      <c r="K117" s="131">
        <f t="shared" si="21"/>
        <v>7426766.9100000001</v>
      </c>
      <c r="L117" s="131">
        <f t="shared" si="21"/>
        <v>95530</v>
      </c>
      <c r="M117" s="131">
        <f t="shared" si="21"/>
        <v>75100</v>
      </c>
      <c r="N117" s="131">
        <f t="shared" si="21"/>
        <v>0</v>
      </c>
      <c r="O117" s="131">
        <f t="shared" si="21"/>
        <v>8939754.9100000001</v>
      </c>
      <c r="P117" s="131">
        <f t="shared" si="21"/>
        <v>704957313.23999989</v>
      </c>
      <c r="Q117" s="159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  <c r="NN117" s="91"/>
      <c r="NO117" s="91"/>
      <c r="NP117" s="91"/>
      <c r="NQ117" s="91"/>
      <c r="NR117" s="91"/>
      <c r="NS117" s="91"/>
      <c r="NT117" s="91"/>
      <c r="NU117" s="91"/>
      <c r="NV117" s="91"/>
      <c r="NW117" s="91"/>
      <c r="NX117" s="91"/>
      <c r="NY117" s="91"/>
      <c r="NZ117" s="91"/>
      <c r="OA117" s="91"/>
      <c r="OB117" s="91"/>
      <c r="OC117" s="91"/>
      <c r="OD117" s="91"/>
      <c r="OE117" s="91"/>
      <c r="OF117" s="91"/>
      <c r="OG117" s="91"/>
      <c r="OH117" s="91"/>
      <c r="OI117" s="91"/>
      <c r="OJ117" s="91"/>
      <c r="OK117" s="91"/>
      <c r="OL117" s="91"/>
      <c r="OM117" s="91"/>
      <c r="ON117" s="91"/>
      <c r="OO117" s="91"/>
      <c r="OP117" s="91"/>
      <c r="OQ117" s="91"/>
      <c r="OR117" s="91"/>
      <c r="OS117" s="91"/>
      <c r="OT117" s="91"/>
      <c r="OU117" s="91"/>
      <c r="OV117" s="91"/>
      <c r="OW117" s="91"/>
      <c r="OX117" s="91"/>
      <c r="OY117" s="91"/>
      <c r="OZ117" s="91"/>
      <c r="PA117" s="91"/>
      <c r="PB117" s="91"/>
      <c r="PC117" s="91"/>
      <c r="PD117" s="91"/>
      <c r="PE117" s="91"/>
      <c r="PF117" s="91"/>
      <c r="PG117" s="91"/>
      <c r="PH117" s="91"/>
      <c r="PI117" s="91"/>
      <c r="PJ117" s="91"/>
      <c r="PK117" s="91"/>
      <c r="PL117" s="91"/>
      <c r="PM117" s="91"/>
      <c r="PN117" s="91"/>
      <c r="PO117" s="91"/>
      <c r="PP117" s="91"/>
      <c r="PQ117" s="91"/>
      <c r="PR117" s="91"/>
      <c r="PS117" s="91"/>
      <c r="PT117" s="91"/>
      <c r="PU117" s="91"/>
      <c r="PV117" s="91"/>
      <c r="PW117" s="91"/>
      <c r="PX117" s="91"/>
      <c r="PY117" s="91"/>
      <c r="PZ117" s="91"/>
      <c r="QA117" s="91"/>
      <c r="QB117" s="91"/>
      <c r="QC117" s="91"/>
      <c r="QD117" s="91"/>
      <c r="QE117" s="91"/>
      <c r="QF117" s="91"/>
      <c r="QG117" s="91"/>
      <c r="QH117" s="91"/>
      <c r="QI117" s="91"/>
      <c r="QJ117" s="91"/>
      <c r="QK117" s="91"/>
      <c r="QL117" s="91"/>
      <c r="QM117" s="91"/>
      <c r="QN117" s="91"/>
      <c r="QO117" s="91"/>
      <c r="QP117" s="91"/>
      <c r="QQ117" s="91"/>
      <c r="QR117" s="91"/>
      <c r="QS117" s="91"/>
      <c r="QT117" s="91"/>
      <c r="QU117" s="91"/>
      <c r="QV117" s="91"/>
      <c r="QW117" s="91"/>
      <c r="QX117" s="91"/>
      <c r="QY117" s="91"/>
      <c r="QZ117" s="91"/>
      <c r="RA117" s="91"/>
      <c r="RB117" s="91"/>
      <c r="RC117" s="91"/>
      <c r="RD117" s="91"/>
      <c r="RE117" s="91"/>
      <c r="RF117" s="91"/>
      <c r="RG117" s="91"/>
      <c r="RH117" s="91"/>
      <c r="RI117" s="91"/>
      <c r="RJ117" s="91"/>
      <c r="RK117" s="91"/>
      <c r="RL117" s="91"/>
      <c r="RM117" s="91"/>
      <c r="RN117" s="91"/>
      <c r="RO117" s="91"/>
      <c r="RP117" s="91"/>
      <c r="RQ117" s="91"/>
      <c r="RR117" s="91"/>
      <c r="RS117" s="91"/>
      <c r="RT117" s="91"/>
      <c r="RU117" s="91"/>
      <c r="RV117" s="91"/>
      <c r="RW117" s="91"/>
      <c r="RX117" s="91"/>
      <c r="RY117" s="91"/>
      <c r="RZ117" s="91"/>
      <c r="SA117" s="91"/>
      <c r="SB117" s="91"/>
      <c r="SC117" s="91"/>
      <c r="SD117" s="91"/>
      <c r="SE117" s="91"/>
      <c r="SF117" s="91"/>
      <c r="SG117" s="91"/>
      <c r="SH117" s="91"/>
      <c r="SI117" s="91"/>
      <c r="SJ117" s="91"/>
      <c r="SK117" s="91"/>
      <c r="SL117" s="91"/>
      <c r="SM117" s="91"/>
      <c r="SN117" s="91"/>
      <c r="SO117" s="91"/>
      <c r="SP117" s="91"/>
      <c r="SQ117" s="91"/>
      <c r="SR117" s="91"/>
      <c r="SS117" s="91"/>
      <c r="ST117" s="91"/>
      <c r="SU117" s="91"/>
      <c r="SV117" s="91"/>
      <c r="SW117" s="91"/>
      <c r="SX117" s="91"/>
      <c r="SY117" s="91"/>
      <c r="SZ117" s="91"/>
      <c r="TA117" s="91"/>
      <c r="TB117" s="91"/>
      <c r="TC117" s="91"/>
      <c r="TD117" s="91"/>
      <c r="TE117" s="91"/>
      <c r="TF117" s="91"/>
      <c r="TG117" s="91"/>
      <c r="TH117" s="91"/>
      <c r="TI117" s="91"/>
      <c r="TJ117" s="91"/>
      <c r="TK117" s="91"/>
      <c r="TL117" s="91"/>
      <c r="TM117" s="91"/>
      <c r="TN117" s="91"/>
      <c r="TO117" s="91"/>
      <c r="TP117" s="91"/>
      <c r="TQ117" s="91"/>
      <c r="TR117" s="91"/>
      <c r="TS117" s="91"/>
      <c r="TT117" s="91"/>
      <c r="TU117" s="91"/>
      <c r="TV117" s="91"/>
      <c r="TW117" s="91"/>
      <c r="TX117" s="91"/>
      <c r="TY117" s="91"/>
      <c r="TZ117" s="91"/>
      <c r="UA117" s="91"/>
      <c r="UB117" s="91"/>
      <c r="UC117" s="91"/>
      <c r="UD117" s="91"/>
      <c r="UE117" s="91"/>
      <c r="UF117" s="91"/>
      <c r="UG117" s="91"/>
      <c r="UH117" s="91"/>
      <c r="UI117" s="91"/>
      <c r="UJ117" s="91"/>
      <c r="UK117" s="91"/>
      <c r="UL117" s="91"/>
      <c r="UM117" s="91"/>
      <c r="UN117" s="91"/>
      <c r="UO117" s="91"/>
      <c r="UP117" s="91"/>
      <c r="UQ117" s="91"/>
      <c r="UR117" s="91"/>
      <c r="US117" s="91"/>
      <c r="UT117" s="91"/>
      <c r="UU117" s="91"/>
      <c r="UV117" s="91"/>
      <c r="UW117" s="91"/>
      <c r="UX117" s="91"/>
      <c r="UY117" s="91"/>
      <c r="UZ117" s="91"/>
      <c r="VA117" s="91"/>
      <c r="VB117" s="91"/>
      <c r="VC117" s="91"/>
    </row>
    <row r="118" spans="1:575" s="92" customFormat="1" ht="15.75" customHeight="1" x14ac:dyDescent="0.25">
      <c r="A118" s="75"/>
      <c r="B118" s="112"/>
      <c r="C118" s="112"/>
      <c r="D118" s="76" t="s">
        <v>344</v>
      </c>
      <c r="E118" s="131">
        <f>E121+E123+E125+E127+E134+E136+E138+E140+E142+E144+E146+E151+E153+E155+E157+E159+E163+E175+E177+E179+E183+E148+E161+E191+E181+E187</f>
        <v>517576738.50999999</v>
      </c>
      <c r="F118" s="131">
        <f t="shared" ref="F118:P118" si="22">F121+F123+F125+F127+F134+F136+F138+F140+F142+F144+F146+F151+F153+F155+F157+F159+F163+F175+F177+F179+F183+F148+F161+F191+F181+F187</f>
        <v>517576738.50999999</v>
      </c>
      <c r="G118" s="131">
        <f t="shared" si="22"/>
        <v>0</v>
      </c>
      <c r="H118" s="131">
        <f t="shared" si="22"/>
        <v>0</v>
      </c>
      <c r="I118" s="131">
        <f t="shared" si="22"/>
        <v>0</v>
      </c>
      <c r="J118" s="131">
        <f t="shared" si="22"/>
        <v>7505265.9100000001</v>
      </c>
      <c r="K118" s="131">
        <f t="shared" si="22"/>
        <v>5992277.9100000001</v>
      </c>
      <c r="L118" s="131">
        <f t="shared" si="22"/>
        <v>0</v>
      </c>
      <c r="M118" s="131">
        <f t="shared" si="22"/>
        <v>0</v>
      </c>
      <c r="N118" s="131">
        <f t="shared" si="22"/>
        <v>0</v>
      </c>
      <c r="O118" s="131">
        <f t="shared" si="22"/>
        <v>7505265.9100000001</v>
      </c>
      <c r="P118" s="131">
        <f t="shared" si="22"/>
        <v>525082004.42000002</v>
      </c>
      <c r="Q118" s="159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  <c r="LD118" s="91"/>
      <c r="LE118" s="91"/>
      <c r="LF118" s="91"/>
      <c r="LG118" s="91"/>
      <c r="LH118" s="91"/>
      <c r="LI118" s="91"/>
      <c r="LJ118" s="91"/>
      <c r="LK118" s="91"/>
      <c r="LL118" s="91"/>
      <c r="LM118" s="91"/>
      <c r="LN118" s="91"/>
      <c r="LO118" s="91"/>
      <c r="LP118" s="91"/>
      <c r="LQ118" s="91"/>
      <c r="LR118" s="91"/>
      <c r="LS118" s="91"/>
      <c r="LT118" s="91"/>
      <c r="LU118" s="91"/>
      <c r="LV118" s="91"/>
      <c r="LW118" s="91"/>
      <c r="LX118" s="91"/>
      <c r="LY118" s="91"/>
      <c r="LZ118" s="91"/>
      <c r="MA118" s="91"/>
      <c r="MB118" s="91"/>
      <c r="MC118" s="91"/>
      <c r="MD118" s="91"/>
      <c r="ME118" s="91"/>
      <c r="MF118" s="91"/>
      <c r="MG118" s="91"/>
      <c r="MH118" s="91"/>
      <c r="MI118" s="91"/>
      <c r="MJ118" s="91"/>
      <c r="MK118" s="91"/>
      <c r="ML118" s="91"/>
      <c r="MM118" s="91"/>
      <c r="MN118" s="91"/>
      <c r="MO118" s="91"/>
      <c r="MP118" s="91"/>
      <c r="MQ118" s="91"/>
      <c r="MR118" s="91"/>
      <c r="MS118" s="91"/>
      <c r="MT118" s="91"/>
      <c r="MU118" s="91"/>
      <c r="MV118" s="91"/>
      <c r="MW118" s="91"/>
      <c r="MX118" s="91"/>
      <c r="MY118" s="91"/>
      <c r="MZ118" s="91"/>
      <c r="NA118" s="91"/>
      <c r="NB118" s="91"/>
      <c r="NC118" s="91"/>
      <c r="ND118" s="91"/>
      <c r="NE118" s="91"/>
      <c r="NF118" s="91"/>
      <c r="NG118" s="91"/>
      <c r="NH118" s="91"/>
      <c r="NI118" s="91"/>
      <c r="NJ118" s="91"/>
      <c r="NK118" s="91"/>
      <c r="NL118" s="91"/>
      <c r="NM118" s="91"/>
      <c r="NN118" s="91"/>
      <c r="NO118" s="91"/>
      <c r="NP118" s="91"/>
      <c r="NQ118" s="91"/>
      <c r="NR118" s="91"/>
      <c r="NS118" s="91"/>
      <c r="NT118" s="91"/>
      <c r="NU118" s="91"/>
      <c r="NV118" s="91"/>
      <c r="NW118" s="91"/>
      <c r="NX118" s="91"/>
      <c r="NY118" s="91"/>
      <c r="NZ118" s="91"/>
      <c r="OA118" s="91"/>
      <c r="OB118" s="91"/>
      <c r="OC118" s="91"/>
      <c r="OD118" s="91"/>
      <c r="OE118" s="91"/>
      <c r="OF118" s="91"/>
      <c r="OG118" s="91"/>
      <c r="OH118" s="91"/>
      <c r="OI118" s="91"/>
      <c r="OJ118" s="91"/>
      <c r="OK118" s="91"/>
      <c r="OL118" s="91"/>
      <c r="OM118" s="91"/>
      <c r="ON118" s="91"/>
      <c r="OO118" s="91"/>
      <c r="OP118" s="91"/>
      <c r="OQ118" s="91"/>
      <c r="OR118" s="91"/>
      <c r="OS118" s="91"/>
      <c r="OT118" s="91"/>
      <c r="OU118" s="91"/>
      <c r="OV118" s="91"/>
      <c r="OW118" s="91"/>
      <c r="OX118" s="91"/>
      <c r="OY118" s="91"/>
      <c r="OZ118" s="91"/>
      <c r="PA118" s="91"/>
      <c r="PB118" s="91"/>
      <c r="PC118" s="91"/>
      <c r="PD118" s="91"/>
      <c r="PE118" s="91"/>
      <c r="PF118" s="91"/>
      <c r="PG118" s="91"/>
      <c r="PH118" s="91"/>
      <c r="PI118" s="91"/>
      <c r="PJ118" s="91"/>
      <c r="PK118" s="91"/>
      <c r="PL118" s="91"/>
      <c r="PM118" s="91"/>
      <c r="PN118" s="91"/>
      <c r="PO118" s="91"/>
      <c r="PP118" s="91"/>
      <c r="PQ118" s="91"/>
      <c r="PR118" s="91"/>
      <c r="PS118" s="91"/>
      <c r="PT118" s="91"/>
      <c r="PU118" s="91"/>
      <c r="PV118" s="91"/>
      <c r="PW118" s="91"/>
      <c r="PX118" s="91"/>
      <c r="PY118" s="91"/>
      <c r="PZ118" s="91"/>
      <c r="QA118" s="91"/>
      <c r="QB118" s="91"/>
      <c r="QC118" s="91"/>
      <c r="QD118" s="91"/>
      <c r="QE118" s="91"/>
      <c r="QF118" s="91"/>
      <c r="QG118" s="91"/>
      <c r="QH118" s="91"/>
      <c r="QI118" s="91"/>
      <c r="QJ118" s="91"/>
      <c r="QK118" s="91"/>
      <c r="QL118" s="91"/>
      <c r="QM118" s="91"/>
      <c r="QN118" s="91"/>
      <c r="QO118" s="91"/>
      <c r="QP118" s="91"/>
      <c r="QQ118" s="91"/>
      <c r="QR118" s="91"/>
      <c r="QS118" s="91"/>
      <c r="QT118" s="91"/>
      <c r="QU118" s="91"/>
      <c r="QV118" s="91"/>
      <c r="QW118" s="91"/>
      <c r="QX118" s="91"/>
      <c r="QY118" s="91"/>
      <c r="QZ118" s="91"/>
      <c r="RA118" s="91"/>
      <c r="RB118" s="91"/>
      <c r="RC118" s="91"/>
      <c r="RD118" s="91"/>
      <c r="RE118" s="91"/>
      <c r="RF118" s="91"/>
      <c r="RG118" s="91"/>
      <c r="RH118" s="91"/>
      <c r="RI118" s="91"/>
      <c r="RJ118" s="91"/>
      <c r="RK118" s="91"/>
      <c r="RL118" s="91"/>
      <c r="RM118" s="91"/>
      <c r="RN118" s="91"/>
      <c r="RO118" s="91"/>
      <c r="RP118" s="91"/>
      <c r="RQ118" s="91"/>
      <c r="RR118" s="91"/>
      <c r="RS118" s="91"/>
      <c r="RT118" s="91"/>
      <c r="RU118" s="91"/>
      <c r="RV118" s="91"/>
      <c r="RW118" s="91"/>
      <c r="RX118" s="91"/>
      <c r="RY118" s="91"/>
      <c r="RZ118" s="91"/>
      <c r="SA118" s="91"/>
      <c r="SB118" s="91"/>
      <c r="SC118" s="91"/>
      <c r="SD118" s="91"/>
      <c r="SE118" s="91"/>
      <c r="SF118" s="91"/>
      <c r="SG118" s="91"/>
      <c r="SH118" s="91"/>
      <c r="SI118" s="91"/>
      <c r="SJ118" s="91"/>
      <c r="SK118" s="91"/>
      <c r="SL118" s="91"/>
      <c r="SM118" s="91"/>
      <c r="SN118" s="91"/>
      <c r="SO118" s="91"/>
      <c r="SP118" s="91"/>
      <c r="SQ118" s="91"/>
      <c r="SR118" s="91"/>
      <c r="SS118" s="91"/>
      <c r="ST118" s="91"/>
      <c r="SU118" s="91"/>
      <c r="SV118" s="91"/>
      <c r="SW118" s="91"/>
      <c r="SX118" s="91"/>
      <c r="SY118" s="91"/>
      <c r="SZ118" s="91"/>
      <c r="TA118" s="91"/>
      <c r="TB118" s="91"/>
      <c r="TC118" s="91"/>
      <c r="TD118" s="91"/>
      <c r="TE118" s="91"/>
      <c r="TF118" s="91"/>
      <c r="TG118" s="91"/>
      <c r="TH118" s="91"/>
      <c r="TI118" s="91"/>
      <c r="TJ118" s="91"/>
      <c r="TK118" s="91"/>
      <c r="TL118" s="91"/>
      <c r="TM118" s="91"/>
      <c r="TN118" s="91"/>
      <c r="TO118" s="91"/>
      <c r="TP118" s="91"/>
      <c r="TQ118" s="91"/>
      <c r="TR118" s="91"/>
      <c r="TS118" s="91"/>
      <c r="TT118" s="91"/>
      <c r="TU118" s="91"/>
      <c r="TV118" s="91"/>
      <c r="TW118" s="91"/>
      <c r="TX118" s="91"/>
      <c r="TY118" s="91"/>
      <c r="TZ118" s="91"/>
      <c r="UA118" s="91"/>
      <c r="UB118" s="91"/>
      <c r="UC118" s="91"/>
      <c r="UD118" s="91"/>
      <c r="UE118" s="91"/>
      <c r="UF118" s="91"/>
      <c r="UG118" s="91"/>
      <c r="UH118" s="91"/>
      <c r="UI118" s="91"/>
      <c r="UJ118" s="91"/>
      <c r="UK118" s="91"/>
      <c r="UL118" s="91"/>
      <c r="UM118" s="91"/>
      <c r="UN118" s="91"/>
      <c r="UO118" s="91"/>
      <c r="UP118" s="91"/>
      <c r="UQ118" s="91"/>
      <c r="UR118" s="91"/>
      <c r="US118" s="91"/>
      <c r="UT118" s="91"/>
      <c r="UU118" s="91"/>
      <c r="UV118" s="91"/>
      <c r="UW118" s="91"/>
      <c r="UX118" s="91"/>
      <c r="UY118" s="91"/>
      <c r="UZ118" s="91"/>
      <c r="VA118" s="91"/>
      <c r="VB118" s="91"/>
      <c r="VC118" s="91"/>
    </row>
    <row r="119" spans="1:575" s="55" customFormat="1" ht="28.5" customHeight="1" x14ac:dyDescent="0.25">
      <c r="A119" s="53" t="s">
        <v>242</v>
      </c>
      <c r="B119" s="102" t="str">
        <f>'дод 2'!A13</f>
        <v>0160</v>
      </c>
      <c r="C119" s="102" t="str">
        <f>'дод 2'!B13</f>
        <v>0111</v>
      </c>
      <c r="D119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2">
        <f t="shared" ref="E119:E152" si="23">F119+I119</f>
        <v>48223900</v>
      </c>
      <c r="F119" s="132">
        <v>48223900</v>
      </c>
      <c r="G119" s="132">
        <f>37804700-154000-16000</f>
        <v>37634700</v>
      </c>
      <c r="H119" s="132">
        <f>832540+6852+2911</f>
        <v>842303</v>
      </c>
      <c r="I119" s="132"/>
      <c r="J119" s="132">
        <f t="shared" si="10"/>
        <v>600000</v>
      </c>
      <c r="K119" s="132">
        <f>100000+500000</f>
        <v>600000</v>
      </c>
      <c r="L119" s="132"/>
      <c r="M119" s="132"/>
      <c r="N119" s="132"/>
      <c r="O119" s="132">
        <f>500000+100000</f>
        <v>600000</v>
      </c>
      <c r="P119" s="132">
        <f t="shared" ref="P119:P152" si="24">E119+J119</f>
        <v>48823900</v>
      </c>
      <c r="Q119" s="159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  <c r="KO119" s="61"/>
      <c r="KP119" s="61"/>
      <c r="KQ119" s="61"/>
      <c r="KR119" s="61"/>
      <c r="KS119" s="61"/>
      <c r="KT119" s="61"/>
      <c r="KU119" s="61"/>
      <c r="KV119" s="61"/>
      <c r="KW119" s="61"/>
      <c r="KX119" s="61"/>
      <c r="KY119" s="61"/>
      <c r="KZ119" s="61"/>
      <c r="LA119" s="61"/>
      <c r="LB119" s="61"/>
      <c r="LC119" s="61"/>
      <c r="LD119" s="61"/>
      <c r="LE119" s="61"/>
      <c r="LF119" s="61"/>
      <c r="LG119" s="61"/>
      <c r="LH119" s="61"/>
      <c r="LI119" s="61"/>
      <c r="LJ119" s="61"/>
      <c r="LK119" s="61"/>
      <c r="LL119" s="61"/>
      <c r="LM119" s="61"/>
      <c r="LN119" s="61"/>
      <c r="LO119" s="61"/>
      <c r="LP119" s="61"/>
      <c r="LQ119" s="61"/>
      <c r="LR119" s="61"/>
      <c r="LS119" s="61"/>
      <c r="LT119" s="61"/>
      <c r="LU119" s="61"/>
      <c r="LV119" s="61"/>
      <c r="LW119" s="61"/>
      <c r="LX119" s="61"/>
      <c r="LY119" s="61"/>
      <c r="LZ119" s="61"/>
      <c r="MA119" s="61"/>
      <c r="MB119" s="61"/>
      <c r="MC119" s="61"/>
      <c r="MD119" s="61"/>
      <c r="ME119" s="61"/>
      <c r="MF119" s="61"/>
      <c r="MG119" s="61"/>
      <c r="MH119" s="61"/>
      <c r="MI119" s="61"/>
      <c r="MJ119" s="61"/>
      <c r="MK119" s="61"/>
      <c r="ML119" s="61"/>
      <c r="MM119" s="61"/>
      <c r="MN119" s="61"/>
      <c r="MO119" s="61"/>
      <c r="MP119" s="61"/>
      <c r="MQ119" s="61"/>
      <c r="MR119" s="61"/>
      <c r="MS119" s="61"/>
      <c r="MT119" s="61"/>
      <c r="MU119" s="61"/>
      <c r="MV119" s="61"/>
      <c r="MW119" s="61"/>
      <c r="MX119" s="61"/>
      <c r="MY119" s="61"/>
      <c r="MZ119" s="61"/>
      <c r="NA119" s="61"/>
      <c r="NB119" s="61"/>
      <c r="NC119" s="61"/>
      <c r="ND119" s="61"/>
      <c r="NE119" s="61"/>
      <c r="NF119" s="61"/>
      <c r="NG119" s="61"/>
      <c r="NH119" s="61"/>
      <c r="NI119" s="61"/>
      <c r="NJ119" s="61"/>
      <c r="NK119" s="61"/>
      <c r="NL119" s="61"/>
      <c r="NM119" s="61"/>
      <c r="NN119" s="61"/>
      <c r="NO119" s="61"/>
      <c r="NP119" s="61"/>
      <c r="NQ119" s="61"/>
      <c r="NR119" s="61"/>
      <c r="NS119" s="61"/>
      <c r="NT119" s="61"/>
      <c r="NU119" s="61"/>
      <c r="NV119" s="61"/>
      <c r="NW119" s="61"/>
      <c r="NX119" s="61"/>
      <c r="NY119" s="61"/>
      <c r="NZ119" s="61"/>
      <c r="OA119" s="61"/>
      <c r="OB119" s="61"/>
      <c r="OC119" s="61"/>
      <c r="OD119" s="61"/>
      <c r="OE119" s="61"/>
      <c r="OF119" s="61"/>
      <c r="OG119" s="61"/>
      <c r="OH119" s="61"/>
      <c r="OI119" s="61"/>
      <c r="OJ119" s="61"/>
      <c r="OK119" s="61"/>
      <c r="OL119" s="61"/>
      <c r="OM119" s="61"/>
      <c r="ON119" s="61"/>
      <c r="OO119" s="61"/>
      <c r="OP119" s="61"/>
      <c r="OQ119" s="61"/>
      <c r="OR119" s="61"/>
      <c r="OS119" s="61"/>
      <c r="OT119" s="61"/>
      <c r="OU119" s="61"/>
      <c r="OV119" s="61"/>
      <c r="OW119" s="61"/>
      <c r="OX119" s="61"/>
      <c r="OY119" s="61"/>
      <c r="OZ119" s="61"/>
      <c r="PA119" s="61"/>
      <c r="PB119" s="61"/>
      <c r="PC119" s="61"/>
      <c r="PD119" s="61"/>
      <c r="PE119" s="61"/>
      <c r="PF119" s="61"/>
      <c r="PG119" s="61"/>
      <c r="PH119" s="61"/>
      <c r="PI119" s="61"/>
      <c r="PJ119" s="61"/>
      <c r="PK119" s="61"/>
      <c r="PL119" s="61"/>
      <c r="PM119" s="61"/>
      <c r="PN119" s="61"/>
      <c r="PO119" s="61"/>
      <c r="PP119" s="61"/>
      <c r="PQ119" s="61"/>
      <c r="PR119" s="61"/>
      <c r="PS119" s="61"/>
      <c r="PT119" s="61"/>
      <c r="PU119" s="61"/>
      <c r="PV119" s="61"/>
      <c r="PW119" s="61"/>
      <c r="PX119" s="61"/>
      <c r="PY119" s="61"/>
      <c r="PZ119" s="61"/>
      <c r="QA119" s="61"/>
      <c r="QB119" s="61"/>
      <c r="QC119" s="61"/>
      <c r="QD119" s="61"/>
      <c r="QE119" s="61"/>
      <c r="QF119" s="61"/>
      <c r="QG119" s="61"/>
      <c r="QH119" s="61"/>
      <c r="QI119" s="61"/>
      <c r="QJ119" s="61"/>
      <c r="QK119" s="61"/>
      <c r="QL119" s="61"/>
      <c r="QM119" s="61"/>
      <c r="QN119" s="61"/>
      <c r="QO119" s="61"/>
      <c r="QP119" s="61"/>
      <c r="QQ119" s="61"/>
      <c r="QR119" s="61"/>
      <c r="QS119" s="61"/>
      <c r="QT119" s="61"/>
      <c r="QU119" s="61"/>
      <c r="QV119" s="61"/>
      <c r="QW119" s="61"/>
      <c r="QX119" s="61"/>
      <c r="QY119" s="61"/>
      <c r="QZ119" s="61"/>
      <c r="RA119" s="61"/>
      <c r="RB119" s="61"/>
      <c r="RC119" s="61"/>
      <c r="RD119" s="61"/>
      <c r="RE119" s="61"/>
      <c r="RF119" s="61"/>
      <c r="RG119" s="61"/>
      <c r="RH119" s="61"/>
      <c r="RI119" s="61"/>
      <c r="RJ119" s="61"/>
      <c r="RK119" s="61"/>
      <c r="RL119" s="61"/>
      <c r="RM119" s="61"/>
      <c r="RN119" s="61"/>
      <c r="RO119" s="61"/>
      <c r="RP119" s="61"/>
      <c r="RQ119" s="61"/>
      <c r="RR119" s="61"/>
      <c r="RS119" s="61"/>
      <c r="RT119" s="61"/>
      <c r="RU119" s="61"/>
      <c r="RV119" s="61"/>
      <c r="RW119" s="61"/>
      <c r="RX119" s="61"/>
      <c r="RY119" s="61"/>
      <c r="RZ119" s="61"/>
      <c r="SA119" s="61"/>
      <c r="SB119" s="61"/>
      <c r="SC119" s="61"/>
      <c r="SD119" s="61"/>
      <c r="SE119" s="61"/>
      <c r="SF119" s="61"/>
      <c r="SG119" s="61"/>
      <c r="SH119" s="61"/>
      <c r="SI119" s="61"/>
      <c r="SJ119" s="61"/>
      <c r="SK119" s="61"/>
      <c r="SL119" s="61"/>
      <c r="SM119" s="61"/>
      <c r="SN119" s="61"/>
      <c r="SO119" s="61"/>
      <c r="SP119" s="61"/>
      <c r="SQ119" s="61"/>
      <c r="SR119" s="61"/>
      <c r="SS119" s="61"/>
      <c r="ST119" s="61"/>
      <c r="SU119" s="61"/>
      <c r="SV119" s="61"/>
      <c r="SW119" s="61"/>
      <c r="SX119" s="61"/>
      <c r="SY119" s="61"/>
      <c r="SZ119" s="61"/>
      <c r="TA119" s="61"/>
      <c r="TB119" s="61"/>
      <c r="TC119" s="61"/>
      <c r="TD119" s="61"/>
      <c r="TE119" s="61"/>
      <c r="TF119" s="61"/>
      <c r="TG119" s="61"/>
      <c r="TH119" s="61"/>
      <c r="TI119" s="61"/>
      <c r="TJ119" s="61"/>
      <c r="TK119" s="61"/>
      <c r="TL119" s="61"/>
      <c r="TM119" s="61"/>
      <c r="TN119" s="61"/>
      <c r="TO119" s="61"/>
      <c r="TP119" s="61"/>
      <c r="TQ119" s="61"/>
      <c r="TR119" s="61"/>
      <c r="TS119" s="61"/>
      <c r="TT119" s="61"/>
      <c r="TU119" s="61"/>
      <c r="TV119" s="61"/>
      <c r="TW119" s="61"/>
      <c r="TX119" s="61"/>
      <c r="TY119" s="61"/>
      <c r="TZ119" s="61"/>
      <c r="UA119" s="61"/>
      <c r="UB119" s="61"/>
      <c r="UC119" s="61"/>
      <c r="UD119" s="61"/>
      <c r="UE119" s="61"/>
      <c r="UF119" s="61"/>
      <c r="UG119" s="61"/>
      <c r="UH119" s="61"/>
      <c r="UI119" s="61"/>
      <c r="UJ119" s="61"/>
      <c r="UK119" s="61"/>
      <c r="UL119" s="61"/>
      <c r="UM119" s="61"/>
      <c r="UN119" s="61"/>
      <c r="UO119" s="61"/>
      <c r="UP119" s="61"/>
      <c r="UQ119" s="61"/>
      <c r="UR119" s="61"/>
      <c r="US119" s="61"/>
      <c r="UT119" s="61"/>
      <c r="UU119" s="61"/>
      <c r="UV119" s="61"/>
      <c r="UW119" s="61"/>
      <c r="UX119" s="61"/>
      <c r="UY119" s="61"/>
      <c r="UZ119" s="61"/>
      <c r="VA119" s="61"/>
      <c r="VB119" s="61"/>
      <c r="VC119" s="61"/>
    </row>
    <row r="120" spans="1:575" s="55" customFormat="1" ht="45" customHeight="1" x14ac:dyDescent="0.25">
      <c r="A120" s="53" t="s">
        <v>436</v>
      </c>
      <c r="B120" s="106" t="str">
        <f>'дод 2'!A59</f>
        <v>3011</v>
      </c>
      <c r="C120" s="106">
        <f>'дод 2'!B59</f>
        <v>1030</v>
      </c>
      <c r="D120" s="56" t="str">
        <f>'дод 2'!C59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2">
        <f t="shared" si="23"/>
        <v>67044871.689999998</v>
      </c>
      <c r="F120" s="132">
        <f>60934500-2223405+83471.33+1400000+61923.95-1339078.52+3540000+150350-11332.07+4623742-175300</f>
        <v>67044871.689999998</v>
      </c>
      <c r="G120" s="132"/>
      <c r="H120" s="132"/>
      <c r="I120" s="132"/>
      <c r="J120" s="132">
        <f t="shared" si="10"/>
        <v>0</v>
      </c>
      <c r="K120" s="132"/>
      <c r="L120" s="132"/>
      <c r="M120" s="132"/>
      <c r="N120" s="132"/>
      <c r="O120" s="132"/>
      <c r="P120" s="132">
        <f t="shared" si="24"/>
        <v>67044871.689999998</v>
      </c>
      <c r="Q120" s="159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  <c r="KO120" s="61"/>
      <c r="KP120" s="61"/>
      <c r="KQ120" s="61"/>
      <c r="KR120" s="61"/>
      <c r="KS120" s="61"/>
      <c r="KT120" s="61"/>
      <c r="KU120" s="61"/>
      <c r="KV120" s="61"/>
      <c r="KW120" s="61"/>
      <c r="KX120" s="61"/>
      <c r="KY120" s="61"/>
      <c r="KZ120" s="61"/>
      <c r="LA120" s="61"/>
      <c r="LB120" s="61"/>
      <c r="LC120" s="61"/>
      <c r="LD120" s="61"/>
      <c r="LE120" s="61"/>
      <c r="LF120" s="61"/>
      <c r="LG120" s="61"/>
      <c r="LH120" s="61"/>
      <c r="LI120" s="61"/>
      <c r="LJ120" s="61"/>
      <c r="LK120" s="61"/>
      <c r="LL120" s="61"/>
      <c r="LM120" s="61"/>
      <c r="LN120" s="61"/>
      <c r="LO120" s="61"/>
      <c r="LP120" s="61"/>
      <c r="LQ120" s="61"/>
      <c r="LR120" s="61"/>
      <c r="LS120" s="61"/>
      <c r="LT120" s="61"/>
      <c r="LU120" s="61"/>
      <c r="LV120" s="61"/>
      <c r="LW120" s="61"/>
      <c r="LX120" s="61"/>
      <c r="LY120" s="61"/>
      <c r="LZ120" s="61"/>
      <c r="MA120" s="61"/>
      <c r="MB120" s="61"/>
      <c r="MC120" s="61"/>
      <c r="MD120" s="61"/>
      <c r="ME120" s="61"/>
      <c r="MF120" s="61"/>
      <c r="MG120" s="61"/>
      <c r="MH120" s="61"/>
      <c r="MI120" s="61"/>
      <c r="MJ120" s="61"/>
      <c r="MK120" s="61"/>
      <c r="ML120" s="61"/>
      <c r="MM120" s="61"/>
      <c r="MN120" s="61"/>
      <c r="MO120" s="61"/>
      <c r="MP120" s="61"/>
      <c r="MQ120" s="61"/>
      <c r="MR120" s="61"/>
      <c r="MS120" s="61"/>
      <c r="MT120" s="61"/>
      <c r="MU120" s="61"/>
      <c r="MV120" s="61"/>
      <c r="MW120" s="61"/>
      <c r="MX120" s="61"/>
      <c r="MY120" s="61"/>
      <c r="MZ120" s="61"/>
      <c r="NA120" s="61"/>
      <c r="NB120" s="61"/>
      <c r="NC120" s="61"/>
      <c r="ND120" s="61"/>
      <c r="NE120" s="61"/>
      <c r="NF120" s="61"/>
      <c r="NG120" s="61"/>
      <c r="NH120" s="61"/>
      <c r="NI120" s="61"/>
      <c r="NJ120" s="61"/>
      <c r="NK120" s="61"/>
      <c r="NL120" s="61"/>
      <c r="NM120" s="61"/>
      <c r="NN120" s="61"/>
      <c r="NO120" s="61"/>
      <c r="NP120" s="61"/>
      <c r="NQ120" s="61"/>
      <c r="NR120" s="61"/>
      <c r="NS120" s="61"/>
      <c r="NT120" s="61"/>
      <c r="NU120" s="61"/>
      <c r="NV120" s="61"/>
      <c r="NW120" s="61"/>
      <c r="NX120" s="61"/>
      <c r="NY120" s="61"/>
      <c r="NZ120" s="61"/>
      <c r="OA120" s="61"/>
      <c r="OB120" s="61"/>
      <c r="OC120" s="61"/>
      <c r="OD120" s="61"/>
      <c r="OE120" s="61"/>
      <c r="OF120" s="61"/>
      <c r="OG120" s="61"/>
      <c r="OH120" s="61"/>
      <c r="OI120" s="61"/>
      <c r="OJ120" s="61"/>
      <c r="OK120" s="61"/>
      <c r="OL120" s="61"/>
      <c r="OM120" s="61"/>
      <c r="ON120" s="61"/>
      <c r="OO120" s="61"/>
      <c r="OP120" s="61"/>
      <c r="OQ120" s="61"/>
      <c r="OR120" s="61"/>
      <c r="OS120" s="61"/>
      <c r="OT120" s="61"/>
      <c r="OU120" s="61"/>
      <c r="OV120" s="61"/>
      <c r="OW120" s="61"/>
      <c r="OX120" s="61"/>
      <c r="OY120" s="61"/>
      <c r="OZ120" s="61"/>
      <c r="PA120" s="61"/>
      <c r="PB120" s="61"/>
      <c r="PC120" s="61"/>
      <c r="PD120" s="61"/>
      <c r="PE120" s="61"/>
      <c r="PF120" s="61"/>
      <c r="PG120" s="61"/>
      <c r="PH120" s="61"/>
      <c r="PI120" s="61"/>
      <c r="PJ120" s="61"/>
      <c r="PK120" s="61"/>
      <c r="PL120" s="61"/>
      <c r="PM120" s="61"/>
      <c r="PN120" s="61"/>
      <c r="PO120" s="61"/>
      <c r="PP120" s="61"/>
      <c r="PQ120" s="61"/>
      <c r="PR120" s="61"/>
      <c r="PS120" s="61"/>
      <c r="PT120" s="61"/>
      <c r="PU120" s="61"/>
      <c r="PV120" s="61"/>
      <c r="PW120" s="61"/>
      <c r="PX120" s="61"/>
      <c r="PY120" s="61"/>
      <c r="PZ120" s="61"/>
      <c r="QA120" s="61"/>
      <c r="QB120" s="61"/>
      <c r="QC120" s="61"/>
      <c r="QD120" s="61"/>
      <c r="QE120" s="61"/>
      <c r="QF120" s="61"/>
      <c r="QG120" s="61"/>
      <c r="QH120" s="61"/>
      <c r="QI120" s="61"/>
      <c r="QJ120" s="61"/>
      <c r="QK120" s="61"/>
      <c r="QL120" s="61"/>
      <c r="QM120" s="61"/>
      <c r="QN120" s="61"/>
      <c r="QO120" s="61"/>
      <c r="QP120" s="61"/>
      <c r="QQ120" s="61"/>
      <c r="QR120" s="61"/>
      <c r="QS120" s="61"/>
      <c r="QT120" s="61"/>
      <c r="QU120" s="61"/>
      <c r="QV120" s="61"/>
      <c r="QW120" s="61"/>
      <c r="QX120" s="61"/>
      <c r="QY120" s="61"/>
      <c r="QZ120" s="61"/>
      <c r="RA120" s="61"/>
      <c r="RB120" s="61"/>
      <c r="RC120" s="61"/>
      <c r="RD120" s="61"/>
      <c r="RE120" s="61"/>
      <c r="RF120" s="61"/>
      <c r="RG120" s="61"/>
      <c r="RH120" s="61"/>
      <c r="RI120" s="61"/>
      <c r="RJ120" s="61"/>
      <c r="RK120" s="61"/>
      <c r="RL120" s="61"/>
      <c r="RM120" s="61"/>
      <c r="RN120" s="61"/>
      <c r="RO120" s="61"/>
      <c r="RP120" s="61"/>
      <c r="RQ120" s="61"/>
      <c r="RR120" s="61"/>
      <c r="RS120" s="61"/>
      <c r="RT120" s="61"/>
      <c r="RU120" s="61"/>
      <c r="RV120" s="61"/>
      <c r="RW120" s="61"/>
      <c r="RX120" s="61"/>
      <c r="RY120" s="61"/>
      <c r="RZ120" s="61"/>
      <c r="SA120" s="61"/>
      <c r="SB120" s="61"/>
      <c r="SC120" s="61"/>
      <c r="SD120" s="61"/>
      <c r="SE120" s="61"/>
      <c r="SF120" s="61"/>
      <c r="SG120" s="61"/>
      <c r="SH120" s="61"/>
      <c r="SI120" s="61"/>
      <c r="SJ120" s="61"/>
      <c r="SK120" s="61"/>
      <c r="SL120" s="61"/>
      <c r="SM120" s="61"/>
      <c r="SN120" s="61"/>
      <c r="SO120" s="61"/>
      <c r="SP120" s="61"/>
      <c r="SQ120" s="61"/>
      <c r="SR120" s="61"/>
      <c r="SS120" s="61"/>
      <c r="ST120" s="61"/>
      <c r="SU120" s="61"/>
      <c r="SV120" s="61"/>
      <c r="SW120" s="61"/>
      <c r="SX120" s="61"/>
      <c r="SY120" s="61"/>
      <c r="SZ120" s="61"/>
      <c r="TA120" s="61"/>
      <c r="TB120" s="61"/>
      <c r="TC120" s="61"/>
      <c r="TD120" s="61"/>
      <c r="TE120" s="61"/>
      <c r="TF120" s="61"/>
      <c r="TG120" s="61"/>
      <c r="TH120" s="61"/>
      <c r="TI120" s="61"/>
      <c r="TJ120" s="61"/>
      <c r="TK120" s="61"/>
      <c r="TL120" s="61"/>
      <c r="TM120" s="61"/>
      <c r="TN120" s="61"/>
      <c r="TO120" s="61"/>
      <c r="TP120" s="61"/>
      <c r="TQ120" s="61"/>
      <c r="TR120" s="61"/>
      <c r="TS120" s="61"/>
      <c r="TT120" s="61"/>
      <c r="TU120" s="61"/>
      <c r="TV120" s="61"/>
      <c r="TW120" s="61"/>
      <c r="TX120" s="61"/>
      <c r="TY120" s="61"/>
      <c r="TZ120" s="61"/>
      <c r="UA120" s="61"/>
      <c r="UB120" s="61"/>
      <c r="UC120" s="61"/>
      <c r="UD120" s="61"/>
      <c r="UE120" s="61"/>
      <c r="UF120" s="61"/>
      <c r="UG120" s="61"/>
      <c r="UH120" s="61"/>
      <c r="UI120" s="61"/>
      <c r="UJ120" s="61"/>
      <c r="UK120" s="61"/>
      <c r="UL120" s="61"/>
      <c r="UM120" s="61"/>
      <c r="UN120" s="61"/>
      <c r="UO120" s="61"/>
      <c r="UP120" s="61"/>
      <c r="UQ120" s="61"/>
      <c r="UR120" s="61"/>
      <c r="US120" s="61"/>
      <c r="UT120" s="61"/>
      <c r="UU120" s="61"/>
      <c r="UV120" s="61"/>
      <c r="UW120" s="61"/>
      <c r="UX120" s="61"/>
      <c r="UY120" s="61"/>
      <c r="UZ120" s="61"/>
      <c r="VA120" s="61"/>
      <c r="VB120" s="61"/>
      <c r="VC120" s="61"/>
    </row>
    <row r="121" spans="1:575" s="55" customFormat="1" ht="15" customHeight="1" x14ac:dyDescent="0.25">
      <c r="A121" s="53"/>
      <c r="B121" s="106"/>
      <c r="C121" s="106"/>
      <c r="D121" s="56" t="str">
        <f>'дод 2'!C60</f>
        <v>у т.ч. за рахунок субвенцій з держбюджету</v>
      </c>
      <c r="E121" s="132">
        <f t="shared" si="23"/>
        <v>67044871.689999998</v>
      </c>
      <c r="F121" s="132">
        <f>60934500-2223405+83471.33+1400000+61923.95-1339078.52+3540000+150350-11332.07+4623742-175300</f>
        <v>67044871.689999998</v>
      </c>
      <c r="G121" s="132"/>
      <c r="H121" s="132"/>
      <c r="I121" s="132"/>
      <c r="J121" s="132">
        <f t="shared" si="10"/>
        <v>0</v>
      </c>
      <c r="K121" s="132"/>
      <c r="L121" s="132"/>
      <c r="M121" s="132"/>
      <c r="N121" s="132"/>
      <c r="O121" s="132"/>
      <c r="P121" s="132">
        <f t="shared" si="24"/>
        <v>67044871.689999998</v>
      </c>
      <c r="Q121" s="159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1"/>
      <c r="JX121" s="61"/>
      <c r="JY121" s="61"/>
      <c r="JZ121" s="61"/>
      <c r="KA121" s="61"/>
      <c r="KB121" s="61"/>
      <c r="KC121" s="61"/>
      <c r="KD121" s="61"/>
      <c r="KE121" s="61"/>
      <c r="KF121" s="61"/>
      <c r="KG121" s="61"/>
      <c r="KH121" s="61"/>
      <c r="KI121" s="61"/>
      <c r="KJ121" s="61"/>
      <c r="KK121" s="61"/>
      <c r="KL121" s="61"/>
      <c r="KM121" s="61"/>
      <c r="KN121" s="61"/>
      <c r="KO121" s="61"/>
      <c r="KP121" s="61"/>
      <c r="KQ121" s="61"/>
      <c r="KR121" s="61"/>
      <c r="KS121" s="61"/>
      <c r="KT121" s="61"/>
      <c r="KU121" s="61"/>
      <c r="KV121" s="61"/>
      <c r="KW121" s="61"/>
      <c r="KX121" s="61"/>
      <c r="KY121" s="61"/>
      <c r="KZ121" s="61"/>
      <c r="LA121" s="61"/>
      <c r="LB121" s="61"/>
      <c r="LC121" s="61"/>
      <c r="LD121" s="61"/>
      <c r="LE121" s="61"/>
      <c r="LF121" s="61"/>
      <c r="LG121" s="61"/>
      <c r="LH121" s="61"/>
      <c r="LI121" s="61"/>
      <c r="LJ121" s="61"/>
      <c r="LK121" s="61"/>
      <c r="LL121" s="61"/>
      <c r="LM121" s="61"/>
      <c r="LN121" s="61"/>
      <c r="LO121" s="61"/>
      <c r="LP121" s="61"/>
      <c r="LQ121" s="61"/>
      <c r="LR121" s="61"/>
      <c r="LS121" s="61"/>
      <c r="LT121" s="61"/>
      <c r="LU121" s="61"/>
      <c r="LV121" s="61"/>
      <c r="LW121" s="61"/>
      <c r="LX121" s="61"/>
      <c r="LY121" s="61"/>
      <c r="LZ121" s="61"/>
      <c r="MA121" s="61"/>
      <c r="MB121" s="61"/>
      <c r="MC121" s="61"/>
      <c r="MD121" s="61"/>
      <c r="ME121" s="61"/>
      <c r="MF121" s="61"/>
      <c r="MG121" s="61"/>
      <c r="MH121" s="61"/>
      <c r="MI121" s="61"/>
      <c r="MJ121" s="61"/>
      <c r="MK121" s="61"/>
      <c r="ML121" s="61"/>
      <c r="MM121" s="61"/>
      <c r="MN121" s="61"/>
      <c r="MO121" s="61"/>
      <c r="MP121" s="61"/>
      <c r="MQ121" s="61"/>
      <c r="MR121" s="61"/>
      <c r="MS121" s="61"/>
      <c r="MT121" s="61"/>
      <c r="MU121" s="61"/>
      <c r="MV121" s="61"/>
      <c r="MW121" s="61"/>
      <c r="MX121" s="61"/>
      <c r="MY121" s="61"/>
      <c r="MZ121" s="61"/>
      <c r="NA121" s="61"/>
      <c r="NB121" s="61"/>
      <c r="NC121" s="61"/>
      <c r="ND121" s="61"/>
      <c r="NE121" s="61"/>
      <c r="NF121" s="61"/>
      <c r="NG121" s="61"/>
      <c r="NH121" s="61"/>
      <c r="NI121" s="61"/>
      <c r="NJ121" s="61"/>
      <c r="NK121" s="61"/>
      <c r="NL121" s="61"/>
      <c r="NM121" s="61"/>
      <c r="NN121" s="61"/>
      <c r="NO121" s="61"/>
      <c r="NP121" s="61"/>
      <c r="NQ121" s="61"/>
      <c r="NR121" s="61"/>
      <c r="NS121" s="61"/>
      <c r="NT121" s="61"/>
      <c r="NU121" s="61"/>
      <c r="NV121" s="61"/>
      <c r="NW121" s="61"/>
      <c r="NX121" s="61"/>
      <c r="NY121" s="61"/>
      <c r="NZ121" s="61"/>
      <c r="OA121" s="61"/>
      <c r="OB121" s="61"/>
      <c r="OC121" s="61"/>
      <c r="OD121" s="61"/>
      <c r="OE121" s="61"/>
      <c r="OF121" s="61"/>
      <c r="OG121" s="61"/>
      <c r="OH121" s="61"/>
      <c r="OI121" s="61"/>
      <c r="OJ121" s="61"/>
      <c r="OK121" s="61"/>
      <c r="OL121" s="61"/>
      <c r="OM121" s="61"/>
      <c r="ON121" s="61"/>
      <c r="OO121" s="61"/>
      <c r="OP121" s="61"/>
      <c r="OQ121" s="61"/>
      <c r="OR121" s="61"/>
      <c r="OS121" s="61"/>
      <c r="OT121" s="61"/>
      <c r="OU121" s="61"/>
      <c r="OV121" s="61"/>
      <c r="OW121" s="61"/>
      <c r="OX121" s="61"/>
      <c r="OY121" s="61"/>
      <c r="OZ121" s="61"/>
      <c r="PA121" s="61"/>
      <c r="PB121" s="61"/>
      <c r="PC121" s="61"/>
      <c r="PD121" s="61"/>
      <c r="PE121" s="61"/>
      <c r="PF121" s="61"/>
      <c r="PG121" s="61"/>
      <c r="PH121" s="61"/>
      <c r="PI121" s="61"/>
      <c r="PJ121" s="61"/>
      <c r="PK121" s="61"/>
      <c r="PL121" s="61"/>
      <c r="PM121" s="61"/>
      <c r="PN121" s="61"/>
      <c r="PO121" s="61"/>
      <c r="PP121" s="61"/>
      <c r="PQ121" s="61"/>
      <c r="PR121" s="61"/>
      <c r="PS121" s="61"/>
      <c r="PT121" s="61"/>
      <c r="PU121" s="61"/>
      <c r="PV121" s="61"/>
      <c r="PW121" s="61"/>
      <c r="PX121" s="61"/>
      <c r="PY121" s="61"/>
      <c r="PZ121" s="61"/>
      <c r="QA121" s="61"/>
      <c r="QB121" s="61"/>
      <c r="QC121" s="61"/>
      <c r="QD121" s="61"/>
      <c r="QE121" s="61"/>
      <c r="QF121" s="61"/>
      <c r="QG121" s="61"/>
      <c r="QH121" s="61"/>
      <c r="QI121" s="61"/>
      <c r="QJ121" s="61"/>
      <c r="QK121" s="61"/>
      <c r="QL121" s="61"/>
      <c r="QM121" s="61"/>
      <c r="QN121" s="61"/>
      <c r="QO121" s="61"/>
      <c r="QP121" s="61"/>
      <c r="QQ121" s="61"/>
      <c r="QR121" s="61"/>
      <c r="QS121" s="61"/>
      <c r="QT121" s="61"/>
      <c r="QU121" s="61"/>
      <c r="QV121" s="61"/>
      <c r="QW121" s="61"/>
      <c r="QX121" s="61"/>
      <c r="QY121" s="61"/>
      <c r="QZ121" s="61"/>
      <c r="RA121" s="61"/>
      <c r="RB121" s="61"/>
      <c r="RC121" s="61"/>
      <c r="RD121" s="61"/>
      <c r="RE121" s="61"/>
      <c r="RF121" s="61"/>
      <c r="RG121" s="61"/>
      <c r="RH121" s="61"/>
      <c r="RI121" s="61"/>
      <c r="RJ121" s="61"/>
      <c r="RK121" s="61"/>
      <c r="RL121" s="61"/>
      <c r="RM121" s="61"/>
      <c r="RN121" s="61"/>
      <c r="RO121" s="61"/>
      <c r="RP121" s="61"/>
      <c r="RQ121" s="61"/>
      <c r="RR121" s="61"/>
      <c r="RS121" s="61"/>
      <c r="RT121" s="61"/>
      <c r="RU121" s="61"/>
      <c r="RV121" s="61"/>
      <c r="RW121" s="61"/>
      <c r="RX121" s="61"/>
      <c r="RY121" s="61"/>
      <c r="RZ121" s="61"/>
      <c r="SA121" s="61"/>
      <c r="SB121" s="61"/>
      <c r="SC121" s="61"/>
      <c r="SD121" s="61"/>
      <c r="SE121" s="61"/>
      <c r="SF121" s="61"/>
      <c r="SG121" s="61"/>
      <c r="SH121" s="61"/>
      <c r="SI121" s="61"/>
      <c r="SJ121" s="61"/>
      <c r="SK121" s="61"/>
      <c r="SL121" s="61"/>
      <c r="SM121" s="61"/>
      <c r="SN121" s="61"/>
      <c r="SO121" s="61"/>
      <c r="SP121" s="61"/>
      <c r="SQ121" s="61"/>
      <c r="SR121" s="61"/>
      <c r="SS121" s="61"/>
      <c r="ST121" s="61"/>
      <c r="SU121" s="61"/>
      <c r="SV121" s="61"/>
      <c r="SW121" s="61"/>
      <c r="SX121" s="61"/>
      <c r="SY121" s="61"/>
      <c r="SZ121" s="61"/>
      <c r="TA121" s="61"/>
      <c r="TB121" s="61"/>
      <c r="TC121" s="61"/>
      <c r="TD121" s="61"/>
      <c r="TE121" s="61"/>
      <c r="TF121" s="61"/>
      <c r="TG121" s="61"/>
      <c r="TH121" s="61"/>
      <c r="TI121" s="61"/>
      <c r="TJ121" s="61"/>
      <c r="TK121" s="61"/>
      <c r="TL121" s="61"/>
      <c r="TM121" s="61"/>
      <c r="TN121" s="61"/>
      <c r="TO121" s="61"/>
      <c r="TP121" s="61"/>
      <c r="TQ121" s="61"/>
      <c r="TR121" s="61"/>
      <c r="TS121" s="61"/>
      <c r="TT121" s="61"/>
      <c r="TU121" s="61"/>
      <c r="TV121" s="61"/>
      <c r="TW121" s="61"/>
      <c r="TX121" s="61"/>
      <c r="TY121" s="61"/>
      <c r="TZ121" s="61"/>
      <c r="UA121" s="61"/>
      <c r="UB121" s="61"/>
      <c r="UC121" s="61"/>
      <c r="UD121" s="61"/>
      <c r="UE121" s="61"/>
      <c r="UF121" s="61"/>
      <c r="UG121" s="61"/>
      <c r="UH121" s="61"/>
      <c r="UI121" s="61"/>
      <c r="UJ121" s="61"/>
      <c r="UK121" s="61"/>
      <c r="UL121" s="61"/>
      <c r="UM121" s="61"/>
      <c r="UN121" s="61"/>
      <c r="UO121" s="61"/>
      <c r="UP121" s="61"/>
      <c r="UQ121" s="61"/>
      <c r="UR121" s="61"/>
      <c r="US121" s="61"/>
      <c r="UT121" s="61"/>
      <c r="UU121" s="61"/>
      <c r="UV121" s="61"/>
      <c r="UW121" s="61"/>
      <c r="UX121" s="61"/>
      <c r="UY121" s="61"/>
      <c r="UZ121" s="61"/>
      <c r="VA121" s="61"/>
      <c r="VB121" s="61"/>
      <c r="VC121" s="61"/>
    </row>
    <row r="122" spans="1:575" s="55" customFormat="1" ht="37.5" customHeight="1" x14ac:dyDescent="0.25">
      <c r="A122" s="53" t="s">
        <v>437</v>
      </c>
      <c r="B122" s="106" t="str">
        <f>'дод 2'!A61</f>
        <v>3012</v>
      </c>
      <c r="C122" s="106">
        <f>'дод 2'!B61</f>
        <v>1060</v>
      </c>
      <c r="D122" s="56" t="str">
        <f>'дод 2'!C61</f>
        <v>Надання субсидій населенню для відшкодування витрат на оплату житлово-комунальних послуг</v>
      </c>
      <c r="E122" s="132">
        <f t="shared" si="23"/>
        <v>107964966.81999999</v>
      </c>
      <c r="F122" s="132">
        <f>222289440-116701740-83471.33-61923.95+1339078.52+143993.51+11332.07+1028258</f>
        <v>107964966.81999999</v>
      </c>
      <c r="G122" s="132"/>
      <c r="H122" s="132"/>
      <c r="I122" s="132"/>
      <c r="J122" s="132">
        <f t="shared" si="10"/>
        <v>0</v>
      </c>
      <c r="K122" s="132"/>
      <c r="L122" s="132"/>
      <c r="M122" s="132"/>
      <c r="N122" s="132"/>
      <c r="O122" s="132"/>
      <c r="P122" s="132">
        <f t="shared" si="24"/>
        <v>107964966.81999999</v>
      </c>
      <c r="Q122" s="159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1"/>
      <c r="JX122" s="61"/>
      <c r="JY122" s="61"/>
      <c r="JZ122" s="61"/>
      <c r="KA122" s="61"/>
      <c r="KB122" s="61"/>
      <c r="KC122" s="61"/>
      <c r="KD122" s="61"/>
      <c r="KE122" s="61"/>
      <c r="KF122" s="61"/>
      <c r="KG122" s="61"/>
      <c r="KH122" s="61"/>
      <c r="KI122" s="61"/>
      <c r="KJ122" s="61"/>
      <c r="KK122" s="61"/>
      <c r="KL122" s="61"/>
      <c r="KM122" s="61"/>
      <c r="KN122" s="61"/>
      <c r="KO122" s="61"/>
      <c r="KP122" s="61"/>
      <c r="KQ122" s="61"/>
      <c r="KR122" s="61"/>
      <c r="KS122" s="61"/>
      <c r="KT122" s="61"/>
      <c r="KU122" s="61"/>
      <c r="KV122" s="61"/>
      <c r="KW122" s="61"/>
      <c r="KX122" s="61"/>
      <c r="KY122" s="61"/>
      <c r="KZ122" s="61"/>
      <c r="LA122" s="61"/>
      <c r="LB122" s="61"/>
      <c r="LC122" s="61"/>
      <c r="LD122" s="61"/>
      <c r="LE122" s="61"/>
      <c r="LF122" s="61"/>
      <c r="LG122" s="61"/>
      <c r="LH122" s="61"/>
      <c r="LI122" s="61"/>
      <c r="LJ122" s="61"/>
      <c r="LK122" s="61"/>
      <c r="LL122" s="61"/>
      <c r="LM122" s="61"/>
      <c r="LN122" s="61"/>
      <c r="LO122" s="61"/>
      <c r="LP122" s="61"/>
      <c r="LQ122" s="61"/>
      <c r="LR122" s="61"/>
      <c r="LS122" s="61"/>
      <c r="LT122" s="61"/>
      <c r="LU122" s="61"/>
      <c r="LV122" s="61"/>
      <c r="LW122" s="61"/>
      <c r="LX122" s="61"/>
      <c r="LY122" s="61"/>
      <c r="LZ122" s="61"/>
      <c r="MA122" s="61"/>
      <c r="MB122" s="61"/>
      <c r="MC122" s="61"/>
      <c r="MD122" s="61"/>
      <c r="ME122" s="61"/>
      <c r="MF122" s="61"/>
      <c r="MG122" s="61"/>
      <c r="MH122" s="61"/>
      <c r="MI122" s="61"/>
      <c r="MJ122" s="61"/>
      <c r="MK122" s="61"/>
      <c r="ML122" s="61"/>
      <c r="MM122" s="61"/>
      <c r="MN122" s="61"/>
      <c r="MO122" s="61"/>
      <c r="MP122" s="61"/>
      <c r="MQ122" s="61"/>
      <c r="MR122" s="61"/>
      <c r="MS122" s="61"/>
      <c r="MT122" s="61"/>
      <c r="MU122" s="61"/>
      <c r="MV122" s="61"/>
      <c r="MW122" s="61"/>
      <c r="MX122" s="61"/>
      <c r="MY122" s="61"/>
      <c r="MZ122" s="61"/>
      <c r="NA122" s="61"/>
      <c r="NB122" s="61"/>
      <c r="NC122" s="61"/>
      <c r="ND122" s="61"/>
      <c r="NE122" s="61"/>
      <c r="NF122" s="61"/>
      <c r="NG122" s="61"/>
      <c r="NH122" s="61"/>
      <c r="NI122" s="61"/>
      <c r="NJ122" s="61"/>
      <c r="NK122" s="61"/>
      <c r="NL122" s="61"/>
      <c r="NM122" s="61"/>
      <c r="NN122" s="61"/>
      <c r="NO122" s="61"/>
      <c r="NP122" s="61"/>
      <c r="NQ122" s="61"/>
      <c r="NR122" s="61"/>
      <c r="NS122" s="61"/>
      <c r="NT122" s="61"/>
      <c r="NU122" s="61"/>
      <c r="NV122" s="61"/>
      <c r="NW122" s="61"/>
      <c r="NX122" s="61"/>
      <c r="NY122" s="61"/>
      <c r="NZ122" s="61"/>
      <c r="OA122" s="61"/>
      <c r="OB122" s="61"/>
      <c r="OC122" s="61"/>
      <c r="OD122" s="61"/>
      <c r="OE122" s="61"/>
      <c r="OF122" s="61"/>
      <c r="OG122" s="61"/>
      <c r="OH122" s="61"/>
      <c r="OI122" s="61"/>
      <c r="OJ122" s="61"/>
      <c r="OK122" s="61"/>
      <c r="OL122" s="61"/>
      <c r="OM122" s="61"/>
      <c r="ON122" s="61"/>
      <c r="OO122" s="61"/>
      <c r="OP122" s="61"/>
      <c r="OQ122" s="61"/>
      <c r="OR122" s="61"/>
      <c r="OS122" s="61"/>
      <c r="OT122" s="61"/>
      <c r="OU122" s="61"/>
      <c r="OV122" s="61"/>
      <c r="OW122" s="61"/>
      <c r="OX122" s="61"/>
      <c r="OY122" s="61"/>
      <c r="OZ122" s="61"/>
      <c r="PA122" s="61"/>
      <c r="PB122" s="61"/>
      <c r="PC122" s="61"/>
      <c r="PD122" s="61"/>
      <c r="PE122" s="61"/>
      <c r="PF122" s="61"/>
      <c r="PG122" s="61"/>
      <c r="PH122" s="61"/>
      <c r="PI122" s="61"/>
      <c r="PJ122" s="61"/>
      <c r="PK122" s="61"/>
      <c r="PL122" s="61"/>
      <c r="PM122" s="61"/>
      <c r="PN122" s="61"/>
      <c r="PO122" s="61"/>
      <c r="PP122" s="61"/>
      <c r="PQ122" s="61"/>
      <c r="PR122" s="61"/>
      <c r="PS122" s="61"/>
      <c r="PT122" s="61"/>
      <c r="PU122" s="61"/>
      <c r="PV122" s="61"/>
      <c r="PW122" s="61"/>
      <c r="PX122" s="61"/>
      <c r="PY122" s="61"/>
      <c r="PZ122" s="61"/>
      <c r="QA122" s="61"/>
      <c r="QB122" s="61"/>
      <c r="QC122" s="61"/>
      <c r="QD122" s="61"/>
      <c r="QE122" s="61"/>
      <c r="QF122" s="61"/>
      <c r="QG122" s="61"/>
      <c r="QH122" s="61"/>
      <c r="QI122" s="61"/>
      <c r="QJ122" s="61"/>
      <c r="QK122" s="61"/>
      <c r="QL122" s="61"/>
      <c r="QM122" s="61"/>
      <c r="QN122" s="61"/>
      <c r="QO122" s="61"/>
      <c r="QP122" s="61"/>
      <c r="QQ122" s="61"/>
      <c r="QR122" s="61"/>
      <c r="QS122" s="61"/>
      <c r="QT122" s="61"/>
      <c r="QU122" s="61"/>
      <c r="QV122" s="61"/>
      <c r="QW122" s="61"/>
      <c r="QX122" s="61"/>
      <c r="QY122" s="61"/>
      <c r="QZ122" s="61"/>
      <c r="RA122" s="61"/>
      <c r="RB122" s="61"/>
      <c r="RC122" s="61"/>
      <c r="RD122" s="61"/>
      <c r="RE122" s="61"/>
      <c r="RF122" s="61"/>
      <c r="RG122" s="61"/>
      <c r="RH122" s="61"/>
      <c r="RI122" s="61"/>
      <c r="RJ122" s="61"/>
      <c r="RK122" s="61"/>
      <c r="RL122" s="61"/>
      <c r="RM122" s="61"/>
      <c r="RN122" s="61"/>
      <c r="RO122" s="61"/>
      <c r="RP122" s="61"/>
      <c r="RQ122" s="61"/>
      <c r="RR122" s="61"/>
      <c r="RS122" s="61"/>
      <c r="RT122" s="61"/>
      <c r="RU122" s="61"/>
      <c r="RV122" s="61"/>
      <c r="RW122" s="61"/>
      <c r="RX122" s="61"/>
      <c r="RY122" s="61"/>
      <c r="RZ122" s="61"/>
      <c r="SA122" s="61"/>
      <c r="SB122" s="61"/>
      <c r="SC122" s="61"/>
      <c r="SD122" s="61"/>
      <c r="SE122" s="61"/>
      <c r="SF122" s="61"/>
      <c r="SG122" s="61"/>
      <c r="SH122" s="61"/>
      <c r="SI122" s="61"/>
      <c r="SJ122" s="61"/>
      <c r="SK122" s="61"/>
      <c r="SL122" s="61"/>
      <c r="SM122" s="61"/>
      <c r="SN122" s="61"/>
      <c r="SO122" s="61"/>
      <c r="SP122" s="61"/>
      <c r="SQ122" s="61"/>
      <c r="SR122" s="61"/>
      <c r="SS122" s="61"/>
      <c r="ST122" s="61"/>
      <c r="SU122" s="61"/>
      <c r="SV122" s="61"/>
      <c r="SW122" s="61"/>
      <c r="SX122" s="61"/>
      <c r="SY122" s="61"/>
      <c r="SZ122" s="61"/>
      <c r="TA122" s="61"/>
      <c r="TB122" s="61"/>
      <c r="TC122" s="61"/>
      <c r="TD122" s="61"/>
      <c r="TE122" s="61"/>
      <c r="TF122" s="61"/>
      <c r="TG122" s="61"/>
      <c r="TH122" s="61"/>
      <c r="TI122" s="61"/>
      <c r="TJ122" s="61"/>
      <c r="TK122" s="61"/>
      <c r="TL122" s="61"/>
      <c r="TM122" s="61"/>
      <c r="TN122" s="61"/>
      <c r="TO122" s="61"/>
      <c r="TP122" s="61"/>
      <c r="TQ122" s="61"/>
      <c r="TR122" s="61"/>
      <c r="TS122" s="61"/>
      <c r="TT122" s="61"/>
      <c r="TU122" s="61"/>
      <c r="TV122" s="61"/>
      <c r="TW122" s="61"/>
      <c r="TX122" s="61"/>
      <c r="TY122" s="61"/>
      <c r="TZ122" s="61"/>
      <c r="UA122" s="61"/>
      <c r="UB122" s="61"/>
      <c r="UC122" s="61"/>
      <c r="UD122" s="61"/>
      <c r="UE122" s="61"/>
      <c r="UF122" s="61"/>
      <c r="UG122" s="61"/>
      <c r="UH122" s="61"/>
      <c r="UI122" s="61"/>
      <c r="UJ122" s="61"/>
      <c r="UK122" s="61"/>
      <c r="UL122" s="61"/>
      <c r="UM122" s="61"/>
      <c r="UN122" s="61"/>
      <c r="UO122" s="61"/>
      <c r="UP122" s="61"/>
      <c r="UQ122" s="61"/>
      <c r="UR122" s="61"/>
      <c r="US122" s="61"/>
      <c r="UT122" s="61"/>
      <c r="UU122" s="61"/>
      <c r="UV122" s="61"/>
      <c r="UW122" s="61"/>
      <c r="UX122" s="61"/>
      <c r="UY122" s="61"/>
      <c r="UZ122" s="61"/>
      <c r="VA122" s="61"/>
      <c r="VB122" s="61"/>
      <c r="VC122" s="61"/>
    </row>
    <row r="123" spans="1:575" s="55" customFormat="1" ht="18" customHeight="1" x14ac:dyDescent="0.25">
      <c r="A123" s="53"/>
      <c r="B123" s="106"/>
      <c r="C123" s="106"/>
      <c r="D123" s="56" t="str">
        <f>'дод 2'!C62</f>
        <v>у т.ч. за рахунок субвенцій з держбюджету</v>
      </c>
      <c r="E123" s="132">
        <f t="shared" si="23"/>
        <v>107964966.81999999</v>
      </c>
      <c r="F123" s="132">
        <f>222289440-116701740-83471.33-61923.95+1339078.52+143993.51+11332.07+1028258</f>
        <v>107964966.81999999</v>
      </c>
      <c r="G123" s="132"/>
      <c r="H123" s="132"/>
      <c r="I123" s="132"/>
      <c r="J123" s="132">
        <f t="shared" si="10"/>
        <v>0</v>
      </c>
      <c r="K123" s="132"/>
      <c r="L123" s="132"/>
      <c r="M123" s="132"/>
      <c r="N123" s="132"/>
      <c r="O123" s="132"/>
      <c r="P123" s="132">
        <f t="shared" si="24"/>
        <v>107964966.81999999</v>
      </c>
      <c r="Q123" s="159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1"/>
      <c r="JX123" s="61"/>
      <c r="JY123" s="61"/>
      <c r="JZ123" s="61"/>
      <c r="KA123" s="61"/>
      <c r="KB123" s="61"/>
      <c r="KC123" s="61"/>
      <c r="KD123" s="61"/>
      <c r="KE123" s="61"/>
      <c r="KF123" s="61"/>
      <c r="KG123" s="61"/>
      <c r="KH123" s="61"/>
      <c r="KI123" s="61"/>
      <c r="KJ123" s="61"/>
      <c r="KK123" s="61"/>
      <c r="KL123" s="61"/>
      <c r="KM123" s="61"/>
      <c r="KN123" s="61"/>
      <c r="KO123" s="61"/>
      <c r="KP123" s="61"/>
      <c r="KQ123" s="61"/>
      <c r="KR123" s="61"/>
      <c r="KS123" s="61"/>
      <c r="KT123" s="61"/>
      <c r="KU123" s="61"/>
      <c r="KV123" s="61"/>
      <c r="KW123" s="61"/>
      <c r="KX123" s="61"/>
      <c r="KY123" s="61"/>
      <c r="KZ123" s="61"/>
      <c r="LA123" s="61"/>
      <c r="LB123" s="61"/>
      <c r="LC123" s="61"/>
      <c r="LD123" s="61"/>
      <c r="LE123" s="61"/>
      <c r="LF123" s="61"/>
      <c r="LG123" s="61"/>
      <c r="LH123" s="61"/>
      <c r="LI123" s="61"/>
      <c r="LJ123" s="61"/>
      <c r="LK123" s="61"/>
      <c r="LL123" s="61"/>
      <c r="LM123" s="61"/>
      <c r="LN123" s="61"/>
      <c r="LO123" s="61"/>
      <c r="LP123" s="61"/>
      <c r="LQ123" s="61"/>
      <c r="LR123" s="61"/>
      <c r="LS123" s="61"/>
      <c r="LT123" s="61"/>
      <c r="LU123" s="61"/>
      <c r="LV123" s="61"/>
      <c r="LW123" s="61"/>
      <c r="LX123" s="61"/>
      <c r="LY123" s="61"/>
      <c r="LZ123" s="61"/>
      <c r="MA123" s="61"/>
      <c r="MB123" s="61"/>
      <c r="MC123" s="61"/>
      <c r="MD123" s="61"/>
      <c r="ME123" s="61"/>
      <c r="MF123" s="61"/>
      <c r="MG123" s="61"/>
      <c r="MH123" s="61"/>
      <c r="MI123" s="61"/>
      <c r="MJ123" s="61"/>
      <c r="MK123" s="61"/>
      <c r="ML123" s="61"/>
      <c r="MM123" s="61"/>
      <c r="MN123" s="61"/>
      <c r="MO123" s="61"/>
      <c r="MP123" s="61"/>
      <c r="MQ123" s="61"/>
      <c r="MR123" s="61"/>
      <c r="MS123" s="61"/>
      <c r="MT123" s="61"/>
      <c r="MU123" s="61"/>
      <c r="MV123" s="61"/>
      <c r="MW123" s="61"/>
      <c r="MX123" s="61"/>
      <c r="MY123" s="61"/>
      <c r="MZ123" s="61"/>
      <c r="NA123" s="61"/>
      <c r="NB123" s="61"/>
      <c r="NC123" s="61"/>
      <c r="ND123" s="61"/>
      <c r="NE123" s="61"/>
      <c r="NF123" s="61"/>
      <c r="NG123" s="61"/>
      <c r="NH123" s="61"/>
      <c r="NI123" s="61"/>
      <c r="NJ123" s="61"/>
      <c r="NK123" s="61"/>
      <c r="NL123" s="61"/>
      <c r="NM123" s="61"/>
      <c r="NN123" s="61"/>
      <c r="NO123" s="61"/>
      <c r="NP123" s="61"/>
      <c r="NQ123" s="61"/>
      <c r="NR123" s="61"/>
      <c r="NS123" s="61"/>
      <c r="NT123" s="61"/>
      <c r="NU123" s="61"/>
      <c r="NV123" s="61"/>
      <c r="NW123" s="61"/>
      <c r="NX123" s="61"/>
      <c r="NY123" s="61"/>
      <c r="NZ123" s="61"/>
      <c r="OA123" s="61"/>
      <c r="OB123" s="61"/>
      <c r="OC123" s="61"/>
      <c r="OD123" s="61"/>
      <c r="OE123" s="61"/>
      <c r="OF123" s="61"/>
      <c r="OG123" s="61"/>
      <c r="OH123" s="61"/>
      <c r="OI123" s="61"/>
      <c r="OJ123" s="61"/>
      <c r="OK123" s="61"/>
      <c r="OL123" s="61"/>
      <c r="OM123" s="61"/>
      <c r="ON123" s="61"/>
      <c r="OO123" s="61"/>
      <c r="OP123" s="61"/>
      <c r="OQ123" s="61"/>
      <c r="OR123" s="61"/>
      <c r="OS123" s="61"/>
      <c r="OT123" s="61"/>
      <c r="OU123" s="61"/>
      <c r="OV123" s="61"/>
      <c r="OW123" s="61"/>
      <c r="OX123" s="61"/>
      <c r="OY123" s="61"/>
      <c r="OZ123" s="61"/>
      <c r="PA123" s="61"/>
      <c r="PB123" s="61"/>
      <c r="PC123" s="61"/>
      <c r="PD123" s="61"/>
      <c r="PE123" s="61"/>
      <c r="PF123" s="61"/>
      <c r="PG123" s="61"/>
      <c r="PH123" s="61"/>
      <c r="PI123" s="61"/>
      <c r="PJ123" s="61"/>
      <c r="PK123" s="61"/>
      <c r="PL123" s="61"/>
      <c r="PM123" s="61"/>
      <c r="PN123" s="61"/>
      <c r="PO123" s="61"/>
      <c r="PP123" s="61"/>
      <c r="PQ123" s="61"/>
      <c r="PR123" s="61"/>
      <c r="PS123" s="61"/>
      <c r="PT123" s="61"/>
      <c r="PU123" s="61"/>
      <c r="PV123" s="61"/>
      <c r="PW123" s="61"/>
      <c r="PX123" s="61"/>
      <c r="PY123" s="61"/>
      <c r="PZ123" s="61"/>
      <c r="QA123" s="61"/>
      <c r="QB123" s="61"/>
      <c r="QC123" s="61"/>
      <c r="QD123" s="61"/>
      <c r="QE123" s="61"/>
      <c r="QF123" s="61"/>
      <c r="QG123" s="61"/>
      <c r="QH123" s="61"/>
      <c r="QI123" s="61"/>
      <c r="QJ123" s="61"/>
      <c r="QK123" s="61"/>
      <c r="QL123" s="61"/>
      <c r="QM123" s="61"/>
      <c r="QN123" s="61"/>
      <c r="QO123" s="61"/>
      <c r="QP123" s="61"/>
      <c r="QQ123" s="61"/>
      <c r="QR123" s="61"/>
      <c r="QS123" s="61"/>
      <c r="QT123" s="61"/>
      <c r="QU123" s="61"/>
      <c r="QV123" s="61"/>
      <c r="QW123" s="61"/>
      <c r="QX123" s="61"/>
      <c r="QY123" s="61"/>
      <c r="QZ123" s="61"/>
      <c r="RA123" s="61"/>
      <c r="RB123" s="61"/>
      <c r="RC123" s="61"/>
      <c r="RD123" s="61"/>
      <c r="RE123" s="61"/>
      <c r="RF123" s="61"/>
      <c r="RG123" s="61"/>
      <c r="RH123" s="61"/>
      <c r="RI123" s="61"/>
      <c r="RJ123" s="61"/>
      <c r="RK123" s="61"/>
      <c r="RL123" s="61"/>
      <c r="RM123" s="61"/>
      <c r="RN123" s="61"/>
      <c r="RO123" s="61"/>
      <c r="RP123" s="61"/>
      <c r="RQ123" s="61"/>
      <c r="RR123" s="61"/>
      <c r="RS123" s="61"/>
      <c r="RT123" s="61"/>
      <c r="RU123" s="61"/>
      <c r="RV123" s="61"/>
      <c r="RW123" s="61"/>
      <c r="RX123" s="61"/>
      <c r="RY123" s="61"/>
      <c r="RZ123" s="61"/>
      <c r="SA123" s="61"/>
      <c r="SB123" s="61"/>
      <c r="SC123" s="61"/>
      <c r="SD123" s="61"/>
      <c r="SE123" s="61"/>
      <c r="SF123" s="61"/>
      <c r="SG123" s="61"/>
      <c r="SH123" s="61"/>
      <c r="SI123" s="61"/>
      <c r="SJ123" s="61"/>
      <c r="SK123" s="61"/>
      <c r="SL123" s="61"/>
      <c r="SM123" s="61"/>
      <c r="SN123" s="61"/>
      <c r="SO123" s="61"/>
      <c r="SP123" s="61"/>
      <c r="SQ123" s="61"/>
      <c r="SR123" s="61"/>
      <c r="SS123" s="61"/>
      <c r="ST123" s="61"/>
      <c r="SU123" s="61"/>
      <c r="SV123" s="61"/>
      <c r="SW123" s="61"/>
      <c r="SX123" s="61"/>
      <c r="SY123" s="61"/>
      <c r="SZ123" s="61"/>
      <c r="TA123" s="61"/>
      <c r="TB123" s="61"/>
      <c r="TC123" s="61"/>
      <c r="TD123" s="61"/>
      <c r="TE123" s="61"/>
      <c r="TF123" s="61"/>
      <c r="TG123" s="61"/>
      <c r="TH123" s="61"/>
      <c r="TI123" s="61"/>
      <c r="TJ123" s="61"/>
      <c r="TK123" s="61"/>
      <c r="TL123" s="61"/>
      <c r="TM123" s="61"/>
      <c r="TN123" s="61"/>
      <c r="TO123" s="61"/>
      <c r="TP123" s="61"/>
      <c r="TQ123" s="61"/>
      <c r="TR123" s="61"/>
      <c r="TS123" s="61"/>
      <c r="TT123" s="61"/>
      <c r="TU123" s="61"/>
      <c r="TV123" s="61"/>
      <c r="TW123" s="61"/>
      <c r="TX123" s="61"/>
      <c r="TY123" s="61"/>
      <c r="TZ123" s="61"/>
      <c r="UA123" s="61"/>
      <c r="UB123" s="61"/>
      <c r="UC123" s="61"/>
      <c r="UD123" s="61"/>
      <c r="UE123" s="61"/>
      <c r="UF123" s="61"/>
      <c r="UG123" s="61"/>
      <c r="UH123" s="61"/>
      <c r="UI123" s="61"/>
      <c r="UJ123" s="61"/>
      <c r="UK123" s="61"/>
      <c r="UL123" s="61"/>
      <c r="UM123" s="61"/>
      <c r="UN123" s="61"/>
      <c r="UO123" s="61"/>
      <c r="UP123" s="61"/>
      <c r="UQ123" s="61"/>
      <c r="UR123" s="61"/>
      <c r="US123" s="61"/>
      <c r="UT123" s="61"/>
      <c r="UU123" s="61"/>
      <c r="UV123" s="61"/>
      <c r="UW123" s="61"/>
      <c r="UX123" s="61"/>
      <c r="UY123" s="61"/>
      <c r="UZ123" s="61"/>
      <c r="VA123" s="61"/>
      <c r="VB123" s="61"/>
      <c r="VC123" s="61"/>
    </row>
    <row r="124" spans="1:575" s="55" customFormat="1" ht="48" customHeight="1" x14ac:dyDescent="0.25">
      <c r="A124" s="53" t="s">
        <v>438</v>
      </c>
      <c r="B124" s="106" t="str">
        <f>'дод 2'!A63</f>
        <v>3021</v>
      </c>
      <c r="C124" s="106">
        <f>'дод 2'!B63</f>
        <v>1030</v>
      </c>
      <c r="D124" s="56" t="str">
        <f>'дод 2'!C63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2">
        <f t="shared" si="23"/>
        <v>60013</v>
      </c>
      <c r="F124" s="132">
        <v>60013</v>
      </c>
      <c r="G124" s="132"/>
      <c r="H124" s="132"/>
      <c r="I124" s="132"/>
      <c r="J124" s="132">
        <f t="shared" ref="J124:J183" si="25">L124+O124</f>
        <v>0</v>
      </c>
      <c r="K124" s="132"/>
      <c r="L124" s="132"/>
      <c r="M124" s="132"/>
      <c r="N124" s="132"/>
      <c r="O124" s="132"/>
      <c r="P124" s="132">
        <f t="shared" si="24"/>
        <v>60013</v>
      </c>
      <c r="Q124" s="159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  <c r="KO124" s="61"/>
      <c r="KP124" s="61"/>
      <c r="KQ124" s="61"/>
      <c r="KR124" s="61"/>
      <c r="KS124" s="61"/>
      <c r="KT124" s="61"/>
      <c r="KU124" s="61"/>
      <c r="KV124" s="61"/>
      <c r="KW124" s="61"/>
      <c r="KX124" s="61"/>
      <c r="KY124" s="61"/>
      <c r="KZ124" s="61"/>
      <c r="LA124" s="61"/>
      <c r="LB124" s="61"/>
      <c r="LC124" s="61"/>
      <c r="LD124" s="61"/>
      <c r="LE124" s="61"/>
      <c r="LF124" s="61"/>
      <c r="LG124" s="61"/>
      <c r="LH124" s="61"/>
      <c r="LI124" s="61"/>
      <c r="LJ124" s="61"/>
      <c r="LK124" s="61"/>
      <c r="LL124" s="61"/>
      <c r="LM124" s="61"/>
      <c r="LN124" s="61"/>
      <c r="LO124" s="61"/>
      <c r="LP124" s="61"/>
      <c r="LQ124" s="61"/>
      <c r="LR124" s="61"/>
      <c r="LS124" s="61"/>
      <c r="LT124" s="61"/>
      <c r="LU124" s="61"/>
      <c r="LV124" s="61"/>
      <c r="LW124" s="61"/>
      <c r="LX124" s="61"/>
      <c r="LY124" s="61"/>
      <c r="LZ124" s="61"/>
      <c r="MA124" s="61"/>
      <c r="MB124" s="61"/>
      <c r="MC124" s="61"/>
      <c r="MD124" s="61"/>
      <c r="ME124" s="61"/>
      <c r="MF124" s="61"/>
      <c r="MG124" s="61"/>
      <c r="MH124" s="61"/>
      <c r="MI124" s="61"/>
      <c r="MJ124" s="61"/>
      <c r="MK124" s="61"/>
      <c r="ML124" s="61"/>
      <c r="MM124" s="61"/>
      <c r="MN124" s="61"/>
      <c r="MO124" s="61"/>
      <c r="MP124" s="61"/>
      <c r="MQ124" s="61"/>
      <c r="MR124" s="61"/>
      <c r="MS124" s="61"/>
      <c r="MT124" s="61"/>
      <c r="MU124" s="61"/>
      <c r="MV124" s="61"/>
      <c r="MW124" s="61"/>
      <c r="MX124" s="61"/>
      <c r="MY124" s="61"/>
      <c r="MZ124" s="61"/>
      <c r="NA124" s="61"/>
      <c r="NB124" s="61"/>
      <c r="NC124" s="61"/>
      <c r="ND124" s="61"/>
      <c r="NE124" s="61"/>
      <c r="NF124" s="61"/>
      <c r="NG124" s="61"/>
      <c r="NH124" s="61"/>
      <c r="NI124" s="61"/>
      <c r="NJ124" s="61"/>
      <c r="NK124" s="61"/>
      <c r="NL124" s="61"/>
      <c r="NM124" s="61"/>
      <c r="NN124" s="61"/>
      <c r="NO124" s="61"/>
      <c r="NP124" s="61"/>
      <c r="NQ124" s="61"/>
      <c r="NR124" s="61"/>
      <c r="NS124" s="61"/>
      <c r="NT124" s="61"/>
      <c r="NU124" s="61"/>
      <c r="NV124" s="61"/>
      <c r="NW124" s="61"/>
      <c r="NX124" s="61"/>
      <c r="NY124" s="61"/>
      <c r="NZ124" s="61"/>
      <c r="OA124" s="61"/>
      <c r="OB124" s="61"/>
      <c r="OC124" s="61"/>
      <c r="OD124" s="61"/>
      <c r="OE124" s="61"/>
      <c r="OF124" s="61"/>
      <c r="OG124" s="61"/>
      <c r="OH124" s="61"/>
      <c r="OI124" s="61"/>
      <c r="OJ124" s="61"/>
      <c r="OK124" s="61"/>
      <c r="OL124" s="61"/>
      <c r="OM124" s="61"/>
      <c r="ON124" s="61"/>
      <c r="OO124" s="61"/>
      <c r="OP124" s="61"/>
      <c r="OQ124" s="61"/>
      <c r="OR124" s="61"/>
      <c r="OS124" s="61"/>
      <c r="OT124" s="61"/>
      <c r="OU124" s="61"/>
      <c r="OV124" s="61"/>
      <c r="OW124" s="61"/>
      <c r="OX124" s="61"/>
      <c r="OY124" s="61"/>
      <c r="OZ124" s="61"/>
      <c r="PA124" s="61"/>
      <c r="PB124" s="61"/>
      <c r="PC124" s="61"/>
      <c r="PD124" s="61"/>
      <c r="PE124" s="61"/>
      <c r="PF124" s="61"/>
      <c r="PG124" s="61"/>
      <c r="PH124" s="61"/>
      <c r="PI124" s="61"/>
      <c r="PJ124" s="61"/>
      <c r="PK124" s="61"/>
      <c r="PL124" s="61"/>
      <c r="PM124" s="61"/>
      <c r="PN124" s="61"/>
      <c r="PO124" s="61"/>
      <c r="PP124" s="61"/>
      <c r="PQ124" s="61"/>
      <c r="PR124" s="61"/>
      <c r="PS124" s="61"/>
      <c r="PT124" s="61"/>
      <c r="PU124" s="61"/>
      <c r="PV124" s="61"/>
      <c r="PW124" s="61"/>
      <c r="PX124" s="61"/>
      <c r="PY124" s="61"/>
      <c r="PZ124" s="61"/>
      <c r="QA124" s="61"/>
      <c r="QB124" s="61"/>
      <c r="QC124" s="61"/>
      <c r="QD124" s="61"/>
      <c r="QE124" s="61"/>
      <c r="QF124" s="61"/>
      <c r="QG124" s="61"/>
      <c r="QH124" s="61"/>
      <c r="QI124" s="61"/>
      <c r="QJ124" s="61"/>
      <c r="QK124" s="61"/>
      <c r="QL124" s="61"/>
      <c r="QM124" s="61"/>
      <c r="QN124" s="61"/>
      <c r="QO124" s="61"/>
      <c r="QP124" s="61"/>
      <c r="QQ124" s="61"/>
      <c r="QR124" s="61"/>
      <c r="QS124" s="61"/>
      <c r="QT124" s="61"/>
      <c r="QU124" s="61"/>
      <c r="QV124" s="61"/>
      <c r="QW124" s="61"/>
      <c r="QX124" s="61"/>
      <c r="QY124" s="61"/>
      <c r="QZ124" s="61"/>
      <c r="RA124" s="61"/>
      <c r="RB124" s="61"/>
      <c r="RC124" s="61"/>
      <c r="RD124" s="61"/>
      <c r="RE124" s="61"/>
      <c r="RF124" s="61"/>
      <c r="RG124" s="61"/>
      <c r="RH124" s="61"/>
      <c r="RI124" s="61"/>
      <c r="RJ124" s="61"/>
      <c r="RK124" s="61"/>
      <c r="RL124" s="61"/>
      <c r="RM124" s="61"/>
      <c r="RN124" s="61"/>
      <c r="RO124" s="61"/>
      <c r="RP124" s="61"/>
      <c r="RQ124" s="61"/>
      <c r="RR124" s="61"/>
      <c r="RS124" s="61"/>
      <c r="RT124" s="61"/>
      <c r="RU124" s="61"/>
      <c r="RV124" s="61"/>
      <c r="RW124" s="61"/>
      <c r="RX124" s="61"/>
      <c r="RY124" s="61"/>
      <c r="RZ124" s="61"/>
      <c r="SA124" s="61"/>
      <c r="SB124" s="61"/>
      <c r="SC124" s="61"/>
      <c r="SD124" s="61"/>
      <c r="SE124" s="61"/>
      <c r="SF124" s="61"/>
      <c r="SG124" s="61"/>
      <c r="SH124" s="61"/>
      <c r="SI124" s="61"/>
      <c r="SJ124" s="61"/>
      <c r="SK124" s="61"/>
      <c r="SL124" s="61"/>
      <c r="SM124" s="61"/>
      <c r="SN124" s="61"/>
      <c r="SO124" s="61"/>
      <c r="SP124" s="61"/>
      <c r="SQ124" s="61"/>
      <c r="SR124" s="61"/>
      <c r="SS124" s="61"/>
      <c r="ST124" s="61"/>
      <c r="SU124" s="61"/>
      <c r="SV124" s="61"/>
      <c r="SW124" s="61"/>
      <c r="SX124" s="61"/>
      <c r="SY124" s="61"/>
      <c r="SZ124" s="61"/>
      <c r="TA124" s="61"/>
      <c r="TB124" s="61"/>
      <c r="TC124" s="61"/>
      <c r="TD124" s="61"/>
      <c r="TE124" s="61"/>
      <c r="TF124" s="61"/>
      <c r="TG124" s="61"/>
      <c r="TH124" s="61"/>
      <c r="TI124" s="61"/>
      <c r="TJ124" s="61"/>
      <c r="TK124" s="61"/>
      <c r="TL124" s="61"/>
      <c r="TM124" s="61"/>
      <c r="TN124" s="61"/>
      <c r="TO124" s="61"/>
      <c r="TP124" s="61"/>
      <c r="TQ124" s="61"/>
      <c r="TR124" s="61"/>
      <c r="TS124" s="61"/>
      <c r="TT124" s="61"/>
      <c r="TU124" s="61"/>
      <c r="TV124" s="61"/>
      <c r="TW124" s="61"/>
      <c r="TX124" s="61"/>
      <c r="TY124" s="61"/>
      <c r="TZ124" s="61"/>
      <c r="UA124" s="61"/>
      <c r="UB124" s="61"/>
      <c r="UC124" s="61"/>
      <c r="UD124" s="61"/>
      <c r="UE124" s="61"/>
      <c r="UF124" s="61"/>
      <c r="UG124" s="61"/>
      <c r="UH124" s="61"/>
      <c r="UI124" s="61"/>
      <c r="UJ124" s="61"/>
      <c r="UK124" s="61"/>
      <c r="UL124" s="61"/>
      <c r="UM124" s="61"/>
      <c r="UN124" s="61"/>
      <c r="UO124" s="61"/>
      <c r="UP124" s="61"/>
      <c r="UQ124" s="61"/>
      <c r="UR124" s="61"/>
      <c r="US124" s="61"/>
      <c r="UT124" s="61"/>
      <c r="UU124" s="61"/>
      <c r="UV124" s="61"/>
      <c r="UW124" s="61"/>
      <c r="UX124" s="61"/>
      <c r="UY124" s="61"/>
      <c r="UZ124" s="61"/>
      <c r="VA124" s="61"/>
      <c r="VB124" s="61"/>
      <c r="VC124" s="61"/>
    </row>
    <row r="125" spans="1:575" s="55" customFormat="1" ht="15" customHeight="1" x14ac:dyDescent="0.25">
      <c r="A125" s="53"/>
      <c r="B125" s="106"/>
      <c r="C125" s="106"/>
      <c r="D125" s="56" t="str">
        <f>'дод 2'!C64</f>
        <v>у т.ч. за рахунок субвенцій з держбюджету</v>
      </c>
      <c r="E125" s="132">
        <f t="shared" si="23"/>
        <v>60013</v>
      </c>
      <c r="F125" s="132">
        <v>60013</v>
      </c>
      <c r="G125" s="132"/>
      <c r="H125" s="132"/>
      <c r="I125" s="132"/>
      <c r="J125" s="132">
        <f t="shared" si="25"/>
        <v>0</v>
      </c>
      <c r="K125" s="132"/>
      <c r="L125" s="132"/>
      <c r="M125" s="132"/>
      <c r="N125" s="132"/>
      <c r="O125" s="132"/>
      <c r="P125" s="132">
        <f t="shared" si="24"/>
        <v>60013</v>
      </c>
      <c r="Q125" s="159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  <c r="KO125" s="61"/>
      <c r="KP125" s="61"/>
      <c r="KQ125" s="61"/>
      <c r="KR125" s="61"/>
      <c r="KS125" s="61"/>
      <c r="KT125" s="61"/>
      <c r="KU125" s="61"/>
      <c r="KV125" s="61"/>
      <c r="KW125" s="61"/>
      <c r="KX125" s="61"/>
      <c r="KY125" s="61"/>
      <c r="KZ125" s="61"/>
      <c r="LA125" s="61"/>
      <c r="LB125" s="61"/>
      <c r="LC125" s="61"/>
      <c r="LD125" s="61"/>
      <c r="LE125" s="61"/>
      <c r="LF125" s="61"/>
      <c r="LG125" s="61"/>
      <c r="LH125" s="61"/>
      <c r="LI125" s="61"/>
      <c r="LJ125" s="61"/>
      <c r="LK125" s="61"/>
      <c r="LL125" s="61"/>
      <c r="LM125" s="61"/>
      <c r="LN125" s="61"/>
      <c r="LO125" s="61"/>
      <c r="LP125" s="61"/>
      <c r="LQ125" s="61"/>
      <c r="LR125" s="61"/>
      <c r="LS125" s="61"/>
      <c r="LT125" s="61"/>
      <c r="LU125" s="61"/>
      <c r="LV125" s="61"/>
      <c r="LW125" s="61"/>
      <c r="LX125" s="61"/>
      <c r="LY125" s="61"/>
      <c r="LZ125" s="61"/>
      <c r="MA125" s="61"/>
      <c r="MB125" s="61"/>
      <c r="MC125" s="61"/>
      <c r="MD125" s="61"/>
      <c r="ME125" s="61"/>
      <c r="MF125" s="61"/>
      <c r="MG125" s="61"/>
      <c r="MH125" s="61"/>
      <c r="MI125" s="61"/>
      <c r="MJ125" s="61"/>
      <c r="MK125" s="61"/>
      <c r="ML125" s="61"/>
      <c r="MM125" s="61"/>
      <c r="MN125" s="61"/>
      <c r="MO125" s="61"/>
      <c r="MP125" s="61"/>
      <c r="MQ125" s="61"/>
      <c r="MR125" s="61"/>
      <c r="MS125" s="61"/>
      <c r="MT125" s="61"/>
      <c r="MU125" s="61"/>
      <c r="MV125" s="61"/>
      <c r="MW125" s="61"/>
      <c r="MX125" s="61"/>
      <c r="MY125" s="61"/>
      <c r="MZ125" s="61"/>
      <c r="NA125" s="61"/>
      <c r="NB125" s="61"/>
      <c r="NC125" s="61"/>
      <c r="ND125" s="61"/>
      <c r="NE125" s="61"/>
      <c r="NF125" s="61"/>
      <c r="NG125" s="61"/>
      <c r="NH125" s="61"/>
      <c r="NI125" s="61"/>
      <c r="NJ125" s="61"/>
      <c r="NK125" s="61"/>
      <c r="NL125" s="61"/>
      <c r="NM125" s="61"/>
      <c r="NN125" s="61"/>
      <c r="NO125" s="61"/>
      <c r="NP125" s="61"/>
      <c r="NQ125" s="61"/>
      <c r="NR125" s="61"/>
      <c r="NS125" s="61"/>
      <c r="NT125" s="61"/>
      <c r="NU125" s="61"/>
      <c r="NV125" s="61"/>
      <c r="NW125" s="61"/>
      <c r="NX125" s="61"/>
      <c r="NY125" s="61"/>
      <c r="NZ125" s="61"/>
      <c r="OA125" s="61"/>
      <c r="OB125" s="61"/>
      <c r="OC125" s="61"/>
      <c r="OD125" s="61"/>
      <c r="OE125" s="61"/>
      <c r="OF125" s="61"/>
      <c r="OG125" s="61"/>
      <c r="OH125" s="61"/>
      <c r="OI125" s="61"/>
      <c r="OJ125" s="61"/>
      <c r="OK125" s="61"/>
      <c r="OL125" s="61"/>
      <c r="OM125" s="61"/>
      <c r="ON125" s="61"/>
      <c r="OO125" s="61"/>
      <c r="OP125" s="61"/>
      <c r="OQ125" s="61"/>
      <c r="OR125" s="61"/>
      <c r="OS125" s="61"/>
      <c r="OT125" s="61"/>
      <c r="OU125" s="61"/>
      <c r="OV125" s="61"/>
      <c r="OW125" s="61"/>
      <c r="OX125" s="61"/>
      <c r="OY125" s="61"/>
      <c r="OZ125" s="61"/>
      <c r="PA125" s="61"/>
      <c r="PB125" s="61"/>
      <c r="PC125" s="61"/>
      <c r="PD125" s="61"/>
      <c r="PE125" s="61"/>
      <c r="PF125" s="61"/>
      <c r="PG125" s="61"/>
      <c r="PH125" s="61"/>
      <c r="PI125" s="61"/>
      <c r="PJ125" s="61"/>
      <c r="PK125" s="61"/>
      <c r="PL125" s="61"/>
      <c r="PM125" s="61"/>
      <c r="PN125" s="61"/>
      <c r="PO125" s="61"/>
      <c r="PP125" s="61"/>
      <c r="PQ125" s="61"/>
      <c r="PR125" s="61"/>
      <c r="PS125" s="61"/>
      <c r="PT125" s="61"/>
      <c r="PU125" s="61"/>
      <c r="PV125" s="61"/>
      <c r="PW125" s="61"/>
      <c r="PX125" s="61"/>
      <c r="PY125" s="61"/>
      <c r="PZ125" s="61"/>
      <c r="QA125" s="61"/>
      <c r="QB125" s="61"/>
      <c r="QC125" s="61"/>
      <c r="QD125" s="61"/>
      <c r="QE125" s="61"/>
      <c r="QF125" s="61"/>
      <c r="QG125" s="61"/>
      <c r="QH125" s="61"/>
      <c r="QI125" s="61"/>
      <c r="QJ125" s="61"/>
      <c r="QK125" s="61"/>
      <c r="QL125" s="61"/>
      <c r="QM125" s="61"/>
      <c r="QN125" s="61"/>
      <c r="QO125" s="61"/>
      <c r="QP125" s="61"/>
      <c r="QQ125" s="61"/>
      <c r="QR125" s="61"/>
      <c r="QS125" s="61"/>
      <c r="QT125" s="61"/>
      <c r="QU125" s="61"/>
      <c r="QV125" s="61"/>
      <c r="QW125" s="61"/>
      <c r="QX125" s="61"/>
      <c r="QY125" s="61"/>
      <c r="QZ125" s="61"/>
      <c r="RA125" s="61"/>
      <c r="RB125" s="61"/>
      <c r="RC125" s="61"/>
      <c r="RD125" s="61"/>
      <c r="RE125" s="61"/>
      <c r="RF125" s="61"/>
      <c r="RG125" s="61"/>
      <c r="RH125" s="61"/>
      <c r="RI125" s="61"/>
      <c r="RJ125" s="61"/>
      <c r="RK125" s="61"/>
      <c r="RL125" s="61"/>
      <c r="RM125" s="61"/>
      <c r="RN125" s="61"/>
      <c r="RO125" s="61"/>
      <c r="RP125" s="61"/>
      <c r="RQ125" s="61"/>
      <c r="RR125" s="61"/>
      <c r="RS125" s="61"/>
      <c r="RT125" s="61"/>
      <c r="RU125" s="61"/>
      <c r="RV125" s="61"/>
      <c r="RW125" s="61"/>
      <c r="RX125" s="61"/>
      <c r="RY125" s="61"/>
      <c r="RZ125" s="61"/>
      <c r="SA125" s="61"/>
      <c r="SB125" s="61"/>
      <c r="SC125" s="61"/>
      <c r="SD125" s="61"/>
      <c r="SE125" s="61"/>
      <c r="SF125" s="61"/>
      <c r="SG125" s="61"/>
      <c r="SH125" s="61"/>
      <c r="SI125" s="61"/>
      <c r="SJ125" s="61"/>
      <c r="SK125" s="61"/>
      <c r="SL125" s="61"/>
      <c r="SM125" s="61"/>
      <c r="SN125" s="61"/>
      <c r="SO125" s="61"/>
      <c r="SP125" s="61"/>
      <c r="SQ125" s="61"/>
      <c r="SR125" s="61"/>
      <c r="SS125" s="61"/>
      <c r="ST125" s="61"/>
      <c r="SU125" s="61"/>
      <c r="SV125" s="61"/>
      <c r="SW125" s="61"/>
      <c r="SX125" s="61"/>
      <c r="SY125" s="61"/>
      <c r="SZ125" s="61"/>
      <c r="TA125" s="61"/>
      <c r="TB125" s="61"/>
      <c r="TC125" s="61"/>
      <c r="TD125" s="61"/>
      <c r="TE125" s="61"/>
      <c r="TF125" s="61"/>
      <c r="TG125" s="61"/>
      <c r="TH125" s="61"/>
      <c r="TI125" s="61"/>
      <c r="TJ125" s="61"/>
      <c r="TK125" s="61"/>
      <c r="TL125" s="61"/>
      <c r="TM125" s="61"/>
      <c r="TN125" s="61"/>
      <c r="TO125" s="61"/>
      <c r="TP125" s="61"/>
      <c r="TQ125" s="61"/>
      <c r="TR125" s="61"/>
      <c r="TS125" s="61"/>
      <c r="TT125" s="61"/>
      <c r="TU125" s="61"/>
      <c r="TV125" s="61"/>
      <c r="TW125" s="61"/>
      <c r="TX125" s="61"/>
      <c r="TY125" s="61"/>
      <c r="TZ125" s="61"/>
      <c r="UA125" s="61"/>
      <c r="UB125" s="61"/>
      <c r="UC125" s="61"/>
      <c r="UD125" s="61"/>
      <c r="UE125" s="61"/>
      <c r="UF125" s="61"/>
      <c r="UG125" s="61"/>
      <c r="UH125" s="61"/>
      <c r="UI125" s="61"/>
      <c r="UJ125" s="61"/>
      <c r="UK125" s="61"/>
      <c r="UL125" s="61"/>
      <c r="UM125" s="61"/>
      <c r="UN125" s="61"/>
      <c r="UO125" s="61"/>
      <c r="UP125" s="61"/>
      <c r="UQ125" s="61"/>
      <c r="UR125" s="61"/>
      <c r="US125" s="61"/>
      <c r="UT125" s="61"/>
      <c r="UU125" s="61"/>
      <c r="UV125" s="61"/>
      <c r="UW125" s="61"/>
      <c r="UX125" s="61"/>
      <c r="UY125" s="61"/>
      <c r="UZ125" s="61"/>
      <c r="VA125" s="61"/>
      <c r="VB125" s="61"/>
      <c r="VC125" s="61"/>
    </row>
    <row r="126" spans="1:575" s="55" customFormat="1" ht="49.5" customHeight="1" x14ac:dyDescent="0.25">
      <c r="A126" s="53" t="s">
        <v>439</v>
      </c>
      <c r="B126" s="106" t="str">
        <f>'дод 2'!A65</f>
        <v>3022</v>
      </c>
      <c r="C126" s="106">
        <f>'дод 2'!B65</f>
        <v>1060</v>
      </c>
      <c r="D126" s="56" t="str">
        <f>'дод 2'!C65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2">
        <f t="shared" si="23"/>
        <v>292387</v>
      </c>
      <c r="F126" s="132">
        <v>292387</v>
      </c>
      <c r="G126" s="132"/>
      <c r="H126" s="132"/>
      <c r="I126" s="132"/>
      <c r="J126" s="132">
        <f t="shared" si="25"/>
        <v>0</v>
      </c>
      <c r="K126" s="132"/>
      <c r="L126" s="132"/>
      <c r="M126" s="132"/>
      <c r="N126" s="132"/>
      <c r="O126" s="132"/>
      <c r="P126" s="132">
        <f t="shared" si="24"/>
        <v>292387</v>
      </c>
      <c r="Q126" s="159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1"/>
      <c r="JX126" s="61"/>
      <c r="JY126" s="61"/>
      <c r="JZ126" s="61"/>
      <c r="KA126" s="61"/>
      <c r="KB126" s="61"/>
      <c r="KC126" s="61"/>
      <c r="KD126" s="61"/>
      <c r="KE126" s="61"/>
      <c r="KF126" s="61"/>
      <c r="KG126" s="61"/>
      <c r="KH126" s="61"/>
      <c r="KI126" s="61"/>
      <c r="KJ126" s="61"/>
      <c r="KK126" s="61"/>
      <c r="KL126" s="61"/>
      <c r="KM126" s="61"/>
      <c r="KN126" s="61"/>
      <c r="KO126" s="61"/>
      <c r="KP126" s="61"/>
      <c r="KQ126" s="61"/>
      <c r="KR126" s="61"/>
      <c r="KS126" s="61"/>
      <c r="KT126" s="61"/>
      <c r="KU126" s="61"/>
      <c r="KV126" s="61"/>
      <c r="KW126" s="61"/>
      <c r="KX126" s="61"/>
      <c r="KY126" s="61"/>
      <c r="KZ126" s="61"/>
      <c r="LA126" s="61"/>
      <c r="LB126" s="61"/>
      <c r="LC126" s="61"/>
      <c r="LD126" s="61"/>
      <c r="LE126" s="61"/>
      <c r="LF126" s="61"/>
      <c r="LG126" s="61"/>
      <c r="LH126" s="61"/>
      <c r="LI126" s="61"/>
      <c r="LJ126" s="61"/>
      <c r="LK126" s="61"/>
      <c r="LL126" s="61"/>
      <c r="LM126" s="61"/>
      <c r="LN126" s="61"/>
      <c r="LO126" s="61"/>
      <c r="LP126" s="61"/>
      <c r="LQ126" s="61"/>
      <c r="LR126" s="61"/>
      <c r="LS126" s="61"/>
      <c r="LT126" s="61"/>
      <c r="LU126" s="61"/>
      <c r="LV126" s="61"/>
      <c r="LW126" s="61"/>
      <c r="LX126" s="61"/>
      <c r="LY126" s="61"/>
      <c r="LZ126" s="61"/>
      <c r="MA126" s="61"/>
      <c r="MB126" s="61"/>
      <c r="MC126" s="61"/>
      <c r="MD126" s="61"/>
      <c r="ME126" s="61"/>
      <c r="MF126" s="61"/>
      <c r="MG126" s="61"/>
      <c r="MH126" s="61"/>
      <c r="MI126" s="61"/>
      <c r="MJ126" s="61"/>
      <c r="MK126" s="61"/>
      <c r="ML126" s="61"/>
      <c r="MM126" s="61"/>
      <c r="MN126" s="61"/>
      <c r="MO126" s="61"/>
      <c r="MP126" s="61"/>
      <c r="MQ126" s="61"/>
      <c r="MR126" s="61"/>
      <c r="MS126" s="61"/>
      <c r="MT126" s="61"/>
      <c r="MU126" s="61"/>
      <c r="MV126" s="61"/>
      <c r="MW126" s="61"/>
      <c r="MX126" s="61"/>
      <c r="MY126" s="61"/>
      <c r="MZ126" s="61"/>
      <c r="NA126" s="61"/>
      <c r="NB126" s="61"/>
      <c r="NC126" s="61"/>
      <c r="ND126" s="61"/>
      <c r="NE126" s="61"/>
      <c r="NF126" s="61"/>
      <c r="NG126" s="61"/>
      <c r="NH126" s="61"/>
      <c r="NI126" s="61"/>
      <c r="NJ126" s="61"/>
      <c r="NK126" s="61"/>
      <c r="NL126" s="61"/>
      <c r="NM126" s="61"/>
      <c r="NN126" s="61"/>
      <c r="NO126" s="61"/>
      <c r="NP126" s="61"/>
      <c r="NQ126" s="61"/>
      <c r="NR126" s="61"/>
      <c r="NS126" s="61"/>
      <c r="NT126" s="61"/>
      <c r="NU126" s="61"/>
      <c r="NV126" s="61"/>
      <c r="NW126" s="61"/>
      <c r="NX126" s="61"/>
      <c r="NY126" s="61"/>
      <c r="NZ126" s="61"/>
      <c r="OA126" s="61"/>
      <c r="OB126" s="61"/>
      <c r="OC126" s="61"/>
      <c r="OD126" s="61"/>
      <c r="OE126" s="61"/>
      <c r="OF126" s="61"/>
      <c r="OG126" s="61"/>
      <c r="OH126" s="61"/>
      <c r="OI126" s="61"/>
      <c r="OJ126" s="61"/>
      <c r="OK126" s="61"/>
      <c r="OL126" s="61"/>
      <c r="OM126" s="61"/>
      <c r="ON126" s="61"/>
      <c r="OO126" s="61"/>
      <c r="OP126" s="61"/>
      <c r="OQ126" s="61"/>
      <c r="OR126" s="61"/>
      <c r="OS126" s="61"/>
      <c r="OT126" s="61"/>
      <c r="OU126" s="61"/>
      <c r="OV126" s="61"/>
      <c r="OW126" s="61"/>
      <c r="OX126" s="61"/>
      <c r="OY126" s="61"/>
      <c r="OZ126" s="61"/>
      <c r="PA126" s="61"/>
      <c r="PB126" s="61"/>
      <c r="PC126" s="61"/>
      <c r="PD126" s="61"/>
      <c r="PE126" s="61"/>
      <c r="PF126" s="61"/>
      <c r="PG126" s="61"/>
      <c r="PH126" s="61"/>
      <c r="PI126" s="61"/>
      <c r="PJ126" s="61"/>
      <c r="PK126" s="61"/>
      <c r="PL126" s="61"/>
      <c r="PM126" s="61"/>
      <c r="PN126" s="61"/>
      <c r="PO126" s="61"/>
      <c r="PP126" s="61"/>
      <c r="PQ126" s="61"/>
      <c r="PR126" s="61"/>
      <c r="PS126" s="61"/>
      <c r="PT126" s="61"/>
      <c r="PU126" s="61"/>
      <c r="PV126" s="61"/>
      <c r="PW126" s="61"/>
      <c r="PX126" s="61"/>
      <c r="PY126" s="61"/>
      <c r="PZ126" s="61"/>
      <c r="QA126" s="61"/>
      <c r="QB126" s="61"/>
      <c r="QC126" s="61"/>
      <c r="QD126" s="61"/>
      <c r="QE126" s="61"/>
      <c r="QF126" s="61"/>
      <c r="QG126" s="61"/>
      <c r="QH126" s="61"/>
      <c r="QI126" s="61"/>
      <c r="QJ126" s="61"/>
      <c r="QK126" s="61"/>
      <c r="QL126" s="61"/>
      <c r="QM126" s="61"/>
      <c r="QN126" s="61"/>
      <c r="QO126" s="61"/>
      <c r="QP126" s="61"/>
      <c r="QQ126" s="61"/>
      <c r="QR126" s="61"/>
      <c r="QS126" s="61"/>
      <c r="QT126" s="61"/>
      <c r="QU126" s="61"/>
      <c r="QV126" s="61"/>
      <c r="QW126" s="61"/>
      <c r="QX126" s="61"/>
      <c r="QY126" s="61"/>
      <c r="QZ126" s="61"/>
      <c r="RA126" s="61"/>
      <c r="RB126" s="61"/>
      <c r="RC126" s="61"/>
      <c r="RD126" s="61"/>
      <c r="RE126" s="61"/>
      <c r="RF126" s="61"/>
      <c r="RG126" s="61"/>
      <c r="RH126" s="61"/>
      <c r="RI126" s="61"/>
      <c r="RJ126" s="61"/>
      <c r="RK126" s="61"/>
      <c r="RL126" s="61"/>
      <c r="RM126" s="61"/>
      <c r="RN126" s="61"/>
      <c r="RO126" s="61"/>
      <c r="RP126" s="61"/>
      <c r="RQ126" s="61"/>
      <c r="RR126" s="61"/>
      <c r="RS126" s="61"/>
      <c r="RT126" s="61"/>
      <c r="RU126" s="61"/>
      <c r="RV126" s="61"/>
      <c r="RW126" s="61"/>
      <c r="RX126" s="61"/>
      <c r="RY126" s="61"/>
      <c r="RZ126" s="61"/>
      <c r="SA126" s="61"/>
      <c r="SB126" s="61"/>
      <c r="SC126" s="61"/>
      <c r="SD126" s="61"/>
      <c r="SE126" s="61"/>
      <c r="SF126" s="61"/>
      <c r="SG126" s="61"/>
      <c r="SH126" s="61"/>
      <c r="SI126" s="61"/>
      <c r="SJ126" s="61"/>
      <c r="SK126" s="61"/>
      <c r="SL126" s="61"/>
      <c r="SM126" s="61"/>
      <c r="SN126" s="61"/>
      <c r="SO126" s="61"/>
      <c r="SP126" s="61"/>
      <c r="SQ126" s="61"/>
      <c r="SR126" s="61"/>
      <c r="SS126" s="61"/>
      <c r="ST126" s="61"/>
      <c r="SU126" s="61"/>
      <c r="SV126" s="61"/>
      <c r="SW126" s="61"/>
      <c r="SX126" s="61"/>
      <c r="SY126" s="61"/>
      <c r="SZ126" s="61"/>
      <c r="TA126" s="61"/>
      <c r="TB126" s="61"/>
      <c r="TC126" s="61"/>
      <c r="TD126" s="61"/>
      <c r="TE126" s="61"/>
      <c r="TF126" s="61"/>
      <c r="TG126" s="61"/>
      <c r="TH126" s="61"/>
      <c r="TI126" s="61"/>
      <c r="TJ126" s="61"/>
      <c r="TK126" s="61"/>
      <c r="TL126" s="61"/>
      <c r="TM126" s="61"/>
      <c r="TN126" s="61"/>
      <c r="TO126" s="61"/>
      <c r="TP126" s="61"/>
      <c r="TQ126" s="61"/>
      <c r="TR126" s="61"/>
      <c r="TS126" s="61"/>
      <c r="TT126" s="61"/>
      <c r="TU126" s="61"/>
      <c r="TV126" s="61"/>
      <c r="TW126" s="61"/>
      <c r="TX126" s="61"/>
      <c r="TY126" s="61"/>
      <c r="TZ126" s="61"/>
      <c r="UA126" s="61"/>
      <c r="UB126" s="61"/>
      <c r="UC126" s="61"/>
      <c r="UD126" s="61"/>
      <c r="UE126" s="61"/>
      <c r="UF126" s="61"/>
      <c r="UG126" s="61"/>
      <c r="UH126" s="61"/>
      <c r="UI126" s="61"/>
      <c r="UJ126" s="61"/>
      <c r="UK126" s="61"/>
      <c r="UL126" s="61"/>
      <c r="UM126" s="61"/>
      <c r="UN126" s="61"/>
      <c r="UO126" s="61"/>
      <c r="UP126" s="61"/>
      <c r="UQ126" s="61"/>
      <c r="UR126" s="61"/>
      <c r="US126" s="61"/>
      <c r="UT126" s="61"/>
      <c r="UU126" s="61"/>
      <c r="UV126" s="61"/>
      <c r="UW126" s="61"/>
      <c r="UX126" s="61"/>
      <c r="UY126" s="61"/>
      <c r="UZ126" s="61"/>
      <c r="VA126" s="61"/>
      <c r="VB126" s="61"/>
      <c r="VC126" s="61"/>
    </row>
    <row r="127" spans="1:575" s="55" customFormat="1" ht="15" customHeight="1" x14ac:dyDescent="0.25">
      <c r="A127" s="53"/>
      <c r="B127" s="106"/>
      <c r="C127" s="106"/>
      <c r="D127" s="56" t="str">
        <f>'дод 2'!C66</f>
        <v>у т.ч. за рахунок субвенцій з держбюджету</v>
      </c>
      <c r="E127" s="132">
        <f t="shared" si="23"/>
        <v>292387</v>
      </c>
      <c r="F127" s="132">
        <v>292387</v>
      </c>
      <c r="G127" s="132"/>
      <c r="H127" s="132"/>
      <c r="I127" s="132"/>
      <c r="J127" s="132">
        <f t="shared" si="25"/>
        <v>0</v>
      </c>
      <c r="K127" s="132"/>
      <c r="L127" s="132"/>
      <c r="M127" s="132"/>
      <c r="N127" s="132"/>
      <c r="O127" s="132"/>
      <c r="P127" s="132">
        <f t="shared" si="24"/>
        <v>292387</v>
      </c>
      <c r="Q127" s="159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1"/>
      <c r="JX127" s="61"/>
      <c r="JY127" s="61"/>
      <c r="JZ127" s="61"/>
      <c r="KA127" s="61"/>
      <c r="KB127" s="61"/>
      <c r="KC127" s="61"/>
      <c r="KD127" s="61"/>
      <c r="KE127" s="61"/>
      <c r="KF127" s="61"/>
      <c r="KG127" s="61"/>
      <c r="KH127" s="61"/>
      <c r="KI127" s="61"/>
      <c r="KJ127" s="61"/>
      <c r="KK127" s="61"/>
      <c r="KL127" s="61"/>
      <c r="KM127" s="61"/>
      <c r="KN127" s="61"/>
      <c r="KO127" s="61"/>
      <c r="KP127" s="61"/>
      <c r="KQ127" s="61"/>
      <c r="KR127" s="61"/>
      <c r="KS127" s="61"/>
      <c r="KT127" s="61"/>
      <c r="KU127" s="61"/>
      <c r="KV127" s="61"/>
      <c r="KW127" s="61"/>
      <c r="KX127" s="61"/>
      <c r="KY127" s="61"/>
      <c r="KZ127" s="61"/>
      <c r="LA127" s="61"/>
      <c r="LB127" s="61"/>
      <c r="LC127" s="61"/>
      <c r="LD127" s="61"/>
      <c r="LE127" s="61"/>
      <c r="LF127" s="61"/>
      <c r="LG127" s="61"/>
      <c r="LH127" s="61"/>
      <c r="LI127" s="61"/>
      <c r="LJ127" s="61"/>
      <c r="LK127" s="61"/>
      <c r="LL127" s="61"/>
      <c r="LM127" s="61"/>
      <c r="LN127" s="61"/>
      <c r="LO127" s="61"/>
      <c r="LP127" s="61"/>
      <c r="LQ127" s="61"/>
      <c r="LR127" s="61"/>
      <c r="LS127" s="61"/>
      <c r="LT127" s="61"/>
      <c r="LU127" s="61"/>
      <c r="LV127" s="61"/>
      <c r="LW127" s="61"/>
      <c r="LX127" s="61"/>
      <c r="LY127" s="61"/>
      <c r="LZ127" s="61"/>
      <c r="MA127" s="61"/>
      <c r="MB127" s="61"/>
      <c r="MC127" s="61"/>
      <c r="MD127" s="61"/>
      <c r="ME127" s="61"/>
      <c r="MF127" s="61"/>
      <c r="MG127" s="61"/>
      <c r="MH127" s="61"/>
      <c r="MI127" s="61"/>
      <c r="MJ127" s="61"/>
      <c r="MK127" s="61"/>
      <c r="ML127" s="61"/>
      <c r="MM127" s="61"/>
      <c r="MN127" s="61"/>
      <c r="MO127" s="61"/>
      <c r="MP127" s="61"/>
      <c r="MQ127" s="61"/>
      <c r="MR127" s="61"/>
      <c r="MS127" s="61"/>
      <c r="MT127" s="61"/>
      <c r="MU127" s="61"/>
      <c r="MV127" s="61"/>
      <c r="MW127" s="61"/>
      <c r="MX127" s="61"/>
      <c r="MY127" s="61"/>
      <c r="MZ127" s="61"/>
      <c r="NA127" s="61"/>
      <c r="NB127" s="61"/>
      <c r="NC127" s="61"/>
      <c r="ND127" s="61"/>
      <c r="NE127" s="61"/>
      <c r="NF127" s="61"/>
      <c r="NG127" s="61"/>
      <c r="NH127" s="61"/>
      <c r="NI127" s="61"/>
      <c r="NJ127" s="61"/>
      <c r="NK127" s="61"/>
      <c r="NL127" s="61"/>
      <c r="NM127" s="61"/>
      <c r="NN127" s="61"/>
      <c r="NO127" s="61"/>
      <c r="NP127" s="61"/>
      <c r="NQ127" s="61"/>
      <c r="NR127" s="61"/>
      <c r="NS127" s="61"/>
      <c r="NT127" s="61"/>
      <c r="NU127" s="61"/>
      <c r="NV127" s="61"/>
      <c r="NW127" s="61"/>
      <c r="NX127" s="61"/>
      <c r="NY127" s="61"/>
      <c r="NZ127" s="61"/>
      <c r="OA127" s="61"/>
      <c r="OB127" s="61"/>
      <c r="OC127" s="61"/>
      <c r="OD127" s="61"/>
      <c r="OE127" s="61"/>
      <c r="OF127" s="61"/>
      <c r="OG127" s="61"/>
      <c r="OH127" s="61"/>
      <c r="OI127" s="61"/>
      <c r="OJ127" s="61"/>
      <c r="OK127" s="61"/>
      <c r="OL127" s="61"/>
      <c r="OM127" s="61"/>
      <c r="ON127" s="61"/>
      <c r="OO127" s="61"/>
      <c r="OP127" s="61"/>
      <c r="OQ127" s="61"/>
      <c r="OR127" s="61"/>
      <c r="OS127" s="61"/>
      <c r="OT127" s="61"/>
      <c r="OU127" s="61"/>
      <c r="OV127" s="61"/>
      <c r="OW127" s="61"/>
      <c r="OX127" s="61"/>
      <c r="OY127" s="61"/>
      <c r="OZ127" s="61"/>
      <c r="PA127" s="61"/>
      <c r="PB127" s="61"/>
      <c r="PC127" s="61"/>
      <c r="PD127" s="61"/>
      <c r="PE127" s="61"/>
      <c r="PF127" s="61"/>
      <c r="PG127" s="61"/>
      <c r="PH127" s="61"/>
      <c r="PI127" s="61"/>
      <c r="PJ127" s="61"/>
      <c r="PK127" s="61"/>
      <c r="PL127" s="61"/>
      <c r="PM127" s="61"/>
      <c r="PN127" s="61"/>
      <c r="PO127" s="61"/>
      <c r="PP127" s="61"/>
      <c r="PQ127" s="61"/>
      <c r="PR127" s="61"/>
      <c r="PS127" s="61"/>
      <c r="PT127" s="61"/>
      <c r="PU127" s="61"/>
      <c r="PV127" s="61"/>
      <c r="PW127" s="61"/>
      <c r="PX127" s="61"/>
      <c r="PY127" s="61"/>
      <c r="PZ127" s="61"/>
      <c r="QA127" s="61"/>
      <c r="QB127" s="61"/>
      <c r="QC127" s="61"/>
      <c r="QD127" s="61"/>
      <c r="QE127" s="61"/>
      <c r="QF127" s="61"/>
      <c r="QG127" s="61"/>
      <c r="QH127" s="61"/>
      <c r="QI127" s="61"/>
      <c r="QJ127" s="61"/>
      <c r="QK127" s="61"/>
      <c r="QL127" s="61"/>
      <c r="QM127" s="61"/>
      <c r="QN127" s="61"/>
      <c r="QO127" s="61"/>
      <c r="QP127" s="61"/>
      <c r="QQ127" s="61"/>
      <c r="QR127" s="61"/>
      <c r="QS127" s="61"/>
      <c r="QT127" s="61"/>
      <c r="QU127" s="61"/>
      <c r="QV127" s="61"/>
      <c r="QW127" s="61"/>
      <c r="QX127" s="61"/>
      <c r="QY127" s="61"/>
      <c r="QZ127" s="61"/>
      <c r="RA127" s="61"/>
      <c r="RB127" s="61"/>
      <c r="RC127" s="61"/>
      <c r="RD127" s="61"/>
      <c r="RE127" s="61"/>
      <c r="RF127" s="61"/>
      <c r="RG127" s="61"/>
      <c r="RH127" s="61"/>
      <c r="RI127" s="61"/>
      <c r="RJ127" s="61"/>
      <c r="RK127" s="61"/>
      <c r="RL127" s="61"/>
      <c r="RM127" s="61"/>
      <c r="RN127" s="61"/>
      <c r="RO127" s="61"/>
      <c r="RP127" s="61"/>
      <c r="RQ127" s="61"/>
      <c r="RR127" s="61"/>
      <c r="RS127" s="61"/>
      <c r="RT127" s="61"/>
      <c r="RU127" s="61"/>
      <c r="RV127" s="61"/>
      <c r="RW127" s="61"/>
      <c r="RX127" s="61"/>
      <c r="RY127" s="61"/>
      <c r="RZ127" s="61"/>
      <c r="SA127" s="61"/>
      <c r="SB127" s="61"/>
      <c r="SC127" s="61"/>
      <c r="SD127" s="61"/>
      <c r="SE127" s="61"/>
      <c r="SF127" s="61"/>
      <c r="SG127" s="61"/>
      <c r="SH127" s="61"/>
      <c r="SI127" s="61"/>
      <c r="SJ127" s="61"/>
      <c r="SK127" s="61"/>
      <c r="SL127" s="61"/>
      <c r="SM127" s="61"/>
      <c r="SN127" s="61"/>
      <c r="SO127" s="61"/>
      <c r="SP127" s="61"/>
      <c r="SQ127" s="61"/>
      <c r="SR127" s="61"/>
      <c r="SS127" s="61"/>
      <c r="ST127" s="61"/>
      <c r="SU127" s="61"/>
      <c r="SV127" s="61"/>
      <c r="SW127" s="61"/>
      <c r="SX127" s="61"/>
      <c r="SY127" s="61"/>
      <c r="SZ127" s="61"/>
      <c r="TA127" s="61"/>
      <c r="TB127" s="61"/>
      <c r="TC127" s="61"/>
      <c r="TD127" s="61"/>
      <c r="TE127" s="61"/>
      <c r="TF127" s="61"/>
      <c r="TG127" s="61"/>
      <c r="TH127" s="61"/>
      <c r="TI127" s="61"/>
      <c r="TJ127" s="61"/>
      <c r="TK127" s="61"/>
      <c r="TL127" s="61"/>
      <c r="TM127" s="61"/>
      <c r="TN127" s="61"/>
      <c r="TO127" s="61"/>
      <c r="TP127" s="61"/>
      <c r="TQ127" s="61"/>
      <c r="TR127" s="61"/>
      <c r="TS127" s="61"/>
      <c r="TT127" s="61"/>
      <c r="TU127" s="61"/>
      <c r="TV127" s="61"/>
      <c r="TW127" s="61"/>
      <c r="TX127" s="61"/>
      <c r="TY127" s="61"/>
      <c r="TZ127" s="61"/>
      <c r="UA127" s="61"/>
      <c r="UB127" s="61"/>
      <c r="UC127" s="61"/>
      <c r="UD127" s="61"/>
      <c r="UE127" s="61"/>
      <c r="UF127" s="61"/>
      <c r="UG127" s="61"/>
      <c r="UH127" s="61"/>
      <c r="UI127" s="61"/>
      <c r="UJ127" s="61"/>
      <c r="UK127" s="61"/>
      <c r="UL127" s="61"/>
      <c r="UM127" s="61"/>
      <c r="UN127" s="61"/>
      <c r="UO127" s="61"/>
      <c r="UP127" s="61"/>
      <c r="UQ127" s="61"/>
      <c r="UR127" s="61"/>
      <c r="US127" s="61"/>
      <c r="UT127" s="61"/>
      <c r="UU127" s="61"/>
      <c r="UV127" s="61"/>
      <c r="UW127" s="61"/>
      <c r="UX127" s="61"/>
      <c r="UY127" s="61"/>
      <c r="UZ127" s="61"/>
      <c r="VA127" s="61"/>
      <c r="VB127" s="61"/>
      <c r="VC127" s="61"/>
    </row>
    <row r="128" spans="1:575" s="61" customFormat="1" ht="36" customHeight="1" x14ac:dyDescent="0.25">
      <c r="A128" s="53" t="s">
        <v>243</v>
      </c>
      <c r="B128" s="102" t="str">
        <f>'дод 2'!A67</f>
        <v>3031</v>
      </c>
      <c r="C128" s="102" t="str">
        <f>'дод 2'!B67</f>
        <v>1030</v>
      </c>
      <c r="D128" s="56" t="str">
        <f>'дод 2'!C67</f>
        <v>Надання інших пільг окремим категоріям громадян відповідно до законодавства</v>
      </c>
      <c r="E128" s="132">
        <f t="shared" si="23"/>
        <v>563976</v>
      </c>
      <c r="F128" s="132">
        <f>510136+53840</f>
        <v>563976</v>
      </c>
      <c r="G128" s="132"/>
      <c r="H128" s="132"/>
      <c r="I128" s="132"/>
      <c r="J128" s="132">
        <f t="shared" si="25"/>
        <v>0</v>
      </c>
      <c r="K128" s="132">
        <f>232600-190600-42000</f>
        <v>0</v>
      </c>
      <c r="L128" s="132"/>
      <c r="M128" s="132"/>
      <c r="N128" s="132"/>
      <c r="O128" s="132">
        <f>232600-190600-42000</f>
        <v>0</v>
      </c>
      <c r="P128" s="132">
        <f t="shared" si="24"/>
        <v>563976</v>
      </c>
      <c r="Q128" s="159"/>
    </row>
    <row r="129" spans="1:17" s="61" customFormat="1" ht="30" x14ac:dyDescent="0.25">
      <c r="A129" s="53" t="s">
        <v>244</v>
      </c>
      <c r="B129" s="102" t="str">
        <f>'дод 2'!A68</f>
        <v>3032</v>
      </c>
      <c r="C129" s="102" t="str">
        <f>'дод 2'!B68</f>
        <v>1070</v>
      </c>
      <c r="D129" s="56" t="str">
        <f>'дод 2'!C68</f>
        <v>Надання пільг окремим категоріям громадян з оплати послуг зв'язку</v>
      </c>
      <c r="E129" s="132">
        <f t="shared" si="23"/>
        <v>1342557</v>
      </c>
      <c r="F129" s="132">
        <f>1436397-53840-40000</f>
        <v>1342557</v>
      </c>
      <c r="G129" s="132"/>
      <c r="H129" s="132"/>
      <c r="I129" s="132"/>
      <c r="J129" s="132">
        <f t="shared" si="25"/>
        <v>0</v>
      </c>
      <c r="K129" s="132"/>
      <c r="L129" s="132"/>
      <c r="M129" s="132"/>
      <c r="N129" s="132"/>
      <c r="O129" s="132"/>
      <c r="P129" s="132">
        <f t="shared" si="24"/>
        <v>1342557</v>
      </c>
      <c r="Q129" s="159"/>
    </row>
    <row r="130" spans="1:17" s="61" customFormat="1" ht="38.25" customHeight="1" x14ac:dyDescent="0.25">
      <c r="A130" s="53" t="s">
        <v>245</v>
      </c>
      <c r="B130" s="102" t="str">
        <f>'дод 2'!A69</f>
        <v>3033</v>
      </c>
      <c r="C130" s="102" t="str">
        <f>'дод 2'!B69</f>
        <v>1070</v>
      </c>
      <c r="D130" s="56" t="str">
        <f>'дод 2'!C69</f>
        <v>Компенсаційні виплати на пільговий проїзд автомобільним транспортом окремим категоріям громадян</v>
      </c>
      <c r="E130" s="132">
        <f t="shared" si="23"/>
        <v>24159582.820000004</v>
      </c>
      <c r="F130" s="132">
        <f>10000000+61200+19700+144346.67+1200000+1000000+1115300+33186.21+952460+1275150+1568000+2000000+2100000+3200000+134947.94-644708</f>
        <v>24159582.820000004</v>
      </c>
      <c r="G130" s="132"/>
      <c r="H130" s="132"/>
      <c r="I130" s="132"/>
      <c r="J130" s="132">
        <f t="shared" si="25"/>
        <v>0</v>
      </c>
      <c r="K130" s="132"/>
      <c r="L130" s="132"/>
      <c r="M130" s="132"/>
      <c r="N130" s="132"/>
      <c r="O130" s="132"/>
      <c r="P130" s="132">
        <f t="shared" si="24"/>
        <v>24159582.820000004</v>
      </c>
      <c r="Q130" s="159"/>
    </row>
    <row r="131" spans="1:17" s="61" customFormat="1" ht="30" x14ac:dyDescent="0.25">
      <c r="A131" s="53" t="s">
        <v>495</v>
      </c>
      <c r="B131" s="102" t="str">
        <f>'дод 2'!A70</f>
        <v>3035</v>
      </c>
      <c r="C131" s="102" t="str">
        <f>'дод 2'!B70</f>
        <v>1070</v>
      </c>
      <c r="D131" s="56" t="str">
        <f>'дод 2'!C70</f>
        <v>Компенсаційні виплати за пільговий проїзд окремих категорій громадян на залізничному транспорті</v>
      </c>
      <c r="E131" s="132">
        <f t="shared" si="23"/>
        <v>2000000</v>
      </c>
      <c r="F131" s="132">
        <f>1000000+400000+600000</f>
        <v>2000000</v>
      </c>
      <c r="G131" s="132"/>
      <c r="H131" s="132"/>
      <c r="I131" s="132"/>
      <c r="J131" s="132">
        <f t="shared" si="25"/>
        <v>0</v>
      </c>
      <c r="K131" s="132"/>
      <c r="L131" s="132"/>
      <c r="M131" s="132"/>
      <c r="N131" s="132"/>
      <c r="O131" s="132"/>
      <c r="P131" s="132">
        <f t="shared" si="24"/>
        <v>2000000</v>
      </c>
      <c r="Q131" s="159"/>
    </row>
    <row r="132" spans="1:17" s="61" customFormat="1" ht="36" customHeight="1" x14ac:dyDescent="0.25">
      <c r="A132" s="53" t="s">
        <v>246</v>
      </c>
      <c r="B132" s="102" t="str">
        <f>'дод 2'!A71</f>
        <v>3036</v>
      </c>
      <c r="C132" s="102" t="str">
        <f>'дод 2'!B71</f>
        <v>1070</v>
      </c>
      <c r="D132" s="56" t="str">
        <f>'дод 2'!C71</f>
        <v>Компенсаційні виплати на пільговий проїзд електротранспортом окремим категоріям громадян</v>
      </c>
      <c r="E132" s="132">
        <f t="shared" si="23"/>
        <v>38888948</v>
      </c>
      <c r="F132" s="132">
        <f>20255150+1500000+1884700+1047540+1724850+2432000+2000000+2900000+4500000+644708</f>
        <v>38888948</v>
      </c>
      <c r="G132" s="132"/>
      <c r="H132" s="132"/>
      <c r="I132" s="132"/>
      <c r="J132" s="132">
        <f t="shared" si="25"/>
        <v>0</v>
      </c>
      <c r="K132" s="132"/>
      <c r="L132" s="132"/>
      <c r="M132" s="132"/>
      <c r="N132" s="132"/>
      <c r="O132" s="132"/>
      <c r="P132" s="132">
        <f t="shared" si="24"/>
        <v>38888948</v>
      </c>
      <c r="Q132" s="159"/>
    </row>
    <row r="133" spans="1:17" s="61" customFormat="1" ht="24.75" customHeight="1" x14ac:dyDescent="0.25">
      <c r="A133" s="60" t="s">
        <v>454</v>
      </c>
      <c r="B133" s="106" t="str">
        <f>'дод 2'!A72</f>
        <v>3041</v>
      </c>
      <c r="C133" s="106" t="str">
        <f>'дод 2'!B72</f>
        <v>1040</v>
      </c>
      <c r="D133" s="56" t="str">
        <f>'дод 2'!C72</f>
        <v>Надання допомоги у зв'язку з вагітністю і пологами</v>
      </c>
      <c r="E133" s="132">
        <f t="shared" si="23"/>
        <v>2680550</v>
      </c>
      <c r="F133" s="132">
        <f>3180550-500000</f>
        <v>2680550</v>
      </c>
      <c r="G133" s="132"/>
      <c r="H133" s="132"/>
      <c r="I133" s="132"/>
      <c r="J133" s="132">
        <f t="shared" si="25"/>
        <v>0</v>
      </c>
      <c r="K133" s="132"/>
      <c r="L133" s="132"/>
      <c r="M133" s="132"/>
      <c r="N133" s="132"/>
      <c r="O133" s="132"/>
      <c r="P133" s="132">
        <f t="shared" si="24"/>
        <v>2680550</v>
      </c>
      <c r="Q133" s="159"/>
    </row>
    <row r="134" spans="1:17" s="61" customFormat="1" ht="19.5" customHeight="1" x14ac:dyDescent="0.25">
      <c r="A134" s="60"/>
      <c r="B134" s="106"/>
      <c r="C134" s="106"/>
      <c r="D134" s="56" t="str">
        <f>'дод 2'!C73</f>
        <v>у т.ч. за рахунок субвенцій з держбюджету</v>
      </c>
      <c r="E134" s="132">
        <f t="shared" si="23"/>
        <v>2680550</v>
      </c>
      <c r="F134" s="132">
        <f>3180550-500000</f>
        <v>2680550</v>
      </c>
      <c r="G134" s="132"/>
      <c r="H134" s="132"/>
      <c r="I134" s="132"/>
      <c r="J134" s="132">
        <f t="shared" si="25"/>
        <v>0</v>
      </c>
      <c r="K134" s="132"/>
      <c r="L134" s="132"/>
      <c r="M134" s="132"/>
      <c r="N134" s="132"/>
      <c r="O134" s="132"/>
      <c r="P134" s="132">
        <f t="shared" si="24"/>
        <v>2680550</v>
      </c>
      <c r="Q134" s="159"/>
    </row>
    <row r="135" spans="1:17" s="61" customFormat="1" ht="21" customHeight="1" x14ac:dyDescent="0.25">
      <c r="A135" s="60" t="s">
        <v>455</v>
      </c>
      <c r="B135" s="106" t="str">
        <f>'дод 2'!A74</f>
        <v>3042</v>
      </c>
      <c r="C135" s="106" t="str">
        <f>'дод 2'!B74</f>
        <v>1040</v>
      </c>
      <c r="D135" s="56" t="str">
        <f>'дод 2'!C74</f>
        <v>Надання допомоги при усиновленні дитини</v>
      </c>
      <c r="E135" s="132">
        <f t="shared" si="23"/>
        <v>516000</v>
      </c>
      <c r="F135" s="132">
        <v>516000</v>
      </c>
      <c r="G135" s="132"/>
      <c r="H135" s="132"/>
      <c r="I135" s="132"/>
      <c r="J135" s="132">
        <f t="shared" si="25"/>
        <v>0</v>
      </c>
      <c r="K135" s="132"/>
      <c r="L135" s="132"/>
      <c r="M135" s="132"/>
      <c r="N135" s="132"/>
      <c r="O135" s="132"/>
      <c r="P135" s="132">
        <f t="shared" si="24"/>
        <v>516000</v>
      </c>
      <c r="Q135" s="159"/>
    </row>
    <row r="136" spans="1:17" s="61" customFormat="1" ht="19.5" customHeight="1" x14ac:dyDescent="0.25">
      <c r="A136" s="60"/>
      <c r="B136" s="106"/>
      <c r="C136" s="106"/>
      <c r="D136" s="56" t="str">
        <f>'дод 2'!C75</f>
        <v>у т.ч. за рахунок субвенцій з держбюджету</v>
      </c>
      <c r="E136" s="132">
        <f t="shared" si="23"/>
        <v>516000</v>
      </c>
      <c r="F136" s="132">
        <v>516000</v>
      </c>
      <c r="G136" s="132"/>
      <c r="H136" s="132"/>
      <c r="I136" s="132"/>
      <c r="J136" s="132">
        <f t="shared" si="25"/>
        <v>0</v>
      </c>
      <c r="K136" s="132"/>
      <c r="L136" s="132"/>
      <c r="M136" s="132"/>
      <c r="N136" s="132"/>
      <c r="O136" s="132"/>
      <c r="P136" s="132">
        <f t="shared" si="24"/>
        <v>516000</v>
      </c>
      <c r="Q136" s="159"/>
    </row>
    <row r="137" spans="1:17" s="61" customFormat="1" ht="19.5" customHeight="1" x14ac:dyDescent="0.25">
      <c r="A137" s="60" t="s">
        <v>456</v>
      </c>
      <c r="B137" s="106" t="str">
        <f>'дод 2'!A76</f>
        <v>3043</v>
      </c>
      <c r="C137" s="106" t="str">
        <f>'дод 2'!B76</f>
        <v>1040</v>
      </c>
      <c r="D137" s="56" t="str">
        <f>'дод 2'!C76</f>
        <v>Надання допомоги при народженні дитини</v>
      </c>
      <c r="E137" s="132">
        <f t="shared" si="23"/>
        <v>122211100</v>
      </c>
      <c r="F137" s="132">
        <f>126211100-4000000</f>
        <v>122211100</v>
      </c>
      <c r="G137" s="132"/>
      <c r="H137" s="132"/>
      <c r="I137" s="132"/>
      <c r="J137" s="132">
        <f t="shared" si="25"/>
        <v>0</v>
      </c>
      <c r="K137" s="132"/>
      <c r="L137" s="132"/>
      <c r="M137" s="132"/>
      <c r="N137" s="132"/>
      <c r="O137" s="132"/>
      <c r="P137" s="132">
        <f t="shared" si="24"/>
        <v>122211100</v>
      </c>
      <c r="Q137" s="159"/>
    </row>
    <row r="138" spans="1:17" s="61" customFormat="1" ht="19.5" customHeight="1" x14ac:dyDescent="0.25">
      <c r="A138" s="60"/>
      <c r="B138" s="106"/>
      <c r="C138" s="106"/>
      <c r="D138" s="56" t="str">
        <f>'дод 2'!C77</f>
        <v>у т.ч. за рахунок субвенцій з держбюджету</v>
      </c>
      <c r="E138" s="132">
        <f t="shared" si="23"/>
        <v>122211100</v>
      </c>
      <c r="F138" s="132">
        <f>126211100-4000000</f>
        <v>122211100</v>
      </c>
      <c r="G138" s="132"/>
      <c r="H138" s="132"/>
      <c r="I138" s="132"/>
      <c r="J138" s="132">
        <f t="shared" si="25"/>
        <v>0</v>
      </c>
      <c r="K138" s="132"/>
      <c r="L138" s="132"/>
      <c r="M138" s="132"/>
      <c r="N138" s="132"/>
      <c r="O138" s="132"/>
      <c r="P138" s="132">
        <f t="shared" si="24"/>
        <v>122211100</v>
      </c>
      <c r="Q138" s="159"/>
    </row>
    <row r="139" spans="1:17" s="61" customFormat="1" ht="30.75" customHeight="1" x14ac:dyDescent="0.25">
      <c r="A139" s="60" t="s">
        <v>457</v>
      </c>
      <c r="B139" s="106" t="str">
        <f>'дод 2'!A78</f>
        <v>3044</v>
      </c>
      <c r="C139" s="106" t="str">
        <f>'дод 2'!B78</f>
        <v>1040</v>
      </c>
      <c r="D139" s="56" t="str">
        <f>'дод 2'!C78</f>
        <v>Надання допомоги на дітей, над якими встановлено опіку чи піклування</v>
      </c>
      <c r="E139" s="132">
        <f t="shared" si="23"/>
        <v>10189800</v>
      </c>
      <c r="F139" s="132">
        <f>11189800-1000000</f>
        <v>10189800</v>
      </c>
      <c r="G139" s="132"/>
      <c r="H139" s="132"/>
      <c r="I139" s="132"/>
      <c r="J139" s="132">
        <f t="shared" si="25"/>
        <v>0</v>
      </c>
      <c r="K139" s="132"/>
      <c r="L139" s="132"/>
      <c r="M139" s="132"/>
      <c r="N139" s="132"/>
      <c r="O139" s="132"/>
      <c r="P139" s="132">
        <f t="shared" si="24"/>
        <v>10189800</v>
      </c>
      <c r="Q139" s="159"/>
    </row>
    <row r="140" spans="1:17" s="61" customFormat="1" ht="19.5" customHeight="1" x14ac:dyDescent="0.25">
      <c r="A140" s="60"/>
      <c r="B140" s="106"/>
      <c r="C140" s="106"/>
      <c r="D140" s="56" t="str">
        <f>'дод 2'!C79</f>
        <v>у т.ч. за рахунок субвенцій з держбюджету</v>
      </c>
      <c r="E140" s="132">
        <f t="shared" si="23"/>
        <v>10189800</v>
      </c>
      <c r="F140" s="132">
        <f>11189800-1000000</f>
        <v>10189800</v>
      </c>
      <c r="G140" s="132"/>
      <c r="H140" s="132"/>
      <c r="I140" s="132"/>
      <c r="J140" s="132">
        <f t="shared" si="25"/>
        <v>0</v>
      </c>
      <c r="K140" s="132"/>
      <c r="L140" s="132"/>
      <c r="M140" s="132"/>
      <c r="N140" s="132"/>
      <c r="O140" s="132"/>
      <c r="P140" s="132">
        <f t="shared" si="24"/>
        <v>10189800</v>
      </c>
      <c r="Q140" s="159"/>
    </row>
    <row r="141" spans="1:17" s="61" customFormat="1" ht="22.5" customHeight="1" x14ac:dyDescent="0.25">
      <c r="A141" s="60" t="s">
        <v>458</v>
      </c>
      <c r="B141" s="106" t="str">
        <f>'дод 2'!A80</f>
        <v>3045</v>
      </c>
      <c r="C141" s="106" t="str">
        <f>'дод 2'!B80</f>
        <v>1040</v>
      </c>
      <c r="D141" s="56" t="str">
        <f>'дод 2'!C80</f>
        <v>Надання допомоги на дітей одиноким матерям</v>
      </c>
      <c r="E141" s="132">
        <f t="shared" si="23"/>
        <v>45396740</v>
      </c>
      <c r="F141" s="132">
        <f>50396740-5000000</f>
        <v>45396740</v>
      </c>
      <c r="G141" s="132"/>
      <c r="H141" s="132"/>
      <c r="I141" s="132"/>
      <c r="J141" s="132">
        <f t="shared" si="25"/>
        <v>0</v>
      </c>
      <c r="K141" s="132"/>
      <c r="L141" s="132"/>
      <c r="M141" s="132"/>
      <c r="N141" s="132"/>
      <c r="O141" s="132"/>
      <c r="P141" s="132">
        <f t="shared" si="24"/>
        <v>45396740</v>
      </c>
      <c r="Q141" s="159"/>
    </row>
    <row r="142" spans="1:17" s="61" customFormat="1" ht="19.5" customHeight="1" x14ac:dyDescent="0.25">
      <c r="A142" s="60"/>
      <c r="B142" s="106"/>
      <c r="C142" s="106"/>
      <c r="D142" s="56" t="str">
        <f>'дод 2'!C81</f>
        <v>у т.ч. за рахунок субвенцій з держбюджету</v>
      </c>
      <c r="E142" s="132">
        <f t="shared" si="23"/>
        <v>45396740</v>
      </c>
      <c r="F142" s="132">
        <f>50396740-5000000</f>
        <v>45396740</v>
      </c>
      <c r="G142" s="132"/>
      <c r="H142" s="132"/>
      <c r="I142" s="132"/>
      <c r="J142" s="132">
        <f t="shared" si="25"/>
        <v>0</v>
      </c>
      <c r="K142" s="132"/>
      <c r="L142" s="132"/>
      <c r="M142" s="132"/>
      <c r="N142" s="132"/>
      <c r="O142" s="132"/>
      <c r="P142" s="132">
        <f t="shared" si="24"/>
        <v>45396740</v>
      </c>
      <c r="Q142" s="159"/>
    </row>
    <row r="143" spans="1:17" s="61" customFormat="1" ht="22.5" customHeight="1" x14ac:dyDescent="0.25">
      <c r="A143" s="60" t="s">
        <v>459</v>
      </c>
      <c r="B143" s="106" t="str">
        <f>'дод 2'!A82</f>
        <v>3046</v>
      </c>
      <c r="C143" s="106" t="str">
        <f>'дод 2'!B82</f>
        <v>1040</v>
      </c>
      <c r="D143" s="56" t="str">
        <f>'дод 2'!C82</f>
        <v>Надання тимчасової державної допомоги дітям</v>
      </c>
      <c r="E143" s="132">
        <f t="shared" si="23"/>
        <v>973500</v>
      </c>
      <c r="F143" s="132">
        <f>1473500-500000</f>
        <v>973500</v>
      </c>
      <c r="G143" s="132"/>
      <c r="H143" s="132"/>
      <c r="I143" s="132"/>
      <c r="J143" s="132">
        <f t="shared" si="25"/>
        <v>0</v>
      </c>
      <c r="K143" s="132"/>
      <c r="L143" s="132"/>
      <c r="M143" s="132"/>
      <c r="N143" s="132"/>
      <c r="O143" s="132"/>
      <c r="P143" s="132">
        <f t="shared" si="24"/>
        <v>973500</v>
      </c>
      <c r="Q143" s="159"/>
    </row>
    <row r="144" spans="1:17" s="61" customFormat="1" ht="19.5" customHeight="1" x14ac:dyDescent="0.25">
      <c r="A144" s="60"/>
      <c r="B144" s="106"/>
      <c r="C144" s="106"/>
      <c r="D144" s="56" t="str">
        <f>'дод 2'!C83</f>
        <v>у т.ч. за рахунок субвенцій з держбюджету</v>
      </c>
      <c r="E144" s="132">
        <f t="shared" si="23"/>
        <v>973500</v>
      </c>
      <c r="F144" s="132">
        <f>1473500-500000</f>
        <v>973500</v>
      </c>
      <c r="G144" s="132"/>
      <c r="H144" s="132"/>
      <c r="I144" s="132"/>
      <c r="J144" s="132">
        <f t="shared" si="25"/>
        <v>0</v>
      </c>
      <c r="K144" s="132"/>
      <c r="L144" s="132"/>
      <c r="M144" s="132"/>
      <c r="N144" s="132"/>
      <c r="O144" s="132"/>
      <c r="P144" s="132">
        <f t="shared" si="24"/>
        <v>973500</v>
      </c>
      <c r="Q144" s="159"/>
    </row>
    <row r="145" spans="1:575" s="61" customFormat="1" ht="31.5" customHeight="1" x14ac:dyDescent="0.25">
      <c r="A145" s="60" t="s">
        <v>460</v>
      </c>
      <c r="B145" s="106" t="str">
        <f>'дод 2'!A84</f>
        <v>3047</v>
      </c>
      <c r="C145" s="106" t="str">
        <f>'дод 2'!B84</f>
        <v>1040</v>
      </c>
      <c r="D145" s="56" t="str">
        <f>'дод 2'!C84</f>
        <v>Надання державної соціальної допомоги малозабезпеченим сім’ям</v>
      </c>
      <c r="E145" s="132">
        <f t="shared" si="23"/>
        <v>44264925</v>
      </c>
      <c r="F145" s="132">
        <f>49683060-1088135-4000000-330000</f>
        <v>44264925</v>
      </c>
      <c r="G145" s="132"/>
      <c r="H145" s="132"/>
      <c r="I145" s="132"/>
      <c r="J145" s="132">
        <f t="shared" si="25"/>
        <v>0</v>
      </c>
      <c r="K145" s="132"/>
      <c r="L145" s="132"/>
      <c r="M145" s="132"/>
      <c r="N145" s="132"/>
      <c r="O145" s="132"/>
      <c r="P145" s="132">
        <f t="shared" si="24"/>
        <v>44264925</v>
      </c>
      <c r="Q145" s="159"/>
    </row>
    <row r="146" spans="1:575" s="61" customFormat="1" ht="19.5" customHeight="1" x14ac:dyDescent="0.25">
      <c r="A146" s="60"/>
      <c r="B146" s="106"/>
      <c r="C146" s="106"/>
      <c r="D146" s="56" t="str">
        <f>'дод 2'!C85</f>
        <v>у т.ч. за рахунок субвенцій з держбюджету</v>
      </c>
      <c r="E146" s="132">
        <f t="shared" si="23"/>
        <v>44264925</v>
      </c>
      <c r="F146" s="132">
        <f>49683060-1088135-4000000-330000</f>
        <v>44264925</v>
      </c>
      <c r="G146" s="132"/>
      <c r="H146" s="132"/>
      <c r="I146" s="132"/>
      <c r="J146" s="132">
        <f t="shared" si="25"/>
        <v>0</v>
      </c>
      <c r="K146" s="132"/>
      <c r="L146" s="132"/>
      <c r="M146" s="132"/>
      <c r="N146" s="132"/>
      <c r="O146" s="132"/>
      <c r="P146" s="132">
        <f t="shared" si="24"/>
        <v>44264925</v>
      </c>
      <c r="Q146" s="159"/>
    </row>
    <row r="147" spans="1:575" s="61" customFormat="1" ht="30" x14ac:dyDescent="0.25">
      <c r="A147" s="101" t="s">
        <v>584</v>
      </c>
      <c r="B147" s="106">
        <v>3049</v>
      </c>
      <c r="C147" s="106">
        <v>1040</v>
      </c>
      <c r="D147" s="56" t="s">
        <v>587</v>
      </c>
      <c r="E147" s="132">
        <f t="shared" si="23"/>
        <v>834585</v>
      </c>
      <c r="F147" s="132">
        <v>834585</v>
      </c>
      <c r="G147" s="132"/>
      <c r="H147" s="132"/>
      <c r="I147" s="132"/>
      <c r="J147" s="132">
        <f t="shared" si="25"/>
        <v>0</v>
      </c>
      <c r="K147" s="132"/>
      <c r="L147" s="132"/>
      <c r="M147" s="132"/>
      <c r="N147" s="132"/>
      <c r="O147" s="132"/>
      <c r="P147" s="132">
        <f t="shared" si="24"/>
        <v>834585</v>
      </c>
      <c r="Q147" s="159"/>
    </row>
    <row r="148" spans="1:575" s="61" customFormat="1" ht="19.5" customHeight="1" x14ac:dyDescent="0.25">
      <c r="A148" s="60"/>
      <c r="B148" s="106"/>
      <c r="C148" s="106"/>
      <c r="D148" s="56" t="s">
        <v>344</v>
      </c>
      <c r="E148" s="132">
        <f t="shared" si="23"/>
        <v>834585</v>
      </c>
      <c r="F148" s="132">
        <v>834585</v>
      </c>
      <c r="G148" s="132"/>
      <c r="H148" s="132"/>
      <c r="I148" s="132"/>
      <c r="J148" s="132">
        <f t="shared" si="25"/>
        <v>0</v>
      </c>
      <c r="K148" s="132"/>
      <c r="L148" s="132"/>
      <c r="M148" s="132"/>
      <c r="N148" s="132"/>
      <c r="O148" s="132"/>
      <c r="P148" s="132">
        <f t="shared" si="24"/>
        <v>834585</v>
      </c>
      <c r="Q148" s="159"/>
    </row>
    <row r="149" spans="1:575" s="55" customFormat="1" ht="34.5" customHeight="1" x14ac:dyDescent="0.25">
      <c r="A149" s="53" t="s">
        <v>247</v>
      </c>
      <c r="B149" s="102" t="str">
        <f>'дод 2'!A88</f>
        <v>3050</v>
      </c>
      <c r="C149" s="102" t="str">
        <f>'дод 2'!B88</f>
        <v>1070</v>
      </c>
      <c r="D149" s="56" t="str">
        <f>'дод 2'!C88</f>
        <v>Пільгове медичне обслуговування осіб, які постраждали внаслідок Чорнобильської катастрофи</v>
      </c>
      <c r="E149" s="132">
        <f t="shared" si="23"/>
        <v>686000</v>
      </c>
      <c r="F149" s="132">
        <v>686000</v>
      </c>
      <c r="G149" s="132"/>
      <c r="H149" s="132"/>
      <c r="I149" s="132"/>
      <c r="J149" s="132">
        <f t="shared" si="25"/>
        <v>0</v>
      </c>
      <c r="K149" s="132"/>
      <c r="L149" s="132"/>
      <c r="M149" s="132"/>
      <c r="N149" s="132"/>
      <c r="O149" s="132"/>
      <c r="P149" s="132">
        <f t="shared" si="24"/>
        <v>686000</v>
      </c>
      <c r="Q149" s="159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  <c r="KO149" s="61"/>
      <c r="KP149" s="61"/>
      <c r="KQ149" s="61"/>
      <c r="KR149" s="61"/>
      <c r="KS149" s="61"/>
      <c r="KT149" s="61"/>
      <c r="KU149" s="61"/>
      <c r="KV149" s="61"/>
      <c r="KW149" s="61"/>
      <c r="KX149" s="61"/>
      <c r="KY149" s="61"/>
      <c r="KZ149" s="61"/>
      <c r="LA149" s="61"/>
      <c r="LB149" s="61"/>
      <c r="LC149" s="61"/>
      <c r="LD149" s="61"/>
      <c r="LE149" s="61"/>
      <c r="LF149" s="61"/>
      <c r="LG149" s="61"/>
      <c r="LH149" s="61"/>
      <c r="LI149" s="61"/>
      <c r="LJ149" s="61"/>
      <c r="LK149" s="61"/>
      <c r="LL149" s="61"/>
      <c r="LM149" s="61"/>
      <c r="LN149" s="61"/>
      <c r="LO149" s="61"/>
      <c r="LP149" s="61"/>
      <c r="LQ149" s="61"/>
      <c r="LR149" s="61"/>
      <c r="LS149" s="61"/>
      <c r="LT149" s="61"/>
      <c r="LU149" s="61"/>
      <c r="LV149" s="61"/>
      <c r="LW149" s="61"/>
      <c r="LX149" s="61"/>
      <c r="LY149" s="61"/>
      <c r="LZ149" s="61"/>
      <c r="MA149" s="61"/>
      <c r="MB149" s="61"/>
      <c r="MC149" s="61"/>
      <c r="MD149" s="61"/>
      <c r="ME149" s="61"/>
      <c r="MF149" s="61"/>
      <c r="MG149" s="61"/>
      <c r="MH149" s="61"/>
      <c r="MI149" s="61"/>
      <c r="MJ149" s="61"/>
      <c r="MK149" s="61"/>
      <c r="ML149" s="61"/>
      <c r="MM149" s="61"/>
      <c r="MN149" s="61"/>
      <c r="MO149" s="61"/>
      <c r="MP149" s="61"/>
      <c r="MQ149" s="61"/>
      <c r="MR149" s="61"/>
      <c r="MS149" s="61"/>
      <c r="MT149" s="61"/>
      <c r="MU149" s="61"/>
      <c r="MV149" s="61"/>
      <c r="MW149" s="61"/>
      <c r="MX149" s="61"/>
      <c r="MY149" s="61"/>
      <c r="MZ149" s="61"/>
      <c r="NA149" s="61"/>
      <c r="NB149" s="61"/>
      <c r="NC149" s="61"/>
      <c r="ND149" s="61"/>
      <c r="NE149" s="61"/>
      <c r="NF149" s="61"/>
      <c r="NG149" s="61"/>
      <c r="NH149" s="61"/>
      <c r="NI149" s="61"/>
      <c r="NJ149" s="61"/>
      <c r="NK149" s="61"/>
      <c r="NL149" s="61"/>
      <c r="NM149" s="61"/>
      <c r="NN149" s="61"/>
      <c r="NO149" s="61"/>
      <c r="NP149" s="61"/>
      <c r="NQ149" s="61"/>
      <c r="NR149" s="61"/>
      <c r="NS149" s="61"/>
      <c r="NT149" s="61"/>
      <c r="NU149" s="61"/>
      <c r="NV149" s="61"/>
      <c r="NW149" s="61"/>
      <c r="NX149" s="61"/>
      <c r="NY149" s="61"/>
      <c r="NZ149" s="61"/>
      <c r="OA149" s="61"/>
      <c r="OB149" s="61"/>
      <c r="OC149" s="61"/>
      <c r="OD149" s="61"/>
      <c r="OE149" s="61"/>
      <c r="OF149" s="61"/>
      <c r="OG149" s="61"/>
      <c r="OH149" s="61"/>
      <c r="OI149" s="61"/>
      <c r="OJ149" s="61"/>
      <c r="OK149" s="61"/>
      <c r="OL149" s="61"/>
      <c r="OM149" s="61"/>
      <c r="ON149" s="61"/>
      <c r="OO149" s="61"/>
      <c r="OP149" s="61"/>
      <c r="OQ149" s="61"/>
      <c r="OR149" s="61"/>
      <c r="OS149" s="61"/>
      <c r="OT149" s="61"/>
      <c r="OU149" s="61"/>
      <c r="OV149" s="61"/>
      <c r="OW149" s="61"/>
      <c r="OX149" s="61"/>
      <c r="OY149" s="61"/>
      <c r="OZ149" s="61"/>
      <c r="PA149" s="61"/>
      <c r="PB149" s="61"/>
      <c r="PC149" s="61"/>
      <c r="PD149" s="61"/>
      <c r="PE149" s="61"/>
      <c r="PF149" s="61"/>
      <c r="PG149" s="61"/>
      <c r="PH149" s="61"/>
      <c r="PI149" s="61"/>
      <c r="PJ149" s="61"/>
      <c r="PK149" s="61"/>
      <c r="PL149" s="61"/>
      <c r="PM149" s="61"/>
      <c r="PN149" s="61"/>
      <c r="PO149" s="61"/>
      <c r="PP149" s="61"/>
      <c r="PQ149" s="61"/>
      <c r="PR149" s="61"/>
      <c r="PS149" s="61"/>
      <c r="PT149" s="61"/>
      <c r="PU149" s="61"/>
      <c r="PV149" s="61"/>
      <c r="PW149" s="61"/>
      <c r="PX149" s="61"/>
      <c r="PY149" s="61"/>
      <c r="PZ149" s="61"/>
      <c r="QA149" s="61"/>
      <c r="QB149" s="61"/>
      <c r="QC149" s="61"/>
      <c r="QD149" s="61"/>
      <c r="QE149" s="61"/>
      <c r="QF149" s="61"/>
      <c r="QG149" s="61"/>
      <c r="QH149" s="61"/>
      <c r="QI149" s="61"/>
      <c r="QJ149" s="61"/>
      <c r="QK149" s="61"/>
      <c r="QL149" s="61"/>
      <c r="QM149" s="61"/>
      <c r="QN149" s="61"/>
      <c r="QO149" s="61"/>
      <c r="QP149" s="61"/>
      <c r="QQ149" s="61"/>
      <c r="QR149" s="61"/>
      <c r="QS149" s="61"/>
      <c r="QT149" s="61"/>
      <c r="QU149" s="61"/>
      <c r="QV149" s="61"/>
      <c r="QW149" s="61"/>
      <c r="QX149" s="61"/>
      <c r="QY149" s="61"/>
      <c r="QZ149" s="61"/>
      <c r="RA149" s="61"/>
      <c r="RB149" s="61"/>
      <c r="RC149" s="61"/>
      <c r="RD149" s="61"/>
      <c r="RE149" s="61"/>
      <c r="RF149" s="61"/>
      <c r="RG149" s="61"/>
      <c r="RH149" s="61"/>
      <c r="RI149" s="61"/>
      <c r="RJ149" s="61"/>
      <c r="RK149" s="61"/>
      <c r="RL149" s="61"/>
      <c r="RM149" s="61"/>
      <c r="RN149" s="61"/>
      <c r="RO149" s="61"/>
      <c r="RP149" s="61"/>
      <c r="RQ149" s="61"/>
      <c r="RR149" s="61"/>
      <c r="RS149" s="61"/>
      <c r="RT149" s="61"/>
      <c r="RU149" s="61"/>
      <c r="RV149" s="61"/>
      <c r="RW149" s="61"/>
      <c r="RX149" s="61"/>
      <c r="RY149" s="61"/>
      <c r="RZ149" s="61"/>
      <c r="SA149" s="61"/>
      <c r="SB149" s="61"/>
      <c r="SC149" s="61"/>
      <c r="SD149" s="61"/>
      <c r="SE149" s="61"/>
      <c r="SF149" s="61"/>
      <c r="SG149" s="61"/>
      <c r="SH149" s="61"/>
      <c r="SI149" s="61"/>
      <c r="SJ149" s="61"/>
      <c r="SK149" s="61"/>
      <c r="SL149" s="61"/>
      <c r="SM149" s="61"/>
      <c r="SN149" s="61"/>
      <c r="SO149" s="61"/>
      <c r="SP149" s="61"/>
      <c r="SQ149" s="61"/>
      <c r="SR149" s="61"/>
      <c r="SS149" s="61"/>
      <c r="ST149" s="61"/>
      <c r="SU149" s="61"/>
      <c r="SV149" s="61"/>
      <c r="SW149" s="61"/>
      <c r="SX149" s="61"/>
      <c r="SY149" s="61"/>
      <c r="SZ149" s="61"/>
      <c r="TA149" s="61"/>
      <c r="TB149" s="61"/>
      <c r="TC149" s="61"/>
      <c r="TD149" s="61"/>
      <c r="TE149" s="61"/>
      <c r="TF149" s="61"/>
      <c r="TG149" s="61"/>
      <c r="TH149" s="61"/>
      <c r="TI149" s="61"/>
      <c r="TJ149" s="61"/>
      <c r="TK149" s="61"/>
      <c r="TL149" s="61"/>
      <c r="TM149" s="61"/>
      <c r="TN149" s="61"/>
      <c r="TO149" s="61"/>
      <c r="TP149" s="61"/>
      <c r="TQ149" s="61"/>
      <c r="TR149" s="61"/>
      <c r="TS149" s="61"/>
      <c r="TT149" s="61"/>
      <c r="TU149" s="61"/>
      <c r="TV149" s="61"/>
      <c r="TW149" s="61"/>
      <c r="TX149" s="61"/>
      <c r="TY149" s="61"/>
      <c r="TZ149" s="61"/>
      <c r="UA149" s="61"/>
      <c r="UB149" s="61"/>
      <c r="UC149" s="61"/>
      <c r="UD149" s="61"/>
      <c r="UE149" s="61"/>
      <c r="UF149" s="61"/>
      <c r="UG149" s="61"/>
      <c r="UH149" s="61"/>
      <c r="UI149" s="61"/>
      <c r="UJ149" s="61"/>
      <c r="UK149" s="61"/>
      <c r="UL149" s="61"/>
      <c r="UM149" s="61"/>
      <c r="UN149" s="61"/>
      <c r="UO149" s="61"/>
      <c r="UP149" s="61"/>
      <c r="UQ149" s="61"/>
      <c r="UR149" s="61"/>
      <c r="US149" s="61"/>
      <c r="UT149" s="61"/>
      <c r="UU149" s="61"/>
      <c r="UV149" s="61"/>
      <c r="UW149" s="61"/>
      <c r="UX149" s="61"/>
      <c r="UY149" s="61"/>
      <c r="UZ149" s="61"/>
      <c r="VA149" s="61"/>
      <c r="VB149" s="61"/>
      <c r="VC149" s="61"/>
    </row>
    <row r="150" spans="1:575" s="55" customFormat="1" ht="36.75" customHeight="1" x14ac:dyDescent="0.25">
      <c r="A150" s="53" t="s">
        <v>472</v>
      </c>
      <c r="B150" s="102" t="str">
        <f>'дод 2'!A89</f>
        <v>3081</v>
      </c>
      <c r="C150" s="102" t="str">
        <f>'дод 2'!B89</f>
        <v>1010</v>
      </c>
      <c r="D150" s="56" t="str">
        <f>'дод 2'!C89</f>
        <v>Надання державної соціальної допомоги особам з інвалідністю з дитинства та дітям з інвалідністю</v>
      </c>
      <c r="E150" s="132">
        <f t="shared" si="23"/>
        <v>70995980</v>
      </c>
      <c r="F150" s="132">
        <v>70995980</v>
      </c>
      <c r="G150" s="132"/>
      <c r="H150" s="132"/>
      <c r="I150" s="132"/>
      <c r="J150" s="132">
        <f t="shared" si="25"/>
        <v>0</v>
      </c>
      <c r="K150" s="132"/>
      <c r="L150" s="132"/>
      <c r="M150" s="132"/>
      <c r="N150" s="132"/>
      <c r="O150" s="132"/>
      <c r="P150" s="132">
        <f t="shared" si="24"/>
        <v>70995980</v>
      </c>
      <c r="Q150" s="159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</row>
    <row r="151" spans="1:575" s="55" customFormat="1" ht="15" customHeight="1" x14ac:dyDescent="0.25">
      <c r="A151" s="53"/>
      <c r="B151" s="102"/>
      <c r="C151" s="102"/>
      <c r="D151" s="56" t="str">
        <f>'дод 2'!C90</f>
        <v>у т.ч. за рахунок субвенцій з держбюджету</v>
      </c>
      <c r="E151" s="132">
        <f t="shared" si="23"/>
        <v>70995980</v>
      </c>
      <c r="F151" s="132">
        <v>70995980</v>
      </c>
      <c r="G151" s="132"/>
      <c r="H151" s="132"/>
      <c r="I151" s="132"/>
      <c r="J151" s="132">
        <f t="shared" si="25"/>
        <v>0</v>
      </c>
      <c r="K151" s="132"/>
      <c r="L151" s="132"/>
      <c r="M151" s="132"/>
      <c r="N151" s="132"/>
      <c r="O151" s="132"/>
      <c r="P151" s="132">
        <f t="shared" si="24"/>
        <v>70995980</v>
      </c>
      <c r="Q151" s="159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</row>
    <row r="152" spans="1:575" s="55" customFormat="1" ht="49.5" customHeight="1" x14ac:dyDescent="0.25">
      <c r="A152" s="53" t="s">
        <v>473</v>
      </c>
      <c r="B152" s="102" t="str">
        <f>'дод 2'!A91</f>
        <v>3082</v>
      </c>
      <c r="C152" s="102" t="str">
        <f>'дод 2'!B91</f>
        <v>1010</v>
      </c>
      <c r="D152" s="56" t="str">
        <f>'дод 2'!C91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2">
        <f t="shared" si="23"/>
        <v>11172650</v>
      </c>
      <c r="F152" s="132">
        <f>10842650+330000</f>
        <v>11172650</v>
      </c>
      <c r="G152" s="132"/>
      <c r="H152" s="132"/>
      <c r="I152" s="132"/>
      <c r="J152" s="132">
        <f t="shared" si="25"/>
        <v>0</v>
      </c>
      <c r="K152" s="132"/>
      <c r="L152" s="132"/>
      <c r="M152" s="132"/>
      <c r="N152" s="132"/>
      <c r="O152" s="132"/>
      <c r="P152" s="132">
        <f t="shared" si="24"/>
        <v>11172650</v>
      </c>
      <c r="Q152" s="159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</row>
    <row r="153" spans="1:575" s="55" customFormat="1" ht="15.75" customHeight="1" x14ac:dyDescent="0.25">
      <c r="A153" s="53"/>
      <c r="B153" s="102"/>
      <c r="C153" s="102"/>
      <c r="D153" s="56" t="str">
        <f>'дод 2'!C92</f>
        <v>у т.ч. за рахунок субвенцій з держбюджету</v>
      </c>
      <c r="E153" s="132">
        <f t="shared" ref="E153:E192" si="26">F153+I153</f>
        <v>11172650</v>
      </c>
      <c r="F153" s="132">
        <f>10842650+330000</f>
        <v>11172650</v>
      </c>
      <c r="G153" s="132"/>
      <c r="H153" s="132"/>
      <c r="I153" s="132"/>
      <c r="J153" s="132">
        <f t="shared" si="25"/>
        <v>0</v>
      </c>
      <c r="K153" s="132"/>
      <c r="L153" s="132"/>
      <c r="M153" s="132"/>
      <c r="N153" s="132"/>
      <c r="O153" s="132"/>
      <c r="P153" s="132">
        <f t="shared" ref="P153:P192" si="27">E153+J153</f>
        <v>11172650</v>
      </c>
      <c r="Q153" s="159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</row>
    <row r="154" spans="1:575" s="55" customFormat="1" ht="31.5" customHeight="1" x14ac:dyDescent="0.25">
      <c r="A154" s="53" t="s">
        <v>474</v>
      </c>
      <c r="B154" s="102" t="str">
        <f>'дод 2'!A93</f>
        <v>3083</v>
      </c>
      <c r="C154" s="102" t="str">
        <f>'дод 2'!B93</f>
        <v>1010</v>
      </c>
      <c r="D154" s="56" t="str">
        <f>'дод 2'!C93</f>
        <v>Надання допомоги по догляду за особами з інвалідністю I чи II групи внаслідок психічного розладу</v>
      </c>
      <c r="E154" s="132">
        <f t="shared" si="26"/>
        <v>12253970</v>
      </c>
      <c r="F154" s="132">
        <f>12553970-300000</f>
        <v>12253970</v>
      </c>
      <c r="G154" s="132"/>
      <c r="H154" s="132"/>
      <c r="I154" s="132"/>
      <c r="J154" s="132">
        <f t="shared" si="25"/>
        <v>0</v>
      </c>
      <c r="K154" s="132"/>
      <c r="L154" s="132"/>
      <c r="M154" s="132"/>
      <c r="N154" s="132"/>
      <c r="O154" s="132"/>
      <c r="P154" s="132">
        <f t="shared" si="27"/>
        <v>12253970</v>
      </c>
      <c r="Q154" s="159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</row>
    <row r="155" spans="1:575" s="55" customFormat="1" ht="14.25" customHeight="1" x14ac:dyDescent="0.25">
      <c r="A155" s="53"/>
      <c r="B155" s="102"/>
      <c r="C155" s="102"/>
      <c r="D155" s="56" t="str">
        <f>'дод 2'!C94</f>
        <v>у т.ч. за рахунок субвенцій з держбюджету</v>
      </c>
      <c r="E155" s="132">
        <f t="shared" si="26"/>
        <v>12253970</v>
      </c>
      <c r="F155" s="132">
        <f>12553970-300000</f>
        <v>12253970</v>
      </c>
      <c r="G155" s="132"/>
      <c r="H155" s="132"/>
      <c r="I155" s="132"/>
      <c r="J155" s="132">
        <f t="shared" si="25"/>
        <v>0</v>
      </c>
      <c r="K155" s="132"/>
      <c r="L155" s="132"/>
      <c r="M155" s="132"/>
      <c r="N155" s="132"/>
      <c r="O155" s="132"/>
      <c r="P155" s="132">
        <f t="shared" si="27"/>
        <v>12253970</v>
      </c>
      <c r="Q155" s="159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  <c r="SP155" s="61"/>
      <c r="SQ155" s="61"/>
      <c r="SR155" s="61"/>
      <c r="SS155" s="61"/>
      <c r="ST155" s="61"/>
      <c r="SU155" s="61"/>
      <c r="SV155" s="61"/>
      <c r="SW155" s="61"/>
      <c r="SX155" s="61"/>
      <c r="SY155" s="61"/>
      <c r="SZ155" s="61"/>
      <c r="TA155" s="61"/>
      <c r="TB155" s="61"/>
      <c r="TC155" s="61"/>
      <c r="TD155" s="61"/>
      <c r="TE155" s="61"/>
      <c r="TF155" s="61"/>
      <c r="TG155" s="61"/>
      <c r="TH155" s="61"/>
      <c r="TI155" s="61"/>
      <c r="TJ155" s="61"/>
      <c r="TK155" s="61"/>
      <c r="TL155" s="61"/>
      <c r="TM155" s="61"/>
      <c r="TN155" s="61"/>
      <c r="TO155" s="61"/>
      <c r="TP155" s="61"/>
      <c r="TQ155" s="61"/>
      <c r="TR155" s="61"/>
      <c r="TS155" s="61"/>
      <c r="TT155" s="61"/>
      <c r="TU155" s="61"/>
      <c r="TV155" s="61"/>
      <c r="TW155" s="61"/>
      <c r="TX155" s="61"/>
      <c r="TY155" s="61"/>
      <c r="TZ155" s="61"/>
      <c r="UA155" s="61"/>
      <c r="UB155" s="61"/>
      <c r="UC155" s="61"/>
      <c r="UD155" s="61"/>
      <c r="UE155" s="61"/>
      <c r="UF155" s="61"/>
      <c r="UG155" s="61"/>
      <c r="UH155" s="61"/>
      <c r="UI155" s="61"/>
      <c r="UJ155" s="61"/>
      <c r="UK155" s="61"/>
      <c r="UL155" s="61"/>
      <c r="UM155" s="61"/>
      <c r="UN155" s="61"/>
      <c r="UO155" s="61"/>
      <c r="UP155" s="61"/>
      <c r="UQ155" s="61"/>
      <c r="UR155" s="61"/>
      <c r="US155" s="61"/>
      <c r="UT155" s="61"/>
      <c r="UU155" s="61"/>
      <c r="UV155" s="61"/>
      <c r="UW155" s="61"/>
      <c r="UX155" s="61"/>
      <c r="UY155" s="61"/>
      <c r="UZ155" s="61"/>
      <c r="VA155" s="61"/>
      <c r="VB155" s="61"/>
      <c r="VC155" s="61"/>
    </row>
    <row r="156" spans="1:575" s="55" customFormat="1" ht="49.5" customHeight="1" x14ac:dyDescent="0.25">
      <c r="A156" s="53" t="s">
        <v>475</v>
      </c>
      <c r="B156" s="102" t="str">
        <f>'дод 2'!A95</f>
        <v>3084</v>
      </c>
      <c r="C156" s="102" t="str">
        <f>'дод 2'!B95</f>
        <v>1040</v>
      </c>
      <c r="D156" s="56" t="str">
        <f>'дод 2'!C95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2">
        <f t="shared" si="26"/>
        <v>1859870</v>
      </c>
      <c r="F156" s="132">
        <v>1859870</v>
      </c>
      <c r="G156" s="132"/>
      <c r="H156" s="132"/>
      <c r="I156" s="132"/>
      <c r="J156" s="132">
        <f t="shared" si="25"/>
        <v>0</v>
      </c>
      <c r="K156" s="132"/>
      <c r="L156" s="132"/>
      <c r="M156" s="132"/>
      <c r="N156" s="132"/>
      <c r="O156" s="132"/>
      <c r="P156" s="132">
        <f t="shared" si="27"/>
        <v>1859870</v>
      </c>
      <c r="Q156" s="159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  <c r="SP156" s="61"/>
      <c r="SQ156" s="61"/>
      <c r="SR156" s="61"/>
      <c r="SS156" s="61"/>
      <c r="ST156" s="61"/>
      <c r="SU156" s="61"/>
      <c r="SV156" s="61"/>
      <c r="SW156" s="61"/>
      <c r="SX156" s="61"/>
      <c r="SY156" s="61"/>
      <c r="SZ156" s="61"/>
      <c r="TA156" s="61"/>
      <c r="TB156" s="61"/>
      <c r="TC156" s="61"/>
      <c r="TD156" s="61"/>
      <c r="TE156" s="61"/>
      <c r="TF156" s="61"/>
      <c r="TG156" s="61"/>
      <c r="TH156" s="61"/>
      <c r="TI156" s="61"/>
      <c r="TJ156" s="61"/>
      <c r="TK156" s="61"/>
      <c r="TL156" s="61"/>
      <c r="TM156" s="61"/>
      <c r="TN156" s="61"/>
      <c r="TO156" s="61"/>
      <c r="TP156" s="61"/>
      <c r="TQ156" s="61"/>
      <c r="TR156" s="61"/>
      <c r="TS156" s="61"/>
      <c r="TT156" s="61"/>
      <c r="TU156" s="61"/>
      <c r="TV156" s="61"/>
      <c r="TW156" s="61"/>
      <c r="TX156" s="61"/>
      <c r="TY156" s="61"/>
      <c r="TZ156" s="61"/>
      <c r="UA156" s="61"/>
      <c r="UB156" s="61"/>
      <c r="UC156" s="61"/>
      <c r="UD156" s="61"/>
      <c r="UE156" s="61"/>
      <c r="UF156" s="61"/>
      <c r="UG156" s="61"/>
      <c r="UH156" s="61"/>
      <c r="UI156" s="61"/>
      <c r="UJ156" s="61"/>
      <c r="UK156" s="61"/>
      <c r="UL156" s="61"/>
      <c r="UM156" s="61"/>
      <c r="UN156" s="61"/>
      <c r="UO156" s="61"/>
      <c r="UP156" s="61"/>
      <c r="UQ156" s="61"/>
      <c r="UR156" s="61"/>
      <c r="US156" s="61"/>
      <c r="UT156" s="61"/>
      <c r="UU156" s="61"/>
      <c r="UV156" s="61"/>
      <c r="UW156" s="61"/>
      <c r="UX156" s="61"/>
      <c r="UY156" s="61"/>
      <c r="UZ156" s="61"/>
      <c r="VA156" s="61"/>
      <c r="VB156" s="61"/>
      <c r="VC156" s="61"/>
    </row>
    <row r="157" spans="1:575" s="55" customFormat="1" ht="17.25" customHeight="1" x14ac:dyDescent="0.25">
      <c r="A157" s="53"/>
      <c r="B157" s="102"/>
      <c r="C157" s="102"/>
      <c r="D157" s="56" t="str">
        <f>'дод 2'!C96</f>
        <v>у т.ч. за рахунок субвенцій з держбюджету</v>
      </c>
      <c r="E157" s="132">
        <f t="shared" si="26"/>
        <v>1859870</v>
      </c>
      <c r="F157" s="132">
        <v>1859870</v>
      </c>
      <c r="G157" s="132"/>
      <c r="H157" s="132"/>
      <c r="I157" s="132"/>
      <c r="J157" s="132">
        <f t="shared" si="25"/>
        <v>0</v>
      </c>
      <c r="K157" s="132"/>
      <c r="L157" s="132"/>
      <c r="M157" s="132"/>
      <c r="N157" s="132"/>
      <c r="O157" s="132"/>
      <c r="P157" s="132">
        <f t="shared" si="27"/>
        <v>1859870</v>
      </c>
      <c r="Q157" s="159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</row>
    <row r="158" spans="1:575" s="55" customFormat="1" ht="44.25" customHeight="1" x14ac:dyDescent="0.25">
      <c r="A158" s="53" t="s">
        <v>476</v>
      </c>
      <c r="B158" s="102" t="str">
        <f>'дод 2'!A97</f>
        <v>3085</v>
      </c>
      <c r="C158" s="102" t="str">
        <f>'дод 2'!B97</f>
        <v>1010</v>
      </c>
      <c r="D158" s="56" t="str">
        <f>'дод 2'!C97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2">
        <f t="shared" si="26"/>
        <v>190380</v>
      </c>
      <c r="F158" s="132">
        <v>190380</v>
      </c>
      <c r="G158" s="132"/>
      <c r="H158" s="132"/>
      <c r="I158" s="132"/>
      <c r="J158" s="132">
        <f t="shared" si="25"/>
        <v>0</v>
      </c>
      <c r="K158" s="132"/>
      <c r="L158" s="132"/>
      <c r="M158" s="132"/>
      <c r="N158" s="132"/>
      <c r="O158" s="132"/>
      <c r="P158" s="132">
        <f t="shared" si="27"/>
        <v>190380</v>
      </c>
      <c r="Q158" s="159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  <c r="SP158" s="61"/>
      <c r="SQ158" s="61"/>
      <c r="SR158" s="61"/>
      <c r="SS158" s="61"/>
      <c r="ST158" s="61"/>
      <c r="SU158" s="61"/>
      <c r="SV158" s="61"/>
      <c r="SW158" s="61"/>
      <c r="SX158" s="61"/>
      <c r="SY158" s="61"/>
      <c r="SZ158" s="61"/>
      <c r="TA158" s="61"/>
      <c r="TB158" s="61"/>
      <c r="TC158" s="61"/>
      <c r="TD158" s="61"/>
      <c r="TE158" s="61"/>
      <c r="TF158" s="61"/>
      <c r="TG158" s="61"/>
      <c r="TH158" s="61"/>
      <c r="TI158" s="61"/>
      <c r="TJ158" s="61"/>
      <c r="TK158" s="61"/>
      <c r="TL158" s="61"/>
      <c r="TM158" s="61"/>
      <c r="TN158" s="61"/>
      <c r="TO158" s="61"/>
      <c r="TP158" s="61"/>
      <c r="TQ158" s="61"/>
      <c r="TR158" s="61"/>
      <c r="TS158" s="61"/>
      <c r="TT158" s="61"/>
      <c r="TU158" s="61"/>
      <c r="TV158" s="61"/>
      <c r="TW158" s="61"/>
      <c r="TX158" s="61"/>
      <c r="TY158" s="61"/>
      <c r="TZ158" s="61"/>
      <c r="UA158" s="61"/>
      <c r="UB158" s="61"/>
      <c r="UC158" s="61"/>
      <c r="UD158" s="61"/>
      <c r="UE158" s="61"/>
      <c r="UF158" s="61"/>
      <c r="UG158" s="61"/>
      <c r="UH158" s="61"/>
      <c r="UI158" s="61"/>
      <c r="UJ158" s="61"/>
      <c r="UK158" s="61"/>
      <c r="UL158" s="61"/>
      <c r="UM158" s="61"/>
      <c r="UN158" s="61"/>
      <c r="UO158" s="61"/>
      <c r="UP158" s="61"/>
      <c r="UQ158" s="61"/>
      <c r="UR158" s="61"/>
      <c r="US158" s="61"/>
      <c r="UT158" s="61"/>
      <c r="UU158" s="61"/>
      <c r="UV158" s="61"/>
      <c r="UW158" s="61"/>
      <c r="UX158" s="61"/>
      <c r="UY158" s="61"/>
      <c r="UZ158" s="61"/>
      <c r="VA158" s="61"/>
      <c r="VB158" s="61"/>
      <c r="VC158" s="61"/>
    </row>
    <row r="159" spans="1:575" s="55" customFormat="1" ht="19.5" customHeight="1" x14ac:dyDescent="0.25">
      <c r="A159" s="53"/>
      <c r="B159" s="102"/>
      <c r="C159" s="102"/>
      <c r="D159" s="56" t="str">
        <f>'дод 2'!C98</f>
        <v>у т.ч. за рахунок субвенцій з держбюджету</v>
      </c>
      <c r="E159" s="132">
        <f t="shared" si="26"/>
        <v>190380</v>
      </c>
      <c r="F159" s="132">
        <v>190380</v>
      </c>
      <c r="G159" s="132"/>
      <c r="H159" s="132"/>
      <c r="I159" s="132"/>
      <c r="J159" s="132">
        <f t="shared" si="25"/>
        <v>0</v>
      </c>
      <c r="K159" s="132"/>
      <c r="L159" s="132"/>
      <c r="M159" s="132"/>
      <c r="N159" s="132"/>
      <c r="O159" s="132"/>
      <c r="P159" s="132">
        <f t="shared" si="27"/>
        <v>190380</v>
      </c>
      <c r="Q159" s="159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</row>
    <row r="160" spans="1:575" s="55" customFormat="1" ht="135" x14ac:dyDescent="0.25">
      <c r="A160" s="79" t="s">
        <v>582</v>
      </c>
      <c r="B160" s="102">
        <v>3086</v>
      </c>
      <c r="C160" s="102">
        <v>1040</v>
      </c>
      <c r="D160" s="56" t="s">
        <v>588</v>
      </c>
      <c r="E160" s="132">
        <f t="shared" si="26"/>
        <v>253550</v>
      </c>
      <c r="F160" s="132">
        <v>253550</v>
      </c>
      <c r="G160" s="132"/>
      <c r="H160" s="132"/>
      <c r="I160" s="132"/>
      <c r="J160" s="132">
        <f t="shared" si="25"/>
        <v>0</v>
      </c>
      <c r="K160" s="132"/>
      <c r="L160" s="132"/>
      <c r="M160" s="132"/>
      <c r="N160" s="132"/>
      <c r="O160" s="132"/>
      <c r="P160" s="132">
        <f t="shared" si="27"/>
        <v>253550</v>
      </c>
      <c r="Q160" s="159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</row>
    <row r="161" spans="1:575" s="55" customFormat="1" ht="19.5" customHeight="1" x14ac:dyDescent="0.25">
      <c r="A161" s="53"/>
      <c r="B161" s="102"/>
      <c r="C161" s="102"/>
      <c r="D161" s="56" t="s">
        <v>344</v>
      </c>
      <c r="E161" s="132">
        <f t="shared" si="26"/>
        <v>253550</v>
      </c>
      <c r="F161" s="132">
        <v>253550</v>
      </c>
      <c r="G161" s="132"/>
      <c r="H161" s="132"/>
      <c r="I161" s="132"/>
      <c r="J161" s="132">
        <f t="shared" si="25"/>
        <v>0</v>
      </c>
      <c r="K161" s="132"/>
      <c r="L161" s="132"/>
      <c r="M161" s="132"/>
      <c r="N161" s="132"/>
      <c r="O161" s="132"/>
      <c r="P161" s="132">
        <f t="shared" si="27"/>
        <v>253550</v>
      </c>
      <c r="Q161" s="159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</row>
    <row r="162" spans="1:575" s="55" customFormat="1" ht="34.5" customHeight="1" x14ac:dyDescent="0.25">
      <c r="A162" s="79" t="s">
        <v>599</v>
      </c>
      <c r="B162" s="79">
        <v>3087</v>
      </c>
      <c r="C162" s="102">
        <v>1040</v>
      </c>
      <c r="D162" s="56" t="s">
        <v>598</v>
      </c>
      <c r="E162" s="132">
        <f t="shared" si="26"/>
        <v>15300000</v>
      </c>
      <c r="F162" s="132">
        <v>15300000</v>
      </c>
      <c r="G162" s="132"/>
      <c r="H162" s="132"/>
      <c r="I162" s="132"/>
      <c r="J162" s="132">
        <f t="shared" si="25"/>
        <v>0</v>
      </c>
      <c r="K162" s="132"/>
      <c r="L162" s="132"/>
      <c r="M162" s="132"/>
      <c r="N162" s="132"/>
      <c r="O162" s="132"/>
      <c r="P162" s="132">
        <f t="shared" si="27"/>
        <v>15300000</v>
      </c>
      <c r="Q162" s="159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</row>
    <row r="163" spans="1:575" s="55" customFormat="1" ht="19.5" customHeight="1" x14ac:dyDescent="0.25">
      <c r="A163" s="53"/>
      <c r="B163" s="102"/>
      <c r="C163" s="102"/>
      <c r="D163" s="56" t="s">
        <v>344</v>
      </c>
      <c r="E163" s="132">
        <f t="shared" si="26"/>
        <v>15300000</v>
      </c>
      <c r="F163" s="132">
        <v>15300000</v>
      </c>
      <c r="G163" s="132"/>
      <c r="H163" s="132"/>
      <c r="I163" s="132"/>
      <c r="J163" s="132">
        <f t="shared" si="25"/>
        <v>0</v>
      </c>
      <c r="K163" s="132"/>
      <c r="L163" s="132"/>
      <c r="M163" s="132"/>
      <c r="N163" s="132"/>
      <c r="O163" s="132"/>
      <c r="P163" s="132">
        <f t="shared" si="27"/>
        <v>15300000</v>
      </c>
      <c r="Q163" s="159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</row>
    <row r="164" spans="1:575" s="55" customFormat="1" ht="30.75" customHeight="1" x14ac:dyDescent="0.25">
      <c r="A164" s="53" t="s">
        <v>417</v>
      </c>
      <c r="B164" s="102" t="str">
        <f>'дод 2'!A103</f>
        <v>3090</v>
      </c>
      <c r="C164" s="102" t="str">
        <f>'дод 2'!B103</f>
        <v>1030</v>
      </c>
      <c r="D164" s="56" t="str">
        <f>'дод 2'!C103</f>
        <v>Видатки на поховання учасників бойових дій та осіб з інвалідністю внаслідок війни</v>
      </c>
      <c r="E164" s="132">
        <f t="shared" si="26"/>
        <v>215500</v>
      </c>
      <c r="F164" s="132">
        <v>215500</v>
      </c>
      <c r="G164" s="132"/>
      <c r="H164" s="132"/>
      <c r="I164" s="132"/>
      <c r="J164" s="132">
        <f t="shared" si="25"/>
        <v>0</v>
      </c>
      <c r="K164" s="132"/>
      <c r="L164" s="132"/>
      <c r="M164" s="132"/>
      <c r="N164" s="132"/>
      <c r="O164" s="132"/>
      <c r="P164" s="132">
        <f t="shared" si="27"/>
        <v>215500</v>
      </c>
      <c r="Q164" s="159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</row>
    <row r="165" spans="1:575" s="55" customFormat="1" ht="50.25" customHeight="1" x14ac:dyDescent="0.25">
      <c r="A165" s="53" t="s">
        <v>248</v>
      </c>
      <c r="B165" s="102" t="str">
        <f>'дод 2'!A104</f>
        <v>3104</v>
      </c>
      <c r="C165" s="102" t="str">
        <f>'дод 2'!B104</f>
        <v>1020</v>
      </c>
      <c r="D165" s="56" t="str">
        <f>'дод 2'!C104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2">
        <f t="shared" si="26"/>
        <v>11565600</v>
      </c>
      <c r="F165" s="132">
        <f>11483600+42000+21000+10000+4000+5000</f>
        <v>11565600</v>
      </c>
      <c r="G165" s="132">
        <v>8737044</v>
      </c>
      <c r="H165" s="132">
        <f>251038+3576</f>
        <v>254614</v>
      </c>
      <c r="I165" s="132"/>
      <c r="J165" s="132">
        <f t="shared" si="25"/>
        <v>105530</v>
      </c>
      <c r="K165" s="132">
        <v>10000</v>
      </c>
      <c r="L165" s="132">
        <v>95530</v>
      </c>
      <c r="M165" s="132">
        <v>75100</v>
      </c>
      <c r="N165" s="132"/>
      <c r="O165" s="132">
        <f>10000</f>
        <v>10000</v>
      </c>
      <c r="P165" s="132">
        <f t="shared" si="27"/>
        <v>11671130</v>
      </c>
      <c r="Q165" s="159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</row>
    <row r="166" spans="1:575" s="55" customFormat="1" ht="69.75" customHeight="1" x14ac:dyDescent="0.25">
      <c r="A166" s="53" t="s">
        <v>249</v>
      </c>
      <c r="B166" s="102" t="str">
        <f>'дод 2'!A110</f>
        <v>3160</v>
      </c>
      <c r="C166" s="102">
        <f>'дод 2'!B110</f>
        <v>1010</v>
      </c>
      <c r="D166" s="56" t="str">
        <f>'дод 2'!C110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2">
        <f t="shared" si="26"/>
        <v>1743118</v>
      </c>
      <c r="F166" s="132">
        <f>1812956-69838</f>
        <v>1743118</v>
      </c>
      <c r="G166" s="132"/>
      <c r="H166" s="132"/>
      <c r="I166" s="132"/>
      <c r="J166" s="132">
        <f t="shared" si="25"/>
        <v>0</v>
      </c>
      <c r="K166" s="132"/>
      <c r="L166" s="132"/>
      <c r="M166" s="132"/>
      <c r="N166" s="132"/>
      <c r="O166" s="132"/>
      <c r="P166" s="132">
        <f t="shared" si="27"/>
        <v>1743118</v>
      </c>
      <c r="Q166" s="159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</row>
    <row r="167" spans="1:575" s="55" customFormat="1" ht="48.75" customHeight="1" x14ac:dyDescent="0.25">
      <c r="A167" s="53" t="s">
        <v>424</v>
      </c>
      <c r="B167" s="102" t="str">
        <f>'дод 2'!A111</f>
        <v>3171</v>
      </c>
      <c r="C167" s="102">
        <f>'дод 2'!B111</f>
        <v>1010</v>
      </c>
      <c r="D167" s="56" t="str">
        <f>'дод 2'!C111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2">
        <f t="shared" si="26"/>
        <v>205040</v>
      </c>
      <c r="F167" s="132">
        <v>205040</v>
      </c>
      <c r="G167" s="132"/>
      <c r="H167" s="132"/>
      <c r="I167" s="132"/>
      <c r="J167" s="132">
        <f t="shared" si="25"/>
        <v>0</v>
      </c>
      <c r="K167" s="132"/>
      <c r="L167" s="132"/>
      <c r="M167" s="132"/>
      <c r="N167" s="132"/>
      <c r="O167" s="132"/>
      <c r="P167" s="132">
        <f t="shared" si="27"/>
        <v>205040</v>
      </c>
      <c r="Q167" s="159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</row>
    <row r="168" spans="1:575" s="55" customFormat="1" ht="24.75" customHeight="1" x14ac:dyDescent="0.25">
      <c r="A168" s="53" t="s">
        <v>425</v>
      </c>
      <c r="B168" s="102" t="str">
        <f>'дод 2'!A112</f>
        <v>3172</v>
      </c>
      <c r="C168" s="102">
        <f>'дод 2'!B112</f>
        <v>1010</v>
      </c>
      <c r="D168" s="56" t="str">
        <f>'дод 2'!C112</f>
        <v>Встановлення телефонів особам з інвалідністю I і II груп</v>
      </c>
      <c r="E168" s="132">
        <f t="shared" si="26"/>
        <v>680</v>
      </c>
      <c r="F168" s="132">
        <v>680</v>
      </c>
      <c r="G168" s="132"/>
      <c r="H168" s="132"/>
      <c r="I168" s="132"/>
      <c r="J168" s="132">
        <f t="shared" si="25"/>
        <v>0</v>
      </c>
      <c r="K168" s="132"/>
      <c r="L168" s="132"/>
      <c r="M168" s="132"/>
      <c r="N168" s="132"/>
      <c r="O168" s="132"/>
      <c r="P168" s="132">
        <f t="shared" si="27"/>
        <v>680</v>
      </c>
      <c r="Q168" s="159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</row>
    <row r="169" spans="1:575" s="55" customFormat="1" ht="68.25" customHeight="1" x14ac:dyDescent="0.25">
      <c r="A169" s="53" t="s">
        <v>250</v>
      </c>
      <c r="B169" s="102" t="str">
        <f>'дод 2'!A113</f>
        <v>3180</v>
      </c>
      <c r="C169" s="102" t="str">
        <f>'дод 2'!B113</f>
        <v>1060</v>
      </c>
      <c r="D169" s="56" t="str">
        <f>'дод 2'!C113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2">
        <f t="shared" si="26"/>
        <v>1866590</v>
      </c>
      <c r="F169" s="132">
        <f>1866099+21315-20824</f>
        <v>1866590</v>
      </c>
      <c r="G169" s="132"/>
      <c r="H169" s="132"/>
      <c r="I169" s="132"/>
      <c r="J169" s="132">
        <f t="shared" si="25"/>
        <v>0</v>
      </c>
      <c r="K169" s="132"/>
      <c r="L169" s="132"/>
      <c r="M169" s="132"/>
      <c r="N169" s="132"/>
      <c r="O169" s="132"/>
      <c r="P169" s="132">
        <f t="shared" si="27"/>
        <v>1866590</v>
      </c>
      <c r="Q169" s="159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</row>
    <row r="170" spans="1:575" s="55" customFormat="1" ht="29.25" customHeight="1" x14ac:dyDescent="0.25">
      <c r="A170" s="53" t="s">
        <v>403</v>
      </c>
      <c r="B170" s="102" t="str">
        <f>'дод 2'!A114</f>
        <v>3191</v>
      </c>
      <c r="C170" s="102" t="str">
        <f>'дод 2'!B114</f>
        <v>1030</v>
      </c>
      <c r="D170" s="56" t="str">
        <f>'дод 2'!C114</f>
        <v>Інші видатки на соціальний захист ветеранів війни та праці</v>
      </c>
      <c r="E170" s="132">
        <f t="shared" si="26"/>
        <v>2166057</v>
      </c>
      <c r="F170" s="132">
        <f>2362940+101632-78953+24390-88806-122685-32461</f>
        <v>2166057</v>
      </c>
      <c r="G170" s="132"/>
      <c r="H170" s="132"/>
      <c r="I170" s="132"/>
      <c r="J170" s="132">
        <f t="shared" si="25"/>
        <v>0</v>
      </c>
      <c r="K170" s="132"/>
      <c r="L170" s="132"/>
      <c r="M170" s="132"/>
      <c r="N170" s="132"/>
      <c r="O170" s="132"/>
      <c r="P170" s="132">
        <f t="shared" si="27"/>
        <v>2166057</v>
      </c>
      <c r="Q170" s="159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</row>
    <row r="171" spans="1:575" s="55" customFormat="1" ht="45" x14ac:dyDescent="0.25">
      <c r="A171" s="53" t="s">
        <v>404</v>
      </c>
      <c r="B171" s="102" t="str">
        <f>'дод 2'!A115</f>
        <v>3192</v>
      </c>
      <c r="C171" s="102" t="str">
        <f>'дод 2'!B115</f>
        <v>1030</v>
      </c>
      <c r="D171" s="56" t="str">
        <f>'дод 2'!C115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2">
        <f t="shared" si="26"/>
        <v>1385920</v>
      </c>
      <c r="F171" s="132">
        <v>1385920</v>
      </c>
      <c r="G171" s="132"/>
      <c r="H171" s="132"/>
      <c r="I171" s="132"/>
      <c r="J171" s="132">
        <f t="shared" si="25"/>
        <v>0</v>
      </c>
      <c r="K171" s="132"/>
      <c r="L171" s="132"/>
      <c r="M171" s="132"/>
      <c r="N171" s="132"/>
      <c r="O171" s="132"/>
      <c r="P171" s="132">
        <f t="shared" si="27"/>
        <v>1385920</v>
      </c>
      <c r="Q171" s="159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</row>
    <row r="172" spans="1:575" s="55" customFormat="1" ht="41.25" customHeight="1" x14ac:dyDescent="0.25">
      <c r="A172" s="53" t="s">
        <v>251</v>
      </c>
      <c r="B172" s="102" t="str">
        <f>'дод 2'!A116</f>
        <v>3200</v>
      </c>
      <c r="C172" s="102" t="str">
        <f>'дод 2'!B116</f>
        <v>1090</v>
      </c>
      <c r="D172" s="56" t="str">
        <f>'дод 2'!C116</f>
        <v xml:space="preserve">Забезпечення обробки інформації з нарахування та виплати допомог і компенсацій </v>
      </c>
      <c r="E172" s="132">
        <f t="shared" si="26"/>
        <v>81525</v>
      </c>
      <c r="F172" s="132">
        <v>81525</v>
      </c>
      <c r="G172" s="132"/>
      <c r="H172" s="132"/>
      <c r="I172" s="132"/>
      <c r="J172" s="132">
        <f t="shared" si="25"/>
        <v>0</v>
      </c>
      <c r="K172" s="132"/>
      <c r="L172" s="132"/>
      <c r="M172" s="132"/>
      <c r="N172" s="132"/>
      <c r="O172" s="132"/>
      <c r="P172" s="132">
        <f t="shared" si="27"/>
        <v>81525</v>
      </c>
      <c r="Q172" s="159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</row>
    <row r="173" spans="1:575" s="55" customFormat="1" ht="19.5" customHeight="1" x14ac:dyDescent="0.25">
      <c r="A173" s="57" t="s">
        <v>405</v>
      </c>
      <c r="B173" s="107" t="str">
        <f>'дод 2'!A117</f>
        <v>3210</v>
      </c>
      <c r="C173" s="107" t="str">
        <f>'дод 2'!B117</f>
        <v>1050</v>
      </c>
      <c r="D173" s="54" t="str">
        <f>'дод 2'!C117</f>
        <v>Організація та проведення громадських робіт</v>
      </c>
      <c r="E173" s="132">
        <f t="shared" si="26"/>
        <v>300000</v>
      </c>
      <c r="F173" s="132">
        <v>300000</v>
      </c>
      <c r="G173" s="132">
        <v>245900</v>
      </c>
      <c r="H173" s="132"/>
      <c r="I173" s="132"/>
      <c r="J173" s="132">
        <f t="shared" si="25"/>
        <v>0</v>
      </c>
      <c r="K173" s="132"/>
      <c r="L173" s="132"/>
      <c r="M173" s="132"/>
      <c r="N173" s="132"/>
      <c r="O173" s="132"/>
      <c r="P173" s="132">
        <f t="shared" si="27"/>
        <v>300000</v>
      </c>
      <c r="Q173" s="159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</row>
    <row r="174" spans="1:575" s="55" customFormat="1" ht="150.75" customHeight="1" x14ac:dyDescent="0.25">
      <c r="A174" s="57" t="s">
        <v>539</v>
      </c>
      <c r="B174" s="107" t="s">
        <v>537</v>
      </c>
      <c r="C174" s="107" t="s">
        <v>77</v>
      </c>
      <c r="D174" s="62" t="s">
        <v>538</v>
      </c>
      <c r="E174" s="132">
        <f t="shared" si="26"/>
        <v>0</v>
      </c>
      <c r="F174" s="132"/>
      <c r="G174" s="132"/>
      <c r="H174" s="132"/>
      <c r="I174" s="132"/>
      <c r="J174" s="132">
        <f t="shared" si="25"/>
        <v>2556672.91</v>
      </c>
      <c r="K174" s="132">
        <f>1805663.23+751009.68</f>
        <v>2556672.91</v>
      </c>
      <c r="L174" s="132"/>
      <c r="M174" s="132"/>
      <c r="N174" s="132"/>
      <c r="O174" s="132">
        <f>1805663.23+751009.68</f>
        <v>2556672.91</v>
      </c>
      <c r="P174" s="132">
        <f t="shared" si="27"/>
        <v>2556672.91</v>
      </c>
      <c r="Q174" s="159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61"/>
      <c r="TA174" s="61"/>
      <c r="TB174" s="61"/>
      <c r="TC174" s="61"/>
      <c r="TD174" s="61"/>
      <c r="TE174" s="61"/>
      <c r="TF174" s="61"/>
      <c r="TG174" s="61"/>
      <c r="TH174" s="61"/>
      <c r="TI174" s="61"/>
      <c r="TJ174" s="61"/>
      <c r="TK174" s="61"/>
      <c r="TL174" s="61"/>
      <c r="TM174" s="61"/>
      <c r="TN174" s="61"/>
      <c r="TO174" s="61"/>
      <c r="TP174" s="61"/>
      <c r="TQ174" s="61"/>
      <c r="TR174" s="61"/>
      <c r="TS174" s="61"/>
      <c r="TT174" s="61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61"/>
      <c r="VA174" s="61"/>
      <c r="VB174" s="61"/>
      <c r="VC174" s="61"/>
    </row>
    <row r="175" spans="1:575" s="55" customFormat="1" ht="15" x14ac:dyDescent="0.25">
      <c r="A175" s="57"/>
      <c r="B175" s="107"/>
      <c r="C175" s="107"/>
      <c r="D175" s="54" t="str">
        <f>'дод 2'!C119</f>
        <v>у т.ч. за рахунок субвенцій з держбюджету</v>
      </c>
      <c r="E175" s="132">
        <f t="shared" si="26"/>
        <v>0</v>
      </c>
      <c r="F175" s="132"/>
      <c r="G175" s="132"/>
      <c r="H175" s="132"/>
      <c r="I175" s="132"/>
      <c r="J175" s="132">
        <f t="shared" si="25"/>
        <v>2556672.91</v>
      </c>
      <c r="K175" s="132">
        <f>1805663.23+751009.68</f>
        <v>2556672.91</v>
      </c>
      <c r="L175" s="132"/>
      <c r="M175" s="132"/>
      <c r="N175" s="132"/>
      <c r="O175" s="132">
        <f>1805663.23+751009.68</f>
        <v>2556672.91</v>
      </c>
      <c r="P175" s="132">
        <f t="shared" si="27"/>
        <v>2556672.91</v>
      </c>
      <c r="Q175" s="159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</row>
    <row r="176" spans="1:575" s="55" customFormat="1" ht="182.25" customHeight="1" x14ac:dyDescent="0.25">
      <c r="A176" s="57" t="s">
        <v>541</v>
      </c>
      <c r="B176" s="107" t="s">
        <v>544</v>
      </c>
      <c r="C176" s="107" t="s">
        <v>77</v>
      </c>
      <c r="D176" s="62" t="s">
        <v>543</v>
      </c>
      <c r="E176" s="132">
        <f t="shared" si="26"/>
        <v>0</v>
      </c>
      <c r="F176" s="132"/>
      <c r="G176" s="132"/>
      <c r="H176" s="132"/>
      <c r="I176" s="132"/>
      <c r="J176" s="132">
        <f t="shared" si="25"/>
        <v>1512988</v>
      </c>
      <c r="K176" s="132"/>
      <c r="L176" s="132"/>
      <c r="M176" s="132"/>
      <c r="N176" s="132"/>
      <c r="O176" s="132">
        <v>1512988</v>
      </c>
      <c r="P176" s="132">
        <f t="shared" si="27"/>
        <v>1512988</v>
      </c>
      <c r="Q176" s="159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</row>
    <row r="177" spans="1:575" s="55" customFormat="1" ht="15" x14ac:dyDescent="0.25">
      <c r="A177" s="57"/>
      <c r="B177" s="107"/>
      <c r="C177" s="107"/>
      <c r="D177" s="54" t="str">
        <f>'дод 2'!C127</f>
        <v>у т.ч. за рахунок субвенцій з держбюджету</v>
      </c>
      <c r="E177" s="132">
        <f t="shared" si="26"/>
        <v>0</v>
      </c>
      <c r="F177" s="132"/>
      <c r="G177" s="132"/>
      <c r="H177" s="132"/>
      <c r="I177" s="132"/>
      <c r="J177" s="132">
        <f t="shared" si="25"/>
        <v>1512988</v>
      </c>
      <c r="K177" s="132"/>
      <c r="L177" s="132"/>
      <c r="M177" s="132"/>
      <c r="N177" s="132"/>
      <c r="O177" s="132">
        <v>1512988</v>
      </c>
      <c r="P177" s="132">
        <f t="shared" si="27"/>
        <v>1512988</v>
      </c>
      <c r="Q177" s="159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</row>
    <row r="178" spans="1:575" s="55" customFormat="1" ht="166.5" customHeight="1" x14ac:dyDescent="0.25">
      <c r="A178" s="161" t="s">
        <v>542</v>
      </c>
      <c r="B178" s="107" t="s">
        <v>546</v>
      </c>
      <c r="C178" s="107" t="s">
        <v>77</v>
      </c>
      <c r="D178" s="62" t="s">
        <v>545</v>
      </c>
      <c r="E178" s="132">
        <f t="shared" si="26"/>
        <v>0</v>
      </c>
      <c r="F178" s="132"/>
      <c r="G178" s="132"/>
      <c r="H178" s="132"/>
      <c r="I178" s="132"/>
      <c r="J178" s="132">
        <f t="shared" si="25"/>
        <v>1462158</v>
      </c>
      <c r="K178" s="132">
        <v>1462158</v>
      </c>
      <c r="L178" s="132"/>
      <c r="M178" s="132"/>
      <c r="N178" s="132"/>
      <c r="O178" s="132">
        <v>1462158</v>
      </c>
      <c r="P178" s="132">
        <f t="shared" si="27"/>
        <v>1462158</v>
      </c>
      <c r="Q178" s="159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  <c r="SP178" s="61"/>
      <c r="SQ178" s="61"/>
      <c r="SR178" s="61"/>
      <c r="SS178" s="61"/>
      <c r="ST178" s="61"/>
      <c r="SU178" s="61"/>
      <c r="SV178" s="61"/>
      <c r="SW178" s="61"/>
      <c r="SX178" s="61"/>
      <c r="SY178" s="61"/>
      <c r="SZ178" s="61"/>
      <c r="TA178" s="61"/>
      <c r="TB178" s="61"/>
      <c r="TC178" s="61"/>
      <c r="TD178" s="61"/>
      <c r="TE178" s="61"/>
      <c r="TF178" s="61"/>
      <c r="TG178" s="61"/>
      <c r="TH178" s="61"/>
      <c r="TI178" s="61"/>
      <c r="TJ178" s="61"/>
      <c r="TK178" s="61"/>
      <c r="TL178" s="61"/>
      <c r="TM178" s="61"/>
      <c r="TN178" s="61"/>
      <c r="TO178" s="61"/>
      <c r="TP178" s="61"/>
      <c r="TQ178" s="61"/>
      <c r="TR178" s="61"/>
      <c r="TS178" s="61"/>
      <c r="TT178" s="61"/>
      <c r="TU178" s="61"/>
      <c r="TV178" s="61"/>
      <c r="TW178" s="61"/>
      <c r="TX178" s="61"/>
      <c r="TY178" s="61"/>
      <c r="TZ178" s="61"/>
      <c r="UA178" s="61"/>
      <c r="UB178" s="61"/>
      <c r="UC178" s="61"/>
      <c r="UD178" s="61"/>
      <c r="UE178" s="61"/>
      <c r="UF178" s="61"/>
      <c r="UG178" s="61"/>
      <c r="UH178" s="61"/>
      <c r="UI178" s="61"/>
      <c r="UJ178" s="61"/>
      <c r="UK178" s="61"/>
      <c r="UL178" s="61"/>
      <c r="UM178" s="61"/>
      <c r="UN178" s="61"/>
      <c r="UO178" s="61"/>
      <c r="UP178" s="61"/>
      <c r="UQ178" s="61"/>
      <c r="UR178" s="61"/>
      <c r="US178" s="61"/>
      <c r="UT178" s="61"/>
      <c r="UU178" s="61"/>
      <c r="UV178" s="61"/>
      <c r="UW178" s="61"/>
      <c r="UX178" s="61"/>
      <c r="UY178" s="61"/>
      <c r="UZ178" s="61"/>
      <c r="VA178" s="61"/>
      <c r="VB178" s="61"/>
      <c r="VC178" s="61"/>
    </row>
    <row r="179" spans="1:575" s="55" customFormat="1" ht="15" x14ac:dyDescent="0.25">
      <c r="A179" s="161"/>
      <c r="B179" s="107"/>
      <c r="C179" s="107"/>
      <c r="D179" s="54" t="s">
        <v>344</v>
      </c>
      <c r="E179" s="132">
        <f t="shared" si="26"/>
        <v>0</v>
      </c>
      <c r="F179" s="132"/>
      <c r="G179" s="132"/>
      <c r="H179" s="132"/>
      <c r="I179" s="132"/>
      <c r="J179" s="132">
        <f t="shared" si="25"/>
        <v>1462158</v>
      </c>
      <c r="K179" s="132">
        <v>1462158</v>
      </c>
      <c r="L179" s="132"/>
      <c r="M179" s="132"/>
      <c r="N179" s="132"/>
      <c r="O179" s="132">
        <v>1462158</v>
      </c>
      <c r="P179" s="132">
        <f t="shared" si="27"/>
        <v>1462158</v>
      </c>
      <c r="Q179" s="159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  <c r="SP179" s="61"/>
      <c r="SQ179" s="61"/>
      <c r="SR179" s="61"/>
      <c r="SS179" s="61"/>
      <c r="ST179" s="61"/>
      <c r="SU179" s="61"/>
      <c r="SV179" s="61"/>
      <c r="SW179" s="61"/>
      <c r="SX179" s="61"/>
      <c r="SY179" s="61"/>
      <c r="SZ179" s="61"/>
      <c r="TA179" s="61"/>
      <c r="TB179" s="61"/>
      <c r="TC179" s="61"/>
      <c r="TD179" s="61"/>
      <c r="TE179" s="61"/>
      <c r="TF179" s="61"/>
      <c r="TG179" s="61"/>
      <c r="TH179" s="61"/>
      <c r="TI179" s="61"/>
      <c r="TJ179" s="61"/>
      <c r="TK179" s="61"/>
      <c r="TL179" s="61"/>
      <c r="TM179" s="61"/>
      <c r="TN179" s="61"/>
      <c r="TO179" s="61"/>
      <c r="TP179" s="61"/>
      <c r="TQ179" s="61"/>
      <c r="TR179" s="61"/>
      <c r="TS179" s="61"/>
      <c r="TT179" s="61"/>
      <c r="TU179" s="61"/>
      <c r="TV179" s="61"/>
      <c r="TW179" s="61"/>
      <c r="TX179" s="61"/>
      <c r="TY179" s="61"/>
      <c r="TZ179" s="61"/>
      <c r="UA179" s="61"/>
      <c r="UB179" s="61"/>
      <c r="UC179" s="61"/>
      <c r="UD179" s="61"/>
      <c r="UE179" s="61"/>
      <c r="UF179" s="61"/>
      <c r="UG179" s="61"/>
      <c r="UH179" s="61"/>
      <c r="UI179" s="61"/>
      <c r="UJ179" s="61"/>
      <c r="UK179" s="61"/>
      <c r="UL179" s="61"/>
      <c r="UM179" s="61"/>
      <c r="UN179" s="61"/>
      <c r="UO179" s="61"/>
      <c r="UP179" s="61"/>
      <c r="UQ179" s="61"/>
      <c r="UR179" s="61"/>
      <c r="US179" s="61"/>
      <c r="UT179" s="61"/>
      <c r="UU179" s="61"/>
      <c r="UV179" s="61"/>
      <c r="UW179" s="61"/>
      <c r="UX179" s="61"/>
      <c r="UY179" s="61"/>
      <c r="UZ179" s="61"/>
      <c r="VA179" s="61"/>
      <c r="VB179" s="61"/>
      <c r="VC179" s="61"/>
    </row>
    <row r="180" spans="1:575" s="55" customFormat="1" ht="144.75" customHeight="1" x14ac:dyDescent="0.25">
      <c r="A180" s="161" t="s">
        <v>602</v>
      </c>
      <c r="B180" s="107">
        <v>3224</v>
      </c>
      <c r="C180" s="107">
        <v>1060</v>
      </c>
      <c r="D180" s="54" t="s">
        <v>603</v>
      </c>
      <c r="E180" s="132">
        <f t="shared" si="26"/>
        <v>0</v>
      </c>
      <c r="F180" s="132"/>
      <c r="G180" s="132"/>
      <c r="H180" s="132"/>
      <c r="I180" s="132"/>
      <c r="J180" s="132">
        <f t="shared" si="25"/>
        <v>823359</v>
      </c>
      <c r="K180" s="132">
        <v>823359</v>
      </c>
      <c r="L180" s="132"/>
      <c r="M180" s="132"/>
      <c r="N180" s="132"/>
      <c r="O180" s="132">
        <v>823359</v>
      </c>
      <c r="P180" s="132">
        <f t="shared" si="27"/>
        <v>823359</v>
      </c>
      <c r="Q180" s="159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  <c r="SP180" s="61"/>
      <c r="SQ180" s="61"/>
      <c r="SR180" s="61"/>
      <c r="SS180" s="61"/>
      <c r="ST180" s="61"/>
      <c r="SU180" s="61"/>
      <c r="SV180" s="61"/>
      <c r="SW180" s="61"/>
      <c r="SX180" s="61"/>
      <c r="SY180" s="61"/>
      <c r="SZ180" s="61"/>
      <c r="TA180" s="61"/>
      <c r="TB180" s="61"/>
      <c r="TC180" s="61"/>
      <c r="TD180" s="61"/>
      <c r="TE180" s="61"/>
      <c r="TF180" s="61"/>
      <c r="TG180" s="61"/>
      <c r="TH180" s="61"/>
      <c r="TI180" s="61"/>
      <c r="TJ180" s="61"/>
      <c r="TK180" s="61"/>
      <c r="TL180" s="61"/>
      <c r="TM180" s="61"/>
      <c r="TN180" s="61"/>
      <c r="TO180" s="61"/>
      <c r="TP180" s="61"/>
      <c r="TQ180" s="61"/>
      <c r="TR180" s="61"/>
      <c r="TS180" s="61"/>
      <c r="TT180" s="61"/>
      <c r="TU180" s="61"/>
      <c r="TV180" s="61"/>
      <c r="TW180" s="61"/>
      <c r="TX180" s="61"/>
      <c r="TY180" s="61"/>
      <c r="TZ180" s="61"/>
      <c r="UA180" s="61"/>
      <c r="UB180" s="61"/>
      <c r="UC180" s="61"/>
      <c r="UD180" s="61"/>
      <c r="UE180" s="61"/>
      <c r="UF180" s="61"/>
      <c r="UG180" s="61"/>
      <c r="UH180" s="61"/>
      <c r="UI180" s="61"/>
      <c r="UJ180" s="61"/>
      <c r="UK180" s="61"/>
      <c r="UL180" s="61"/>
      <c r="UM180" s="61"/>
      <c r="UN180" s="61"/>
      <c r="UO180" s="61"/>
      <c r="UP180" s="61"/>
      <c r="UQ180" s="61"/>
      <c r="UR180" s="61"/>
      <c r="US180" s="61"/>
      <c r="UT180" s="61"/>
      <c r="UU180" s="61"/>
      <c r="UV180" s="61"/>
      <c r="UW180" s="61"/>
      <c r="UX180" s="61"/>
      <c r="UY180" s="61"/>
      <c r="UZ180" s="61"/>
      <c r="VA180" s="61"/>
      <c r="VB180" s="61"/>
      <c r="VC180" s="61"/>
    </row>
    <row r="181" spans="1:575" s="55" customFormat="1" ht="15" x14ac:dyDescent="0.25">
      <c r="A181" s="161"/>
      <c r="B181" s="107"/>
      <c r="C181" s="107"/>
      <c r="D181" s="54" t="s">
        <v>344</v>
      </c>
      <c r="E181" s="132">
        <f t="shared" si="26"/>
        <v>0</v>
      </c>
      <c r="F181" s="132"/>
      <c r="G181" s="132"/>
      <c r="H181" s="132"/>
      <c r="I181" s="132"/>
      <c r="J181" s="132">
        <f t="shared" si="25"/>
        <v>823359</v>
      </c>
      <c r="K181" s="132">
        <v>823359</v>
      </c>
      <c r="L181" s="132"/>
      <c r="M181" s="132"/>
      <c r="N181" s="132"/>
      <c r="O181" s="132">
        <v>823359</v>
      </c>
      <c r="P181" s="132">
        <f t="shared" si="27"/>
        <v>823359</v>
      </c>
      <c r="Q181" s="159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  <c r="SP181" s="61"/>
      <c r="SQ181" s="61"/>
      <c r="SR181" s="61"/>
      <c r="SS181" s="61"/>
      <c r="ST181" s="61"/>
      <c r="SU181" s="61"/>
      <c r="SV181" s="61"/>
      <c r="SW181" s="61"/>
      <c r="SX181" s="61"/>
      <c r="SY181" s="61"/>
      <c r="SZ181" s="61"/>
      <c r="TA181" s="61"/>
      <c r="TB181" s="61"/>
      <c r="TC181" s="61"/>
      <c r="TD181" s="61"/>
      <c r="TE181" s="61"/>
      <c r="TF181" s="61"/>
      <c r="TG181" s="61"/>
      <c r="TH181" s="61"/>
      <c r="TI181" s="61"/>
      <c r="TJ181" s="61"/>
      <c r="TK181" s="61"/>
      <c r="TL181" s="61"/>
      <c r="TM181" s="61"/>
      <c r="TN181" s="61"/>
      <c r="TO181" s="61"/>
      <c r="TP181" s="61"/>
      <c r="TQ181" s="61"/>
      <c r="TR181" s="61"/>
      <c r="TS181" s="61"/>
      <c r="TT181" s="61"/>
      <c r="TU181" s="61"/>
      <c r="TV181" s="61"/>
      <c r="TW181" s="61"/>
      <c r="TX181" s="61"/>
      <c r="TY181" s="61"/>
      <c r="TZ181" s="61"/>
      <c r="UA181" s="61"/>
      <c r="UB181" s="61"/>
      <c r="UC181" s="61"/>
      <c r="UD181" s="61"/>
      <c r="UE181" s="61"/>
      <c r="UF181" s="61"/>
      <c r="UG181" s="61"/>
      <c r="UH181" s="61"/>
      <c r="UI181" s="61"/>
      <c r="UJ181" s="61"/>
      <c r="UK181" s="61"/>
      <c r="UL181" s="61"/>
      <c r="UM181" s="61"/>
      <c r="UN181" s="61"/>
      <c r="UO181" s="61"/>
      <c r="UP181" s="61"/>
      <c r="UQ181" s="61"/>
      <c r="UR181" s="61"/>
      <c r="US181" s="61"/>
      <c r="UT181" s="61"/>
      <c r="UU181" s="61"/>
      <c r="UV181" s="61"/>
      <c r="UW181" s="61"/>
      <c r="UX181" s="61"/>
      <c r="UY181" s="61"/>
      <c r="UZ181" s="61"/>
      <c r="VA181" s="61"/>
      <c r="VB181" s="61"/>
      <c r="VC181" s="61"/>
    </row>
    <row r="182" spans="1:575" s="55" customFormat="1" ht="131.25" customHeight="1" x14ac:dyDescent="0.25">
      <c r="A182" s="161" t="s">
        <v>477</v>
      </c>
      <c r="B182" s="108" t="str">
        <f>'дод 2'!A126</f>
        <v>3230</v>
      </c>
      <c r="C182" s="108" t="str">
        <f>'дод 2'!B126</f>
        <v>1040</v>
      </c>
      <c r="D182" s="54" t="s">
        <v>571</v>
      </c>
      <c r="E182" s="132">
        <f t="shared" si="26"/>
        <v>3120900</v>
      </c>
      <c r="F182" s="132">
        <f>3600900-350000-130000</f>
        <v>3120900</v>
      </c>
      <c r="G182" s="132"/>
      <c r="H182" s="132"/>
      <c r="I182" s="132"/>
      <c r="J182" s="132">
        <f t="shared" si="25"/>
        <v>0</v>
      </c>
      <c r="K182" s="132"/>
      <c r="L182" s="132"/>
      <c r="M182" s="132"/>
      <c r="N182" s="132"/>
      <c r="O182" s="132"/>
      <c r="P182" s="132">
        <f t="shared" si="27"/>
        <v>3120900</v>
      </c>
      <c r="Q182" s="159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</row>
    <row r="183" spans="1:575" s="55" customFormat="1" ht="19.5" customHeight="1" x14ac:dyDescent="0.25">
      <c r="A183" s="57"/>
      <c r="B183" s="108"/>
      <c r="C183" s="108"/>
      <c r="D183" s="54" t="str">
        <f>'дод 2'!C127</f>
        <v>у т.ч. за рахунок субвенцій з держбюджету</v>
      </c>
      <c r="E183" s="132">
        <f t="shared" si="26"/>
        <v>3120900</v>
      </c>
      <c r="F183" s="132">
        <f>3600900-350000-130000</f>
        <v>3120900</v>
      </c>
      <c r="G183" s="132"/>
      <c r="H183" s="132"/>
      <c r="I183" s="132"/>
      <c r="J183" s="132">
        <f t="shared" si="25"/>
        <v>0</v>
      </c>
      <c r="K183" s="132"/>
      <c r="L183" s="132"/>
      <c r="M183" s="132"/>
      <c r="N183" s="132"/>
      <c r="O183" s="132"/>
      <c r="P183" s="132">
        <f t="shared" si="27"/>
        <v>3120900</v>
      </c>
      <c r="Q183" s="159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</row>
    <row r="184" spans="1:575" s="55" customFormat="1" ht="31.5" customHeight="1" x14ac:dyDescent="0.25">
      <c r="A184" s="53" t="s">
        <v>401</v>
      </c>
      <c r="B184" s="102" t="str">
        <f>'дод 2'!A128</f>
        <v>3241</v>
      </c>
      <c r="C184" s="102" t="str">
        <f>'дод 2'!B128</f>
        <v>1090</v>
      </c>
      <c r="D184" s="56" t="str">
        <f>'дод 2'!C128</f>
        <v>Забезпечення діяльності інших закладів у сфері соціального захисту і соціального забезпечення</v>
      </c>
      <c r="E184" s="132">
        <f t="shared" si="26"/>
        <v>5115983</v>
      </c>
      <c r="F184" s="132">
        <f>4891600-3489+114500+46872+10000+2500+54000</f>
        <v>5115983</v>
      </c>
      <c r="G184" s="132">
        <f>2885108-504</f>
        <v>2884604</v>
      </c>
      <c r="H184" s="132">
        <f>539079+7054</f>
        <v>546133</v>
      </c>
      <c r="I184" s="132"/>
      <c r="J184" s="132">
        <f t="shared" ref="J184:J242" si="28">L184+O184</f>
        <v>779000</v>
      </c>
      <c r="K184" s="132">
        <f>410000+500000-114500+7500+10000-54000+20000</f>
        <v>779000</v>
      </c>
      <c r="L184" s="132"/>
      <c r="M184" s="132"/>
      <c r="N184" s="132"/>
      <c r="O184" s="132">
        <f>410000+500000-114500+7500+10000-54000+20000</f>
        <v>779000</v>
      </c>
      <c r="P184" s="132">
        <f t="shared" si="27"/>
        <v>5894983</v>
      </c>
      <c r="Q184" s="159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</row>
    <row r="185" spans="1:575" s="55" customFormat="1" ht="33" customHeight="1" x14ac:dyDescent="0.25">
      <c r="A185" s="53" t="s">
        <v>402</v>
      </c>
      <c r="B185" s="102" t="str">
        <f>'дод 2'!A129</f>
        <v>3242</v>
      </c>
      <c r="C185" s="102" t="str">
        <f>'дод 2'!B129</f>
        <v>1090</v>
      </c>
      <c r="D185" s="56" t="str">
        <f>'дод 2'!C129</f>
        <v>Інші заходи у сфері соціального захисту і соціального забезпечення</v>
      </c>
      <c r="E185" s="132">
        <f t="shared" si="26"/>
        <v>37020313</v>
      </c>
      <c r="F185" s="132">
        <f>29883071+25600+317300+123900+102440+1963823+507500+500000+400000+240000+110000+164800+403530+100000+264700+95800+16000+53700+35000+5000+3200+200000+127000+25000+15500+350000+142000+25000+90000-24390+190600+246385+1000+26000+88806+84520-188792+23770+12485+23000+80000+53285+88000+22000+2000+1780</f>
        <v>37020313</v>
      </c>
      <c r="G185" s="132"/>
      <c r="H185" s="132"/>
      <c r="I185" s="132"/>
      <c r="J185" s="132">
        <f t="shared" si="28"/>
        <v>42000</v>
      </c>
      <c r="K185" s="132">
        <f>42000</f>
        <v>42000</v>
      </c>
      <c r="L185" s="132"/>
      <c r="M185" s="132"/>
      <c r="N185" s="132"/>
      <c r="O185" s="132">
        <f>42000</f>
        <v>42000</v>
      </c>
      <c r="P185" s="132">
        <f t="shared" si="27"/>
        <v>37062313</v>
      </c>
      <c r="Q185" s="159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</row>
    <row r="186" spans="1:575" s="55" customFormat="1" ht="62.25" customHeight="1" x14ac:dyDescent="0.25">
      <c r="A186" s="79" t="s">
        <v>608</v>
      </c>
      <c r="B186" s="79" t="s">
        <v>549</v>
      </c>
      <c r="C186" s="107" t="s">
        <v>97</v>
      </c>
      <c r="D186" s="122" t="s">
        <v>548</v>
      </c>
      <c r="E186" s="132">
        <f t="shared" si="26"/>
        <v>0</v>
      </c>
      <c r="F186" s="132"/>
      <c r="G186" s="132"/>
      <c r="H186" s="132"/>
      <c r="I186" s="132"/>
      <c r="J186" s="132">
        <f t="shared" si="28"/>
        <v>1033788</v>
      </c>
      <c r="K186" s="132">
        <v>1033788</v>
      </c>
      <c r="L186" s="132"/>
      <c r="M186" s="132"/>
      <c r="N186" s="132"/>
      <c r="O186" s="132">
        <v>1033788</v>
      </c>
      <c r="P186" s="132">
        <f t="shared" si="27"/>
        <v>1033788</v>
      </c>
      <c r="Q186" s="159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</row>
    <row r="187" spans="1:575" s="55" customFormat="1" ht="15" x14ac:dyDescent="0.25">
      <c r="A187" s="79"/>
      <c r="B187" s="79"/>
      <c r="C187" s="79"/>
      <c r="D187" s="122" t="s">
        <v>344</v>
      </c>
      <c r="E187" s="132">
        <f t="shared" si="26"/>
        <v>0</v>
      </c>
      <c r="F187" s="132"/>
      <c r="G187" s="132"/>
      <c r="H187" s="132"/>
      <c r="I187" s="132"/>
      <c r="J187" s="132">
        <f t="shared" si="28"/>
        <v>1033788</v>
      </c>
      <c r="K187" s="132">
        <v>1033788</v>
      </c>
      <c r="L187" s="132"/>
      <c r="M187" s="132"/>
      <c r="N187" s="132"/>
      <c r="O187" s="132">
        <v>1033788</v>
      </c>
      <c r="P187" s="132">
        <f t="shared" si="27"/>
        <v>1033788</v>
      </c>
      <c r="Q187" s="159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</row>
    <row r="188" spans="1:575" s="55" customFormat="1" ht="15" hidden="1" x14ac:dyDescent="0.25">
      <c r="A188" s="53" t="s">
        <v>252</v>
      </c>
      <c r="B188" s="102" t="str">
        <f>'дод 2'!A188</f>
        <v>7640</v>
      </c>
      <c r="C188" s="102" t="str">
        <f>'дод 2'!B188</f>
        <v>0470</v>
      </c>
      <c r="D188" s="56" t="str">
        <f>'дод 2'!C188</f>
        <v>Заходи з енергозбереження</v>
      </c>
      <c r="E188" s="132">
        <f t="shared" si="26"/>
        <v>0</v>
      </c>
      <c r="F188" s="132"/>
      <c r="G188" s="132"/>
      <c r="H188" s="132"/>
      <c r="I188" s="132"/>
      <c r="J188" s="132">
        <f t="shared" si="28"/>
        <v>0</v>
      </c>
      <c r="K188" s="132"/>
      <c r="L188" s="132"/>
      <c r="M188" s="132"/>
      <c r="N188" s="132"/>
      <c r="O188" s="132"/>
      <c r="P188" s="132">
        <f t="shared" si="27"/>
        <v>0</v>
      </c>
      <c r="Q188" s="159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</row>
    <row r="189" spans="1:575" s="55" customFormat="1" ht="30" hidden="1" x14ac:dyDescent="0.25">
      <c r="A189" s="53" t="s">
        <v>512</v>
      </c>
      <c r="B189" s="102" t="str">
        <f>'дод 2'!A200</f>
        <v>8110</v>
      </c>
      <c r="C189" s="102" t="str">
        <f>'дод 2'!B200</f>
        <v>0320</v>
      </c>
      <c r="D189" s="56" t="str">
        <f>'дод 2'!C200</f>
        <v>Заходи із запобігання та ліквідації надзвичайних ситуацій та наслідків стихійного лиха</v>
      </c>
      <c r="E189" s="132">
        <f t="shared" si="26"/>
        <v>0</v>
      </c>
      <c r="F189" s="132"/>
      <c r="G189" s="132"/>
      <c r="H189" s="132"/>
      <c r="I189" s="132"/>
      <c r="J189" s="132">
        <f t="shared" si="28"/>
        <v>0</v>
      </c>
      <c r="K189" s="132"/>
      <c r="L189" s="132"/>
      <c r="M189" s="132"/>
      <c r="N189" s="132"/>
      <c r="O189" s="132"/>
      <c r="P189" s="132">
        <f t="shared" si="27"/>
        <v>0</v>
      </c>
      <c r="Q189" s="159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</row>
    <row r="190" spans="1:575" s="55" customFormat="1" ht="45" x14ac:dyDescent="0.25">
      <c r="A190" s="79" t="s">
        <v>581</v>
      </c>
      <c r="B190" s="102">
        <v>7363</v>
      </c>
      <c r="C190" s="102" t="s">
        <v>112</v>
      </c>
      <c r="D190" s="56" t="s">
        <v>498</v>
      </c>
      <c r="E190" s="132">
        <f t="shared" si="26"/>
        <v>0</v>
      </c>
      <c r="F190" s="132"/>
      <c r="G190" s="132"/>
      <c r="H190" s="132"/>
      <c r="I190" s="132"/>
      <c r="J190" s="132">
        <f t="shared" si="28"/>
        <v>119789</v>
      </c>
      <c r="K190" s="132">
        <f>3489+116300+20000-20000</f>
        <v>119789</v>
      </c>
      <c r="L190" s="132"/>
      <c r="M190" s="132"/>
      <c r="N190" s="132"/>
      <c r="O190" s="132">
        <f>3489+116300+20000-20000</f>
        <v>119789</v>
      </c>
      <c r="P190" s="132">
        <f t="shared" si="27"/>
        <v>119789</v>
      </c>
      <c r="Q190" s="159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</row>
    <row r="191" spans="1:575" s="55" customFormat="1" ht="15" x14ac:dyDescent="0.25">
      <c r="A191" s="79"/>
      <c r="B191" s="102"/>
      <c r="C191" s="102"/>
      <c r="D191" s="56" t="s">
        <v>344</v>
      </c>
      <c r="E191" s="132">
        <f t="shared" si="26"/>
        <v>0</v>
      </c>
      <c r="F191" s="132"/>
      <c r="G191" s="132"/>
      <c r="H191" s="132"/>
      <c r="I191" s="132"/>
      <c r="J191" s="132">
        <f t="shared" si="28"/>
        <v>116300</v>
      </c>
      <c r="K191" s="132">
        <f>116300+20000-20000</f>
        <v>116300</v>
      </c>
      <c r="L191" s="132"/>
      <c r="M191" s="132"/>
      <c r="N191" s="132"/>
      <c r="O191" s="132">
        <f>116300+20000-20000</f>
        <v>116300</v>
      </c>
      <c r="P191" s="132">
        <f t="shared" si="27"/>
        <v>116300</v>
      </c>
      <c r="Q191" s="159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  <c r="KO191" s="61"/>
      <c r="KP191" s="61"/>
      <c r="KQ191" s="61"/>
      <c r="KR191" s="61"/>
      <c r="KS191" s="61"/>
      <c r="KT191" s="61"/>
      <c r="KU191" s="61"/>
      <c r="KV191" s="61"/>
      <c r="KW191" s="61"/>
      <c r="KX191" s="61"/>
      <c r="KY191" s="61"/>
      <c r="KZ191" s="61"/>
      <c r="LA191" s="61"/>
      <c r="LB191" s="61"/>
      <c r="LC191" s="61"/>
      <c r="LD191" s="61"/>
      <c r="LE191" s="61"/>
      <c r="LF191" s="61"/>
      <c r="LG191" s="61"/>
      <c r="LH191" s="61"/>
      <c r="LI191" s="61"/>
      <c r="LJ191" s="61"/>
      <c r="LK191" s="61"/>
      <c r="LL191" s="61"/>
      <c r="LM191" s="61"/>
      <c r="LN191" s="61"/>
      <c r="LO191" s="61"/>
      <c r="LP191" s="61"/>
      <c r="LQ191" s="61"/>
      <c r="LR191" s="61"/>
      <c r="LS191" s="61"/>
      <c r="LT191" s="61"/>
      <c r="LU191" s="61"/>
      <c r="LV191" s="61"/>
      <c r="LW191" s="61"/>
      <c r="LX191" s="61"/>
      <c r="LY191" s="61"/>
      <c r="LZ191" s="61"/>
      <c r="MA191" s="61"/>
      <c r="MB191" s="61"/>
      <c r="MC191" s="61"/>
      <c r="MD191" s="61"/>
      <c r="ME191" s="61"/>
      <c r="MF191" s="61"/>
      <c r="MG191" s="61"/>
      <c r="MH191" s="61"/>
      <c r="MI191" s="61"/>
      <c r="MJ191" s="61"/>
      <c r="MK191" s="61"/>
      <c r="ML191" s="61"/>
      <c r="MM191" s="61"/>
      <c r="MN191" s="61"/>
      <c r="MO191" s="61"/>
      <c r="MP191" s="61"/>
      <c r="MQ191" s="61"/>
      <c r="MR191" s="61"/>
      <c r="MS191" s="61"/>
      <c r="MT191" s="61"/>
      <c r="MU191" s="61"/>
      <c r="MV191" s="61"/>
      <c r="MW191" s="61"/>
      <c r="MX191" s="61"/>
      <c r="MY191" s="61"/>
      <c r="MZ191" s="61"/>
      <c r="NA191" s="61"/>
      <c r="NB191" s="61"/>
      <c r="NC191" s="61"/>
      <c r="ND191" s="61"/>
      <c r="NE191" s="61"/>
      <c r="NF191" s="61"/>
      <c r="NG191" s="61"/>
      <c r="NH191" s="61"/>
      <c r="NI191" s="61"/>
      <c r="NJ191" s="61"/>
      <c r="NK191" s="61"/>
      <c r="NL191" s="61"/>
      <c r="NM191" s="61"/>
      <c r="NN191" s="61"/>
      <c r="NO191" s="61"/>
      <c r="NP191" s="61"/>
      <c r="NQ191" s="61"/>
      <c r="NR191" s="61"/>
      <c r="NS191" s="61"/>
      <c r="NT191" s="61"/>
      <c r="NU191" s="61"/>
      <c r="NV191" s="61"/>
      <c r="NW191" s="61"/>
      <c r="NX191" s="61"/>
      <c r="NY191" s="61"/>
      <c r="NZ191" s="61"/>
      <c r="OA191" s="61"/>
      <c r="OB191" s="61"/>
      <c r="OC191" s="61"/>
      <c r="OD191" s="61"/>
      <c r="OE191" s="61"/>
      <c r="OF191" s="61"/>
      <c r="OG191" s="61"/>
      <c r="OH191" s="61"/>
      <c r="OI191" s="61"/>
      <c r="OJ191" s="61"/>
      <c r="OK191" s="61"/>
      <c r="OL191" s="61"/>
      <c r="OM191" s="61"/>
      <c r="ON191" s="61"/>
      <c r="OO191" s="61"/>
      <c r="OP191" s="61"/>
      <c r="OQ191" s="61"/>
      <c r="OR191" s="61"/>
      <c r="OS191" s="61"/>
      <c r="OT191" s="61"/>
      <c r="OU191" s="61"/>
      <c r="OV191" s="61"/>
      <c r="OW191" s="61"/>
      <c r="OX191" s="61"/>
      <c r="OY191" s="61"/>
      <c r="OZ191" s="61"/>
      <c r="PA191" s="61"/>
      <c r="PB191" s="61"/>
      <c r="PC191" s="61"/>
      <c r="PD191" s="61"/>
      <c r="PE191" s="61"/>
      <c r="PF191" s="61"/>
      <c r="PG191" s="61"/>
      <c r="PH191" s="61"/>
      <c r="PI191" s="61"/>
      <c r="PJ191" s="61"/>
      <c r="PK191" s="61"/>
      <c r="PL191" s="61"/>
      <c r="PM191" s="61"/>
      <c r="PN191" s="61"/>
      <c r="PO191" s="61"/>
      <c r="PP191" s="61"/>
      <c r="PQ191" s="61"/>
      <c r="PR191" s="61"/>
      <c r="PS191" s="61"/>
      <c r="PT191" s="61"/>
      <c r="PU191" s="61"/>
      <c r="PV191" s="61"/>
      <c r="PW191" s="61"/>
      <c r="PX191" s="61"/>
      <c r="PY191" s="61"/>
      <c r="PZ191" s="61"/>
      <c r="QA191" s="61"/>
      <c r="QB191" s="61"/>
      <c r="QC191" s="61"/>
      <c r="QD191" s="61"/>
      <c r="QE191" s="61"/>
      <c r="QF191" s="61"/>
      <c r="QG191" s="61"/>
      <c r="QH191" s="61"/>
      <c r="QI191" s="61"/>
      <c r="QJ191" s="61"/>
      <c r="QK191" s="61"/>
      <c r="QL191" s="61"/>
      <c r="QM191" s="61"/>
      <c r="QN191" s="61"/>
      <c r="QO191" s="61"/>
      <c r="QP191" s="61"/>
      <c r="QQ191" s="61"/>
      <c r="QR191" s="61"/>
      <c r="QS191" s="61"/>
      <c r="QT191" s="61"/>
      <c r="QU191" s="61"/>
      <c r="QV191" s="61"/>
      <c r="QW191" s="61"/>
      <c r="QX191" s="61"/>
      <c r="QY191" s="61"/>
      <c r="QZ191" s="61"/>
      <c r="RA191" s="61"/>
      <c r="RB191" s="61"/>
      <c r="RC191" s="61"/>
      <c r="RD191" s="61"/>
      <c r="RE191" s="61"/>
      <c r="RF191" s="61"/>
      <c r="RG191" s="61"/>
      <c r="RH191" s="61"/>
      <c r="RI191" s="61"/>
      <c r="RJ191" s="61"/>
      <c r="RK191" s="61"/>
      <c r="RL191" s="61"/>
      <c r="RM191" s="61"/>
      <c r="RN191" s="61"/>
      <c r="RO191" s="61"/>
      <c r="RP191" s="61"/>
      <c r="RQ191" s="61"/>
      <c r="RR191" s="61"/>
      <c r="RS191" s="61"/>
      <c r="RT191" s="61"/>
      <c r="RU191" s="61"/>
      <c r="RV191" s="61"/>
      <c r="RW191" s="61"/>
      <c r="RX191" s="61"/>
      <c r="RY191" s="61"/>
      <c r="RZ191" s="61"/>
      <c r="SA191" s="61"/>
      <c r="SB191" s="61"/>
      <c r="SC191" s="61"/>
      <c r="SD191" s="61"/>
      <c r="SE191" s="61"/>
      <c r="SF191" s="61"/>
      <c r="SG191" s="61"/>
      <c r="SH191" s="61"/>
      <c r="SI191" s="61"/>
      <c r="SJ191" s="61"/>
      <c r="SK191" s="61"/>
      <c r="SL191" s="61"/>
      <c r="SM191" s="61"/>
      <c r="SN191" s="61"/>
      <c r="SO191" s="61"/>
      <c r="SP191" s="61"/>
      <c r="SQ191" s="61"/>
      <c r="SR191" s="61"/>
      <c r="SS191" s="61"/>
      <c r="ST191" s="61"/>
      <c r="SU191" s="61"/>
      <c r="SV191" s="61"/>
      <c r="SW191" s="61"/>
      <c r="SX191" s="61"/>
      <c r="SY191" s="61"/>
      <c r="SZ191" s="61"/>
      <c r="TA191" s="61"/>
      <c r="TB191" s="61"/>
      <c r="TC191" s="61"/>
      <c r="TD191" s="61"/>
      <c r="TE191" s="61"/>
      <c r="TF191" s="61"/>
      <c r="TG191" s="61"/>
      <c r="TH191" s="61"/>
      <c r="TI191" s="61"/>
      <c r="TJ191" s="61"/>
      <c r="TK191" s="61"/>
      <c r="TL191" s="61"/>
      <c r="TM191" s="61"/>
      <c r="TN191" s="61"/>
      <c r="TO191" s="61"/>
      <c r="TP191" s="61"/>
      <c r="TQ191" s="61"/>
      <c r="TR191" s="61"/>
      <c r="TS191" s="61"/>
      <c r="TT191" s="61"/>
      <c r="TU191" s="61"/>
      <c r="TV191" s="61"/>
      <c r="TW191" s="61"/>
      <c r="TX191" s="61"/>
      <c r="TY191" s="61"/>
      <c r="TZ191" s="61"/>
      <c r="UA191" s="61"/>
      <c r="UB191" s="61"/>
      <c r="UC191" s="61"/>
      <c r="UD191" s="61"/>
      <c r="UE191" s="61"/>
      <c r="UF191" s="61"/>
      <c r="UG191" s="61"/>
      <c r="UH191" s="61"/>
      <c r="UI191" s="61"/>
      <c r="UJ191" s="61"/>
      <c r="UK191" s="61"/>
      <c r="UL191" s="61"/>
      <c r="UM191" s="61"/>
      <c r="UN191" s="61"/>
      <c r="UO191" s="61"/>
      <c r="UP191" s="61"/>
      <c r="UQ191" s="61"/>
      <c r="UR191" s="61"/>
      <c r="US191" s="61"/>
      <c r="UT191" s="61"/>
      <c r="UU191" s="61"/>
      <c r="UV191" s="61"/>
      <c r="UW191" s="61"/>
      <c r="UX191" s="61"/>
      <c r="UY191" s="61"/>
      <c r="UZ191" s="61"/>
      <c r="VA191" s="61"/>
      <c r="VB191" s="61"/>
      <c r="VC191" s="61"/>
    </row>
    <row r="192" spans="1:575" s="55" customFormat="1" ht="23.25" customHeight="1" x14ac:dyDescent="0.25">
      <c r="A192" s="53" t="s">
        <v>342</v>
      </c>
      <c r="B192" s="102" t="str">
        <f>'дод 2'!A226</f>
        <v>9770</v>
      </c>
      <c r="C192" s="102" t="str">
        <f>'дод 2'!B226</f>
        <v>0180</v>
      </c>
      <c r="D192" s="56" t="str">
        <f>'дод 2'!C226</f>
        <v xml:space="preserve">Інші субвенції з місцевого бюджету </v>
      </c>
      <c r="E192" s="132">
        <f t="shared" si="26"/>
        <v>814000</v>
      </c>
      <c r="F192" s="132">
        <f>664000+150000</f>
        <v>814000</v>
      </c>
      <c r="G192" s="132"/>
      <c r="H192" s="132"/>
      <c r="I192" s="132"/>
      <c r="J192" s="132">
        <f t="shared" si="28"/>
        <v>0</v>
      </c>
      <c r="K192" s="132"/>
      <c r="L192" s="132"/>
      <c r="M192" s="132"/>
      <c r="N192" s="132"/>
      <c r="O192" s="132"/>
      <c r="P192" s="132">
        <f t="shared" si="27"/>
        <v>814000</v>
      </c>
      <c r="Q192" s="159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  <c r="KO192" s="61"/>
      <c r="KP192" s="61"/>
      <c r="KQ192" s="61"/>
      <c r="KR192" s="61"/>
      <c r="KS192" s="61"/>
      <c r="KT192" s="61"/>
      <c r="KU192" s="61"/>
      <c r="KV192" s="61"/>
      <c r="KW192" s="61"/>
      <c r="KX192" s="61"/>
      <c r="KY192" s="61"/>
      <c r="KZ192" s="61"/>
      <c r="LA192" s="61"/>
      <c r="LB192" s="61"/>
      <c r="LC192" s="61"/>
      <c r="LD192" s="61"/>
      <c r="LE192" s="61"/>
      <c r="LF192" s="61"/>
      <c r="LG192" s="61"/>
      <c r="LH192" s="61"/>
      <c r="LI192" s="61"/>
      <c r="LJ192" s="61"/>
      <c r="LK192" s="61"/>
      <c r="LL192" s="61"/>
      <c r="LM192" s="61"/>
      <c r="LN192" s="61"/>
      <c r="LO192" s="61"/>
      <c r="LP192" s="61"/>
      <c r="LQ192" s="61"/>
      <c r="LR192" s="61"/>
      <c r="LS192" s="61"/>
      <c r="LT192" s="61"/>
      <c r="LU192" s="61"/>
      <c r="LV192" s="61"/>
      <c r="LW192" s="61"/>
      <c r="LX192" s="61"/>
      <c r="LY192" s="61"/>
      <c r="LZ192" s="61"/>
      <c r="MA192" s="61"/>
      <c r="MB192" s="61"/>
      <c r="MC192" s="61"/>
      <c r="MD192" s="61"/>
      <c r="ME192" s="61"/>
      <c r="MF192" s="61"/>
      <c r="MG192" s="61"/>
      <c r="MH192" s="61"/>
      <c r="MI192" s="61"/>
      <c r="MJ192" s="61"/>
      <c r="MK192" s="61"/>
      <c r="ML192" s="61"/>
      <c r="MM192" s="61"/>
      <c r="MN192" s="61"/>
      <c r="MO192" s="61"/>
      <c r="MP192" s="61"/>
      <c r="MQ192" s="61"/>
      <c r="MR192" s="61"/>
      <c r="MS192" s="61"/>
      <c r="MT192" s="61"/>
      <c r="MU192" s="61"/>
      <c r="MV192" s="61"/>
      <c r="MW192" s="61"/>
      <c r="MX192" s="61"/>
      <c r="MY192" s="61"/>
      <c r="MZ192" s="61"/>
      <c r="NA192" s="61"/>
      <c r="NB192" s="61"/>
      <c r="NC192" s="61"/>
      <c r="ND192" s="61"/>
      <c r="NE192" s="61"/>
      <c r="NF192" s="61"/>
      <c r="NG192" s="61"/>
      <c r="NH192" s="61"/>
      <c r="NI192" s="61"/>
      <c r="NJ192" s="61"/>
      <c r="NK192" s="61"/>
      <c r="NL192" s="61"/>
      <c r="NM192" s="61"/>
      <c r="NN192" s="61"/>
      <c r="NO192" s="61"/>
      <c r="NP192" s="61"/>
      <c r="NQ192" s="61"/>
      <c r="NR192" s="61"/>
      <c r="NS192" s="61"/>
      <c r="NT192" s="61"/>
      <c r="NU192" s="61"/>
      <c r="NV192" s="61"/>
      <c r="NW192" s="61"/>
      <c r="NX192" s="61"/>
      <c r="NY192" s="61"/>
      <c r="NZ192" s="61"/>
      <c r="OA192" s="61"/>
      <c r="OB192" s="61"/>
      <c r="OC192" s="61"/>
      <c r="OD192" s="61"/>
      <c r="OE192" s="61"/>
      <c r="OF192" s="61"/>
      <c r="OG192" s="61"/>
      <c r="OH192" s="61"/>
      <c r="OI192" s="61"/>
      <c r="OJ192" s="61"/>
      <c r="OK192" s="61"/>
      <c r="OL192" s="61"/>
      <c r="OM192" s="61"/>
      <c r="ON192" s="61"/>
      <c r="OO192" s="61"/>
      <c r="OP192" s="61"/>
      <c r="OQ192" s="61"/>
      <c r="OR192" s="61"/>
      <c r="OS192" s="61"/>
      <c r="OT192" s="61"/>
      <c r="OU192" s="61"/>
      <c r="OV192" s="61"/>
      <c r="OW192" s="61"/>
      <c r="OX192" s="61"/>
      <c r="OY192" s="61"/>
      <c r="OZ192" s="61"/>
      <c r="PA192" s="61"/>
      <c r="PB192" s="61"/>
      <c r="PC192" s="61"/>
      <c r="PD192" s="61"/>
      <c r="PE192" s="61"/>
      <c r="PF192" s="61"/>
      <c r="PG192" s="61"/>
      <c r="PH192" s="61"/>
      <c r="PI192" s="61"/>
      <c r="PJ192" s="61"/>
      <c r="PK192" s="61"/>
      <c r="PL192" s="61"/>
      <c r="PM192" s="61"/>
      <c r="PN192" s="61"/>
      <c r="PO192" s="61"/>
      <c r="PP192" s="61"/>
      <c r="PQ192" s="61"/>
      <c r="PR192" s="61"/>
      <c r="PS192" s="61"/>
      <c r="PT192" s="61"/>
      <c r="PU192" s="61"/>
      <c r="PV192" s="61"/>
      <c r="PW192" s="61"/>
      <c r="PX192" s="61"/>
      <c r="PY192" s="61"/>
      <c r="PZ192" s="61"/>
      <c r="QA192" s="61"/>
      <c r="QB192" s="61"/>
      <c r="QC192" s="61"/>
      <c r="QD192" s="61"/>
      <c r="QE192" s="61"/>
      <c r="QF192" s="61"/>
      <c r="QG192" s="61"/>
      <c r="QH192" s="61"/>
      <c r="QI192" s="61"/>
      <c r="QJ192" s="61"/>
      <c r="QK192" s="61"/>
      <c r="QL192" s="61"/>
      <c r="QM192" s="61"/>
      <c r="QN192" s="61"/>
      <c r="QO192" s="61"/>
      <c r="QP192" s="61"/>
      <c r="QQ192" s="61"/>
      <c r="QR192" s="61"/>
      <c r="QS192" s="61"/>
      <c r="QT192" s="61"/>
      <c r="QU192" s="61"/>
      <c r="QV192" s="61"/>
      <c r="QW192" s="61"/>
      <c r="QX192" s="61"/>
      <c r="QY192" s="61"/>
      <c r="QZ192" s="61"/>
      <c r="RA192" s="61"/>
      <c r="RB192" s="61"/>
      <c r="RC192" s="61"/>
      <c r="RD192" s="61"/>
      <c r="RE192" s="61"/>
      <c r="RF192" s="61"/>
      <c r="RG192" s="61"/>
      <c r="RH192" s="61"/>
      <c r="RI192" s="61"/>
      <c r="RJ192" s="61"/>
      <c r="RK192" s="61"/>
      <c r="RL192" s="61"/>
      <c r="RM192" s="61"/>
      <c r="RN192" s="61"/>
      <c r="RO192" s="61"/>
      <c r="RP192" s="61"/>
      <c r="RQ192" s="61"/>
      <c r="RR192" s="61"/>
      <c r="RS192" s="61"/>
      <c r="RT192" s="61"/>
      <c r="RU192" s="61"/>
      <c r="RV192" s="61"/>
      <c r="RW192" s="61"/>
      <c r="RX192" s="61"/>
      <c r="RY192" s="61"/>
      <c r="RZ192" s="61"/>
      <c r="SA192" s="61"/>
      <c r="SB192" s="61"/>
      <c r="SC192" s="61"/>
      <c r="SD192" s="61"/>
      <c r="SE192" s="61"/>
      <c r="SF192" s="61"/>
      <c r="SG192" s="61"/>
      <c r="SH192" s="61"/>
      <c r="SI192" s="61"/>
      <c r="SJ192" s="61"/>
      <c r="SK192" s="61"/>
      <c r="SL192" s="61"/>
      <c r="SM192" s="61"/>
      <c r="SN192" s="61"/>
      <c r="SO192" s="61"/>
      <c r="SP192" s="61"/>
      <c r="SQ192" s="61"/>
      <c r="SR192" s="61"/>
      <c r="SS192" s="61"/>
      <c r="ST192" s="61"/>
      <c r="SU192" s="61"/>
      <c r="SV192" s="61"/>
      <c r="SW192" s="61"/>
      <c r="SX192" s="61"/>
      <c r="SY192" s="61"/>
      <c r="SZ192" s="61"/>
      <c r="TA192" s="61"/>
      <c r="TB192" s="61"/>
      <c r="TC192" s="61"/>
      <c r="TD192" s="61"/>
      <c r="TE192" s="61"/>
      <c r="TF192" s="61"/>
      <c r="TG192" s="61"/>
      <c r="TH192" s="61"/>
      <c r="TI192" s="61"/>
      <c r="TJ192" s="61"/>
      <c r="TK192" s="61"/>
      <c r="TL192" s="61"/>
      <c r="TM192" s="61"/>
      <c r="TN192" s="61"/>
      <c r="TO192" s="61"/>
      <c r="TP192" s="61"/>
      <c r="TQ192" s="61"/>
      <c r="TR192" s="61"/>
      <c r="TS192" s="61"/>
      <c r="TT192" s="61"/>
      <c r="TU192" s="61"/>
      <c r="TV192" s="61"/>
      <c r="TW192" s="61"/>
      <c r="TX192" s="61"/>
      <c r="TY192" s="61"/>
      <c r="TZ192" s="61"/>
      <c r="UA192" s="61"/>
      <c r="UB192" s="61"/>
      <c r="UC192" s="61"/>
      <c r="UD192" s="61"/>
      <c r="UE192" s="61"/>
      <c r="UF192" s="61"/>
      <c r="UG192" s="61"/>
      <c r="UH192" s="61"/>
      <c r="UI192" s="61"/>
      <c r="UJ192" s="61"/>
      <c r="UK192" s="61"/>
      <c r="UL192" s="61"/>
      <c r="UM192" s="61"/>
      <c r="UN192" s="61"/>
      <c r="UO192" s="61"/>
      <c r="UP192" s="61"/>
      <c r="UQ192" s="61"/>
      <c r="UR192" s="61"/>
      <c r="US192" s="61"/>
      <c r="UT192" s="61"/>
      <c r="UU192" s="61"/>
      <c r="UV192" s="61"/>
      <c r="UW192" s="61"/>
      <c r="UX192" s="61"/>
      <c r="UY192" s="61"/>
      <c r="UZ192" s="61"/>
      <c r="VA192" s="61"/>
      <c r="VB192" s="61"/>
      <c r="VC192" s="61"/>
    </row>
    <row r="193" spans="1:575" s="72" customFormat="1" ht="21" customHeight="1" x14ac:dyDescent="0.2">
      <c r="A193" s="77" t="s">
        <v>253</v>
      </c>
      <c r="B193" s="109"/>
      <c r="C193" s="109"/>
      <c r="D193" s="71" t="s">
        <v>51</v>
      </c>
      <c r="E193" s="134">
        <f>E194</f>
        <v>4549036</v>
      </c>
      <c r="F193" s="134">
        <f t="shared" ref="F193:P193" si="29">F194</f>
        <v>4549036</v>
      </c>
      <c r="G193" s="134">
        <f t="shared" si="29"/>
        <v>3447375</v>
      </c>
      <c r="H193" s="134">
        <f t="shared" si="29"/>
        <v>46720</v>
      </c>
      <c r="I193" s="134">
        <f t="shared" si="29"/>
        <v>0</v>
      </c>
      <c r="J193" s="134">
        <f t="shared" si="29"/>
        <v>570300</v>
      </c>
      <c r="K193" s="134">
        <f t="shared" si="29"/>
        <v>570300</v>
      </c>
      <c r="L193" s="134">
        <f t="shared" si="29"/>
        <v>0</v>
      </c>
      <c r="M193" s="134">
        <f t="shared" si="29"/>
        <v>0</v>
      </c>
      <c r="N193" s="134">
        <f t="shared" si="29"/>
        <v>0</v>
      </c>
      <c r="O193" s="134">
        <f t="shared" si="29"/>
        <v>570300</v>
      </c>
      <c r="P193" s="134">
        <f t="shared" si="29"/>
        <v>5119336</v>
      </c>
      <c r="Q193" s="159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  <c r="BH193" s="90"/>
      <c r="BI193" s="90"/>
      <c r="BJ193" s="90"/>
      <c r="BK193" s="90"/>
      <c r="BL193" s="90"/>
      <c r="BM193" s="90"/>
      <c r="BN193" s="90"/>
      <c r="BO193" s="90"/>
      <c r="BP193" s="90"/>
      <c r="BQ193" s="90"/>
      <c r="BR193" s="90"/>
      <c r="BS193" s="90"/>
      <c r="BT193" s="90"/>
      <c r="BU193" s="90"/>
      <c r="BV193" s="90"/>
      <c r="BW193" s="90"/>
      <c r="BX193" s="90"/>
      <c r="BY193" s="90"/>
      <c r="BZ193" s="90"/>
      <c r="CA193" s="90"/>
      <c r="CB193" s="90"/>
      <c r="CC193" s="90"/>
      <c r="CD193" s="90"/>
      <c r="CE193" s="90"/>
      <c r="CF193" s="90"/>
      <c r="CG193" s="90"/>
      <c r="CH193" s="90"/>
      <c r="CI193" s="90"/>
      <c r="CJ193" s="90"/>
      <c r="CK193" s="90"/>
      <c r="CL193" s="90"/>
      <c r="CM193" s="90"/>
      <c r="CN193" s="90"/>
      <c r="CO193" s="90"/>
      <c r="CP193" s="90"/>
      <c r="CQ193" s="90"/>
      <c r="CR193" s="90"/>
      <c r="CS193" s="90"/>
      <c r="CT193" s="90"/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  <c r="EA193" s="90"/>
      <c r="EB193" s="90"/>
      <c r="EC193" s="90"/>
      <c r="ED193" s="90"/>
      <c r="EE193" s="90"/>
      <c r="EF193" s="90"/>
      <c r="EG193" s="90"/>
      <c r="EH193" s="90"/>
      <c r="EI193" s="90"/>
      <c r="EJ193" s="90"/>
      <c r="EK193" s="90"/>
      <c r="EL193" s="90"/>
      <c r="EM193" s="90"/>
      <c r="EN193" s="90"/>
      <c r="EO193" s="90"/>
      <c r="EP193" s="90"/>
      <c r="EQ193" s="90"/>
      <c r="ER193" s="90"/>
      <c r="ES193" s="90"/>
      <c r="ET193" s="90"/>
      <c r="EU193" s="90"/>
      <c r="EV193" s="90"/>
      <c r="EW193" s="90"/>
      <c r="EX193" s="90"/>
      <c r="EY193" s="90"/>
      <c r="EZ193" s="90"/>
      <c r="FA193" s="90"/>
      <c r="FB193" s="90"/>
      <c r="FC193" s="90"/>
      <c r="FD193" s="90"/>
      <c r="FE193" s="90"/>
      <c r="FF193" s="90"/>
      <c r="FG193" s="90"/>
      <c r="FH193" s="90"/>
      <c r="FI193" s="90"/>
      <c r="FJ193" s="90"/>
      <c r="FK193" s="90"/>
      <c r="FL193" s="90"/>
      <c r="FM193" s="90"/>
      <c r="FN193" s="90"/>
      <c r="FO193" s="90"/>
      <c r="FP193" s="90"/>
      <c r="FQ193" s="90"/>
      <c r="FR193" s="90"/>
      <c r="FS193" s="90"/>
      <c r="FT193" s="90"/>
      <c r="FU193" s="90"/>
      <c r="FV193" s="90"/>
      <c r="FW193" s="90"/>
      <c r="FX193" s="90"/>
      <c r="FY193" s="90"/>
      <c r="FZ193" s="90"/>
      <c r="GA193" s="90"/>
      <c r="GB193" s="90"/>
      <c r="GC193" s="90"/>
      <c r="GD193" s="90"/>
      <c r="GE193" s="90"/>
      <c r="GF193" s="90"/>
      <c r="GG193" s="90"/>
      <c r="GH193" s="90"/>
      <c r="GI193" s="90"/>
      <c r="GJ193" s="90"/>
      <c r="GK193" s="90"/>
      <c r="GL193" s="90"/>
      <c r="GM193" s="90"/>
      <c r="GN193" s="90"/>
      <c r="GO193" s="90"/>
      <c r="GP193" s="90"/>
      <c r="GQ193" s="90"/>
      <c r="GR193" s="90"/>
      <c r="GS193" s="90"/>
      <c r="GT193" s="90"/>
      <c r="GU193" s="90"/>
      <c r="GV193" s="90"/>
      <c r="GW193" s="90"/>
      <c r="GX193" s="90"/>
      <c r="GY193" s="90"/>
      <c r="GZ193" s="90"/>
      <c r="HA193" s="90"/>
      <c r="HB193" s="90"/>
      <c r="HC193" s="90"/>
      <c r="HD193" s="90"/>
      <c r="HE193" s="90"/>
      <c r="HF193" s="90"/>
      <c r="HG193" s="90"/>
      <c r="HH193" s="90"/>
      <c r="HI193" s="90"/>
      <c r="HJ193" s="90"/>
      <c r="HK193" s="90"/>
      <c r="HL193" s="90"/>
      <c r="HM193" s="90"/>
      <c r="HN193" s="90"/>
      <c r="HO193" s="90"/>
      <c r="HP193" s="90"/>
      <c r="HQ193" s="90"/>
      <c r="HR193" s="90"/>
      <c r="HS193" s="90"/>
      <c r="HT193" s="90"/>
      <c r="HU193" s="90"/>
      <c r="HV193" s="90"/>
      <c r="HW193" s="90"/>
      <c r="HX193" s="90"/>
      <c r="HY193" s="90"/>
      <c r="HZ193" s="90"/>
      <c r="IA193" s="90"/>
      <c r="IB193" s="90"/>
      <c r="IC193" s="90"/>
      <c r="ID193" s="90"/>
      <c r="IE193" s="90"/>
      <c r="IF193" s="90"/>
      <c r="IG193" s="90"/>
      <c r="IH193" s="90"/>
      <c r="II193" s="90"/>
      <c r="IJ193" s="90"/>
      <c r="IK193" s="90"/>
      <c r="IL193" s="90"/>
      <c r="IM193" s="90"/>
      <c r="IN193" s="90"/>
      <c r="IO193" s="90"/>
      <c r="IP193" s="90"/>
      <c r="IQ193" s="90"/>
      <c r="IR193" s="90"/>
      <c r="IS193" s="90"/>
      <c r="IT193" s="90"/>
      <c r="IU193" s="90"/>
      <c r="IV193" s="90"/>
      <c r="IW193" s="90"/>
      <c r="IX193" s="90"/>
      <c r="IY193" s="90"/>
      <c r="IZ193" s="90"/>
      <c r="JA193" s="90"/>
      <c r="JB193" s="90"/>
      <c r="JC193" s="90"/>
      <c r="JD193" s="90"/>
      <c r="JE193" s="90"/>
      <c r="JF193" s="90"/>
      <c r="JG193" s="90"/>
      <c r="JH193" s="90"/>
      <c r="JI193" s="90"/>
      <c r="JJ193" s="90"/>
      <c r="JK193" s="90"/>
      <c r="JL193" s="90"/>
      <c r="JM193" s="90"/>
      <c r="JN193" s="90"/>
      <c r="JO193" s="90"/>
      <c r="JP193" s="90"/>
      <c r="JQ193" s="90"/>
      <c r="JR193" s="90"/>
      <c r="JS193" s="90"/>
      <c r="JT193" s="90"/>
      <c r="JU193" s="90"/>
      <c r="JV193" s="90"/>
      <c r="JW193" s="90"/>
      <c r="JX193" s="90"/>
      <c r="JY193" s="90"/>
      <c r="JZ193" s="90"/>
      <c r="KA193" s="90"/>
      <c r="KB193" s="90"/>
      <c r="KC193" s="90"/>
      <c r="KD193" s="90"/>
      <c r="KE193" s="90"/>
      <c r="KF193" s="90"/>
      <c r="KG193" s="90"/>
      <c r="KH193" s="90"/>
      <c r="KI193" s="90"/>
      <c r="KJ193" s="90"/>
      <c r="KK193" s="90"/>
      <c r="KL193" s="90"/>
      <c r="KM193" s="90"/>
      <c r="KN193" s="90"/>
      <c r="KO193" s="90"/>
      <c r="KP193" s="90"/>
      <c r="KQ193" s="90"/>
      <c r="KR193" s="90"/>
      <c r="KS193" s="90"/>
      <c r="KT193" s="90"/>
      <c r="KU193" s="90"/>
      <c r="KV193" s="90"/>
      <c r="KW193" s="90"/>
      <c r="KX193" s="90"/>
      <c r="KY193" s="90"/>
      <c r="KZ193" s="90"/>
      <c r="LA193" s="90"/>
      <c r="LB193" s="90"/>
      <c r="LC193" s="90"/>
      <c r="LD193" s="90"/>
      <c r="LE193" s="90"/>
      <c r="LF193" s="90"/>
      <c r="LG193" s="90"/>
      <c r="LH193" s="90"/>
      <c r="LI193" s="90"/>
      <c r="LJ193" s="90"/>
      <c r="LK193" s="90"/>
      <c r="LL193" s="90"/>
      <c r="LM193" s="90"/>
      <c r="LN193" s="90"/>
      <c r="LO193" s="90"/>
      <c r="LP193" s="90"/>
      <c r="LQ193" s="90"/>
      <c r="LR193" s="90"/>
      <c r="LS193" s="90"/>
      <c r="LT193" s="90"/>
      <c r="LU193" s="90"/>
      <c r="LV193" s="90"/>
      <c r="LW193" s="90"/>
      <c r="LX193" s="90"/>
      <c r="LY193" s="90"/>
      <c r="LZ193" s="90"/>
      <c r="MA193" s="90"/>
      <c r="MB193" s="90"/>
      <c r="MC193" s="90"/>
      <c r="MD193" s="90"/>
      <c r="ME193" s="90"/>
      <c r="MF193" s="90"/>
      <c r="MG193" s="90"/>
      <c r="MH193" s="90"/>
      <c r="MI193" s="90"/>
      <c r="MJ193" s="90"/>
      <c r="MK193" s="90"/>
      <c r="ML193" s="90"/>
      <c r="MM193" s="90"/>
      <c r="MN193" s="90"/>
      <c r="MO193" s="90"/>
      <c r="MP193" s="90"/>
      <c r="MQ193" s="90"/>
      <c r="MR193" s="90"/>
      <c r="MS193" s="90"/>
      <c r="MT193" s="90"/>
      <c r="MU193" s="90"/>
      <c r="MV193" s="90"/>
      <c r="MW193" s="90"/>
      <c r="MX193" s="90"/>
      <c r="MY193" s="90"/>
      <c r="MZ193" s="90"/>
      <c r="NA193" s="90"/>
      <c r="NB193" s="90"/>
      <c r="NC193" s="90"/>
      <c r="ND193" s="90"/>
      <c r="NE193" s="90"/>
      <c r="NF193" s="90"/>
      <c r="NG193" s="90"/>
      <c r="NH193" s="90"/>
      <c r="NI193" s="90"/>
      <c r="NJ193" s="90"/>
      <c r="NK193" s="90"/>
      <c r="NL193" s="90"/>
      <c r="NM193" s="90"/>
      <c r="NN193" s="90"/>
      <c r="NO193" s="90"/>
      <c r="NP193" s="90"/>
      <c r="NQ193" s="90"/>
      <c r="NR193" s="90"/>
      <c r="NS193" s="90"/>
      <c r="NT193" s="90"/>
      <c r="NU193" s="90"/>
      <c r="NV193" s="90"/>
      <c r="NW193" s="90"/>
      <c r="NX193" s="90"/>
      <c r="NY193" s="90"/>
      <c r="NZ193" s="90"/>
      <c r="OA193" s="90"/>
      <c r="OB193" s="90"/>
      <c r="OC193" s="90"/>
      <c r="OD193" s="90"/>
      <c r="OE193" s="90"/>
      <c r="OF193" s="90"/>
      <c r="OG193" s="90"/>
      <c r="OH193" s="90"/>
      <c r="OI193" s="90"/>
      <c r="OJ193" s="90"/>
      <c r="OK193" s="90"/>
      <c r="OL193" s="90"/>
      <c r="OM193" s="90"/>
      <c r="ON193" s="90"/>
      <c r="OO193" s="90"/>
      <c r="OP193" s="90"/>
      <c r="OQ193" s="90"/>
      <c r="OR193" s="90"/>
      <c r="OS193" s="90"/>
      <c r="OT193" s="90"/>
      <c r="OU193" s="90"/>
      <c r="OV193" s="90"/>
      <c r="OW193" s="90"/>
      <c r="OX193" s="90"/>
      <c r="OY193" s="90"/>
      <c r="OZ193" s="90"/>
      <c r="PA193" s="90"/>
      <c r="PB193" s="90"/>
      <c r="PC193" s="90"/>
      <c r="PD193" s="90"/>
      <c r="PE193" s="90"/>
      <c r="PF193" s="90"/>
      <c r="PG193" s="90"/>
      <c r="PH193" s="90"/>
      <c r="PI193" s="90"/>
      <c r="PJ193" s="90"/>
      <c r="PK193" s="90"/>
      <c r="PL193" s="90"/>
      <c r="PM193" s="90"/>
      <c r="PN193" s="90"/>
      <c r="PO193" s="90"/>
      <c r="PP193" s="90"/>
      <c r="PQ193" s="90"/>
      <c r="PR193" s="90"/>
      <c r="PS193" s="90"/>
      <c r="PT193" s="90"/>
      <c r="PU193" s="90"/>
      <c r="PV193" s="90"/>
      <c r="PW193" s="90"/>
      <c r="PX193" s="90"/>
      <c r="PY193" s="90"/>
      <c r="PZ193" s="90"/>
      <c r="QA193" s="90"/>
      <c r="QB193" s="90"/>
      <c r="QC193" s="90"/>
      <c r="QD193" s="90"/>
      <c r="QE193" s="90"/>
      <c r="QF193" s="90"/>
      <c r="QG193" s="90"/>
      <c r="QH193" s="90"/>
      <c r="QI193" s="90"/>
      <c r="QJ193" s="90"/>
      <c r="QK193" s="90"/>
      <c r="QL193" s="90"/>
      <c r="QM193" s="90"/>
      <c r="QN193" s="90"/>
      <c r="QO193" s="90"/>
      <c r="QP193" s="90"/>
      <c r="QQ193" s="90"/>
      <c r="QR193" s="90"/>
      <c r="QS193" s="90"/>
      <c r="QT193" s="90"/>
      <c r="QU193" s="90"/>
      <c r="QV193" s="90"/>
      <c r="QW193" s="90"/>
      <c r="QX193" s="90"/>
      <c r="QY193" s="90"/>
      <c r="QZ193" s="90"/>
      <c r="RA193" s="90"/>
      <c r="RB193" s="90"/>
      <c r="RC193" s="90"/>
      <c r="RD193" s="90"/>
      <c r="RE193" s="90"/>
      <c r="RF193" s="90"/>
      <c r="RG193" s="90"/>
      <c r="RH193" s="90"/>
      <c r="RI193" s="90"/>
      <c r="RJ193" s="90"/>
      <c r="RK193" s="90"/>
      <c r="RL193" s="90"/>
      <c r="RM193" s="90"/>
      <c r="RN193" s="90"/>
      <c r="RO193" s="90"/>
      <c r="RP193" s="90"/>
      <c r="RQ193" s="90"/>
      <c r="RR193" s="90"/>
      <c r="RS193" s="90"/>
      <c r="RT193" s="90"/>
      <c r="RU193" s="90"/>
      <c r="RV193" s="90"/>
      <c r="RW193" s="90"/>
      <c r="RX193" s="90"/>
      <c r="RY193" s="90"/>
      <c r="RZ193" s="90"/>
      <c r="SA193" s="90"/>
      <c r="SB193" s="90"/>
      <c r="SC193" s="90"/>
      <c r="SD193" s="90"/>
      <c r="SE193" s="90"/>
      <c r="SF193" s="90"/>
      <c r="SG193" s="90"/>
      <c r="SH193" s="90"/>
      <c r="SI193" s="90"/>
      <c r="SJ193" s="90"/>
      <c r="SK193" s="90"/>
      <c r="SL193" s="90"/>
      <c r="SM193" s="90"/>
      <c r="SN193" s="90"/>
      <c r="SO193" s="90"/>
      <c r="SP193" s="90"/>
      <c r="SQ193" s="90"/>
      <c r="SR193" s="90"/>
      <c r="SS193" s="90"/>
      <c r="ST193" s="90"/>
      <c r="SU193" s="90"/>
      <c r="SV193" s="90"/>
      <c r="SW193" s="90"/>
      <c r="SX193" s="90"/>
      <c r="SY193" s="90"/>
      <c r="SZ193" s="90"/>
      <c r="TA193" s="90"/>
      <c r="TB193" s="90"/>
      <c r="TC193" s="90"/>
      <c r="TD193" s="90"/>
      <c r="TE193" s="90"/>
      <c r="TF193" s="90"/>
      <c r="TG193" s="90"/>
      <c r="TH193" s="90"/>
      <c r="TI193" s="90"/>
      <c r="TJ193" s="90"/>
      <c r="TK193" s="90"/>
      <c r="TL193" s="90"/>
      <c r="TM193" s="90"/>
      <c r="TN193" s="90"/>
      <c r="TO193" s="90"/>
      <c r="TP193" s="90"/>
      <c r="TQ193" s="90"/>
      <c r="TR193" s="90"/>
      <c r="TS193" s="90"/>
      <c r="TT193" s="90"/>
      <c r="TU193" s="90"/>
      <c r="TV193" s="90"/>
      <c r="TW193" s="90"/>
      <c r="TX193" s="90"/>
      <c r="TY193" s="90"/>
      <c r="TZ193" s="90"/>
      <c r="UA193" s="90"/>
      <c r="UB193" s="90"/>
      <c r="UC193" s="90"/>
      <c r="UD193" s="90"/>
      <c r="UE193" s="90"/>
      <c r="UF193" s="90"/>
      <c r="UG193" s="90"/>
      <c r="UH193" s="90"/>
      <c r="UI193" s="90"/>
      <c r="UJ193" s="90"/>
      <c r="UK193" s="90"/>
      <c r="UL193" s="90"/>
      <c r="UM193" s="90"/>
      <c r="UN193" s="90"/>
      <c r="UO193" s="90"/>
      <c r="UP193" s="90"/>
      <c r="UQ193" s="90"/>
      <c r="UR193" s="90"/>
      <c r="US193" s="90"/>
      <c r="UT193" s="90"/>
      <c r="UU193" s="90"/>
      <c r="UV193" s="90"/>
      <c r="UW193" s="90"/>
      <c r="UX193" s="90"/>
      <c r="UY193" s="90"/>
      <c r="UZ193" s="90"/>
      <c r="VA193" s="90"/>
      <c r="VB193" s="90"/>
      <c r="VC193" s="90"/>
    </row>
    <row r="194" spans="1:575" s="92" customFormat="1" ht="21.75" customHeight="1" x14ac:dyDescent="0.25">
      <c r="A194" s="78" t="s">
        <v>254</v>
      </c>
      <c r="B194" s="110"/>
      <c r="C194" s="110"/>
      <c r="D194" s="76" t="s">
        <v>51</v>
      </c>
      <c r="E194" s="131">
        <f>E196+E197+E198+E199</f>
        <v>4549036</v>
      </c>
      <c r="F194" s="131">
        <f t="shared" ref="F194:P194" si="30">F196+F197+F198+F199</f>
        <v>4549036</v>
      </c>
      <c r="G194" s="131">
        <f t="shared" si="30"/>
        <v>3447375</v>
      </c>
      <c r="H194" s="131">
        <f t="shared" si="30"/>
        <v>46720</v>
      </c>
      <c r="I194" s="131">
        <f t="shared" si="30"/>
        <v>0</v>
      </c>
      <c r="J194" s="131">
        <f t="shared" si="30"/>
        <v>570300</v>
      </c>
      <c r="K194" s="131">
        <f>K196+K197+K198+K199</f>
        <v>570300</v>
      </c>
      <c r="L194" s="131">
        <f t="shared" si="30"/>
        <v>0</v>
      </c>
      <c r="M194" s="131">
        <f t="shared" si="30"/>
        <v>0</v>
      </c>
      <c r="N194" s="131">
        <f t="shared" si="30"/>
        <v>0</v>
      </c>
      <c r="O194" s="131">
        <f t="shared" si="30"/>
        <v>570300</v>
      </c>
      <c r="P194" s="131">
        <f t="shared" si="30"/>
        <v>5119336</v>
      </c>
      <c r="Q194" s="159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  <c r="CV194" s="91"/>
      <c r="CW194" s="91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1"/>
      <c r="HT194" s="91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  <c r="IU194" s="91"/>
      <c r="IV194" s="91"/>
      <c r="IW194" s="91"/>
      <c r="IX194" s="91"/>
      <c r="IY194" s="91"/>
      <c r="IZ194" s="91"/>
      <c r="JA194" s="91"/>
      <c r="JB194" s="91"/>
      <c r="JC194" s="91"/>
      <c r="JD194" s="91"/>
      <c r="JE194" s="91"/>
      <c r="JF194" s="91"/>
      <c r="JG194" s="91"/>
      <c r="JH194" s="91"/>
      <c r="JI194" s="91"/>
      <c r="JJ194" s="91"/>
      <c r="JK194" s="91"/>
      <c r="JL194" s="91"/>
      <c r="JM194" s="91"/>
      <c r="JN194" s="91"/>
      <c r="JO194" s="91"/>
      <c r="JP194" s="91"/>
      <c r="JQ194" s="91"/>
      <c r="JR194" s="91"/>
      <c r="JS194" s="91"/>
      <c r="JT194" s="91"/>
      <c r="JU194" s="91"/>
      <c r="JV194" s="91"/>
      <c r="JW194" s="91"/>
      <c r="JX194" s="91"/>
      <c r="JY194" s="91"/>
      <c r="JZ194" s="91"/>
      <c r="KA194" s="91"/>
      <c r="KB194" s="91"/>
      <c r="KC194" s="91"/>
      <c r="KD194" s="91"/>
      <c r="KE194" s="91"/>
      <c r="KF194" s="91"/>
      <c r="KG194" s="91"/>
      <c r="KH194" s="91"/>
      <c r="KI194" s="91"/>
      <c r="KJ194" s="91"/>
      <c r="KK194" s="91"/>
      <c r="KL194" s="91"/>
      <c r="KM194" s="91"/>
      <c r="KN194" s="91"/>
      <c r="KO194" s="91"/>
      <c r="KP194" s="91"/>
      <c r="KQ194" s="91"/>
      <c r="KR194" s="91"/>
      <c r="KS194" s="91"/>
      <c r="KT194" s="91"/>
      <c r="KU194" s="91"/>
      <c r="KV194" s="91"/>
      <c r="KW194" s="91"/>
      <c r="KX194" s="91"/>
      <c r="KY194" s="91"/>
      <c r="KZ194" s="91"/>
      <c r="LA194" s="91"/>
      <c r="LB194" s="91"/>
      <c r="LC194" s="91"/>
      <c r="LD194" s="91"/>
      <c r="LE194" s="91"/>
      <c r="LF194" s="91"/>
      <c r="LG194" s="91"/>
      <c r="LH194" s="91"/>
      <c r="LI194" s="91"/>
      <c r="LJ194" s="91"/>
      <c r="LK194" s="91"/>
      <c r="LL194" s="91"/>
      <c r="LM194" s="91"/>
      <c r="LN194" s="91"/>
      <c r="LO194" s="91"/>
      <c r="LP194" s="91"/>
      <c r="LQ194" s="91"/>
      <c r="LR194" s="91"/>
      <c r="LS194" s="91"/>
      <c r="LT194" s="91"/>
      <c r="LU194" s="91"/>
      <c r="LV194" s="91"/>
      <c r="LW194" s="91"/>
      <c r="LX194" s="91"/>
      <c r="LY194" s="91"/>
      <c r="LZ194" s="91"/>
      <c r="MA194" s="91"/>
      <c r="MB194" s="91"/>
      <c r="MC194" s="91"/>
      <c r="MD194" s="91"/>
      <c r="ME194" s="91"/>
      <c r="MF194" s="91"/>
      <c r="MG194" s="91"/>
      <c r="MH194" s="91"/>
      <c r="MI194" s="91"/>
      <c r="MJ194" s="91"/>
      <c r="MK194" s="91"/>
      <c r="ML194" s="91"/>
      <c r="MM194" s="91"/>
      <c r="MN194" s="91"/>
      <c r="MO194" s="91"/>
      <c r="MP194" s="91"/>
      <c r="MQ194" s="91"/>
      <c r="MR194" s="91"/>
      <c r="MS194" s="91"/>
      <c r="MT194" s="91"/>
      <c r="MU194" s="91"/>
      <c r="MV194" s="91"/>
      <c r="MW194" s="91"/>
      <c r="MX194" s="91"/>
      <c r="MY194" s="91"/>
      <c r="MZ194" s="91"/>
      <c r="NA194" s="91"/>
      <c r="NB194" s="91"/>
      <c r="NC194" s="91"/>
      <c r="ND194" s="91"/>
      <c r="NE194" s="91"/>
      <c r="NF194" s="91"/>
      <c r="NG194" s="91"/>
      <c r="NH194" s="91"/>
      <c r="NI194" s="91"/>
      <c r="NJ194" s="91"/>
      <c r="NK194" s="91"/>
      <c r="NL194" s="91"/>
      <c r="NM194" s="91"/>
      <c r="NN194" s="91"/>
      <c r="NO194" s="91"/>
      <c r="NP194" s="91"/>
      <c r="NQ194" s="91"/>
      <c r="NR194" s="91"/>
      <c r="NS194" s="91"/>
      <c r="NT194" s="91"/>
      <c r="NU194" s="91"/>
      <c r="NV194" s="91"/>
      <c r="NW194" s="91"/>
      <c r="NX194" s="91"/>
      <c r="NY194" s="91"/>
      <c r="NZ194" s="91"/>
      <c r="OA194" s="91"/>
      <c r="OB194" s="91"/>
      <c r="OC194" s="91"/>
      <c r="OD194" s="91"/>
      <c r="OE194" s="91"/>
      <c r="OF194" s="91"/>
      <c r="OG194" s="91"/>
      <c r="OH194" s="91"/>
      <c r="OI194" s="91"/>
      <c r="OJ194" s="91"/>
      <c r="OK194" s="91"/>
      <c r="OL194" s="91"/>
      <c r="OM194" s="91"/>
      <c r="ON194" s="91"/>
      <c r="OO194" s="91"/>
      <c r="OP194" s="91"/>
      <c r="OQ194" s="91"/>
      <c r="OR194" s="91"/>
      <c r="OS194" s="91"/>
      <c r="OT194" s="91"/>
      <c r="OU194" s="91"/>
      <c r="OV194" s="91"/>
      <c r="OW194" s="91"/>
      <c r="OX194" s="91"/>
      <c r="OY194" s="91"/>
      <c r="OZ194" s="91"/>
      <c r="PA194" s="91"/>
      <c r="PB194" s="91"/>
      <c r="PC194" s="91"/>
      <c r="PD194" s="91"/>
      <c r="PE194" s="91"/>
      <c r="PF194" s="91"/>
      <c r="PG194" s="91"/>
      <c r="PH194" s="91"/>
      <c r="PI194" s="91"/>
      <c r="PJ194" s="91"/>
      <c r="PK194" s="91"/>
      <c r="PL194" s="91"/>
      <c r="PM194" s="91"/>
      <c r="PN194" s="91"/>
      <c r="PO194" s="91"/>
      <c r="PP194" s="91"/>
      <c r="PQ194" s="91"/>
      <c r="PR194" s="91"/>
      <c r="PS194" s="91"/>
      <c r="PT194" s="91"/>
      <c r="PU194" s="91"/>
      <c r="PV194" s="91"/>
      <c r="PW194" s="91"/>
      <c r="PX194" s="91"/>
      <c r="PY194" s="91"/>
      <c r="PZ194" s="91"/>
      <c r="QA194" s="91"/>
      <c r="QB194" s="91"/>
      <c r="QC194" s="91"/>
      <c r="QD194" s="91"/>
      <c r="QE194" s="91"/>
      <c r="QF194" s="91"/>
      <c r="QG194" s="91"/>
      <c r="QH194" s="91"/>
      <c r="QI194" s="91"/>
      <c r="QJ194" s="91"/>
      <c r="QK194" s="91"/>
      <c r="QL194" s="91"/>
      <c r="QM194" s="91"/>
      <c r="QN194" s="91"/>
      <c r="QO194" s="91"/>
      <c r="QP194" s="91"/>
      <c r="QQ194" s="91"/>
      <c r="QR194" s="91"/>
      <c r="QS194" s="91"/>
      <c r="QT194" s="91"/>
      <c r="QU194" s="91"/>
      <c r="QV194" s="91"/>
      <c r="QW194" s="91"/>
      <c r="QX194" s="91"/>
      <c r="QY194" s="91"/>
      <c r="QZ194" s="91"/>
      <c r="RA194" s="91"/>
      <c r="RB194" s="91"/>
      <c r="RC194" s="91"/>
      <c r="RD194" s="91"/>
      <c r="RE194" s="91"/>
      <c r="RF194" s="91"/>
      <c r="RG194" s="91"/>
      <c r="RH194" s="91"/>
      <c r="RI194" s="91"/>
      <c r="RJ194" s="91"/>
      <c r="RK194" s="91"/>
      <c r="RL194" s="91"/>
      <c r="RM194" s="91"/>
      <c r="RN194" s="91"/>
      <c r="RO194" s="91"/>
      <c r="RP194" s="91"/>
      <c r="RQ194" s="91"/>
      <c r="RR194" s="91"/>
      <c r="RS194" s="91"/>
      <c r="RT194" s="91"/>
      <c r="RU194" s="91"/>
      <c r="RV194" s="91"/>
      <c r="RW194" s="91"/>
      <c r="RX194" s="91"/>
      <c r="RY194" s="91"/>
      <c r="RZ194" s="91"/>
      <c r="SA194" s="91"/>
      <c r="SB194" s="91"/>
      <c r="SC194" s="91"/>
      <c r="SD194" s="91"/>
      <c r="SE194" s="91"/>
      <c r="SF194" s="91"/>
      <c r="SG194" s="91"/>
      <c r="SH194" s="91"/>
      <c r="SI194" s="91"/>
      <c r="SJ194" s="91"/>
      <c r="SK194" s="91"/>
      <c r="SL194" s="91"/>
      <c r="SM194" s="91"/>
      <c r="SN194" s="91"/>
      <c r="SO194" s="91"/>
      <c r="SP194" s="91"/>
      <c r="SQ194" s="91"/>
      <c r="SR194" s="91"/>
      <c r="SS194" s="91"/>
      <c r="ST194" s="91"/>
      <c r="SU194" s="91"/>
      <c r="SV194" s="91"/>
      <c r="SW194" s="91"/>
      <c r="SX194" s="91"/>
      <c r="SY194" s="91"/>
      <c r="SZ194" s="91"/>
      <c r="TA194" s="91"/>
      <c r="TB194" s="91"/>
      <c r="TC194" s="91"/>
      <c r="TD194" s="91"/>
      <c r="TE194" s="91"/>
      <c r="TF194" s="91"/>
      <c r="TG194" s="91"/>
      <c r="TH194" s="91"/>
      <c r="TI194" s="91"/>
      <c r="TJ194" s="91"/>
      <c r="TK194" s="91"/>
      <c r="TL194" s="91"/>
      <c r="TM194" s="91"/>
      <c r="TN194" s="91"/>
      <c r="TO194" s="91"/>
      <c r="TP194" s="91"/>
      <c r="TQ194" s="91"/>
      <c r="TR194" s="91"/>
      <c r="TS194" s="91"/>
      <c r="TT194" s="91"/>
      <c r="TU194" s="91"/>
      <c r="TV194" s="91"/>
      <c r="TW194" s="91"/>
      <c r="TX194" s="91"/>
      <c r="TY194" s="91"/>
      <c r="TZ194" s="91"/>
      <c r="UA194" s="91"/>
      <c r="UB194" s="91"/>
      <c r="UC194" s="91"/>
      <c r="UD194" s="91"/>
      <c r="UE194" s="91"/>
      <c r="UF194" s="91"/>
      <c r="UG194" s="91"/>
      <c r="UH194" s="91"/>
      <c r="UI194" s="91"/>
      <c r="UJ194" s="91"/>
      <c r="UK194" s="91"/>
      <c r="UL194" s="91"/>
      <c r="UM194" s="91"/>
      <c r="UN194" s="91"/>
      <c r="UO194" s="91"/>
      <c r="UP194" s="91"/>
      <c r="UQ194" s="91"/>
      <c r="UR194" s="91"/>
      <c r="US194" s="91"/>
      <c r="UT194" s="91"/>
      <c r="UU194" s="91"/>
      <c r="UV194" s="91"/>
      <c r="UW194" s="91"/>
      <c r="UX194" s="91"/>
      <c r="UY194" s="91"/>
      <c r="UZ194" s="91"/>
      <c r="VA194" s="91"/>
      <c r="VB194" s="91"/>
      <c r="VC194" s="91"/>
    </row>
    <row r="195" spans="1:575" s="92" customFormat="1" ht="15" hidden="1" x14ac:dyDescent="0.25">
      <c r="A195" s="77"/>
      <c r="B195" s="109"/>
      <c r="C195" s="109"/>
      <c r="D195" s="71" t="s">
        <v>344</v>
      </c>
      <c r="E195" s="134">
        <f>E200</f>
        <v>0</v>
      </c>
      <c r="F195" s="134">
        <f t="shared" ref="F195:P195" si="31">F200</f>
        <v>0</v>
      </c>
      <c r="G195" s="134">
        <f t="shared" si="31"/>
        <v>0</v>
      </c>
      <c r="H195" s="134">
        <f t="shared" si="31"/>
        <v>0</v>
      </c>
      <c r="I195" s="134">
        <f t="shared" si="31"/>
        <v>0</v>
      </c>
      <c r="J195" s="134">
        <f t="shared" si="31"/>
        <v>0</v>
      </c>
      <c r="K195" s="134">
        <f t="shared" si="31"/>
        <v>0</v>
      </c>
      <c r="L195" s="134">
        <f t="shared" si="31"/>
        <v>0</v>
      </c>
      <c r="M195" s="134">
        <f t="shared" si="31"/>
        <v>0</v>
      </c>
      <c r="N195" s="134">
        <f t="shared" si="31"/>
        <v>0</v>
      </c>
      <c r="O195" s="134">
        <f t="shared" si="31"/>
        <v>0</v>
      </c>
      <c r="P195" s="131">
        <f t="shared" si="31"/>
        <v>0</v>
      </c>
      <c r="Q195" s="159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  <c r="CV195" s="91"/>
      <c r="CW195" s="91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1"/>
      <c r="HT195" s="91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  <c r="IU195" s="91"/>
      <c r="IV195" s="91"/>
      <c r="IW195" s="91"/>
      <c r="IX195" s="91"/>
      <c r="IY195" s="91"/>
      <c r="IZ195" s="91"/>
      <c r="JA195" s="91"/>
      <c r="JB195" s="91"/>
      <c r="JC195" s="91"/>
      <c r="JD195" s="91"/>
      <c r="JE195" s="91"/>
      <c r="JF195" s="91"/>
      <c r="JG195" s="91"/>
      <c r="JH195" s="91"/>
      <c r="JI195" s="91"/>
      <c r="JJ195" s="91"/>
      <c r="JK195" s="91"/>
      <c r="JL195" s="91"/>
      <c r="JM195" s="91"/>
      <c r="JN195" s="91"/>
      <c r="JO195" s="91"/>
      <c r="JP195" s="91"/>
      <c r="JQ195" s="91"/>
      <c r="JR195" s="91"/>
      <c r="JS195" s="91"/>
      <c r="JT195" s="91"/>
      <c r="JU195" s="91"/>
      <c r="JV195" s="91"/>
      <c r="JW195" s="91"/>
      <c r="JX195" s="91"/>
      <c r="JY195" s="91"/>
      <c r="JZ195" s="91"/>
      <c r="KA195" s="91"/>
      <c r="KB195" s="91"/>
      <c r="KC195" s="91"/>
      <c r="KD195" s="91"/>
      <c r="KE195" s="91"/>
      <c r="KF195" s="91"/>
      <c r="KG195" s="91"/>
      <c r="KH195" s="91"/>
      <c r="KI195" s="91"/>
      <c r="KJ195" s="91"/>
      <c r="KK195" s="91"/>
      <c r="KL195" s="91"/>
      <c r="KM195" s="91"/>
      <c r="KN195" s="91"/>
      <c r="KO195" s="91"/>
      <c r="KP195" s="91"/>
      <c r="KQ195" s="91"/>
      <c r="KR195" s="91"/>
      <c r="KS195" s="91"/>
      <c r="KT195" s="91"/>
      <c r="KU195" s="91"/>
      <c r="KV195" s="91"/>
      <c r="KW195" s="91"/>
      <c r="KX195" s="91"/>
      <c r="KY195" s="91"/>
      <c r="KZ195" s="91"/>
      <c r="LA195" s="91"/>
      <c r="LB195" s="91"/>
      <c r="LC195" s="91"/>
      <c r="LD195" s="91"/>
      <c r="LE195" s="91"/>
      <c r="LF195" s="91"/>
      <c r="LG195" s="91"/>
      <c r="LH195" s="91"/>
      <c r="LI195" s="91"/>
      <c r="LJ195" s="91"/>
      <c r="LK195" s="91"/>
      <c r="LL195" s="91"/>
      <c r="LM195" s="91"/>
      <c r="LN195" s="91"/>
      <c r="LO195" s="91"/>
      <c r="LP195" s="91"/>
      <c r="LQ195" s="91"/>
      <c r="LR195" s="91"/>
      <c r="LS195" s="91"/>
      <c r="LT195" s="91"/>
      <c r="LU195" s="91"/>
      <c r="LV195" s="91"/>
      <c r="LW195" s="91"/>
      <c r="LX195" s="91"/>
      <c r="LY195" s="91"/>
      <c r="LZ195" s="91"/>
      <c r="MA195" s="91"/>
      <c r="MB195" s="91"/>
      <c r="MC195" s="91"/>
      <c r="MD195" s="91"/>
      <c r="ME195" s="91"/>
      <c r="MF195" s="91"/>
      <c r="MG195" s="91"/>
      <c r="MH195" s="91"/>
      <c r="MI195" s="91"/>
      <c r="MJ195" s="91"/>
      <c r="MK195" s="91"/>
      <c r="ML195" s="91"/>
      <c r="MM195" s="91"/>
      <c r="MN195" s="91"/>
      <c r="MO195" s="91"/>
      <c r="MP195" s="91"/>
      <c r="MQ195" s="91"/>
      <c r="MR195" s="91"/>
      <c r="MS195" s="91"/>
      <c r="MT195" s="91"/>
      <c r="MU195" s="91"/>
      <c r="MV195" s="91"/>
      <c r="MW195" s="91"/>
      <c r="MX195" s="91"/>
      <c r="MY195" s="91"/>
      <c r="MZ195" s="91"/>
      <c r="NA195" s="91"/>
      <c r="NB195" s="91"/>
      <c r="NC195" s="91"/>
      <c r="ND195" s="91"/>
      <c r="NE195" s="91"/>
      <c r="NF195" s="91"/>
      <c r="NG195" s="91"/>
      <c r="NH195" s="91"/>
      <c r="NI195" s="91"/>
      <c r="NJ195" s="91"/>
      <c r="NK195" s="91"/>
      <c r="NL195" s="91"/>
      <c r="NM195" s="91"/>
      <c r="NN195" s="91"/>
      <c r="NO195" s="91"/>
      <c r="NP195" s="91"/>
      <c r="NQ195" s="91"/>
      <c r="NR195" s="91"/>
      <c r="NS195" s="91"/>
      <c r="NT195" s="91"/>
      <c r="NU195" s="91"/>
      <c r="NV195" s="91"/>
      <c r="NW195" s="91"/>
      <c r="NX195" s="91"/>
      <c r="NY195" s="91"/>
      <c r="NZ195" s="91"/>
      <c r="OA195" s="91"/>
      <c r="OB195" s="91"/>
      <c r="OC195" s="91"/>
      <c r="OD195" s="91"/>
      <c r="OE195" s="91"/>
      <c r="OF195" s="91"/>
      <c r="OG195" s="91"/>
      <c r="OH195" s="91"/>
      <c r="OI195" s="91"/>
      <c r="OJ195" s="91"/>
      <c r="OK195" s="91"/>
      <c r="OL195" s="91"/>
      <c r="OM195" s="91"/>
      <c r="ON195" s="91"/>
      <c r="OO195" s="91"/>
      <c r="OP195" s="91"/>
      <c r="OQ195" s="91"/>
      <c r="OR195" s="91"/>
      <c r="OS195" s="91"/>
      <c r="OT195" s="91"/>
      <c r="OU195" s="91"/>
      <c r="OV195" s="91"/>
      <c r="OW195" s="91"/>
      <c r="OX195" s="91"/>
      <c r="OY195" s="91"/>
      <c r="OZ195" s="91"/>
      <c r="PA195" s="91"/>
      <c r="PB195" s="91"/>
      <c r="PC195" s="91"/>
      <c r="PD195" s="91"/>
      <c r="PE195" s="91"/>
      <c r="PF195" s="91"/>
      <c r="PG195" s="91"/>
      <c r="PH195" s="91"/>
      <c r="PI195" s="91"/>
      <c r="PJ195" s="91"/>
      <c r="PK195" s="91"/>
      <c r="PL195" s="91"/>
      <c r="PM195" s="91"/>
      <c r="PN195" s="91"/>
      <c r="PO195" s="91"/>
      <c r="PP195" s="91"/>
      <c r="PQ195" s="91"/>
      <c r="PR195" s="91"/>
      <c r="PS195" s="91"/>
      <c r="PT195" s="91"/>
      <c r="PU195" s="91"/>
      <c r="PV195" s="91"/>
      <c r="PW195" s="91"/>
      <c r="PX195" s="91"/>
      <c r="PY195" s="91"/>
      <c r="PZ195" s="91"/>
      <c r="QA195" s="91"/>
      <c r="QB195" s="91"/>
      <c r="QC195" s="91"/>
      <c r="QD195" s="91"/>
      <c r="QE195" s="91"/>
      <c r="QF195" s="91"/>
      <c r="QG195" s="91"/>
      <c r="QH195" s="91"/>
      <c r="QI195" s="91"/>
      <c r="QJ195" s="91"/>
      <c r="QK195" s="91"/>
      <c r="QL195" s="91"/>
      <c r="QM195" s="91"/>
      <c r="QN195" s="91"/>
      <c r="QO195" s="91"/>
      <c r="QP195" s="91"/>
      <c r="QQ195" s="91"/>
      <c r="QR195" s="91"/>
      <c r="QS195" s="91"/>
      <c r="QT195" s="91"/>
      <c r="QU195" s="91"/>
      <c r="QV195" s="91"/>
      <c r="QW195" s="91"/>
      <c r="QX195" s="91"/>
      <c r="QY195" s="91"/>
      <c r="QZ195" s="91"/>
      <c r="RA195" s="91"/>
      <c r="RB195" s="91"/>
      <c r="RC195" s="91"/>
      <c r="RD195" s="91"/>
      <c r="RE195" s="91"/>
      <c r="RF195" s="91"/>
      <c r="RG195" s="91"/>
      <c r="RH195" s="91"/>
      <c r="RI195" s="91"/>
      <c r="RJ195" s="91"/>
      <c r="RK195" s="91"/>
      <c r="RL195" s="91"/>
      <c r="RM195" s="91"/>
      <c r="RN195" s="91"/>
      <c r="RO195" s="91"/>
      <c r="RP195" s="91"/>
      <c r="RQ195" s="91"/>
      <c r="RR195" s="91"/>
      <c r="RS195" s="91"/>
      <c r="RT195" s="91"/>
      <c r="RU195" s="91"/>
      <c r="RV195" s="91"/>
      <c r="RW195" s="91"/>
      <c r="RX195" s="91"/>
      <c r="RY195" s="91"/>
      <c r="RZ195" s="91"/>
      <c r="SA195" s="91"/>
      <c r="SB195" s="91"/>
      <c r="SC195" s="91"/>
      <c r="SD195" s="91"/>
      <c r="SE195" s="91"/>
      <c r="SF195" s="91"/>
      <c r="SG195" s="91"/>
      <c r="SH195" s="91"/>
      <c r="SI195" s="91"/>
      <c r="SJ195" s="91"/>
      <c r="SK195" s="91"/>
      <c r="SL195" s="91"/>
      <c r="SM195" s="91"/>
      <c r="SN195" s="91"/>
      <c r="SO195" s="91"/>
      <c r="SP195" s="91"/>
      <c r="SQ195" s="91"/>
      <c r="SR195" s="91"/>
      <c r="SS195" s="91"/>
      <c r="ST195" s="91"/>
      <c r="SU195" s="91"/>
      <c r="SV195" s="91"/>
      <c r="SW195" s="91"/>
      <c r="SX195" s="91"/>
      <c r="SY195" s="91"/>
      <c r="SZ195" s="91"/>
      <c r="TA195" s="91"/>
      <c r="TB195" s="91"/>
      <c r="TC195" s="91"/>
      <c r="TD195" s="91"/>
      <c r="TE195" s="91"/>
      <c r="TF195" s="91"/>
      <c r="TG195" s="91"/>
      <c r="TH195" s="91"/>
      <c r="TI195" s="91"/>
      <c r="TJ195" s="91"/>
      <c r="TK195" s="91"/>
      <c r="TL195" s="91"/>
      <c r="TM195" s="91"/>
      <c r="TN195" s="91"/>
      <c r="TO195" s="91"/>
      <c r="TP195" s="91"/>
      <c r="TQ195" s="91"/>
      <c r="TR195" s="91"/>
      <c r="TS195" s="91"/>
      <c r="TT195" s="91"/>
      <c r="TU195" s="91"/>
      <c r="TV195" s="91"/>
      <c r="TW195" s="91"/>
      <c r="TX195" s="91"/>
      <c r="TY195" s="91"/>
      <c r="TZ195" s="91"/>
      <c r="UA195" s="91"/>
      <c r="UB195" s="91"/>
      <c r="UC195" s="91"/>
      <c r="UD195" s="91"/>
      <c r="UE195" s="91"/>
      <c r="UF195" s="91"/>
      <c r="UG195" s="91"/>
      <c r="UH195" s="91"/>
      <c r="UI195" s="91"/>
      <c r="UJ195" s="91"/>
      <c r="UK195" s="91"/>
      <c r="UL195" s="91"/>
      <c r="UM195" s="91"/>
      <c r="UN195" s="91"/>
      <c r="UO195" s="91"/>
      <c r="UP195" s="91"/>
      <c r="UQ195" s="91"/>
      <c r="UR195" s="91"/>
      <c r="US195" s="91"/>
      <c r="UT195" s="91"/>
      <c r="UU195" s="91"/>
      <c r="UV195" s="91"/>
      <c r="UW195" s="91"/>
      <c r="UX195" s="91"/>
      <c r="UY195" s="91"/>
      <c r="UZ195" s="91"/>
      <c r="VA195" s="91"/>
      <c r="VB195" s="91"/>
      <c r="VC195" s="91"/>
    </row>
    <row r="196" spans="1:575" s="55" customFormat="1" ht="42.75" customHeight="1" x14ac:dyDescent="0.25">
      <c r="A196" s="53" t="s">
        <v>255</v>
      </c>
      <c r="B196" s="102" t="str">
        <f>'дод 2'!A13</f>
        <v>0160</v>
      </c>
      <c r="C196" s="102" t="str">
        <f>'дод 2'!B13</f>
        <v>0111</v>
      </c>
      <c r="D196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196" s="132">
        <f>F196+I196</f>
        <v>4365996</v>
      </c>
      <c r="F196" s="132">
        <f>4319300+46696</f>
        <v>4365996</v>
      </c>
      <c r="G196" s="132">
        <f>3409100+38275</f>
        <v>3447375</v>
      </c>
      <c r="H196" s="132">
        <f>45780+500+440</f>
        <v>46720</v>
      </c>
      <c r="I196" s="132"/>
      <c r="J196" s="132">
        <f t="shared" si="28"/>
        <v>530000</v>
      </c>
      <c r="K196" s="132">
        <f>30000+500000</f>
        <v>530000</v>
      </c>
      <c r="L196" s="132"/>
      <c r="M196" s="132"/>
      <c r="N196" s="132"/>
      <c r="O196" s="132">
        <f>30000+500000</f>
        <v>530000</v>
      </c>
      <c r="P196" s="132">
        <f>E196+J196</f>
        <v>4895996</v>
      </c>
      <c r="Q196" s="159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</row>
    <row r="197" spans="1:575" s="55" customFormat="1" ht="60" x14ac:dyDescent="0.25">
      <c r="A197" s="79" t="s">
        <v>591</v>
      </c>
      <c r="B197" s="102">
        <v>3111</v>
      </c>
      <c r="C197" s="102">
        <v>1040</v>
      </c>
      <c r="D197" s="54" t="s">
        <v>589</v>
      </c>
      <c r="E197" s="132">
        <f>F197+I197</f>
        <v>88440</v>
      </c>
      <c r="F197" s="132">
        <v>88440</v>
      </c>
      <c r="G197" s="132"/>
      <c r="H197" s="132"/>
      <c r="I197" s="132"/>
      <c r="J197" s="132">
        <f t="shared" si="28"/>
        <v>40300</v>
      </c>
      <c r="K197" s="132">
        <v>40300</v>
      </c>
      <c r="L197" s="132"/>
      <c r="M197" s="132"/>
      <c r="N197" s="132"/>
      <c r="O197" s="132">
        <v>40300</v>
      </c>
      <c r="P197" s="132">
        <f>E197+J197</f>
        <v>128740</v>
      </c>
      <c r="Q197" s="159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  <c r="SP197" s="61"/>
      <c r="SQ197" s="61"/>
      <c r="SR197" s="61"/>
      <c r="SS197" s="61"/>
      <c r="ST197" s="61"/>
      <c r="SU197" s="61"/>
      <c r="SV197" s="61"/>
      <c r="SW197" s="61"/>
      <c r="SX197" s="61"/>
      <c r="SY197" s="61"/>
      <c r="SZ197" s="61"/>
      <c r="TA197" s="61"/>
      <c r="TB197" s="61"/>
      <c r="TC197" s="61"/>
      <c r="TD197" s="61"/>
      <c r="TE197" s="61"/>
      <c r="TF197" s="61"/>
      <c r="TG197" s="61"/>
      <c r="TH197" s="61"/>
      <c r="TI197" s="61"/>
      <c r="TJ197" s="61"/>
      <c r="TK197" s="61"/>
      <c r="TL197" s="61"/>
      <c r="TM197" s="61"/>
      <c r="TN197" s="61"/>
      <c r="TO197" s="61"/>
      <c r="TP197" s="61"/>
      <c r="TQ197" s="61"/>
      <c r="TR197" s="61"/>
      <c r="TS197" s="61"/>
      <c r="TT197" s="61"/>
      <c r="TU197" s="61"/>
      <c r="TV197" s="61"/>
      <c r="TW197" s="61"/>
      <c r="TX197" s="61"/>
      <c r="TY197" s="61"/>
      <c r="TZ197" s="61"/>
      <c r="UA197" s="61"/>
      <c r="UB197" s="61"/>
      <c r="UC197" s="61"/>
      <c r="UD197" s="61"/>
      <c r="UE197" s="61"/>
      <c r="UF197" s="61"/>
      <c r="UG197" s="61"/>
      <c r="UH197" s="61"/>
      <c r="UI197" s="61"/>
      <c r="UJ197" s="61"/>
      <c r="UK197" s="61"/>
      <c r="UL197" s="61"/>
      <c r="UM197" s="61"/>
      <c r="UN197" s="61"/>
      <c r="UO197" s="61"/>
      <c r="UP197" s="61"/>
      <c r="UQ197" s="61"/>
      <c r="UR197" s="61"/>
      <c r="US197" s="61"/>
      <c r="UT197" s="61"/>
      <c r="UU197" s="61"/>
      <c r="UV197" s="61"/>
      <c r="UW197" s="61"/>
      <c r="UX197" s="61"/>
      <c r="UY197" s="61"/>
      <c r="UZ197" s="61"/>
      <c r="VA197" s="61"/>
      <c r="VB197" s="61"/>
      <c r="VC197" s="61"/>
    </row>
    <row r="198" spans="1:575" s="55" customFormat="1" ht="36.75" customHeight="1" x14ac:dyDescent="0.25">
      <c r="A198" s="53" t="s">
        <v>256</v>
      </c>
      <c r="B198" s="102" t="str">
        <f>'дод 2'!A106</f>
        <v>3112</v>
      </c>
      <c r="C198" s="102" t="str">
        <f>'дод 2'!B106</f>
        <v>1040</v>
      </c>
      <c r="D198" s="56" t="str">
        <f>'дод 2'!C106</f>
        <v>Заходи державної політики з питань дітей та їх соціального захисту</v>
      </c>
      <c r="E198" s="132">
        <f>F198+I198</f>
        <v>94600</v>
      </c>
      <c r="F198" s="132">
        <f>100000-5400</f>
        <v>94600</v>
      </c>
      <c r="G198" s="132"/>
      <c r="H198" s="132"/>
      <c r="I198" s="132"/>
      <c r="J198" s="132">
        <f t="shared" si="28"/>
        <v>0</v>
      </c>
      <c r="K198" s="132"/>
      <c r="L198" s="132"/>
      <c r="M198" s="132"/>
      <c r="N198" s="132"/>
      <c r="O198" s="132"/>
      <c r="P198" s="132">
        <f>E198+J198</f>
        <v>94600</v>
      </c>
      <c r="Q198" s="159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  <c r="SP198" s="61"/>
      <c r="SQ198" s="61"/>
      <c r="SR198" s="61"/>
      <c r="SS198" s="61"/>
      <c r="ST198" s="61"/>
      <c r="SU198" s="61"/>
      <c r="SV198" s="61"/>
      <c r="SW198" s="61"/>
      <c r="SX198" s="61"/>
      <c r="SY198" s="61"/>
      <c r="SZ198" s="61"/>
      <c r="TA198" s="61"/>
      <c r="TB198" s="61"/>
      <c r="TC198" s="61"/>
      <c r="TD198" s="61"/>
      <c r="TE198" s="61"/>
      <c r="TF198" s="61"/>
      <c r="TG198" s="61"/>
      <c r="TH198" s="61"/>
      <c r="TI198" s="61"/>
      <c r="TJ198" s="61"/>
      <c r="TK198" s="61"/>
      <c r="TL198" s="61"/>
      <c r="TM198" s="61"/>
      <c r="TN198" s="61"/>
      <c r="TO198" s="61"/>
      <c r="TP198" s="61"/>
      <c r="TQ198" s="61"/>
      <c r="TR198" s="61"/>
      <c r="TS198" s="61"/>
      <c r="TT198" s="61"/>
      <c r="TU198" s="61"/>
      <c r="TV198" s="61"/>
      <c r="TW198" s="61"/>
      <c r="TX198" s="61"/>
      <c r="TY198" s="61"/>
      <c r="TZ198" s="61"/>
      <c r="UA198" s="61"/>
      <c r="UB198" s="61"/>
      <c r="UC198" s="61"/>
      <c r="UD198" s="61"/>
      <c r="UE198" s="61"/>
      <c r="UF198" s="61"/>
      <c r="UG198" s="61"/>
      <c r="UH198" s="61"/>
      <c r="UI198" s="61"/>
      <c r="UJ198" s="61"/>
      <c r="UK198" s="61"/>
      <c r="UL198" s="61"/>
      <c r="UM198" s="61"/>
      <c r="UN198" s="61"/>
      <c r="UO198" s="61"/>
      <c r="UP198" s="61"/>
      <c r="UQ198" s="61"/>
      <c r="UR198" s="61"/>
      <c r="US198" s="61"/>
      <c r="UT198" s="61"/>
      <c r="UU198" s="61"/>
      <c r="UV198" s="61"/>
      <c r="UW198" s="61"/>
      <c r="UX198" s="61"/>
      <c r="UY198" s="61"/>
      <c r="UZ198" s="61"/>
      <c r="VA198" s="61"/>
      <c r="VB198" s="61"/>
      <c r="VC198" s="61"/>
    </row>
    <row r="199" spans="1:575" s="55" customFormat="1" ht="60" hidden="1" x14ac:dyDescent="0.25">
      <c r="A199" s="53" t="s">
        <v>547</v>
      </c>
      <c r="B199" s="102" t="s">
        <v>549</v>
      </c>
      <c r="C199" s="102" t="s">
        <v>97</v>
      </c>
      <c r="D199" s="56" t="s">
        <v>548</v>
      </c>
      <c r="E199" s="132">
        <f>F199+I199</f>
        <v>0</v>
      </c>
      <c r="F199" s="132"/>
      <c r="G199" s="132"/>
      <c r="H199" s="132"/>
      <c r="I199" s="132"/>
      <c r="J199" s="132">
        <f t="shared" si="28"/>
        <v>0</v>
      </c>
      <c r="K199" s="132">
        <f>3609965-3609965</f>
        <v>0</v>
      </c>
      <c r="L199" s="132"/>
      <c r="M199" s="132"/>
      <c r="N199" s="132"/>
      <c r="O199" s="132">
        <f>3609965-3609965</f>
        <v>0</v>
      </c>
      <c r="P199" s="132">
        <f>E199+J199</f>
        <v>0</v>
      </c>
      <c r="Q199" s="159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  <c r="CJ199" s="61"/>
      <c r="CK199" s="61"/>
      <c r="CL199" s="61"/>
      <c r="CM199" s="61"/>
      <c r="CN199" s="61"/>
      <c r="CO199" s="61"/>
      <c r="CP199" s="61"/>
      <c r="CQ199" s="61"/>
      <c r="CR199" s="61"/>
      <c r="CS199" s="61"/>
      <c r="CT199" s="61"/>
      <c r="CU199" s="61"/>
      <c r="CV199" s="61"/>
      <c r="CW199" s="61"/>
      <c r="CX199" s="61"/>
      <c r="CY199" s="61"/>
      <c r="CZ199" s="61"/>
      <c r="DA199" s="61"/>
      <c r="DB199" s="61"/>
      <c r="DC199" s="61"/>
      <c r="DD199" s="61"/>
      <c r="DE199" s="61"/>
      <c r="DF199" s="61"/>
      <c r="DG199" s="61"/>
      <c r="DH199" s="61"/>
      <c r="DI199" s="61"/>
      <c r="DJ199" s="61"/>
      <c r="DK199" s="61"/>
      <c r="DL199" s="61"/>
      <c r="DM199" s="61"/>
      <c r="DN199" s="61"/>
      <c r="DO199" s="61"/>
      <c r="DP199" s="61"/>
      <c r="DQ199" s="61"/>
      <c r="DR199" s="61"/>
      <c r="DS199" s="61"/>
      <c r="DT199" s="61"/>
      <c r="DU199" s="61"/>
      <c r="DV199" s="61"/>
      <c r="DW199" s="61"/>
      <c r="DX199" s="61"/>
      <c r="DY199" s="61"/>
      <c r="DZ199" s="61"/>
      <c r="EA199" s="61"/>
      <c r="EB199" s="61"/>
      <c r="EC199" s="61"/>
      <c r="ED199" s="61"/>
      <c r="EE199" s="61"/>
      <c r="EF199" s="61"/>
      <c r="EG199" s="61"/>
      <c r="EH199" s="61"/>
      <c r="EI199" s="61"/>
      <c r="EJ199" s="61"/>
      <c r="EK199" s="61"/>
      <c r="EL199" s="61"/>
      <c r="EM199" s="61"/>
      <c r="EN199" s="61"/>
      <c r="EO199" s="61"/>
      <c r="EP199" s="61"/>
      <c r="EQ199" s="61"/>
      <c r="ER199" s="61"/>
      <c r="ES199" s="61"/>
      <c r="ET199" s="61"/>
      <c r="EU199" s="61"/>
      <c r="EV199" s="61"/>
      <c r="EW199" s="61"/>
      <c r="EX199" s="61"/>
      <c r="EY199" s="61"/>
      <c r="EZ199" s="61"/>
      <c r="FA199" s="61"/>
      <c r="FB199" s="61"/>
      <c r="FC199" s="61"/>
      <c r="FD199" s="61"/>
      <c r="FE199" s="61"/>
      <c r="FF199" s="61"/>
      <c r="FG199" s="61"/>
      <c r="FH199" s="61"/>
      <c r="FI199" s="61"/>
      <c r="FJ199" s="61"/>
      <c r="FK199" s="61"/>
      <c r="FL199" s="61"/>
      <c r="FM199" s="61"/>
      <c r="FN199" s="61"/>
      <c r="FO199" s="61"/>
      <c r="FP199" s="61"/>
      <c r="FQ199" s="61"/>
      <c r="FR199" s="61"/>
      <c r="FS199" s="61"/>
      <c r="FT199" s="61"/>
      <c r="FU199" s="61"/>
      <c r="FV199" s="61"/>
      <c r="FW199" s="61"/>
      <c r="FX199" s="61"/>
      <c r="FY199" s="61"/>
      <c r="FZ199" s="61"/>
      <c r="GA199" s="61"/>
      <c r="GB199" s="61"/>
      <c r="GC199" s="61"/>
      <c r="GD199" s="61"/>
      <c r="GE199" s="61"/>
      <c r="GF199" s="61"/>
      <c r="GG199" s="61"/>
      <c r="GH199" s="61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1"/>
      <c r="JX199" s="61"/>
      <c r="JY199" s="61"/>
      <c r="JZ199" s="61"/>
      <c r="KA199" s="61"/>
      <c r="KB199" s="61"/>
      <c r="KC199" s="61"/>
      <c r="KD199" s="61"/>
      <c r="KE199" s="61"/>
      <c r="KF199" s="61"/>
      <c r="KG199" s="61"/>
      <c r="KH199" s="61"/>
      <c r="KI199" s="61"/>
      <c r="KJ199" s="61"/>
      <c r="KK199" s="61"/>
      <c r="KL199" s="61"/>
      <c r="KM199" s="61"/>
      <c r="KN199" s="61"/>
      <c r="KO199" s="61"/>
      <c r="KP199" s="61"/>
      <c r="KQ199" s="61"/>
      <c r="KR199" s="61"/>
      <c r="KS199" s="61"/>
      <c r="KT199" s="61"/>
      <c r="KU199" s="61"/>
      <c r="KV199" s="61"/>
      <c r="KW199" s="61"/>
      <c r="KX199" s="61"/>
      <c r="KY199" s="61"/>
      <c r="KZ199" s="61"/>
      <c r="LA199" s="61"/>
      <c r="LB199" s="61"/>
      <c r="LC199" s="61"/>
      <c r="LD199" s="61"/>
      <c r="LE199" s="61"/>
      <c r="LF199" s="61"/>
      <c r="LG199" s="61"/>
      <c r="LH199" s="61"/>
      <c r="LI199" s="61"/>
      <c r="LJ199" s="61"/>
      <c r="LK199" s="61"/>
      <c r="LL199" s="61"/>
      <c r="LM199" s="61"/>
      <c r="LN199" s="61"/>
      <c r="LO199" s="61"/>
      <c r="LP199" s="61"/>
      <c r="LQ199" s="61"/>
      <c r="LR199" s="61"/>
      <c r="LS199" s="61"/>
      <c r="LT199" s="61"/>
      <c r="LU199" s="61"/>
      <c r="LV199" s="61"/>
      <c r="LW199" s="61"/>
      <c r="LX199" s="61"/>
      <c r="LY199" s="61"/>
      <c r="LZ199" s="61"/>
      <c r="MA199" s="61"/>
      <c r="MB199" s="61"/>
      <c r="MC199" s="61"/>
      <c r="MD199" s="61"/>
      <c r="ME199" s="61"/>
      <c r="MF199" s="61"/>
      <c r="MG199" s="61"/>
      <c r="MH199" s="61"/>
      <c r="MI199" s="61"/>
      <c r="MJ199" s="61"/>
      <c r="MK199" s="61"/>
      <c r="ML199" s="61"/>
      <c r="MM199" s="61"/>
      <c r="MN199" s="61"/>
      <c r="MO199" s="61"/>
      <c r="MP199" s="61"/>
      <c r="MQ199" s="61"/>
      <c r="MR199" s="61"/>
      <c r="MS199" s="61"/>
      <c r="MT199" s="61"/>
      <c r="MU199" s="61"/>
      <c r="MV199" s="61"/>
      <c r="MW199" s="61"/>
      <c r="MX199" s="61"/>
      <c r="MY199" s="61"/>
      <c r="MZ199" s="61"/>
      <c r="NA199" s="61"/>
      <c r="NB199" s="61"/>
      <c r="NC199" s="61"/>
      <c r="ND199" s="61"/>
      <c r="NE199" s="61"/>
      <c r="NF199" s="61"/>
      <c r="NG199" s="61"/>
      <c r="NH199" s="61"/>
      <c r="NI199" s="61"/>
      <c r="NJ199" s="61"/>
      <c r="NK199" s="61"/>
      <c r="NL199" s="61"/>
      <c r="NM199" s="61"/>
      <c r="NN199" s="61"/>
      <c r="NO199" s="61"/>
      <c r="NP199" s="61"/>
      <c r="NQ199" s="61"/>
      <c r="NR199" s="61"/>
      <c r="NS199" s="61"/>
      <c r="NT199" s="61"/>
      <c r="NU199" s="61"/>
      <c r="NV199" s="61"/>
      <c r="NW199" s="61"/>
      <c r="NX199" s="61"/>
      <c r="NY199" s="61"/>
      <c r="NZ199" s="61"/>
      <c r="OA199" s="61"/>
      <c r="OB199" s="61"/>
      <c r="OC199" s="61"/>
      <c r="OD199" s="61"/>
      <c r="OE199" s="61"/>
      <c r="OF199" s="61"/>
      <c r="OG199" s="61"/>
      <c r="OH199" s="61"/>
      <c r="OI199" s="61"/>
      <c r="OJ199" s="61"/>
      <c r="OK199" s="61"/>
      <c r="OL199" s="61"/>
      <c r="OM199" s="61"/>
      <c r="ON199" s="61"/>
      <c r="OO199" s="61"/>
      <c r="OP199" s="61"/>
      <c r="OQ199" s="61"/>
      <c r="OR199" s="61"/>
      <c r="OS199" s="61"/>
      <c r="OT199" s="61"/>
      <c r="OU199" s="61"/>
      <c r="OV199" s="61"/>
      <c r="OW199" s="61"/>
      <c r="OX199" s="61"/>
      <c r="OY199" s="61"/>
      <c r="OZ199" s="61"/>
      <c r="PA199" s="61"/>
      <c r="PB199" s="61"/>
      <c r="PC199" s="61"/>
      <c r="PD199" s="61"/>
      <c r="PE199" s="61"/>
      <c r="PF199" s="61"/>
      <c r="PG199" s="61"/>
      <c r="PH199" s="61"/>
      <c r="PI199" s="61"/>
      <c r="PJ199" s="61"/>
      <c r="PK199" s="61"/>
      <c r="PL199" s="61"/>
      <c r="PM199" s="61"/>
      <c r="PN199" s="61"/>
      <c r="PO199" s="61"/>
      <c r="PP199" s="61"/>
      <c r="PQ199" s="61"/>
      <c r="PR199" s="61"/>
      <c r="PS199" s="61"/>
      <c r="PT199" s="61"/>
      <c r="PU199" s="61"/>
      <c r="PV199" s="61"/>
      <c r="PW199" s="61"/>
      <c r="PX199" s="61"/>
      <c r="PY199" s="61"/>
      <c r="PZ199" s="61"/>
      <c r="QA199" s="61"/>
      <c r="QB199" s="61"/>
      <c r="QC199" s="61"/>
      <c r="QD199" s="61"/>
      <c r="QE199" s="61"/>
      <c r="QF199" s="61"/>
      <c r="QG199" s="61"/>
      <c r="QH199" s="61"/>
      <c r="QI199" s="61"/>
      <c r="QJ199" s="61"/>
      <c r="QK199" s="61"/>
      <c r="QL199" s="61"/>
      <c r="QM199" s="61"/>
      <c r="QN199" s="61"/>
      <c r="QO199" s="61"/>
      <c r="QP199" s="61"/>
      <c r="QQ199" s="61"/>
      <c r="QR199" s="61"/>
      <c r="QS199" s="61"/>
      <c r="QT199" s="61"/>
      <c r="QU199" s="61"/>
      <c r="QV199" s="61"/>
      <c r="QW199" s="61"/>
      <c r="QX199" s="61"/>
      <c r="QY199" s="61"/>
      <c r="QZ199" s="61"/>
      <c r="RA199" s="61"/>
      <c r="RB199" s="61"/>
      <c r="RC199" s="61"/>
      <c r="RD199" s="61"/>
      <c r="RE199" s="61"/>
      <c r="RF199" s="61"/>
      <c r="RG199" s="61"/>
      <c r="RH199" s="61"/>
      <c r="RI199" s="61"/>
      <c r="RJ199" s="61"/>
      <c r="RK199" s="61"/>
      <c r="RL199" s="61"/>
      <c r="RM199" s="61"/>
      <c r="RN199" s="61"/>
      <c r="RO199" s="61"/>
      <c r="RP199" s="61"/>
      <c r="RQ199" s="61"/>
      <c r="RR199" s="61"/>
      <c r="RS199" s="61"/>
      <c r="RT199" s="61"/>
      <c r="RU199" s="61"/>
      <c r="RV199" s="61"/>
      <c r="RW199" s="61"/>
      <c r="RX199" s="61"/>
      <c r="RY199" s="61"/>
      <c r="RZ199" s="61"/>
      <c r="SA199" s="61"/>
      <c r="SB199" s="61"/>
      <c r="SC199" s="61"/>
      <c r="SD199" s="61"/>
      <c r="SE199" s="61"/>
      <c r="SF199" s="61"/>
      <c r="SG199" s="61"/>
      <c r="SH199" s="61"/>
      <c r="SI199" s="61"/>
      <c r="SJ199" s="61"/>
      <c r="SK199" s="61"/>
      <c r="SL199" s="61"/>
      <c r="SM199" s="61"/>
      <c r="SN199" s="61"/>
      <c r="SO199" s="61"/>
      <c r="SP199" s="61"/>
      <c r="SQ199" s="61"/>
      <c r="SR199" s="61"/>
      <c r="SS199" s="61"/>
      <c r="ST199" s="61"/>
      <c r="SU199" s="61"/>
      <c r="SV199" s="61"/>
      <c r="SW199" s="61"/>
      <c r="SX199" s="61"/>
      <c r="SY199" s="61"/>
      <c r="SZ199" s="61"/>
      <c r="TA199" s="61"/>
      <c r="TB199" s="61"/>
      <c r="TC199" s="61"/>
      <c r="TD199" s="61"/>
      <c r="TE199" s="61"/>
      <c r="TF199" s="61"/>
      <c r="TG199" s="61"/>
      <c r="TH199" s="61"/>
      <c r="TI199" s="61"/>
      <c r="TJ199" s="61"/>
      <c r="TK199" s="61"/>
      <c r="TL199" s="61"/>
      <c r="TM199" s="61"/>
      <c r="TN199" s="61"/>
      <c r="TO199" s="61"/>
      <c r="TP199" s="61"/>
      <c r="TQ199" s="61"/>
      <c r="TR199" s="61"/>
      <c r="TS199" s="61"/>
      <c r="TT199" s="61"/>
      <c r="TU199" s="61"/>
      <c r="TV199" s="61"/>
      <c r="TW199" s="61"/>
      <c r="TX199" s="61"/>
      <c r="TY199" s="61"/>
      <c r="TZ199" s="61"/>
      <c r="UA199" s="61"/>
      <c r="UB199" s="61"/>
      <c r="UC199" s="61"/>
      <c r="UD199" s="61"/>
      <c r="UE199" s="61"/>
      <c r="UF199" s="61"/>
      <c r="UG199" s="61"/>
      <c r="UH199" s="61"/>
      <c r="UI199" s="61"/>
      <c r="UJ199" s="61"/>
      <c r="UK199" s="61"/>
      <c r="UL199" s="61"/>
      <c r="UM199" s="61"/>
      <c r="UN199" s="61"/>
      <c r="UO199" s="61"/>
      <c r="UP199" s="61"/>
      <c r="UQ199" s="61"/>
      <c r="UR199" s="61"/>
      <c r="US199" s="61"/>
      <c r="UT199" s="61"/>
      <c r="UU199" s="61"/>
      <c r="UV199" s="61"/>
      <c r="UW199" s="61"/>
      <c r="UX199" s="61"/>
      <c r="UY199" s="61"/>
      <c r="UZ199" s="61"/>
      <c r="VA199" s="61"/>
      <c r="VB199" s="61"/>
      <c r="VC199" s="61"/>
    </row>
    <row r="200" spans="1:575" s="55" customFormat="1" ht="15" hidden="1" x14ac:dyDescent="0.25">
      <c r="A200" s="53"/>
      <c r="B200" s="102"/>
      <c r="C200" s="102"/>
      <c r="D200" s="56" t="s">
        <v>344</v>
      </c>
      <c r="E200" s="132">
        <f>F200+I200</f>
        <v>0</v>
      </c>
      <c r="F200" s="132"/>
      <c r="G200" s="132"/>
      <c r="H200" s="132"/>
      <c r="I200" s="132"/>
      <c r="J200" s="132">
        <f t="shared" si="28"/>
        <v>0</v>
      </c>
      <c r="K200" s="132">
        <f>3609965-3609965</f>
        <v>0</v>
      </c>
      <c r="L200" s="132"/>
      <c r="M200" s="132"/>
      <c r="N200" s="132"/>
      <c r="O200" s="132">
        <f>3609965-3609965</f>
        <v>0</v>
      </c>
      <c r="P200" s="132">
        <f>E200+J200</f>
        <v>0</v>
      </c>
      <c r="Q200" s="159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1"/>
      <c r="CW200" s="61"/>
      <c r="CX200" s="61"/>
      <c r="CY200" s="61"/>
      <c r="CZ200" s="61"/>
      <c r="DA200" s="61"/>
      <c r="DB200" s="61"/>
      <c r="DC200" s="61"/>
      <c r="DD200" s="61"/>
      <c r="DE200" s="61"/>
      <c r="DF200" s="61"/>
      <c r="DG200" s="61"/>
      <c r="DH200" s="61"/>
      <c r="DI200" s="61"/>
      <c r="DJ200" s="61"/>
      <c r="DK200" s="61"/>
      <c r="DL200" s="61"/>
      <c r="DM200" s="61"/>
      <c r="DN200" s="61"/>
      <c r="DO200" s="61"/>
      <c r="DP200" s="61"/>
      <c r="DQ200" s="61"/>
      <c r="DR200" s="61"/>
      <c r="DS200" s="61"/>
      <c r="DT200" s="61"/>
      <c r="DU200" s="61"/>
      <c r="DV200" s="61"/>
      <c r="DW200" s="61"/>
      <c r="DX200" s="61"/>
      <c r="DY200" s="61"/>
      <c r="DZ200" s="61"/>
      <c r="EA200" s="61"/>
      <c r="EB200" s="61"/>
      <c r="EC200" s="61"/>
      <c r="ED200" s="61"/>
      <c r="EE200" s="61"/>
      <c r="EF200" s="61"/>
      <c r="EG200" s="61"/>
      <c r="EH200" s="61"/>
      <c r="EI200" s="61"/>
      <c r="EJ200" s="61"/>
      <c r="EK200" s="61"/>
      <c r="EL200" s="61"/>
      <c r="EM200" s="61"/>
      <c r="EN200" s="61"/>
      <c r="EO200" s="61"/>
      <c r="EP200" s="61"/>
      <c r="EQ200" s="61"/>
      <c r="ER200" s="61"/>
      <c r="ES200" s="61"/>
      <c r="ET200" s="61"/>
      <c r="EU200" s="61"/>
      <c r="EV200" s="61"/>
      <c r="EW200" s="61"/>
      <c r="EX200" s="61"/>
      <c r="EY200" s="61"/>
      <c r="EZ200" s="61"/>
      <c r="FA200" s="61"/>
      <c r="FB200" s="61"/>
      <c r="FC200" s="61"/>
      <c r="FD200" s="61"/>
      <c r="FE200" s="61"/>
      <c r="FF200" s="61"/>
      <c r="FG200" s="61"/>
      <c r="FH200" s="61"/>
      <c r="FI200" s="61"/>
      <c r="FJ200" s="61"/>
      <c r="FK200" s="61"/>
      <c r="FL200" s="61"/>
      <c r="FM200" s="61"/>
      <c r="FN200" s="61"/>
      <c r="FO200" s="61"/>
      <c r="FP200" s="61"/>
      <c r="FQ200" s="61"/>
      <c r="FR200" s="61"/>
      <c r="FS200" s="61"/>
      <c r="FT200" s="61"/>
      <c r="FU200" s="61"/>
      <c r="FV200" s="61"/>
      <c r="FW200" s="61"/>
      <c r="FX200" s="61"/>
      <c r="FY200" s="61"/>
      <c r="FZ200" s="61"/>
      <c r="GA200" s="61"/>
      <c r="GB200" s="61"/>
      <c r="GC200" s="61"/>
      <c r="GD200" s="61"/>
      <c r="GE200" s="61"/>
      <c r="GF200" s="61"/>
      <c r="GG200" s="61"/>
      <c r="GH200" s="61"/>
      <c r="GI200" s="61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1"/>
      <c r="JX200" s="61"/>
      <c r="JY200" s="61"/>
      <c r="JZ200" s="61"/>
      <c r="KA200" s="61"/>
      <c r="KB200" s="61"/>
      <c r="KC200" s="61"/>
      <c r="KD200" s="61"/>
      <c r="KE200" s="61"/>
      <c r="KF200" s="61"/>
      <c r="KG200" s="61"/>
      <c r="KH200" s="61"/>
      <c r="KI200" s="61"/>
      <c r="KJ200" s="61"/>
      <c r="KK200" s="61"/>
      <c r="KL200" s="61"/>
      <c r="KM200" s="61"/>
      <c r="KN200" s="61"/>
      <c r="KO200" s="61"/>
      <c r="KP200" s="61"/>
      <c r="KQ200" s="61"/>
      <c r="KR200" s="61"/>
      <c r="KS200" s="61"/>
      <c r="KT200" s="61"/>
      <c r="KU200" s="61"/>
      <c r="KV200" s="61"/>
      <c r="KW200" s="61"/>
      <c r="KX200" s="61"/>
      <c r="KY200" s="61"/>
      <c r="KZ200" s="61"/>
      <c r="LA200" s="61"/>
      <c r="LB200" s="61"/>
      <c r="LC200" s="61"/>
      <c r="LD200" s="61"/>
      <c r="LE200" s="61"/>
      <c r="LF200" s="61"/>
      <c r="LG200" s="61"/>
      <c r="LH200" s="61"/>
      <c r="LI200" s="61"/>
      <c r="LJ200" s="61"/>
      <c r="LK200" s="61"/>
      <c r="LL200" s="61"/>
      <c r="LM200" s="61"/>
      <c r="LN200" s="61"/>
      <c r="LO200" s="61"/>
      <c r="LP200" s="61"/>
      <c r="LQ200" s="61"/>
      <c r="LR200" s="61"/>
      <c r="LS200" s="61"/>
      <c r="LT200" s="61"/>
      <c r="LU200" s="61"/>
      <c r="LV200" s="61"/>
      <c r="LW200" s="61"/>
      <c r="LX200" s="61"/>
      <c r="LY200" s="61"/>
      <c r="LZ200" s="61"/>
      <c r="MA200" s="61"/>
      <c r="MB200" s="61"/>
      <c r="MC200" s="61"/>
      <c r="MD200" s="61"/>
      <c r="ME200" s="61"/>
      <c r="MF200" s="61"/>
      <c r="MG200" s="61"/>
      <c r="MH200" s="61"/>
      <c r="MI200" s="61"/>
      <c r="MJ200" s="61"/>
      <c r="MK200" s="61"/>
      <c r="ML200" s="61"/>
      <c r="MM200" s="61"/>
      <c r="MN200" s="61"/>
      <c r="MO200" s="61"/>
      <c r="MP200" s="61"/>
      <c r="MQ200" s="61"/>
      <c r="MR200" s="61"/>
      <c r="MS200" s="61"/>
      <c r="MT200" s="61"/>
      <c r="MU200" s="61"/>
      <c r="MV200" s="61"/>
      <c r="MW200" s="61"/>
      <c r="MX200" s="61"/>
      <c r="MY200" s="61"/>
      <c r="MZ200" s="61"/>
      <c r="NA200" s="61"/>
      <c r="NB200" s="61"/>
      <c r="NC200" s="61"/>
      <c r="ND200" s="61"/>
      <c r="NE200" s="61"/>
      <c r="NF200" s="61"/>
      <c r="NG200" s="61"/>
      <c r="NH200" s="61"/>
      <c r="NI200" s="61"/>
      <c r="NJ200" s="61"/>
      <c r="NK200" s="61"/>
      <c r="NL200" s="61"/>
      <c r="NM200" s="61"/>
      <c r="NN200" s="61"/>
      <c r="NO200" s="61"/>
      <c r="NP200" s="61"/>
      <c r="NQ200" s="61"/>
      <c r="NR200" s="61"/>
      <c r="NS200" s="61"/>
      <c r="NT200" s="61"/>
      <c r="NU200" s="61"/>
      <c r="NV200" s="61"/>
      <c r="NW200" s="61"/>
      <c r="NX200" s="61"/>
      <c r="NY200" s="61"/>
      <c r="NZ200" s="61"/>
      <c r="OA200" s="61"/>
      <c r="OB200" s="61"/>
      <c r="OC200" s="61"/>
      <c r="OD200" s="61"/>
      <c r="OE200" s="61"/>
      <c r="OF200" s="61"/>
      <c r="OG200" s="61"/>
      <c r="OH200" s="61"/>
      <c r="OI200" s="61"/>
      <c r="OJ200" s="61"/>
      <c r="OK200" s="61"/>
      <c r="OL200" s="61"/>
      <c r="OM200" s="61"/>
      <c r="ON200" s="61"/>
      <c r="OO200" s="61"/>
      <c r="OP200" s="61"/>
      <c r="OQ200" s="61"/>
      <c r="OR200" s="61"/>
      <c r="OS200" s="61"/>
      <c r="OT200" s="61"/>
      <c r="OU200" s="61"/>
      <c r="OV200" s="61"/>
      <c r="OW200" s="61"/>
      <c r="OX200" s="61"/>
      <c r="OY200" s="61"/>
      <c r="OZ200" s="61"/>
      <c r="PA200" s="61"/>
      <c r="PB200" s="61"/>
      <c r="PC200" s="61"/>
      <c r="PD200" s="61"/>
      <c r="PE200" s="61"/>
      <c r="PF200" s="61"/>
      <c r="PG200" s="61"/>
      <c r="PH200" s="61"/>
      <c r="PI200" s="61"/>
      <c r="PJ200" s="61"/>
      <c r="PK200" s="61"/>
      <c r="PL200" s="61"/>
      <c r="PM200" s="61"/>
      <c r="PN200" s="61"/>
      <c r="PO200" s="61"/>
      <c r="PP200" s="61"/>
      <c r="PQ200" s="61"/>
      <c r="PR200" s="61"/>
      <c r="PS200" s="61"/>
      <c r="PT200" s="61"/>
      <c r="PU200" s="61"/>
      <c r="PV200" s="61"/>
      <c r="PW200" s="61"/>
      <c r="PX200" s="61"/>
      <c r="PY200" s="61"/>
      <c r="PZ200" s="61"/>
      <c r="QA200" s="61"/>
      <c r="QB200" s="61"/>
      <c r="QC200" s="61"/>
      <c r="QD200" s="61"/>
      <c r="QE200" s="61"/>
      <c r="QF200" s="61"/>
      <c r="QG200" s="61"/>
      <c r="QH200" s="61"/>
      <c r="QI200" s="61"/>
      <c r="QJ200" s="61"/>
      <c r="QK200" s="61"/>
      <c r="QL200" s="61"/>
      <c r="QM200" s="61"/>
      <c r="QN200" s="61"/>
      <c r="QO200" s="61"/>
      <c r="QP200" s="61"/>
      <c r="QQ200" s="61"/>
      <c r="QR200" s="61"/>
      <c r="QS200" s="61"/>
      <c r="QT200" s="61"/>
      <c r="QU200" s="61"/>
      <c r="QV200" s="61"/>
      <c r="QW200" s="61"/>
      <c r="QX200" s="61"/>
      <c r="QY200" s="61"/>
      <c r="QZ200" s="61"/>
      <c r="RA200" s="61"/>
      <c r="RB200" s="61"/>
      <c r="RC200" s="61"/>
      <c r="RD200" s="61"/>
      <c r="RE200" s="61"/>
      <c r="RF200" s="61"/>
      <c r="RG200" s="61"/>
      <c r="RH200" s="61"/>
      <c r="RI200" s="61"/>
      <c r="RJ200" s="61"/>
      <c r="RK200" s="61"/>
      <c r="RL200" s="61"/>
      <c r="RM200" s="61"/>
      <c r="RN200" s="61"/>
      <c r="RO200" s="61"/>
      <c r="RP200" s="61"/>
      <c r="RQ200" s="61"/>
      <c r="RR200" s="61"/>
      <c r="RS200" s="61"/>
      <c r="RT200" s="61"/>
      <c r="RU200" s="61"/>
      <c r="RV200" s="61"/>
      <c r="RW200" s="61"/>
      <c r="RX200" s="61"/>
      <c r="RY200" s="61"/>
      <c r="RZ200" s="61"/>
      <c r="SA200" s="61"/>
      <c r="SB200" s="61"/>
      <c r="SC200" s="61"/>
      <c r="SD200" s="61"/>
      <c r="SE200" s="61"/>
      <c r="SF200" s="61"/>
      <c r="SG200" s="61"/>
      <c r="SH200" s="61"/>
      <c r="SI200" s="61"/>
      <c r="SJ200" s="61"/>
      <c r="SK200" s="61"/>
      <c r="SL200" s="61"/>
      <c r="SM200" s="61"/>
      <c r="SN200" s="61"/>
      <c r="SO200" s="61"/>
      <c r="SP200" s="61"/>
      <c r="SQ200" s="61"/>
      <c r="SR200" s="61"/>
      <c r="SS200" s="61"/>
      <c r="ST200" s="61"/>
      <c r="SU200" s="61"/>
      <c r="SV200" s="61"/>
      <c r="SW200" s="61"/>
      <c r="SX200" s="61"/>
      <c r="SY200" s="61"/>
      <c r="SZ200" s="61"/>
      <c r="TA200" s="61"/>
      <c r="TB200" s="61"/>
      <c r="TC200" s="61"/>
      <c r="TD200" s="61"/>
      <c r="TE200" s="61"/>
      <c r="TF200" s="61"/>
      <c r="TG200" s="61"/>
      <c r="TH200" s="61"/>
      <c r="TI200" s="61"/>
      <c r="TJ200" s="61"/>
      <c r="TK200" s="61"/>
      <c r="TL200" s="61"/>
      <c r="TM200" s="61"/>
      <c r="TN200" s="61"/>
      <c r="TO200" s="61"/>
      <c r="TP200" s="61"/>
      <c r="TQ200" s="61"/>
      <c r="TR200" s="61"/>
      <c r="TS200" s="61"/>
      <c r="TT200" s="61"/>
      <c r="TU200" s="61"/>
      <c r="TV200" s="61"/>
      <c r="TW200" s="61"/>
      <c r="TX200" s="61"/>
      <c r="TY200" s="61"/>
      <c r="TZ200" s="61"/>
      <c r="UA200" s="61"/>
      <c r="UB200" s="61"/>
      <c r="UC200" s="61"/>
      <c r="UD200" s="61"/>
      <c r="UE200" s="61"/>
      <c r="UF200" s="61"/>
      <c r="UG200" s="61"/>
      <c r="UH200" s="61"/>
      <c r="UI200" s="61"/>
      <c r="UJ200" s="61"/>
      <c r="UK200" s="61"/>
      <c r="UL200" s="61"/>
      <c r="UM200" s="61"/>
      <c r="UN200" s="61"/>
      <c r="UO200" s="61"/>
      <c r="UP200" s="61"/>
      <c r="UQ200" s="61"/>
      <c r="UR200" s="61"/>
      <c r="US200" s="61"/>
      <c r="UT200" s="61"/>
      <c r="UU200" s="61"/>
      <c r="UV200" s="61"/>
      <c r="UW200" s="61"/>
      <c r="UX200" s="61"/>
      <c r="UY200" s="61"/>
      <c r="UZ200" s="61"/>
      <c r="VA200" s="61"/>
      <c r="VB200" s="61"/>
      <c r="VC200" s="61"/>
    </row>
    <row r="201" spans="1:575" s="72" customFormat="1" ht="22.5" customHeight="1" x14ac:dyDescent="0.2">
      <c r="A201" s="70" t="s">
        <v>43</v>
      </c>
      <c r="B201" s="111"/>
      <c r="C201" s="111"/>
      <c r="D201" s="71" t="s">
        <v>600</v>
      </c>
      <c r="E201" s="134">
        <f>E202</f>
        <v>58093000</v>
      </c>
      <c r="F201" s="134">
        <f t="shared" ref="F201:P201" si="32">F202</f>
        <v>58093000</v>
      </c>
      <c r="G201" s="134">
        <f t="shared" si="32"/>
        <v>42046716</v>
      </c>
      <c r="H201" s="134">
        <f t="shared" si="32"/>
        <v>2612245</v>
      </c>
      <c r="I201" s="134">
        <f t="shared" si="32"/>
        <v>0</v>
      </c>
      <c r="J201" s="134">
        <f t="shared" si="32"/>
        <v>4342600</v>
      </c>
      <c r="K201" s="134">
        <f t="shared" si="32"/>
        <v>1808020</v>
      </c>
      <c r="L201" s="134">
        <f t="shared" si="32"/>
        <v>2529860</v>
      </c>
      <c r="M201" s="134">
        <f t="shared" si="32"/>
        <v>2048504</v>
      </c>
      <c r="N201" s="134">
        <f t="shared" si="32"/>
        <v>0</v>
      </c>
      <c r="O201" s="134">
        <f t="shared" si="32"/>
        <v>1812740</v>
      </c>
      <c r="P201" s="134">
        <f t="shared" si="32"/>
        <v>62435600</v>
      </c>
      <c r="Q201" s="159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  <c r="EA201" s="90"/>
      <c r="EB201" s="90"/>
      <c r="EC201" s="90"/>
      <c r="ED201" s="90"/>
      <c r="EE201" s="90"/>
      <c r="EF201" s="90"/>
      <c r="EG201" s="90"/>
      <c r="EH201" s="90"/>
      <c r="EI201" s="90"/>
      <c r="EJ201" s="90"/>
      <c r="EK201" s="90"/>
      <c r="EL201" s="90"/>
      <c r="EM201" s="90"/>
      <c r="EN201" s="90"/>
      <c r="EO201" s="90"/>
      <c r="EP201" s="90"/>
      <c r="EQ201" s="90"/>
      <c r="ER201" s="90"/>
      <c r="ES201" s="90"/>
      <c r="ET201" s="90"/>
      <c r="EU201" s="90"/>
      <c r="EV201" s="90"/>
      <c r="EW201" s="90"/>
      <c r="EX201" s="90"/>
      <c r="EY201" s="90"/>
      <c r="EZ201" s="90"/>
      <c r="FA201" s="90"/>
      <c r="FB201" s="90"/>
      <c r="FC201" s="90"/>
      <c r="FD201" s="90"/>
      <c r="FE201" s="90"/>
      <c r="FF201" s="90"/>
      <c r="FG201" s="90"/>
      <c r="FH201" s="90"/>
      <c r="FI201" s="90"/>
      <c r="FJ201" s="90"/>
      <c r="FK201" s="90"/>
      <c r="FL201" s="90"/>
      <c r="FM201" s="90"/>
      <c r="FN201" s="90"/>
      <c r="FO201" s="90"/>
      <c r="FP201" s="90"/>
      <c r="FQ201" s="90"/>
      <c r="FR201" s="90"/>
      <c r="FS201" s="90"/>
      <c r="FT201" s="90"/>
      <c r="FU201" s="90"/>
      <c r="FV201" s="90"/>
      <c r="FW201" s="90"/>
      <c r="FX201" s="90"/>
      <c r="FY201" s="90"/>
      <c r="FZ201" s="90"/>
      <c r="GA201" s="90"/>
      <c r="GB201" s="90"/>
      <c r="GC201" s="90"/>
      <c r="GD201" s="90"/>
      <c r="GE201" s="90"/>
      <c r="GF201" s="90"/>
      <c r="GG201" s="90"/>
      <c r="GH201" s="90"/>
      <c r="GI201" s="90"/>
      <c r="GJ201" s="90"/>
      <c r="GK201" s="90"/>
      <c r="GL201" s="90"/>
      <c r="GM201" s="90"/>
      <c r="GN201" s="90"/>
      <c r="GO201" s="90"/>
      <c r="GP201" s="90"/>
      <c r="GQ201" s="90"/>
      <c r="GR201" s="90"/>
      <c r="GS201" s="90"/>
      <c r="GT201" s="90"/>
      <c r="GU201" s="90"/>
      <c r="GV201" s="90"/>
      <c r="GW201" s="90"/>
      <c r="GX201" s="90"/>
      <c r="GY201" s="90"/>
      <c r="GZ201" s="90"/>
      <c r="HA201" s="90"/>
      <c r="HB201" s="90"/>
      <c r="HC201" s="90"/>
      <c r="HD201" s="90"/>
      <c r="HE201" s="90"/>
      <c r="HF201" s="90"/>
      <c r="HG201" s="90"/>
      <c r="HH201" s="90"/>
      <c r="HI201" s="90"/>
      <c r="HJ201" s="90"/>
      <c r="HK201" s="90"/>
      <c r="HL201" s="90"/>
      <c r="HM201" s="90"/>
      <c r="HN201" s="90"/>
      <c r="HO201" s="90"/>
      <c r="HP201" s="90"/>
      <c r="HQ201" s="90"/>
      <c r="HR201" s="90"/>
      <c r="HS201" s="90"/>
      <c r="HT201" s="90"/>
      <c r="HU201" s="90"/>
      <c r="HV201" s="90"/>
      <c r="HW201" s="90"/>
      <c r="HX201" s="90"/>
      <c r="HY201" s="90"/>
      <c r="HZ201" s="90"/>
      <c r="IA201" s="90"/>
      <c r="IB201" s="90"/>
      <c r="IC201" s="90"/>
      <c r="ID201" s="90"/>
      <c r="IE201" s="90"/>
      <c r="IF201" s="90"/>
      <c r="IG201" s="90"/>
      <c r="IH201" s="90"/>
      <c r="II201" s="90"/>
      <c r="IJ201" s="90"/>
      <c r="IK201" s="90"/>
      <c r="IL201" s="90"/>
      <c r="IM201" s="90"/>
      <c r="IN201" s="90"/>
      <c r="IO201" s="90"/>
      <c r="IP201" s="90"/>
      <c r="IQ201" s="90"/>
      <c r="IR201" s="90"/>
      <c r="IS201" s="90"/>
      <c r="IT201" s="90"/>
      <c r="IU201" s="90"/>
      <c r="IV201" s="90"/>
      <c r="IW201" s="90"/>
      <c r="IX201" s="90"/>
      <c r="IY201" s="90"/>
      <c r="IZ201" s="90"/>
      <c r="JA201" s="90"/>
      <c r="JB201" s="90"/>
      <c r="JC201" s="90"/>
      <c r="JD201" s="90"/>
      <c r="JE201" s="90"/>
      <c r="JF201" s="90"/>
      <c r="JG201" s="90"/>
      <c r="JH201" s="90"/>
      <c r="JI201" s="90"/>
      <c r="JJ201" s="90"/>
      <c r="JK201" s="90"/>
      <c r="JL201" s="90"/>
      <c r="JM201" s="90"/>
      <c r="JN201" s="90"/>
      <c r="JO201" s="90"/>
      <c r="JP201" s="90"/>
      <c r="JQ201" s="90"/>
      <c r="JR201" s="90"/>
      <c r="JS201" s="90"/>
      <c r="JT201" s="90"/>
      <c r="JU201" s="90"/>
      <c r="JV201" s="90"/>
      <c r="JW201" s="90"/>
      <c r="JX201" s="90"/>
      <c r="JY201" s="90"/>
      <c r="JZ201" s="90"/>
      <c r="KA201" s="90"/>
      <c r="KB201" s="90"/>
      <c r="KC201" s="90"/>
      <c r="KD201" s="90"/>
      <c r="KE201" s="90"/>
      <c r="KF201" s="90"/>
      <c r="KG201" s="90"/>
      <c r="KH201" s="90"/>
      <c r="KI201" s="90"/>
      <c r="KJ201" s="90"/>
      <c r="KK201" s="90"/>
      <c r="KL201" s="90"/>
      <c r="KM201" s="90"/>
      <c r="KN201" s="90"/>
      <c r="KO201" s="90"/>
      <c r="KP201" s="90"/>
      <c r="KQ201" s="90"/>
      <c r="KR201" s="90"/>
      <c r="KS201" s="90"/>
      <c r="KT201" s="90"/>
      <c r="KU201" s="90"/>
      <c r="KV201" s="90"/>
      <c r="KW201" s="90"/>
      <c r="KX201" s="90"/>
      <c r="KY201" s="90"/>
      <c r="KZ201" s="90"/>
      <c r="LA201" s="90"/>
      <c r="LB201" s="90"/>
      <c r="LC201" s="90"/>
      <c r="LD201" s="90"/>
      <c r="LE201" s="90"/>
      <c r="LF201" s="90"/>
      <c r="LG201" s="90"/>
      <c r="LH201" s="90"/>
      <c r="LI201" s="90"/>
      <c r="LJ201" s="90"/>
      <c r="LK201" s="90"/>
      <c r="LL201" s="90"/>
      <c r="LM201" s="90"/>
      <c r="LN201" s="90"/>
      <c r="LO201" s="90"/>
      <c r="LP201" s="90"/>
      <c r="LQ201" s="90"/>
      <c r="LR201" s="90"/>
      <c r="LS201" s="90"/>
      <c r="LT201" s="90"/>
      <c r="LU201" s="90"/>
      <c r="LV201" s="90"/>
      <c r="LW201" s="90"/>
      <c r="LX201" s="90"/>
      <c r="LY201" s="90"/>
      <c r="LZ201" s="90"/>
      <c r="MA201" s="90"/>
      <c r="MB201" s="90"/>
      <c r="MC201" s="90"/>
      <c r="MD201" s="90"/>
      <c r="ME201" s="90"/>
      <c r="MF201" s="90"/>
      <c r="MG201" s="90"/>
      <c r="MH201" s="90"/>
      <c r="MI201" s="90"/>
      <c r="MJ201" s="90"/>
      <c r="MK201" s="90"/>
      <c r="ML201" s="90"/>
      <c r="MM201" s="90"/>
      <c r="MN201" s="90"/>
      <c r="MO201" s="90"/>
      <c r="MP201" s="90"/>
      <c r="MQ201" s="90"/>
      <c r="MR201" s="90"/>
      <c r="MS201" s="90"/>
      <c r="MT201" s="90"/>
      <c r="MU201" s="90"/>
      <c r="MV201" s="90"/>
      <c r="MW201" s="90"/>
      <c r="MX201" s="90"/>
      <c r="MY201" s="90"/>
      <c r="MZ201" s="90"/>
      <c r="NA201" s="90"/>
      <c r="NB201" s="90"/>
      <c r="NC201" s="90"/>
      <c r="ND201" s="90"/>
      <c r="NE201" s="90"/>
      <c r="NF201" s="90"/>
      <c r="NG201" s="90"/>
      <c r="NH201" s="90"/>
      <c r="NI201" s="90"/>
      <c r="NJ201" s="90"/>
      <c r="NK201" s="90"/>
      <c r="NL201" s="90"/>
      <c r="NM201" s="90"/>
      <c r="NN201" s="90"/>
      <c r="NO201" s="90"/>
      <c r="NP201" s="90"/>
      <c r="NQ201" s="90"/>
      <c r="NR201" s="90"/>
      <c r="NS201" s="90"/>
      <c r="NT201" s="90"/>
      <c r="NU201" s="90"/>
      <c r="NV201" s="90"/>
      <c r="NW201" s="90"/>
      <c r="NX201" s="90"/>
      <c r="NY201" s="90"/>
      <c r="NZ201" s="90"/>
      <c r="OA201" s="90"/>
      <c r="OB201" s="90"/>
      <c r="OC201" s="90"/>
      <c r="OD201" s="90"/>
      <c r="OE201" s="90"/>
      <c r="OF201" s="90"/>
      <c r="OG201" s="90"/>
      <c r="OH201" s="90"/>
      <c r="OI201" s="90"/>
      <c r="OJ201" s="90"/>
      <c r="OK201" s="90"/>
      <c r="OL201" s="90"/>
      <c r="OM201" s="90"/>
      <c r="ON201" s="90"/>
      <c r="OO201" s="90"/>
      <c r="OP201" s="90"/>
      <c r="OQ201" s="90"/>
      <c r="OR201" s="90"/>
      <c r="OS201" s="90"/>
      <c r="OT201" s="90"/>
      <c r="OU201" s="90"/>
      <c r="OV201" s="90"/>
      <c r="OW201" s="90"/>
      <c r="OX201" s="90"/>
      <c r="OY201" s="90"/>
      <c r="OZ201" s="90"/>
      <c r="PA201" s="90"/>
      <c r="PB201" s="90"/>
      <c r="PC201" s="90"/>
      <c r="PD201" s="90"/>
      <c r="PE201" s="90"/>
      <c r="PF201" s="90"/>
      <c r="PG201" s="90"/>
      <c r="PH201" s="90"/>
      <c r="PI201" s="90"/>
      <c r="PJ201" s="90"/>
      <c r="PK201" s="90"/>
      <c r="PL201" s="90"/>
      <c r="PM201" s="90"/>
      <c r="PN201" s="90"/>
      <c r="PO201" s="90"/>
      <c r="PP201" s="90"/>
      <c r="PQ201" s="90"/>
      <c r="PR201" s="90"/>
      <c r="PS201" s="90"/>
      <c r="PT201" s="90"/>
      <c r="PU201" s="90"/>
      <c r="PV201" s="90"/>
      <c r="PW201" s="90"/>
      <c r="PX201" s="90"/>
      <c r="PY201" s="90"/>
      <c r="PZ201" s="90"/>
      <c r="QA201" s="90"/>
      <c r="QB201" s="90"/>
      <c r="QC201" s="90"/>
      <c r="QD201" s="90"/>
      <c r="QE201" s="90"/>
      <c r="QF201" s="90"/>
      <c r="QG201" s="90"/>
      <c r="QH201" s="90"/>
      <c r="QI201" s="90"/>
      <c r="QJ201" s="90"/>
      <c r="QK201" s="90"/>
      <c r="QL201" s="90"/>
      <c r="QM201" s="90"/>
      <c r="QN201" s="90"/>
      <c r="QO201" s="90"/>
      <c r="QP201" s="90"/>
      <c r="QQ201" s="90"/>
      <c r="QR201" s="90"/>
      <c r="QS201" s="90"/>
      <c r="QT201" s="90"/>
      <c r="QU201" s="90"/>
      <c r="QV201" s="90"/>
      <c r="QW201" s="90"/>
      <c r="QX201" s="90"/>
      <c r="QY201" s="90"/>
      <c r="QZ201" s="90"/>
      <c r="RA201" s="90"/>
      <c r="RB201" s="90"/>
      <c r="RC201" s="90"/>
      <c r="RD201" s="90"/>
      <c r="RE201" s="90"/>
      <c r="RF201" s="90"/>
      <c r="RG201" s="90"/>
      <c r="RH201" s="90"/>
      <c r="RI201" s="90"/>
      <c r="RJ201" s="90"/>
      <c r="RK201" s="90"/>
      <c r="RL201" s="90"/>
      <c r="RM201" s="90"/>
      <c r="RN201" s="90"/>
      <c r="RO201" s="90"/>
      <c r="RP201" s="90"/>
      <c r="RQ201" s="90"/>
      <c r="RR201" s="90"/>
      <c r="RS201" s="90"/>
      <c r="RT201" s="90"/>
      <c r="RU201" s="90"/>
      <c r="RV201" s="90"/>
      <c r="RW201" s="90"/>
      <c r="RX201" s="90"/>
      <c r="RY201" s="90"/>
      <c r="RZ201" s="90"/>
      <c r="SA201" s="90"/>
      <c r="SB201" s="90"/>
      <c r="SC201" s="90"/>
      <c r="SD201" s="90"/>
      <c r="SE201" s="90"/>
      <c r="SF201" s="90"/>
      <c r="SG201" s="90"/>
      <c r="SH201" s="90"/>
      <c r="SI201" s="90"/>
      <c r="SJ201" s="90"/>
      <c r="SK201" s="90"/>
      <c r="SL201" s="90"/>
      <c r="SM201" s="90"/>
      <c r="SN201" s="90"/>
      <c r="SO201" s="90"/>
      <c r="SP201" s="90"/>
      <c r="SQ201" s="90"/>
      <c r="SR201" s="90"/>
      <c r="SS201" s="90"/>
      <c r="ST201" s="90"/>
      <c r="SU201" s="90"/>
      <c r="SV201" s="90"/>
      <c r="SW201" s="90"/>
      <c r="SX201" s="90"/>
      <c r="SY201" s="90"/>
      <c r="SZ201" s="90"/>
      <c r="TA201" s="90"/>
      <c r="TB201" s="90"/>
      <c r="TC201" s="90"/>
      <c r="TD201" s="90"/>
      <c r="TE201" s="90"/>
      <c r="TF201" s="90"/>
      <c r="TG201" s="90"/>
      <c r="TH201" s="90"/>
      <c r="TI201" s="90"/>
      <c r="TJ201" s="90"/>
      <c r="TK201" s="90"/>
      <c r="TL201" s="90"/>
      <c r="TM201" s="90"/>
      <c r="TN201" s="90"/>
      <c r="TO201" s="90"/>
      <c r="TP201" s="90"/>
      <c r="TQ201" s="90"/>
      <c r="TR201" s="90"/>
      <c r="TS201" s="90"/>
      <c r="TT201" s="90"/>
      <c r="TU201" s="90"/>
      <c r="TV201" s="90"/>
      <c r="TW201" s="90"/>
      <c r="TX201" s="90"/>
      <c r="TY201" s="90"/>
      <c r="TZ201" s="90"/>
      <c r="UA201" s="90"/>
      <c r="UB201" s="90"/>
      <c r="UC201" s="90"/>
      <c r="UD201" s="90"/>
      <c r="UE201" s="90"/>
      <c r="UF201" s="90"/>
      <c r="UG201" s="90"/>
      <c r="UH201" s="90"/>
      <c r="UI201" s="90"/>
      <c r="UJ201" s="90"/>
      <c r="UK201" s="90"/>
      <c r="UL201" s="90"/>
      <c r="UM201" s="90"/>
      <c r="UN201" s="90"/>
      <c r="UO201" s="90"/>
      <c r="UP201" s="90"/>
      <c r="UQ201" s="90"/>
      <c r="UR201" s="90"/>
      <c r="US201" s="90"/>
      <c r="UT201" s="90"/>
      <c r="UU201" s="90"/>
      <c r="UV201" s="90"/>
      <c r="UW201" s="90"/>
      <c r="UX201" s="90"/>
      <c r="UY201" s="90"/>
      <c r="UZ201" s="90"/>
      <c r="VA201" s="90"/>
      <c r="VB201" s="90"/>
      <c r="VC201" s="90"/>
    </row>
    <row r="202" spans="1:575" s="92" customFormat="1" ht="21.75" customHeight="1" x14ac:dyDescent="0.25">
      <c r="A202" s="75" t="s">
        <v>257</v>
      </c>
      <c r="B202" s="112"/>
      <c r="C202" s="112"/>
      <c r="D202" s="76" t="s">
        <v>600</v>
      </c>
      <c r="E202" s="131">
        <f>E204+E205+E206+E207+E208+E209+E211</f>
        <v>58093000</v>
      </c>
      <c r="F202" s="131">
        <f t="shared" ref="F202:P202" si="33">F204+F205+F206+F207+F208+F209+F211</f>
        <v>58093000</v>
      </c>
      <c r="G202" s="131">
        <f t="shared" si="33"/>
        <v>42046716</v>
      </c>
      <c r="H202" s="131">
        <f t="shared" si="33"/>
        <v>2612245</v>
      </c>
      <c r="I202" s="131">
        <f t="shared" si="33"/>
        <v>0</v>
      </c>
      <c r="J202" s="131">
        <f t="shared" si="33"/>
        <v>4342600</v>
      </c>
      <c r="K202" s="131">
        <f t="shared" si="33"/>
        <v>1808020</v>
      </c>
      <c r="L202" s="131">
        <f t="shared" si="33"/>
        <v>2529860</v>
      </c>
      <c r="M202" s="131">
        <f t="shared" si="33"/>
        <v>2048504</v>
      </c>
      <c r="N202" s="131">
        <f t="shared" si="33"/>
        <v>0</v>
      </c>
      <c r="O202" s="131">
        <f t="shared" si="33"/>
        <v>1812740</v>
      </c>
      <c r="P202" s="131">
        <f t="shared" si="33"/>
        <v>62435600</v>
      </c>
      <c r="Q202" s="159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  <c r="CV202" s="91"/>
      <c r="CW202" s="91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1"/>
      <c r="HT202" s="91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  <c r="IU202" s="91"/>
      <c r="IV202" s="91"/>
      <c r="IW202" s="91"/>
      <c r="IX202" s="91"/>
      <c r="IY202" s="91"/>
      <c r="IZ202" s="91"/>
      <c r="JA202" s="91"/>
      <c r="JB202" s="91"/>
      <c r="JC202" s="91"/>
      <c r="JD202" s="91"/>
      <c r="JE202" s="91"/>
      <c r="JF202" s="91"/>
      <c r="JG202" s="91"/>
      <c r="JH202" s="91"/>
      <c r="JI202" s="91"/>
      <c r="JJ202" s="91"/>
      <c r="JK202" s="91"/>
      <c r="JL202" s="91"/>
      <c r="JM202" s="91"/>
      <c r="JN202" s="91"/>
      <c r="JO202" s="91"/>
      <c r="JP202" s="91"/>
      <c r="JQ202" s="91"/>
      <c r="JR202" s="91"/>
      <c r="JS202" s="91"/>
      <c r="JT202" s="91"/>
      <c r="JU202" s="91"/>
      <c r="JV202" s="91"/>
      <c r="JW202" s="91"/>
      <c r="JX202" s="91"/>
      <c r="JY202" s="91"/>
      <c r="JZ202" s="91"/>
      <c r="KA202" s="91"/>
      <c r="KB202" s="91"/>
      <c r="KC202" s="91"/>
      <c r="KD202" s="91"/>
      <c r="KE202" s="91"/>
      <c r="KF202" s="91"/>
      <c r="KG202" s="91"/>
      <c r="KH202" s="91"/>
      <c r="KI202" s="91"/>
      <c r="KJ202" s="91"/>
      <c r="KK202" s="91"/>
      <c r="KL202" s="91"/>
      <c r="KM202" s="91"/>
      <c r="KN202" s="91"/>
      <c r="KO202" s="91"/>
      <c r="KP202" s="91"/>
      <c r="KQ202" s="91"/>
      <c r="KR202" s="91"/>
      <c r="KS202" s="91"/>
      <c r="KT202" s="91"/>
      <c r="KU202" s="91"/>
      <c r="KV202" s="91"/>
      <c r="KW202" s="91"/>
      <c r="KX202" s="91"/>
      <c r="KY202" s="91"/>
      <c r="KZ202" s="91"/>
      <c r="LA202" s="91"/>
      <c r="LB202" s="91"/>
      <c r="LC202" s="91"/>
      <c r="LD202" s="91"/>
      <c r="LE202" s="91"/>
      <c r="LF202" s="91"/>
      <c r="LG202" s="91"/>
      <c r="LH202" s="91"/>
      <c r="LI202" s="91"/>
      <c r="LJ202" s="91"/>
      <c r="LK202" s="91"/>
      <c r="LL202" s="91"/>
      <c r="LM202" s="91"/>
      <c r="LN202" s="91"/>
      <c r="LO202" s="91"/>
      <c r="LP202" s="91"/>
      <c r="LQ202" s="91"/>
      <c r="LR202" s="91"/>
      <c r="LS202" s="91"/>
      <c r="LT202" s="91"/>
      <c r="LU202" s="91"/>
      <c r="LV202" s="91"/>
      <c r="LW202" s="91"/>
      <c r="LX202" s="91"/>
      <c r="LY202" s="91"/>
      <c r="LZ202" s="91"/>
      <c r="MA202" s="91"/>
      <c r="MB202" s="91"/>
      <c r="MC202" s="91"/>
      <c r="MD202" s="91"/>
      <c r="ME202" s="91"/>
      <c r="MF202" s="91"/>
      <c r="MG202" s="91"/>
      <c r="MH202" s="91"/>
      <c r="MI202" s="91"/>
      <c r="MJ202" s="91"/>
      <c r="MK202" s="91"/>
      <c r="ML202" s="91"/>
      <c r="MM202" s="91"/>
      <c r="MN202" s="91"/>
      <c r="MO202" s="91"/>
      <c r="MP202" s="91"/>
      <c r="MQ202" s="91"/>
      <c r="MR202" s="91"/>
      <c r="MS202" s="91"/>
      <c r="MT202" s="91"/>
      <c r="MU202" s="91"/>
      <c r="MV202" s="91"/>
      <c r="MW202" s="91"/>
      <c r="MX202" s="91"/>
      <c r="MY202" s="91"/>
      <c r="MZ202" s="91"/>
      <c r="NA202" s="91"/>
      <c r="NB202" s="91"/>
      <c r="NC202" s="91"/>
      <c r="ND202" s="91"/>
      <c r="NE202" s="91"/>
      <c r="NF202" s="91"/>
      <c r="NG202" s="91"/>
      <c r="NH202" s="91"/>
      <c r="NI202" s="91"/>
      <c r="NJ202" s="91"/>
      <c r="NK202" s="91"/>
      <c r="NL202" s="91"/>
      <c r="NM202" s="91"/>
      <c r="NN202" s="91"/>
      <c r="NO202" s="91"/>
      <c r="NP202" s="91"/>
      <c r="NQ202" s="91"/>
      <c r="NR202" s="91"/>
      <c r="NS202" s="91"/>
      <c r="NT202" s="91"/>
      <c r="NU202" s="91"/>
      <c r="NV202" s="91"/>
      <c r="NW202" s="91"/>
      <c r="NX202" s="91"/>
      <c r="NY202" s="91"/>
      <c r="NZ202" s="91"/>
      <c r="OA202" s="91"/>
      <c r="OB202" s="91"/>
      <c r="OC202" s="91"/>
      <c r="OD202" s="91"/>
      <c r="OE202" s="91"/>
      <c r="OF202" s="91"/>
      <c r="OG202" s="91"/>
      <c r="OH202" s="91"/>
      <c r="OI202" s="91"/>
      <c r="OJ202" s="91"/>
      <c r="OK202" s="91"/>
      <c r="OL202" s="91"/>
      <c r="OM202" s="91"/>
      <c r="ON202" s="91"/>
      <c r="OO202" s="91"/>
      <c r="OP202" s="91"/>
      <c r="OQ202" s="91"/>
      <c r="OR202" s="91"/>
      <c r="OS202" s="91"/>
      <c r="OT202" s="91"/>
      <c r="OU202" s="91"/>
      <c r="OV202" s="91"/>
      <c r="OW202" s="91"/>
      <c r="OX202" s="91"/>
      <c r="OY202" s="91"/>
      <c r="OZ202" s="91"/>
      <c r="PA202" s="91"/>
      <c r="PB202" s="91"/>
      <c r="PC202" s="91"/>
      <c r="PD202" s="91"/>
      <c r="PE202" s="91"/>
      <c r="PF202" s="91"/>
      <c r="PG202" s="91"/>
      <c r="PH202" s="91"/>
      <c r="PI202" s="91"/>
      <c r="PJ202" s="91"/>
      <c r="PK202" s="91"/>
      <c r="PL202" s="91"/>
      <c r="PM202" s="91"/>
      <c r="PN202" s="91"/>
      <c r="PO202" s="91"/>
      <c r="PP202" s="91"/>
      <c r="PQ202" s="91"/>
      <c r="PR202" s="91"/>
      <c r="PS202" s="91"/>
      <c r="PT202" s="91"/>
      <c r="PU202" s="91"/>
      <c r="PV202" s="91"/>
      <c r="PW202" s="91"/>
      <c r="PX202" s="91"/>
      <c r="PY202" s="91"/>
      <c r="PZ202" s="91"/>
      <c r="QA202" s="91"/>
      <c r="QB202" s="91"/>
      <c r="QC202" s="91"/>
      <c r="QD202" s="91"/>
      <c r="QE202" s="91"/>
      <c r="QF202" s="91"/>
      <c r="QG202" s="91"/>
      <c r="QH202" s="91"/>
      <c r="QI202" s="91"/>
      <c r="QJ202" s="91"/>
      <c r="QK202" s="91"/>
      <c r="QL202" s="91"/>
      <c r="QM202" s="91"/>
      <c r="QN202" s="91"/>
      <c r="QO202" s="91"/>
      <c r="QP202" s="91"/>
      <c r="QQ202" s="91"/>
      <c r="QR202" s="91"/>
      <c r="QS202" s="91"/>
      <c r="QT202" s="91"/>
      <c r="QU202" s="91"/>
      <c r="QV202" s="91"/>
      <c r="QW202" s="91"/>
      <c r="QX202" s="91"/>
      <c r="QY202" s="91"/>
      <c r="QZ202" s="91"/>
      <c r="RA202" s="91"/>
      <c r="RB202" s="91"/>
      <c r="RC202" s="91"/>
      <c r="RD202" s="91"/>
      <c r="RE202" s="91"/>
      <c r="RF202" s="91"/>
      <c r="RG202" s="91"/>
      <c r="RH202" s="91"/>
      <c r="RI202" s="91"/>
      <c r="RJ202" s="91"/>
      <c r="RK202" s="91"/>
      <c r="RL202" s="91"/>
      <c r="RM202" s="91"/>
      <c r="RN202" s="91"/>
      <c r="RO202" s="91"/>
      <c r="RP202" s="91"/>
      <c r="RQ202" s="91"/>
      <c r="RR202" s="91"/>
      <c r="RS202" s="91"/>
      <c r="RT202" s="91"/>
      <c r="RU202" s="91"/>
      <c r="RV202" s="91"/>
      <c r="RW202" s="91"/>
      <c r="RX202" s="91"/>
      <c r="RY202" s="91"/>
      <c r="RZ202" s="91"/>
      <c r="SA202" s="91"/>
      <c r="SB202" s="91"/>
      <c r="SC202" s="91"/>
      <c r="SD202" s="91"/>
      <c r="SE202" s="91"/>
      <c r="SF202" s="91"/>
      <c r="SG202" s="91"/>
      <c r="SH202" s="91"/>
      <c r="SI202" s="91"/>
      <c r="SJ202" s="91"/>
      <c r="SK202" s="91"/>
      <c r="SL202" s="91"/>
      <c r="SM202" s="91"/>
      <c r="SN202" s="91"/>
      <c r="SO202" s="91"/>
      <c r="SP202" s="91"/>
      <c r="SQ202" s="91"/>
      <c r="SR202" s="91"/>
      <c r="SS202" s="91"/>
      <c r="ST202" s="91"/>
      <c r="SU202" s="91"/>
      <c r="SV202" s="91"/>
      <c r="SW202" s="91"/>
      <c r="SX202" s="91"/>
      <c r="SY202" s="91"/>
      <c r="SZ202" s="91"/>
      <c r="TA202" s="91"/>
      <c r="TB202" s="91"/>
      <c r="TC202" s="91"/>
      <c r="TD202" s="91"/>
      <c r="TE202" s="91"/>
      <c r="TF202" s="91"/>
      <c r="TG202" s="91"/>
      <c r="TH202" s="91"/>
      <c r="TI202" s="91"/>
      <c r="TJ202" s="91"/>
      <c r="TK202" s="91"/>
      <c r="TL202" s="91"/>
      <c r="TM202" s="91"/>
      <c r="TN202" s="91"/>
      <c r="TO202" s="91"/>
      <c r="TP202" s="91"/>
      <c r="TQ202" s="91"/>
      <c r="TR202" s="91"/>
      <c r="TS202" s="91"/>
      <c r="TT202" s="91"/>
      <c r="TU202" s="91"/>
      <c r="TV202" s="91"/>
      <c r="TW202" s="91"/>
      <c r="TX202" s="91"/>
      <c r="TY202" s="91"/>
      <c r="TZ202" s="91"/>
      <c r="UA202" s="91"/>
      <c r="UB202" s="91"/>
      <c r="UC202" s="91"/>
      <c r="UD202" s="91"/>
      <c r="UE202" s="91"/>
      <c r="UF202" s="91"/>
      <c r="UG202" s="91"/>
      <c r="UH202" s="91"/>
      <c r="UI202" s="91"/>
      <c r="UJ202" s="91"/>
      <c r="UK202" s="91"/>
      <c r="UL202" s="91"/>
      <c r="UM202" s="91"/>
      <c r="UN202" s="91"/>
      <c r="UO202" s="91"/>
      <c r="UP202" s="91"/>
      <c r="UQ202" s="91"/>
      <c r="UR202" s="91"/>
      <c r="US202" s="91"/>
      <c r="UT202" s="91"/>
      <c r="UU202" s="91"/>
      <c r="UV202" s="91"/>
      <c r="UW202" s="91"/>
      <c r="UX202" s="91"/>
      <c r="UY202" s="91"/>
      <c r="UZ202" s="91"/>
      <c r="VA202" s="91"/>
      <c r="VB202" s="91"/>
      <c r="VC202" s="91"/>
    </row>
    <row r="203" spans="1:575" s="92" customFormat="1" ht="15" x14ac:dyDescent="0.2">
      <c r="A203" s="70"/>
      <c r="B203" s="111"/>
      <c r="C203" s="111"/>
      <c r="D203" s="71" t="s">
        <v>344</v>
      </c>
      <c r="E203" s="134">
        <f>E210</f>
        <v>0</v>
      </c>
      <c r="F203" s="134">
        <f t="shared" ref="F203:P203" si="34">F210</f>
        <v>0</v>
      </c>
      <c r="G203" s="134">
        <f t="shared" si="34"/>
        <v>0</v>
      </c>
      <c r="H203" s="134">
        <f t="shared" si="34"/>
        <v>0</v>
      </c>
      <c r="I203" s="134">
        <f t="shared" si="34"/>
        <v>0</v>
      </c>
      <c r="J203" s="134">
        <f t="shared" si="34"/>
        <v>500000</v>
      </c>
      <c r="K203" s="134">
        <f t="shared" si="34"/>
        <v>500000</v>
      </c>
      <c r="L203" s="134">
        <f t="shared" si="34"/>
        <v>0</v>
      </c>
      <c r="M203" s="134">
        <f t="shared" si="34"/>
        <v>0</v>
      </c>
      <c r="N203" s="134">
        <f t="shared" si="34"/>
        <v>0</v>
      </c>
      <c r="O203" s="134">
        <f t="shared" si="34"/>
        <v>500000</v>
      </c>
      <c r="P203" s="134">
        <f t="shared" si="34"/>
        <v>500000</v>
      </c>
      <c r="Q203" s="159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  <c r="CV203" s="91"/>
      <c r="CW203" s="91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1"/>
      <c r="HT203" s="91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  <c r="IU203" s="91"/>
      <c r="IV203" s="91"/>
      <c r="IW203" s="91"/>
      <c r="IX203" s="91"/>
      <c r="IY203" s="91"/>
      <c r="IZ203" s="91"/>
      <c r="JA203" s="91"/>
      <c r="JB203" s="91"/>
      <c r="JC203" s="91"/>
      <c r="JD203" s="91"/>
      <c r="JE203" s="91"/>
      <c r="JF203" s="91"/>
      <c r="JG203" s="91"/>
      <c r="JH203" s="91"/>
      <c r="JI203" s="91"/>
      <c r="JJ203" s="91"/>
      <c r="JK203" s="91"/>
      <c r="JL203" s="91"/>
      <c r="JM203" s="91"/>
      <c r="JN203" s="91"/>
      <c r="JO203" s="91"/>
      <c r="JP203" s="91"/>
      <c r="JQ203" s="91"/>
      <c r="JR203" s="91"/>
      <c r="JS203" s="91"/>
      <c r="JT203" s="91"/>
      <c r="JU203" s="91"/>
      <c r="JV203" s="91"/>
      <c r="JW203" s="91"/>
      <c r="JX203" s="91"/>
      <c r="JY203" s="91"/>
      <c r="JZ203" s="91"/>
      <c r="KA203" s="91"/>
      <c r="KB203" s="91"/>
      <c r="KC203" s="91"/>
      <c r="KD203" s="91"/>
      <c r="KE203" s="91"/>
      <c r="KF203" s="91"/>
      <c r="KG203" s="91"/>
      <c r="KH203" s="91"/>
      <c r="KI203" s="91"/>
      <c r="KJ203" s="91"/>
      <c r="KK203" s="91"/>
      <c r="KL203" s="91"/>
      <c r="KM203" s="91"/>
      <c r="KN203" s="91"/>
      <c r="KO203" s="91"/>
      <c r="KP203" s="91"/>
      <c r="KQ203" s="91"/>
      <c r="KR203" s="91"/>
      <c r="KS203" s="91"/>
      <c r="KT203" s="91"/>
      <c r="KU203" s="91"/>
      <c r="KV203" s="91"/>
      <c r="KW203" s="91"/>
      <c r="KX203" s="91"/>
      <c r="KY203" s="91"/>
      <c r="KZ203" s="91"/>
      <c r="LA203" s="91"/>
      <c r="LB203" s="91"/>
      <c r="LC203" s="91"/>
      <c r="LD203" s="91"/>
      <c r="LE203" s="91"/>
      <c r="LF203" s="91"/>
      <c r="LG203" s="91"/>
      <c r="LH203" s="91"/>
      <c r="LI203" s="91"/>
      <c r="LJ203" s="91"/>
      <c r="LK203" s="91"/>
      <c r="LL203" s="91"/>
      <c r="LM203" s="91"/>
      <c r="LN203" s="91"/>
      <c r="LO203" s="91"/>
      <c r="LP203" s="91"/>
      <c r="LQ203" s="91"/>
      <c r="LR203" s="91"/>
      <c r="LS203" s="91"/>
      <c r="LT203" s="91"/>
      <c r="LU203" s="91"/>
      <c r="LV203" s="91"/>
      <c r="LW203" s="91"/>
      <c r="LX203" s="91"/>
      <c r="LY203" s="91"/>
      <c r="LZ203" s="91"/>
      <c r="MA203" s="91"/>
      <c r="MB203" s="91"/>
      <c r="MC203" s="91"/>
      <c r="MD203" s="91"/>
      <c r="ME203" s="91"/>
      <c r="MF203" s="91"/>
      <c r="MG203" s="91"/>
      <c r="MH203" s="91"/>
      <c r="MI203" s="91"/>
      <c r="MJ203" s="91"/>
      <c r="MK203" s="91"/>
      <c r="ML203" s="91"/>
      <c r="MM203" s="91"/>
      <c r="MN203" s="91"/>
      <c r="MO203" s="91"/>
      <c r="MP203" s="91"/>
      <c r="MQ203" s="91"/>
      <c r="MR203" s="91"/>
      <c r="MS203" s="91"/>
      <c r="MT203" s="91"/>
      <c r="MU203" s="91"/>
      <c r="MV203" s="91"/>
      <c r="MW203" s="91"/>
      <c r="MX203" s="91"/>
      <c r="MY203" s="91"/>
      <c r="MZ203" s="91"/>
      <c r="NA203" s="91"/>
      <c r="NB203" s="91"/>
      <c r="NC203" s="91"/>
      <c r="ND203" s="91"/>
      <c r="NE203" s="91"/>
      <c r="NF203" s="91"/>
      <c r="NG203" s="91"/>
      <c r="NH203" s="91"/>
      <c r="NI203" s="91"/>
      <c r="NJ203" s="91"/>
      <c r="NK203" s="91"/>
      <c r="NL203" s="91"/>
      <c r="NM203" s="91"/>
      <c r="NN203" s="91"/>
      <c r="NO203" s="91"/>
      <c r="NP203" s="91"/>
      <c r="NQ203" s="91"/>
      <c r="NR203" s="91"/>
      <c r="NS203" s="91"/>
      <c r="NT203" s="91"/>
      <c r="NU203" s="91"/>
      <c r="NV203" s="91"/>
      <c r="NW203" s="91"/>
      <c r="NX203" s="91"/>
      <c r="NY203" s="91"/>
      <c r="NZ203" s="91"/>
      <c r="OA203" s="91"/>
      <c r="OB203" s="91"/>
      <c r="OC203" s="91"/>
      <c r="OD203" s="91"/>
      <c r="OE203" s="91"/>
      <c r="OF203" s="91"/>
      <c r="OG203" s="91"/>
      <c r="OH203" s="91"/>
      <c r="OI203" s="91"/>
      <c r="OJ203" s="91"/>
      <c r="OK203" s="91"/>
      <c r="OL203" s="91"/>
      <c r="OM203" s="91"/>
      <c r="ON203" s="91"/>
      <c r="OO203" s="91"/>
      <c r="OP203" s="91"/>
      <c r="OQ203" s="91"/>
      <c r="OR203" s="91"/>
      <c r="OS203" s="91"/>
      <c r="OT203" s="91"/>
      <c r="OU203" s="91"/>
      <c r="OV203" s="91"/>
      <c r="OW203" s="91"/>
      <c r="OX203" s="91"/>
      <c r="OY203" s="91"/>
      <c r="OZ203" s="91"/>
      <c r="PA203" s="91"/>
      <c r="PB203" s="91"/>
      <c r="PC203" s="91"/>
      <c r="PD203" s="91"/>
      <c r="PE203" s="91"/>
      <c r="PF203" s="91"/>
      <c r="PG203" s="91"/>
      <c r="PH203" s="91"/>
      <c r="PI203" s="91"/>
      <c r="PJ203" s="91"/>
      <c r="PK203" s="91"/>
      <c r="PL203" s="91"/>
      <c r="PM203" s="91"/>
      <c r="PN203" s="91"/>
      <c r="PO203" s="91"/>
      <c r="PP203" s="91"/>
      <c r="PQ203" s="91"/>
      <c r="PR203" s="91"/>
      <c r="PS203" s="91"/>
      <c r="PT203" s="91"/>
      <c r="PU203" s="91"/>
      <c r="PV203" s="91"/>
      <c r="PW203" s="91"/>
      <c r="PX203" s="91"/>
      <c r="PY203" s="91"/>
      <c r="PZ203" s="91"/>
      <c r="QA203" s="91"/>
      <c r="QB203" s="91"/>
      <c r="QC203" s="91"/>
      <c r="QD203" s="91"/>
      <c r="QE203" s="91"/>
      <c r="QF203" s="91"/>
      <c r="QG203" s="91"/>
      <c r="QH203" s="91"/>
      <c r="QI203" s="91"/>
      <c r="QJ203" s="91"/>
      <c r="QK203" s="91"/>
      <c r="QL203" s="91"/>
      <c r="QM203" s="91"/>
      <c r="QN203" s="91"/>
      <c r="QO203" s="91"/>
      <c r="QP203" s="91"/>
      <c r="QQ203" s="91"/>
      <c r="QR203" s="91"/>
      <c r="QS203" s="91"/>
      <c r="QT203" s="91"/>
      <c r="QU203" s="91"/>
      <c r="QV203" s="91"/>
      <c r="QW203" s="91"/>
      <c r="QX203" s="91"/>
      <c r="QY203" s="91"/>
      <c r="QZ203" s="91"/>
      <c r="RA203" s="91"/>
      <c r="RB203" s="91"/>
      <c r="RC203" s="91"/>
      <c r="RD203" s="91"/>
      <c r="RE203" s="91"/>
      <c r="RF203" s="91"/>
      <c r="RG203" s="91"/>
      <c r="RH203" s="91"/>
      <c r="RI203" s="91"/>
      <c r="RJ203" s="91"/>
      <c r="RK203" s="91"/>
      <c r="RL203" s="91"/>
      <c r="RM203" s="91"/>
      <c r="RN203" s="91"/>
      <c r="RO203" s="91"/>
      <c r="RP203" s="91"/>
      <c r="RQ203" s="91"/>
      <c r="RR203" s="91"/>
      <c r="RS203" s="91"/>
      <c r="RT203" s="91"/>
      <c r="RU203" s="91"/>
      <c r="RV203" s="91"/>
      <c r="RW203" s="91"/>
      <c r="RX203" s="91"/>
      <c r="RY203" s="91"/>
      <c r="RZ203" s="91"/>
      <c r="SA203" s="91"/>
      <c r="SB203" s="91"/>
      <c r="SC203" s="91"/>
      <c r="SD203" s="91"/>
      <c r="SE203" s="91"/>
      <c r="SF203" s="91"/>
      <c r="SG203" s="91"/>
      <c r="SH203" s="91"/>
      <c r="SI203" s="91"/>
      <c r="SJ203" s="91"/>
      <c r="SK203" s="91"/>
      <c r="SL203" s="91"/>
      <c r="SM203" s="91"/>
      <c r="SN203" s="91"/>
      <c r="SO203" s="91"/>
      <c r="SP203" s="91"/>
      <c r="SQ203" s="91"/>
      <c r="SR203" s="91"/>
      <c r="SS203" s="91"/>
      <c r="ST203" s="91"/>
      <c r="SU203" s="91"/>
      <c r="SV203" s="91"/>
      <c r="SW203" s="91"/>
      <c r="SX203" s="91"/>
      <c r="SY203" s="91"/>
      <c r="SZ203" s="91"/>
      <c r="TA203" s="91"/>
      <c r="TB203" s="91"/>
      <c r="TC203" s="91"/>
      <c r="TD203" s="91"/>
      <c r="TE203" s="91"/>
      <c r="TF203" s="91"/>
      <c r="TG203" s="91"/>
      <c r="TH203" s="91"/>
      <c r="TI203" s="91"/>
      <c r="TJ203" s="91"/>
      <c r="TK203" s="91"/>
      <c r="TL203" s="91"/>
      <c r="TM203" s="91"/>
      <c r="TN203" s="91"/>
      <c r="TO203" s="91"/>
      <c r="TP203" s="91"/>
      <c r="TQ203" s="91"/>
      <c r="TR203" s="91"/>
      <c r="TS203" s="91"/>
      <c r="TT203" s="91"/>
      <c r="TU203" s="91"/>
      <c r="TV203" s="91"/>
      <c r="TW203" s="91"/>
      <c r="TX203" s="91"/>
      <c r="TY203" s="91"/>
      <c r="TZ203" s="91"/>
      <c r="UA203" s="91"/>
      <c r="UB203" s="91"/>
      <c r="UC203" s="91"/>
      <c r="UD203" s="91"/>
      <c r="UE203" s="91"/>
      <c r="UF203" s="91"/>
      <c r="UG203" s="91"/>
      <c r="UH203" s="91"/>
      <c r="UI203" s="91"/>
      <c r="UJ203" s="91"/>
      <c r="UK203" s="91"/>
      <c r="UL203" s="91"/>
      <c r="UM203" s="91"/>
      <c r="UN203" s="91"/>
      <c r="UO203" s="91"/>
      <c r="UP203" s="91"/>
      <c r="UQ203" s="91"/>
      <c r="UR203" s="91"/>
      <c r="US203" s="91"/>
      <c r="UT203" s="91"/>
      <c r="UU203" s="91"/>
      <c r="UV203" s="91"/>
      <c r="UW203" s="91"/>
      <c r="UX203" s="91"/>
      <c r="UY203" s="91"/>
      <c r="UZ203" s="91"/>
      <c r="VA203" s="91"/>
      <c r="VB203" s="91"/>
      <c r="VC203" s="91"/>
    </row>
    <row r="204" spans="1:575" s="55" customFormat="1" ht="48" customHeight="1" x14ac:dyDescent="0.25">
      <c r="A204" s="53" t="s">
        <v>186</v>
      </c>
      <c r="B204" s="102" t="str">
        <f>'дод 2'!A13</f>
        <v>0160</v>
      </c>
      <c r="C204" s="102" t="str">
        <f>'дод 2'!B13</f>
        <v>0111</v>
      </c>
      <c r="D204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04" s="132">
        <f t="shared" ref="E204:E211" si="35">F204+I204</f>
        <v>1648800</v>
      </c>
      <c r="F204" s="132">
        <v>1648800</v>
      </c>
      <c r="G204" s="132">
        <f>1289500-4584</f>
        <v>1284916</v>
      </c>
      <c r="H204" s="132">
        <f>13670+200+3426+20</f>
        <v>17316</v>
      </c>
      <c r="I204" s="132"/>
      <c r="J204" s="132">
        <f t="shared" si="28"/>
        <v>0</v>
      </c>
      <c r="K204" s="132"/>
      <c r="L204" s="132"/>
      <c r="M204" s="132"/>
      <c r="N204" s="132"/>
      <c r="O204" s="132"/>
      <c r="P204" s="132">
        <f t="shared" ref="P204:P211" si="36">E204+J204</f>
        <v>1648800</v>
      </c>
      <c r="Q204" s="159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  <c r="KO204" s="61"/>
      <c r="KP204" s="61"/>
      <c r="KQ204" s="61"/>
      <c r="KR204" s="61"/>
      <c r="KS204" s="61"/>
      <c r="KT204" s="61"/>
      <c r="KU204" s="61"/>
      <c r="KV204" s="61"/>
      <c r="KW204" s="61"/>
      <c r="KX204" s="61"/>
      <c r="KY204" s="61"/>
      <c r="KZ204" s="61"/>
      <c r="LA204" s="61"/>
      <c r="LB204" s="61"/>
      <c r="LC204" s="61"/>
      <c r="LD204" s="61"/>
      <c r="LE204" s="61"/>
      <c r="LF204" s="61"/>
      <c r="LG204" s="61"/>
      <c r="LH204" s="61"/>
      <c r="LI204" s="61"/>
      <c r="LJ204" s="61"/>
      <c r="LK204" s="61"/>
      <c r="LL204" s="61"/>
      <c r="LM204" s="61"/>
      <c r="LN204" s="61"/>
      <c r="LO204" s="61"/>
      <c r="LP204" s="61"/>
      <c r="LQ204" s="61"/>
      <c r="LR204" s="61"/>
      <c r="LS204" s="61"/>
      <c r="LT204" s="61"/>
      <c r="LU204" s="61"/>
      <c r="LV204" s="61"/>
      <c r="LW204" s="61"/>
      <c r="LX204" s="61"/>
      <c r="LY204" s="61"/>
      <c r="LZ204" s="61"/>
      <c r="MA204" s="61"/>
      <c r="MB204" s="61"/>
      <c r="MC204" s="61"/>
      <c r="MD204" s="61"/>
      <c r="ME204" s="61"/>
      <c r="MF204" s="61"/>
      <c r="MG204" s="61"/>
      <c r="MH204" s="61"/>
      <c r="MI204" s="61"/>
      <c r="MJ204" s="61"/>
      <c r="MK204" s="61"/>
      <c r="ML204" s="61"/>
      <c r="MM204" s="61"/>
      <c r="MN204" s="61"/>
      <c r="MO204" s="61"/>
      <c r="MP204" s="61"/>
      <c r="MQ204" s="61"/>
      <c r="MR204" s="61"/>
      <c r="MS204" s="61"/>
      <c r="MT204" s="61"/>
      <c r="MU204" s="61"/>
      <c r="MV204" s="61"/>
      <c r="MW204" s="61"/>
      <c r="MX204" s="61"/>
      <c r="MY204" s="61"/>
      <c r="MZ204" s="61"/>
      <c r="NA204" s="61"/>
      <c r="NB204" s="61"/>
      <c r="NC204" s="61"/>
      <c r="ND204" s="61"/>
      <c r="NE204" s="61"/>
      <c r="NF204" s="61"/>
      <c r="NG204" s="61"/>
      <c r="NH204" s="61"/>
      <c r="NI204" s="61"/>
      <c r="NJ204" s="61"/>
      <c r="NK204" s="61"/>
      <c r="NL204" s="61"/>
      <c r="NM204" s="61"/>
      <c r="NN204" s="61"/>
      <c r="NO204" s="61"/>
      <c r="NP204" s="61"/>
      <c r="NQ204" s="61"/>
      <c r="NR204" s="61"/>
      <c r="NS204" s="61"/>
      <c r="NT204" s="61"/>
      <c r="NU204" s="61"/>
      <c r="NV204" s="61"/>
      <c r="NW204" s="61"/>
      <c r="NX204" s="61"/>
      <c r="NY204" s="61"/>
      <c r="NZ204" s="61"/>
      <c r="OA204" s="61"/>
      <c r="OB204" s="61"/>
      <c r="OC204" s="61"/>
      <c r="OD204" s="61"/>
      <c r="OE204" s="61"/>
      <c r="OF204" s="61"/>
      <c r="OG204" s="61"/>
      <c r="OH204" s="61"/>
      <c r="OI204" s="61"/>
      <c r="OJ204" s="61"/>
      <c r="OK204" s="61"/>
      <c r="OL204" s="61"/>
      <c r="OM204" s="61"/>
      <c r="ON204" s="61"/>
      <c r="OO204" s="61"/>
      <c r="OP204" s="61"/>
      <c r="OQ204" s="61"/>
      <c r="OR204" s="61"/>
      <c r="OS204" s="61"/>
      <c r="OT204" s="61"/>
      <c r="OU204" s="61"/>
      <c r="OV204" s="61"/>
      <c r="OW204" s="61"/>
      <c r="OX204" s="61"/>
      <c r="OY204" s="61"/>
      <c r="OZ204" s="61"/>
      <c r="PA204" s="61"/>
      <c r="PB204" s="61"/>
      <c r="PC204" s="61"/>
      <c r="PD204" s="61"/>
      <c r="PE204" s="61"/>
      <c r="PF204" s="61"/>
      <c r="PG204" s="61"/>
      <c r="PH204" s="61"/>
      <c r="PI204" s="61"/>
      <c r="PJ204" s="61"/>
      <c r="PK204" s="61"/>
      <c r="PL204" s="61"/>
      <c r="PM204" s="61"/>
      <c r="PN204" s="61"/>
      <c r="PO204" s="61"/>
      <c r="PP204" s="61"/>
      <c r="PQ204" s="61"/>
      <c r="PR204" s="61"/>
      <c r="PS204" s="61"/>
      <c r="PT204" s="61"/>
      <c r="PU204" s="61"/>
      <c r="PV204" s="61"/>
      <c r="PW204" s="61"/>
      <c r="PX204" s="61"/>
      <c r="PY204" s="61"/>
      <c r="PZ204" s="61"/>
      <c r="QA204" s="61"/>
      <c r="QB204" s="61"/>
      <c r="QC204" s="61"/>
      <c r="QD204" s="61"/>
      <c r="QE204" s="61"/>
      <c r="QF204" s="61"/>
      <c r="QG204" s="61"/>
      <c r="QH204" s="61"/>
      <c r="QI204" s="61"/>
      <c r="QJ204" s="61"/>
      <c r="QK204" s="61"/>
      <c r="QL204" s="61"/>
      <c r="QM204" s="61"/>
      <c r="QN204" s="61"/>
      <c r="QO204" s="61"/>
      <c r="QP204" s="61"/>
      <c r="QQ204" s="61"/>
      <c r="QR204" s="61"/>
      <c r="QS204" s="61"/>
      <c r="QT204" s="61"/>
      <c r="QU204" s="61"/>
      <c r="QV204" s="61"/>
      <c r="QW204" s="61"/>
      <c r="QX204" s="61"/>
      <c r="QY204" s="61"/>
      <c r="QZ204" s="61"/>
      <c r="RA204" s="61"/>
      <c r="RB204" s="61"/>
      <c r="RC204" s="61"/>
      <c r="RD204" s="61"/>
      <c r="RE204" s="61"/>
      <c r="RF204" s="61"/>
      <c r="RG204" s="61"/>
      <c r="RH204" s="61"/>
      <c r="RI204" s="61"/>
      <c r="RJ204" s="61"/>
      <c r="RK204" s="61"/>
      <c r="RL204" s="61"/>
      <c r="RM204" s="61"/>
      <c r="RN204" s="61"/>
      <c r="RO204" s="61"/>
      <c r="RP204" s="61"/>
      <c r="RQ204" s="61"/>
      <c r="RR204" s="61"/>
      <c r="RS204" s="61"/>
      <c r="RT204" s="61"/>
      <c r="RU204" s="61"/>
      <c r="RV204" s="61"/>
      <c r="RW204" s="61"/>
      <c r="RX204" s="61"/>
      <c r="RY204" s="61"/>
      <c r="RZ204" s="61"/>
      <c r="SA204" s="61"/>
      <c r="SB204" s="61"/>
      <c r="SC204" s="61"/>
      <c r="SD204" s="61"/>
      <c r="SE204" s="61"/>
      <c r="SF204" s="61"/>
      <c r="SG204" s="61"/>
      <c r="SH204" s="61"/>
      <c r="SI204" s="61"/>
      <c r="SJ204" s="61"/>
      <c r="SK204" s="61"/>
      <c r="SL204" s="61"/>
      <c r="SM204" s="61"/>
      <c r="SN204" s="61"/>
      <c r="SO204" s="61"/>
      <c r="SP204" s="61"/>
      <c r="SQ204" s="61"/>
      <c r="SR204" s="61"/>
      <c r="SS204" s="61"/>
      <c r="ST204" s="61"/>
      <c r="SU204" s="61"/>
      <c r="SV204" s="61"/>
      <c r="SW204" s="61"/>
      <c r="SX204" s="61"/>
      <c r="SY204" s="61"/>
      <c r="SZ204" s="61"/>
      <c r="TA204" s="61"/>
      <c r="TB204" s="61"/>
      <c r="TC204" s="61"/>
      <c r="TD204" s="61"/>
      <c r="TE204" s="61"/>
      <c r="TF204" s="61"/>
      <c r="TG204" s="61"/>
      <c r="TH204" s="61"/>
      <c r="TI204" s="61"/>
      <c r="TJ204" s="61"/>
      <c r="TK204" s="61"/>
      <c r="TL204" s="61"/>
      <c r="TM204" s="61"/>
      <c r="TN204" s="61"/>
      <c r="TO204" s="61"/>
      <c r="TP204" s="61"/>
      <c r="TQ204" s="61"/>
      <c r="TR204" s="61"/>
      <c r="TS204" s="61"/>
      <c r="TT204" s="61"/>
      <c r="TU204" s="61"/>
      <c r="TV204" s="61"/>
      <c r="TW204" s="61"/>
      <c r="TX204" s="61"/>
      <c r="TY204" s="61"/>
      <c r="TZ204" s="61"/>
      <c r="UA204" s="61"/>
      <c r="UB204" s="61"/>
      <c r="UC204" s="61"/>
      <c r="UD204" s="61"/>
      <c r="UE204" s="61"/>
      <c r="UF204" s="61"/>
      <c r="UG204" s="61"/>
      <c r="UH204" s="61"/>
      <c r="UI204" s="61"/>
      <c r="UJ204" s="61"/>
      <c r="UK204" s="61"/>
      <c r="UL204" s="61"/>
      <c r="UM204" s="61"/>
      <c r="UN204" s="61"/>
      <c r="UO204" s="61"/>
      <c r="UP204" s="61"/>
      <c r="UQ204" s="61"/>
      <c r="UR204" s="61"/>
      <c r="US204" s="61"/>
      <c r="UT204" s="61"/>
      <c r="UU204" s="61"/>
      <c r="UV204" s="61"/>
      <c r="UW204" s="61"/>
      <c r="UX204" s="61"/>
      <c r="UY204" s="61"/>
      <c r="UZ204" s="61"/>
      <c r="VA204" s="61"/>
      <c r="VB204" s="61"/>
      <c r="VC204" s="61"/>
    </row>
    <row r="205" spans="1:575" s="55" customFormat="1" ht="48.75" customHeight="1" x14ac:dyDescent="0.25">
      <c r="A205" s="53" t="s">
        <v>289</v>
      </c>
      <c r="B205" s="102" t="str">
        <f>'дод 2'!A26</f>
        <v>1100</v>
      </c>
      <c r="C205" s="102" t="str">
        <f>'дод 2'!B26</f>
        <v>0960</v>
      </c>
      <c r="D205" s="56" t="str">
        <f>'дод 2'!C26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5" s="132">
        <f t="shared" si="35"/>
        <v>34729300</v>
      </c>
      <c r="F205" s="132">
        <f>34503300+70000+55000+50000+20000+23000+30000-22000</f>
        <v>34729300</v>
      </c>
      <c r="G205" s="132">
        <v>27174000</v>
      </c>
      <c r="H205" s="132">
        <f>772000+11079+50000+336+159421-22000</f>
        <v>970836</v>
      </c>
      <c r="I205" s="132"/>
      <c r="J205" s="132">
        <f t="shared" si="28"/>
        <v>2586580</v>
      </c>
      <c r="K205" s="132">
        <f>100000+10000-30000</f>
        <v>80000</v>
      </c>
      <c r="L205" s="132">
        <v>2501860</v>
      </c>
      <c r="M205" s="132">
        <v>2043504</v>
      </c>
      <c r="N205" s="132"/>
      <c r="O205" s="132">
        <f>100000+4720+10000-30000</f>
        <v>84720</v>
      </c>
      <c r="P205" s="132">
        <f t="shared" si="36"/>
        <v>37315880</v>
      </c>
      <c r="Q205" s="159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  <c r="CJ205" s="61"/>
      <c r="CK205" s="61"/>
      <c r="CL205" s="61"/>
      <c r="CM205" s="61"/>
      <c r="CN205" s="61"/>
      <c r="CO205" s="61"/>
      <c r="CP205" s="61"/>
      <c r="CQ205" s="61"/>
      <c r="CR205" s="61"/>
      <c r="CS205" s="61"/>
      <c r="CT205" s="61"/>
      <c r="CU205" s="61"/>
      <c r="CV205" s="61"/>
      <c r="CW205" s="61"/>
      <c r="CX205" s="61"/>
      <c r="CY205" s="61"/>
      <c r="CZ205" s="61"/>
      <c r="DA205" s="61"/>
      <c r="DB205" s="61"/>
      <c r="DC205" s="61"/>
      <c r="DD205" s="61"/>
      <c r="DE205" s="61"/>
      <c r="DF205" s="61"/>
      <c r="DG205" s="61"/>
      <c r="DH205" s="61"/>
      <c r="DI205" s="61"/>
      <c r="DJ205" s="61"/>
      <c r="DK205" s="61"/>
      <c r="DL205" s="61"/>
      <c r="DM205" s="61"/>
      <c r="DN205" s="61"/>
      <c r="DO205" s="61"/>
      <c r="DP205" s="61"/>
      <c r="DQ205" s="61"/>
      <c r="DR205" s="61"/>
      <c r="DS205" s="61"/>
      <c r="DT205" s="61"/>
      <c r="DU205" s="61"/>
      <c r="DV205" s="61"/>
      <c r="DW205" s="61"/>
      <c r="DX205" s="61"/>
      <c r="DY205" s="61"/>
      <c r="DZ205" s="61"/>
      <c r="EA205" s="61"/>
      <c r="EB205" s="61"/>
      <c r="EC205" s="61"/>
      <c r="ED205" s="61"/>
      <c r="EE205" s="61"/>
      <c r="EF205" s="61"/>
      <c r="EG205" s="61"/>
      <c r="EH205" s="61"/>
      <c r="EI205" s="61"/>
      <c r="EJ205" s="61"/>
      <c r="EK205" s="61"/>
      <c r="EL205" s="61"/>
      <c r="EM205" s="61"/>
      <c r="EN205" s="61"/>
      <c r="EO205" s="61"/>
      <c r="EP205" s="61"/>
      <c r="EQ205" s="61"/>
      <c r="ER205" s="61"/>
      <c r="ES205" s="61"/>
      <c r="ET205" s="61"/>
      <c r="EU205" s="61"/>
      <c r="EV205" s="61"/>
      <c r="EW205" s="61"/>
      <c r="EX205" s="61"/>
      <c r="EY205" s="61"/>
      <c r="EZ205" s="61"/>
      <c r="FA205" s="61"/>
      <c r="FB205" s="61"/>
      <c r="FC205" s="61"/>
      <c r="FD205" s="61"/>
      <c r="FE205" s="61"/>
      <c r="FF205" s="61"/>
      <c r="FG205" s="61"/>
      <c r="FH205" s="61"/>
      <c r="FI205" s="61"/>
      <c r="FJ205" s="61"/>
      <c r="FK205" s="61"/>
      <c r="FL205" s="61"/>
      <c r="FM205" s="61"/>
      <c r="FN205" s="61"/>
      <c r="FO205" s="61"/>
      <c r="FP205" s="61"/>
      <c r="FQ205" s="61"/>
      <c r="FR205" s="61"/>
      <c r="FS205" s="61"/>
      <c r="FT205" s="61"/>
      <c r="FU205" s="61"/>
      <c r="FV205" s="61"/>
      <c r="FW205" s="61"/>
      <c r="FX205" s="61"/>
      <c r="FY205" s="61"/>
      <c r="FZ205" s="61"/>
      <c r="GA205" s="61"/>
      <c r="GB205" s="61"/>
      <c r="GC205" s="61"/>
      <c r="GD205" s="61"/>
      <c r="GE205" s="61"/>
      <c r="GF205" s="61"/>
      <c r="GG205" s="61"/>
      <c r="GH205" s="61"/>
      <c r="GI205" s="61"/>
      <c r="GJ205" s="61"/>
      <c r="GK205" s="61"/>
      <c r="GL205" s="61"/>
      <c r="GM205" s="61"/>
      <c r="GN205" s="61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1"/>
      <c r="JX205" s="61"/>
      <c r="JY205" s="61"/>
      <c r="JZ205" s="61"/>
      <c r="KA205" s="61"/>
      <c r="KB205" s="61"/>
      <c r="KC205" s="61"/>
      <c r="KD205" s="61"/>
      <c r="KE205" s="61"/>
      <c r="KF205" s="61"/>
      <c r="KG205" s="61"/>
      <c r="KH205" s="61"/>
      <c r="KI205" s="61"/>
      <c r="KJ205" s="61"/>
      <c r="KK205" s="61"/>
      <c r="KL205" s="61"/>
      <c r="KM205" s="61"/>
      <c r="KN205" s="61"/>
      <c r="KO205" s="61"/>
      <c r="KP205" s="61"/>
      <c r="KQ205" s="61"/>
      <c r="KR205" s="61"/>
      <c r="KS205" s="61"/>
      <c r="KT205" s="61"/>
      <c r="KU205" s="61"/>
      <c r="KV205" s="61"/>
      <c r="KW205" s="61"/>
      <c r="KX205" s="61"/>
      <c r="KY205" s="61"/>
      <c r="KZ205" s="61"/>
      <c r="LA205" s="61"/>
      <c r="LB205" s="61"/>
      <c r="LC205" s="61"/>
      <c r="LD205" s="61"/>
      <c r="LE205" s="61"/>
      <c r="LF205" s="61"/>
      <c r="LG205" s="61"/>
      <c r="LH205" s="61"/>
      <c r="LI205" s="61"/>
      <c r="LJ205" s="61"/>
      <c r="LK205" s="61"/>
      <c r="LL205" s="61"/>
      <c r="LM205" s="61"/>
      <c r="LN205" s="61"/>
      <c r="LO205" s="61"/>
      <c r="LP205" s="61"/>
      <c r="LQ205" s="61"/>
      <c r="LR205" s="61"/>
      <c r="LS205" s="61"/>
      <c r="LT205" s="61"/>
      <c r="LU205" s="61"/>
      <c r="LV205" s="61"/>
      <c r="LW205" s="61"/>
      <c r="LX205" s="61"/>
      <c r="LY205" s="61"/>
      <c r="LZ205" s="61"/>
      <c r="MA205" s="61"/>
      <c r="MB205" s="61"/>
      <c r="MC205" s="61"/>
      <c r="MD205" s="61"/>
      <c r="ME205" s="61"/>
      <c r="MF205" s="61"/>
      <c r="MG205" s="61"/>
      <c r="MH205" s="61"/>
      <c r="MI205" s="61"/>
      <c r="MJ205" s="61"/>
      <c r="MK205" s="61"/>
      <c r="ML205" s="61"/>
      <c r="MM205" s="61"/>
      <c r="MN205" s="61"/>
      <c r="MO205" s="61"/>
      <c r="MP205" s="61"/>
      <c r="MQ205" s="61"/>
      <c r="MR205" s="61"/>
      <c r="MS205" s="61"/>
      <c r="MT205" s="61"/>
      <c r="MU205" s="61"/>
      <c r="MV205" s="61"/>
      <c r="MW205" s="61"/>
      <c r="MX205" s="61"/>
      <c r="MY205" s="61"/>
      <c r="MZ205" s="61"/>
      <c r="NA205" s="61"/>
      <c r="NB205" s="61"/>
      <c r="NC205" s="61"/>
      <c r="ND205" s="61"/>
      <c r="NE205" s="61"/>
      <c r="NF205" s="61"/>
      <c r="NG205" s="61"/>
      <c r="NH205" s="61"/>
      <c r="NI205" s="61"/>
      <c r="NJ205" s="61"/>
      <c r="NK205" s="61"/>
      <c r="NL205" s="61"/>
      <c r="NM205" s="61"/>
      <c r="NN205" s="61"/>
      <c r="NO205" s="61"/>
      <c r="NP205" s="61"/>
      <c r="NQ205" s="61"/>
      <c r="NR205" s="61"/>
      <c r="NS205" s="61"/>
      <c r="NT205" s="61"/>
      <c r="NU205" s="61"/>
      <c r="NV205" s="61"/>
      <c r="NW205" s="61"/>
      <c r="NX205" s="61"/>
      <c r="NY205" s="61"/>
      <c r="NZ205" s="61"/>
      <c r="OA205" s="61"/>
      <c r="OB205" s="61"/>
      <c r="OC205" s="61"/>
      <c r="OD205" s="61"/>
      <c r="OE205" s="61"/>
      <c r="OF205" s="61"/>
      <c r="OG205" s="61"/>
      <c r="OH205" s="61"/>
      <c r="OI205" s="61"/>
      <c r="OJ205" s="61"/>
      <c r="OK205" s="61"/>
      <c r="OL205" s="61"/>
      <c r="OM205" s="61"/>
      <c r="ON205" s="61"/>
      <c r="OO205" s="61"/>
      <c r="OP205" s="61"/>
      <c r="OQ205" s="61"/>
      <c r="OR205" s="61"/>
      <c r="OS205" s="61"/>
      <c r="OT205" s="61"/>
      <c r="OU205" s="61"/>
      <c r="OV205" s="61"/>
      <c r="OW205" s="61"/>
      <c r="OX205" s="61"/>
      <c r="OY205" s="61"/>
      <c r="OZ205" s="61"/>
      <c r="PA205" s="61"/>
      <c r="PB205" s="61"/>
      <c r="PC205" s="61"/>
      <c r="PD205" s="61"/>
      <c r="PE205" s="61"/>
      <c r="PF205" s="61"/>
      <c r="PG205" s="61"/>
      <c r="PH205" s="61"/>
      <c r="PI205" s="61"/>
      <c r="PJ205" s="61"/>
      <c r="PK205" s="61"/>
      <c r="PL205" s="61"/>
      <c r="PM205" s="61"/>
      <c r="PN205" s="61"/>
      <c r="PO205" s="61"/>
      <c r="PP205" s="61"/>
      <c r="PQ205" s="61"/>
      <c r="PR205" s="61"/>
      <c r="PS205" s="61"/>
      <c r="PT205" s="61"/>
      <c r="PU205" s="61"/>
      <c r="PV205" s="61"/>
      <c r="PW205" s="61"/>
      <c r="PX205" s="61"/>
      <c r="PY205" s="61"/>
      <c r="PZ205" s="61"/>
      <c r="QA205" s="61"/>
      <c r="QB205" s="61"/>
      <c r="QC205" s="61"/>
      <c r="QD205" s="61"/>
      <c r="QE205" s="61"/>
      <c r="QF205" s="61"/>
      <c r="QG205" s="61"/>
      <c r="QH205" s="61"/>
      <c r="QI205" s="61"/>
      <c r="QJ205" s="61"/>
      <c r="QK205" s="61"/>
      <c r="QL205" s="61"/>
      <c r="QM205" s="61"/>
      <c r="QN205" s="61"/>
      <c r="QO205" s="61"/>
      <c r="QP205" s="61"/>
      <c r="QQ205" s="61"/>
      <c r="QR205" s="61"/>
      <c r="QS205" s="61"/>
      <c r="QT205" s="61"/>
      <c r="QU205" s="61"/>
      <c r="QV205" s="61"/>
      <c r="QW205" s="61"/>
      <c r="QX205" s="61"/>
      <c r="QY205" s="61"/>
      <c r="QZ205" s="61"/>
      <c r="RA205" s="61"/>
      <c r="RB205" s="61"/>
      <c r="RC205" s="61"/>
      <c r="RD205" s="61"/>
      <c r="RE205" s="61"/>
      <c r="RF205" s="61"/>
      <c r="RG205" s="61"/>
      <c r="RH205" s="61"/>
      <c r="RI205" s="61"/>
      <c r="RJ205" s="61"/>
      <c r="RK205" s="61"/>
      <c r="RL205" s="61"/>
      <c r="RM205" s="61"/>
      <c r="RN205" s="61"/>
      <c r="RO205" s="61"/>
      <c r="RP205" s="61"/>
      <c r="RQ205" s="61"/>
      <c r="RR205" s="61"/>
      <c r="RS205" s="61"/>
      <c r="RT205" s="61"/>
      <c r="RU205" s="61"/>
      <c r="RV205" s="61"/>
      <c r="RW205" s="61"/>
      <c r="RX205" s="61"/>
      <c r="RY205" s="61"/>
      <c r="RZ205" s="61"/>
      <c r="SA205" s="61"/>
      <c r="SB205" s="61"/>
      <c r="SC205" s="61"/>
      <c r="SD205" s="61"/>
      <c r="SE205" s="61"/>
      <c r="SF205" s="61"/>
      <c r="SG205" s="61"/>
      <c r="SH205" s="61"/>
      <c r="SI205" s="61"/>
      <c r="SJ205" s="61"/>
      <c r="SK205" s="61"/>
      <c r="SL205" s="61"/>
      <c r="SM205" s="61"/>
      <c r="SN205" s="61"/>
      <c r="SO205" s="61"/>
      <c r="SP205" s="61"/>
      <c r="SQ205" s="61"/>
      <c r="SR205" s="61"/>
      <c r="SS205" s="61"/>
      <c r="ST205" s="61"/>
      <c r="SU205" s="61"/>
      <c r="SV205" s="61"/>
      <c r="SW205" s="61"/>
      <c r="SX205" s="61"/>
      <c r="SY205" s="61"/>
      <c r="SZ205" s="61"/>
      <c r="TA205" s="61"/>
      <c r="TB205" s="61"/>
      <c r="TC205" s="61"/>
      <c r="TD205" s="61"/>
      <c r="TE205" s="61"/>
      <c r="TF205" s="61"/>
      <c r="TG205" s="61"/>
      <c r="TH205" s="61"/>
      <c r="TI205" s="61"/>
      <c r="TJ205" s="61"/>
      <c r="TK205" s="61"/>
      <c r="TL205" s="61"/>
      <c r="TM205" s="61"/>
      <c r="TN205" s="61"/>
      <c r="TO205" s="61"/>
      <c r="TP205" s="61"/>
      <c r="TQ205" s="61"/>
      <c r="TR205" s="61"/>
      <c r="TS205" s="61"/>
      <c r="TT205" s="61"/>
      <c r="TU205" s="61"/>
      <c r="TV205" s="61"/>
      <c r="TW205" s="61"/>
      <c r="TX205" s="61"/>
      <c r="TY205" s="61"/>
      <c r="TZ205" s="61"/>
      <c r="UA205" s="61"/>
      <c r="UB205" s="61"/>
      <c r="UC205" s="61"/>
      <c r="UD205" s="61"/>
      <c r="UE205" s="61"/>
      <c r="UF205" s="61"/>
      <c r="UG205" s="61"/>
      <c r="UH205" s="61"/>
      <c r="UI205" s="61"/>
      <c r="UJ205" s="61"/>
      <c r="UK205" s="61"/>
      <c r="UL205" s="61"/>
      <c r="UM205" s="61"/>
      <c r="UN205" s="61"/>
      <c r="UO205" s="61"/>
      <c r="UP205" s="61"/>
      <c r="UQ205" s="61"/>
      <c r="UR205" s="61"/>
      <c r="US205" s="61"/>
      <c r="UT205" s="61"/>
      <c r="UU205" s="61"/>
      <c r="UV205" s="61"/>
      <c r="UW205" s="61"/>
      <c r="UX205" s="61"/>
      <c r="UY205" s="61"/>
      <c r="UZ205" s="61"/>
      <c r="VA205" s="61"/>
      <c r="VB205" s="61"/>
      <c r="VC205" s="61"/>
    </row>
    <row r="206" spans="1:575" s="55" customFormat="1" ht="21" customHeight="1" x14ac:dyDescent="0.25">
      <c r="A206" s="53" t="s">
        <v>258</v>
      </c>
      <c r="B206" s="102" t="str">
        <f>'дод 2'!A131</f>
        <v>4030</v>
      </c>
      <c r="C206" s="102" t="str">
        <f>'дод 2'!B131</f>
        <v>0824</v>
      </c>
      <c r="D206" s="56" t="str">
        <f>'дод 2'!C131</f>
        <v>Забезпечення діяльності бібліотек</v>
      </c>
      <c r="E206" s="132">
        <f t="shared" si="35"/>
        <v>17754990</v>
      </c>
      <c r="F206" s="132">
        <f>17534840+25000+12000+100000+25000+14930+20070+20000+12800-31650+22000</f>
        <v>17754990</v>
      </c>
      <c r="G206" s="132">
        <v>12497600</v>
      </c>
      <c r="H206" s="132">
        <f>1288000+13060+100000+248+171371+22000</f>
        <v>1594679</v>
      </c>
      <c r="I206" s="132"/>
      <c r="J206" s="132">
        <f t="shared" si="28"/>
        <v>386020</v>
      </c>
      <c r="K206" s="132">
        <f>300000+5000+43020+10000</f>
        <v>358020</v>
      </c>
      <c r="L206" s="132">
        <v>28000</v>
      </c>
      <c r="M206" s="132">
        <v>5000</v>
      </c>
      <c r="N206" s="132"/>
      <c r="O206" s="132">
        <f>300000+5000+43020+10000</f>
        <v>358020</v>
      </c>
      <c r="P206" s="132">
        <f t="shared" si="36"/>
        <v>18141010</v>
      </c>
      <c r="Q206" s="159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  <c r="CJ206" s="61"/>
      <c r="CK206" s="61"/>
      <c r="CL206" s="61"/>
      <c r="CM206" s="61"/>
      <c r="CN206" s="61"/>
      <c r="CO206" s="61"/>
      <c r="CP206" s="61"/>
      <c r="CQ206" s="61"/>
      <c r="CR206" s="61"/>
      <c r="CS206" s="61"/>
      <c r="CT206" s="61"/>
      <c r="CU206" s="61"/>
      <c r="CV206" s="61"/>
      <c r="CW206" s="61"/>
      <c r="CX206" s="61"/>
      <c r="CY206" s="61"/>
      <c r="CZ206" s="61"/>
      <c r="DA206" s="61"/>
      <c r="DB206" s="61"/>
      <c r="DC206" s="61"/>
      <c r="DD206" s="61"/>
      <c r="DE206" s="61"/>
      <c r="DF206" s="61"/>
      <c r="DG206" s="61"/>
      <c r="DH206" s="61"/>
      <c r="DI206" s="61"/>
      <c r="DJ206" s="61"/>
      <c r="DK206" s="61"/>
      <c r="DL206" s="61"/>
      <c r="DM206" s="61"/>
      <c r="DN206" s="61"/>
      <c r="DO206" s="61"/>
      <c r="DP206" s="61"/>
      <c r="DQ206" s="61"/>
      <c r="DR206" s="61"/>
      <c r="DS206" s="61"/>
      <c r="DT206" s="61"/>
      <c r="DU206" s="61"/>
      <c r="DV206" s="61"/>
      <c r="DW206" s="61"/>
      <c r="DX206" s="61"/>
      <c r="DY206" s="61"/>
      <c r="DZ206" s="61"/>
      <c r="EA206" s="61"/>
      <c r="EB206" s="61"/>
      <c r="EC206" s="61"/>
      <c r="ED206" s="61"/>
      <c r="EE206" s="61"/>
      <c r="EF206" s="61"/>
      <c r="EG206" s="61"/>
      <c r="EH206" s="61"/>
      <c r="EI206" s="61"/>
      <c r="EJ206" s="61"/>
      <c r="EK206" s="61"/>
      <c r="EL206" s="61"/>
      <c r="EM206" s="61"/>
      <c r="EN206" s="61"/>
      <c r="EO206" s="61"/>
      <c r="EP206" s="61"/>
      <c r="EQ206" s="61"/>
      <c r="ER206" s="61"/>
      <c r="ES206" s="61"/>
      <c r="ET206" s="61"/>
      <c r="EU206" s="61"/>
      <c r="EV206" s="61"/>
      <c r="EW206" s="61"/>
      <c r="EX206" s="61"/>
      <c r="EY206" s="61"/>
      <c r="EZ206" s="61"/>
      <c r="FA206" s="61"/>
      <c r="FB206" s="61"/>
      <c r="FC206" s="61"/>
      <c r="FD206" s="61"/>
      <c r="FE206" s="61"/>
      <c r="FF206" s="61"/>
      <c r="FG206" s="61"/>
      <c r="FH206" s="61"/>
      <c r="FI206" s="61"/>
      <c r="FJ206" s="61"/>
      <c r="FK206" s="61"/>
      <c r="FL206" s="61"/>
      <c r="FM206" s="61"/>
      <c r="FN206" s="61"/>
      <c r="FO206" s="61"/>
      <c r="FP206" s="61"/>
      <c r="FQ206" s="61"/>
      <c r="FR206" s="61"/>
      <c r="FS206" s="61"/>
      <c r="FT206" s="61"/>
      <c r="FU206" s="61"/>
      <c r="FV206" s="61"/>
      <c r="FW206" s="61"/>
      <c r="FX206" s="61"/>
      <c r="FY206" s="61"/>
      <c r="FZ206" s="61"/>
      <c r="GA206" s="61"/>
      <c r="GB206" s="61"/>
      <c r="GC206" s="61"/>
      <c r="GD206" s="61"/>
      <c r="GE206" s="61"/>
      <c r="GF206" s="61"/>
      <c r="GG206" s="61"/>
      <c r="GH206" s="61"/>
      <c r="GI206" s="61"/>
      <c r="GJ206" s="61"/>
      <c r="GK206" s="61"/>
      <c r="GL206" s="61"/>
      <c r="GM206" s="61"/>
      <c r="GN206" s="61"/>
      <c r="GO206" s="61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  <c r="JU206" s="61"/>
      <c r="JV206" s="61"/>
      <c r="JW206" s="61"/>
      <c r="JX206" s="61"/>
      <c r="JY206" s="61"/>
      <c r="JZ206" s="61"/>
      <c r="KA206" s="61"/>
      <c r="KB206" s="61"/>
      <c r="KC206" s="61"/>
      <c r="KD206" s="61"/>
      <c r="KE206" s="61"/>
      <c r="KF206" s="61"/>
      <c r="KG206" s="61"/>
      <c r="KH206" s="61"/>
      <c r="KI206" s="61"/>
      <c r="KJ206" s="61"/>
      <c r="KK206" s="61"/>
      <c r="KL206" s="61"/>
      <c r="KM206" s="61"/>
      <c r="KN206" s="61"/>
      <c r="KO206" s="61"/>
      <c r="KP206" s="61"/>
      <c r="KQ206" s="61"/>
      <c r="KR206" s="61"/>
      <c r="KS206" s="61"/>
      <c r="KT206" s="61"/>
      <c r="KU206" s="61"/>
      <c r="KV206" s="61"/>
      <c r="KW206" s="61"/>
      <c r="KX206" s="61"/>
      <c r="KY206" s="61"/>
      <c r="KZ206" s="61"/>
      <c r="LA206" s="61"/>
      <c r="LB206" s="61"/>
      <c r="LC206" s="61"/>
      <c r="LD206" s="61"/>
      <c r="LE206" s="61"/>
      <c r="LF206" s="61"/>
      <c r="LG206" s="61"/>
      <c r="LH206" s="61"/>
      <c r="LI206" s="61"/>
      <c r="LJ206" s="61"/>
      <c r="LK206" s="61"/>
      <c r="LL206" s="61"/>
      <c r="LM206" s="61"/>
      <c r="LN206" s="61"/>
      <c r="LO206" s="61"/>
      <c r="LP206" s="61"/>
      <c r="LQ206" s="61"/>
      <c r="LR206" s="61"/>
      <c r="LS206" s="61"/>
      <c r="LT206" s="61"/>
      <c r="LU206" s="61"/>
      <c r="LV206" s="61"/>
      <c r="LW206" s="61"/>
      <c r="LX206" s="61"/>
      <c r="LY206" s="61"/>
      <c r="LZ206" s="61"/>
      <c r="MA206" s="61"/>
      <c r="MB206" s="61"/>
      <c r="MC206" s="61"/>
      <c r="MD206" s="61"/>
      <c r="ME206" s="61"/>
      <c r="MF206" s="61"/>
      <c r="MG206" s="61"/>
      <c r="MH206" s="61"/>
      <c r="MI206" s="61"/>
      <c r="MJ206" s="61"/>
      <c r="MK206" s="61"/>
      <c r="ML206" s="61"/>
      <c r="MM206" s="61"/>
      <c r="MN206" s="61"/>
      <c r="MO206" s="61"/>
      <c r="MP206" s="61"/>
      <c r="MQ206" s="61"/>
      <c r="MR206" s="61"/>
      <c r="MS206" s="61"/>
      <c r="MT206" s="61"/>
      <c r="MU206" s="61"/>
      <c r="MV206" s="61"/>
      <c r="MW206" s="61"/>
      <c r="MX206" s="61"/>
      <c r="MY206" s="61"/>
      <c r="MZ206" s="61"/>
      <c r="NA206" s="61"/>
      <c r="NB206" s="61"/>
      <c r="NC206" s="61"/>
      <c r="ND206" s="61"/>
      <c r="NE206" s="61"/>
      <c r="NF206" s="61"/>
      <c r="NG206" s="61"/>
      <c r="NH206" s="61"/>
      <c r="NI206" s="61"/>
      <c r="NJ206" s="61"/>
      <c r="NK206" s="61"/>
      <c r="NL206" s="61"/>
      <c r="NM206" s="61"/>
      <c r="NN206" s="61"/>
      <c r="NO206" s="61"/>
      <c r="NP206" s="61"/>
      <c r="NQ206" s="61"/>
      <c r="NR206" s="61"/>
      <c r="NS206" s="61"/>
      <c r="NT206" s="61"/>
      <c r="NU206" s="61"/>
      <c r="NV206" s="61"/>
      <c r="NW206" s="61"/>
      <c r="NX206" s="61"/>
      <c r="NY206" s="61"/>
      <c r="NZ206" s="61"/>
      <c r="OA206" s="61"/>
      <c r="OB206" s="61"/>
      <c r="OC206" s="61"/>
      <c r="OD206" s="61"/>
      <c r="OE206" s="61"/>
      <c r="OF206" s="61"/>
      <c r="OG206" s="61"/>
      <c r="OH206" s="61"/>
      <c r="OI206" s="61"/>
      <c r="OJ206" s="61"/>
      <c r="OK206" s="61"/>
      <c r="OL206" s="61"/>
      <c r="OM206" s="61"/>
      <c r="ON206" s="61"/>
      <c r="OO206" s="61"/>
      <c r="OP206" s="61"/>
      <c r="OQ206" s="61"/>
      <c r="OR206" s="61"/>
      <c r="OS206" s="61"/>
      <c r="OT206" s="61"/>
      <c r="OU206" s="61"/>
      <c r="OV206" s="61"/>
      <c r="OW206" s="61"/>
      <c r="OX206" s="61"/>
      <c r="OY206" s="61"/>
      <c r="OZ206" s="61"/>
      <c r="PA206" s="61"/>
      <c r="PB206" s="61"/>
      <c r="PC206" s="61"/>
      <c r="PD206" s="61"/>
      <c r="PE206" s="61"/>
      <c r="PF206" s="61"/>
      <c r="PG206" s="61"/>
      <c r="PH206" s="61"/>
      <c r="PI206" s="61"/>
      <c r="PJ206" s="61"/>
      <c r="PK206" s="61"/>
      <c r="PL206" s="61"/>
      <c r="PM206" s="61"/>
      <c r="PN206" s="61"/>
      <c r="PO206" s="61"/>
      <c r="PP206" s="61"/>
      <c r="PQ206" s="61"/>
      <c r="PR206" s="61"/>
      <c r="PS206" s="61"/>
      <c r="PT206" s="61"/>
      <c r="PU206" s="61"/>
      <c r="PV206" s="61"/>
      <c r="PW206" s="61"/>
      <c r="PX206" s="61"/>
      <c r="PY206" s="61"/>
      <c r="PZ206" s="61"/>
      <c r="QA206" s="61"/>
      <c r="QB206" s="61"/>
      <c r="QC206" s="61"/>
      <c r="QD206" s="61"/>
      <c r="QE206" s="61"/>
      <c r="QF206" s="61"/>
      <c r="QG206" s="61"/>
      <c r="QH206" s="61"/>
      <c r="QI206" s="61"/>
      <c r="QJ206" s="61"/>
      <c r="QK206" s="61"/>
      <c r="QL206" s="61"/>
      <c r="QM206" s="61"/>
      <c r="QN206" s="61"/>
      <c r="QO206" s="61"/>
      <c r="QP206" s="61"/>
      <c r="QQ206" s="61"/>
      <c r="QR206" s="61"/>
      <c r="QS206" s="61"/>
      <c r="QT206" s="61"/>
      <c r="QU206" s="61"/>
      <c r="QV206" s="61"/>
      <c r="QW206" s="61"/>
      <c r="QX206" s="61"/>
      <c r="QY206" s="61"/>
      <c r="QZ206" s="61"/>
      <c r="RA206" s="61"/>
      <c r="RB206" s="61"/>
      <c r="RC206" s="61"/>
      <c r="RD206" s="61"/>
      <c r="RE206" s="61"/>
      <c r="RF206" s="61"/>
      <c r="RG206" s="61"/>
      <c r="RH206" s="61"/>
      <c r="RI206" s="61"/>
      <c r="RJ206" s="61"/>
      <c r="RK206" s="61"/>
      <c r="RL206" s="61"/>
      <c r="RM206" s="61"/>
      <c r="RN206" s="61"/>
      <c r="RO206" s="61"/>
      <c r="RP206" s="61"/>
      <c r="RQ206" s="61"/>
      <c r="RR206" s="61"/>
      <c r="RS206" s="61"/>
      <c r="RT206" s="61"/>
      <c r="RU206" s="61"/>
      <c r="RV206" s="61"/>
      <c r="RW206" s="61"/>
      <c r="RX206" s="61"/>
      <c r="RY206" s="61"/>
      <c r="RZ206" s="61"/>
      <c r="SA206" s="61"/>
      <c r="SB206" s="61"/>
      <c r="SC206" s="61"/>
      <c r="SD206" s="61"/>
      <c r="SE206" s="61"/>
      <c r="SF206" s="61"/>
      <c r="SG206" s="61"/>
      <c r="SH206" s="61"/>
      <c r="SI206" s="61"/>
      <c r="SJ206" s="61"/>
      <c r="SK206" s="61"/>
      <c r="SL206" s="61"/>
      <c r="SM206" s="61"/>
      <c r="SN206" s="61"/>
      <c r="SO206" s="61"/>
      <c r="SP206" s="61"/>
      <c r="SQ206" s="61"/>
      <c r="SR206" s="61"/>
      <c r="SS206" s="61"/>
      <c r="ST206" s="61"/>
      <c r="SU206" s="61"/>
      <c r="SV206" s="61"/>
      <c r="SW206" s="61"/>
      <c r="SX206" s="61"/>
      <c r="SY206" s="61"/>
      <c r="SZ206" s="61"/>
      <c r="TA206" s="61"/>
      <c r="TB206" s="61"/>
      <c r="TC206" s="61"/>
      <c r="TD206" s="61"/>
      <c r="TE206" s="61"/>
      <c r="TF206" s="61"/>
      <c r="TG206" s="61"/>
      <c r="TH206" s="61"/>
      <c r="TI206" s="61"/>
      <c r="TJ206" s="61"/>
      <c r="TK206" s="61"/>
      <c r="TL206" s="61"/>
      <c r="TM206" s="61"/>
      <c r="TN206" s="61"/>
      <c r="TO206" s="61"/>
      <c r="TP206" s="61"/>
      <c r="TQ206" s="61"/>
      <c r="TR206" s="61"/>
      <c r="TS206" s="61"/>
      <c r="TT206" s="61"/>
      <c r="TU206" s="61"/>
      <c r="TV206" s="61"/>
      <c r="TW206" s="61"/>
      <c r="TX206" s="61"/>
      <c r="TY206" s="61"/>
      <c r="TZ206" s="61"/>
      <c r="UA206" s="61"/>
      <c r="UB206" s="61"/>
      <c r="UC206" s="61"/>
      <c r="UD206" s="61"/>
      <c r="UE206" s="61"/>
      <c r="UF206" s="61"/>
      <c r="UG206" s="61"/>
      <c r="UH206" s="61"/>
      <c r="UI206" s="61"/>
      <c r="UJ206" s="61"/>
      <c r="UK206" s="61"/>
      <c r="UL206" s="61"/>
      <c r="UM206" s="61"/>
      <c r="UN206" s="61"/>
      <c r="UO206" s="61"/>
      <c r="UP206" s="61"/>
      <c r="UQ206" s="61"/>
      <c r="UR206" s="61"/>
      <c r="US206" s="61"/>
      <c r="UT206" s="61"/>
      <c r="UU206" s="61"/>
      <c r="UV206" s="61"/>
      <c r="UW206" s="61"/>
      <c r="UX206" s="61"/>
      <c r="UY206" s="61"/>
      <c r="UZ206" s="61"/>
      <c r="VA206" s="61"/>
      <c r="VB206" s="61"/>
      <c r="VC206" s="61"/>
    </row>
    <row r="207" spans="1:575" s="63" customFormat="1" ht="33.75" customHeight="1" x14ac:dyDescent="0.25">
      <c r="A207" s="79">
        <v>1014081</v>
      </c>
      <c r="B207" s="102" t="str">
        <f>'дод 2'!A133</f>
        <v>4081</v>
      </c>
      <c r="C207" s="102" t="str">
        <f>'дод 2'!B133</f>
        <v>0829</v>
      </c>
      <c r="D207" s="56" t="str">
        <f>'дод 2'!C133</f>
        <v xml:space="preserve">Забезпечення діяльності інших закладів в галузі культури і мистецтва </v>
      </c>
      <c r="E207" s="132">
        <f t="shared" si="35"/>
        <v>1457510</v>
      </c>
      <c r="F207" s="132">
        <f>1425860+31650</f>
        <v>1457510</v>
      </c>
      <c r="G207" s="132">
        <f>1067900+22300</f>
        <v>1090200</v>
      </c>
      <c r="H207" s="132">
        <f>25650+452+1824+1488</f>
        <v>29414</v>
      </c>
      <c r="I207" s="132"/>
      <c r="J207" s="132">
        <f t="shared" si="28"/>
        <v>0</v>
      </c>
      <c r="K207" s="132"/>
      <c r="L207" s="132"/>
      <c r="M207" s="132"/>
      <c r="N207" s="132"/>
      <c r="O207" s="132"/>
      <c r="P207" s="132">
        <f t="shared" si="36"/>
        <v>1457510</v>
      </c>
      <c r="Q207" s="159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88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88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88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  <c r="MC207" s="88"/>
      <c r="MD207" s="88"/>
      <c r="ME207" s="88"/>
      <c r="MF207" s="88"/>
      <c r="MG207" s="88"/>
      <c r="MH207" s="88"/>
      <c r="MI207" s="88"/>
      <c r="MJ207" s="88"/>
      <c r="MK207" s="88"/>
      <c r="ML207" s="88"/>
      <c r="MM207" s="88"/>
      <c r="MN207" s="88"/>
      <c r="MO207" s="88"/>
      <c r="MP207" s="88"/>
      <c r="MQ207" s="88"/>
      <c r="MR207" s="88"/>
      <c r="MS207" s="88"/>
      <c r="MT207" s="88"/>
      <c r="MU207" s="88"/>
      <c r="MV207" s="88"/>
      <c r="MW207" s="88"/>
      <c r="MX207" s="88"/>
      <c r="MY207" s="88"/>
      <c r="MZ207" s="88"/>
      <c r="NA207" s="88"/>
      <c r="NB207" s="88"/>
      <c r="NC207" s="88"/>
      <c r="ND207" s="88"/>
      <c r="NE207" s="88"/>
      <c r="NF207" s="88"/>
      <c r="NG207" s="88"/>
      <c r="NH207" s="88"/>
      <c r="NI207" s="88"/>
      <c r="NJ207" s="88"/>
      <c r="NK207" s="88"/>
      <c r="NL207" s="88"/>
      <c r="NM207" s="88"/>
      <c r="NN207" s="88"/>
      <c r="NO207" s="88"/>
      <c r="NP207" s="88"/>
      <c r="NQ207" s="88"/>
      <c r="NR207" s="88"/>
      <c r="NS207" s="88"/>
      <c r="NT207" s="88"/>
      <c r="NU207" s="88"/>
      <c r="NV207" s="88"/>
      <c r="NW207" s="88"/>
      <c r="NX207" s="88"/>
      <c r="NY207" s="88"/>
      <c r="NZ207" s="88"/>
      <c r="OA207" s="88"/>
      <c r="OB207" s="88"/>
      <c r="OC207" s="88"/>
      <c r="OD207" s="88"/>
      <c r="OE207" s="88"/>
      <c r="OF207" s="88"/>
      <c r="OG207" s="88"/>
      <c r="OH207" s="88"/>
      <c r="OI207" s="88"/>
      <c r="OJ207" s="88"/>
      <c r="OK207" s="88"/>
      <c r="OL207" s="88"/>
      <c r="OM207" s="88"/>
      <c r="ON207" s="88"/>
      <c r="OO207" s="88"/>
      <c r="OP207" s="88"/>
      <c r="OQ207" s="88"/>
      <c r="OR207" s="88"/>
      <c r="OS207" s="88"/>
      <c r="OT207" s="88"/>
      <c r="OU207" s="88"/>
      <c r="OV207" s="88"/>
      <c r="OW207" s="88"/>
      <c r="OX207" s="88"/>
      <c r="OY207" s="88"/>
      <c r="OZ207" s="88"/>
      <c r="PA207" s="88"/>
      <c r="PB207" s="88"/>
      <c r="PC207" s="88"/>
      <c r="PD207" s="88"/>
      <c r="PE207" s="88"/>
      <c r="PF207" s="88"/>
      <c r="PG207" s="88"/>
      <c r="PH207" s="88"/>
      <c r="PI207" s="88"/>
      <c r="PJ207" s="88"/>
      <c r="PK207" s="88"/>
      <c r="PL207" s="88"/>
      <c r="PM207" s="88"/>
      <c r="PN207" s="88"/>
      <c r="PO207" s="88"/>
      <c r="PP207" s="88"/>
      <c r="PQ207" s="88"/>
      <c r="PR207" s="88"/>
      <c r="PS207" s="88"/>
      <c r="PT207" s="88"/>
      <c r="PU207" s="88"/>
      <c r="PV207" s="88"/>
      <c r="PW207" s="88"/>
      <c r="PX207" s="88"/>
      <c r="PY207" s="88"/>
      <c r="PZ207" s="88"/>
      <c r="QA207" s="88"/>
      <c r="QB207" s="88"/>
      <c r="QC207" s="88"/>
      <c r="QD207" s="88"/>
      <c r="QE207" s="88"/>
      <c r="QF207" s="88"/>
      <c r="QG207" s="88"/>
      <c r="QH207" s="88"/>
      <c r="QI207" s="88"/>
      <c r="QJ207" s="88"/>
      <c r="QK207" s="88"/>
      <c r="QL207" s="88"/>
      <c r="QM207" s="88"/>
      <c r="QN207" s="88"/>
      <c r="QO207" s="88"/>
      <c r="QP207" s="88"/>
      <c r="QQ207" s="88"/>
      <c r="QR207" s="88"/>
      <c r="QS207" s="88"/>
      <c r="QT207" s="88"/>
      <c r="QU207" s="88"/>
      <c r="QV207" s="88"/>
      <c r="QW207" s="88"/>
      <c r="QX207" s="88"/>
      <c r="QY207" s="88"/>
      <c r="QZ207" s="88"/>
      <c r="RA207" s="88"/>
      <c r="RB207" s="88"/>
      <c r="RC207" s="88"/>
      <c r="RD207" s="88"/>
      <c r="RE207" s="88"/>
      <c r="RF207" s="88"/>
      <c r="RG207" s="88"/>
      <c r="RH207" s="88"/>
      <c r="RI207" s="88"/>
      <c r="RJ207" s="88"/>
      <c r="RK207" s="88"/>
      <c r="RL207" s="88"/>
      <c r="RM207" s="88"/>
      <c r="RN207" s="88"/>
      <c r="RO207" s="88"/>
      <c r="RP207" s="88"/>
      <c r="RQ207" s="88"/>
      <c r="RR207" s="88"/>
      <c r="RS207" s="88"/>
      <c r="RT207" s="88"/>
      <c r="RU207" s="88"/>
      <c r="RV207" s="88"/>
      <c r="RW207" s="88"/>
      <c r="RX207" s="88"/>
      <c r="RY207" s="88"/>
      <c r="RZ207" s="88"/>
      <c r="SA207" s="88"/>
      <c r="SB207" s="88"/>
      <c r="SC207" s="88"/>
      <c r="SD207" s="88"/>
      <c r="SE207" s="88"/>
      <c r="SF207" s="88"/>
      <c r="SG207" s="88"/>
      <c r="SH207" s="88"/>
      <c r="SI207" s="88"/>
      <c r="SJ207" s="88"/>
      <c r="SK207" s="88"/>
      <c r="SL207" s="88"/>
      <c r="SM207" s="88"/>
      <c r="SN207" s="88"/>
      <c r="SO207" s="88"/>
      <c r="SP207" s="88"/>
      <c r="SQ207" s="88"/>
      <c r="SR207" s="88"/>
      <c r="SS207" s="88"/>
      <c r="ST207" s="88"/>
      <c r="SU207" s="88"/>
      <c r="SV207" s="88"/>
      <c r="SW207" s="88"/>
      <c r="SX207" s="88"/>
      <c r="SY207" s="88"/>
      <c r="SZ207" s="88"/>
      <c r="TA207" s="88"/>
      <c r="TB207" s="88"/>
      <c r="TC207" s="88"/>
      <c r="TD207" s="88"/>
      <c r="TE207" s="88"/>
      <c r="TF207" s="88"/>
      <c r="TG207" s="88"/>
      <c r="TH207" s="88"/>
      <c r="TI207" s="88"/>
      <c r="TJ207" s="88"/>
      <c r="TK207" s="88"/>
      <c r="TL207" s="88"/>
      <c r="TM207" s="88"/>
      <c r="TN207" s="88"/>
      <c r="TO207" s="88"/>
      <c r="TP207" s="88"/>
      <c r="TQ207" s="88"/>
      <c r="TR207" s="88"/>
      <c r="TS207" s="88"/>
      <c r="TT207" s="88"/>
      <c r="TU207" s="88"/>
      <c r="TV207" s="88"/>
      <c r="TW207" s="88"/>
      <c r="TX207" s="88"/>
      <c r="TY207" s="88"/>
      <c r="TZ207" s="88"/>
      <c r="UA207" s="88"/>
      <c r="UB207" s="88"/>
      <c r="UC207" s="88"/>
      <c r="UD207" s="88"/>
      <c r="UE207" s="88"/>
      <c r="UF207" s="88"/>
      <c r="UG207" s="88"/>
      <c r="UH207" s="88"/>
      <c r="UI207" s="88"/>
      <c r="UJ207" s="88"/>
      <c r="UK207" s="88"/>
      <c r="UL207" s="88"/>
      <c r="UM207" s="88"/>
      <c r="UN207" s="88"/>
      <c r="UO207" s="88"/>
      <c r="UP207" s="88"/>
      <c r="UQ207" s="88"/>
      <c r="UR207" s="88"/>
      <c r="US207" s="88"/>
      <c r="UT207" s="88"/>
      <c r="UU207" s="88"/>
      <c r="UV207" s="88"/>
      <c r="UW207" s="88"/>
      <c r="UX207" s="88"/>
      <c r="UY207" s="88"/>
      <c r="UZ207" s="88"/>
      <c r="VA207" s="88"/>
      <c r="VB207" s="88"/>
      <c r="VC207" s="88"/>
    </row>
    <row r="208" spans="1:575" s="63" customFormat="1" ht="25.5" customHeight="1" x14ac:dyDescent="0.25">
      <c r="A208" s="79">
        <v>1014082</v>
      </c>
      <c r="B208" s="102" t="str">
        <f>'дод 2'!A134</f>
        <v>4082</v>
      </c>
      <c r="C208" s="102" t="str">
        <f>'дод 2'!B134</f>
        <v>0829</v>
      </c>
      <c r="D208" s="56" t="str">
        <f>'дод 2'!C134</f>
        <v>Інші заходи в галузі культури і мистецтва</v>
      </c>
      <c r="E208" s="132">
        <f t="shared" si="35"/>
        <v>2502400</v>
      </c>
      <c r="F208" s="132">
        <f>2039400+250000+86000+5000+5000+15000-10000+112000</f>
        <v>2502400</v>
      </c>
      <c r="G208" s="132"/>
      <c r="H208" s="132"/>
      <c r="I208" s="132"/>
      <c r="J208" s="132">
        <f t="shared" si="28"/>
        <v>0</v>
      </c>
      <c r="K208" s="132"/>
      <c r="L208" s="132"/>
      <c r="M208" s="132"/>
      <c r="N208" s="132"/>
      <c r="O208" s="132"/>
      <c r="P208" s="132">
        <f t="shared" si="36"/>
        <v>2502400</v>
      </c>
      <c r="Q208" s="159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88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88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88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88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88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  <c r="LP208" s="88"/>
      <c r="LQ208" s="88"/>
      <c r="LR208" s="88"/>
      <c r="LS208" s="88"/>
      <c r="LT208" s="88"/>
      <c r="LU208" s="88"/>
      <c r="LV208" s="88"/>
      <c r="LW208" s="88"/>
      <c r="LX208" s="88"/>
      <c r="LY208" s="88"/>
      <c r="LZ208" s="88"/>
      <c r="MA208" s="88"/>
      <c r="MB208" s="88"/>
      <c r="MC208" s="88"/>
      <c r="MD208" s="88"/>
      <c r="ME208" s="88"/>
      <c r="MF208" s="88"/>
      <c r="MG208" s="88"/>
      <c r="MH208" s="88"/>
      <c r="MI208" s="88"/>
      <c r="MJ208" s="88"/>
      <c r="MK208" s="88"/>
      <c r="ML208" s="88"/>
      <c r="MM208" s="88"/>
      <c r="MN208" s="88"/>
      <c r="MO208" s="88"/>
      <c r="MP208" s="88"/>
      <c r="MQ208" s="88"/>
      <c r="MR208" s="88"/>
      <c r="MS208" s="88"/>
      <c r="MT208" s="88"/>
      <c r="MU208" s="88"/>
      <c r="MV208" s="88"/>
      <c r="MW208" s="88"/>
      <c r="MX208" s="88"/>
      <c r="MY208" s="88"/>
      <c r="MZ208" s="88"/>
      <c r="NA208" s="88"/>
      <c r="NB208" s="88"/>
      <c r="NC208" s="88"/>
      <c r="ND208" s="88"/>
      <c r="NE208" s="88"/>
      <c r="NF208" s="88"/>
      <c r="NG208" s="88"/>
      <c r="NH208" s="88"/>
      <c r="NI208" s="88"/>
      <c r="NJ208" s="88"/>
      <c r="NK208" s="88"/>
      <c r="NL208" s="88"/>
      <c r="NM208" s="88"/>
      <c r="NN208" s="88"/>
      <c r="NO208" s="88"/>
      <c r="NP208" s="88"/>
      <c r="NQ208" s="88"/>
      <c r="NR208" s="88"/>
      <c r="NS208" s="88"/>
      <c r="NT208" s="88"/>
      <c r="NU208" s="88"/>
      <c r="NV208" s="88"/>
      <c r="NW208" s="88"/>
      <c r="NX208" s="88"/>
      <c r="NY208" s="88"/>
      <c r="NZ208" s="88"/>
      <c r="OA208" s="88"/>
      <c r="OB208" s="88"/>
      <c r="OC208" s="88"/>
      <c r="OD208" s="88"/>
      <c r="OE208" s="88"/>
      <c r="OF208" s="88"/>
      <c r="OG208" s="88"/>
      <c r="OH208" s="88"/>
      <c r="OI208" s="88"/>
      <c r="OJ208" s="88"/>
      <c r="OK208" s="88"/>
      <c r="OL208" s="88"/>
      <c r="OM208" s="88"/>
      <c r="ON208" s="88"/>
      <c r="OO208" s="88"/>
      <c r="OP208" s="88"/>
      <c r="OQ208" s="88"/>
      <c r="OR208" s="88"/>
      <c r="OS208" s="88"/>
      <c r="OT208" s="88"/>
      <c r="OU208" s="88"/>
      <c r="OV208" s="88"/>
      <c r="OW208" s="88"/>
      <c r="OX208" s="88"/>
      <c r="OY208" s="88"/>
      <c r="OZ208" s="88"/>
      <c r="PA208" s="88"/>
      <c r="PB208" s="88"/>
      <c r="PC208" s="88"/>
      <c r="PD208" s="88"/>
      <c r="PE208" s="88"/>
      <c r="PF208" s="88"/>
      <c r="PG208" s="88"/>
      <c r="PH208" s="88"/>
      <c r="PI208" s="88"/>
      <c r="PJ208" s="88"/>
      <c r="PK208" s="88"/>
      <c r="PL208" s="88"/>
      <c r="PM208" s="88"/>
      <c r="PN208" s="88"/>
      <c r="PO208" s="88"/>
      <c r="PP208" s="88"/>
      <c r="PQ208" s="88"/>
      <c r="PR208" s="88"/>
      <c r="PS208" s="88"/>
      <c r="PT208" s="88"/>
      <c r="PU208" s="88"/>
      <c r="PV208" s="88"/>
      <c r="PW208" s="88"/>
      <c r="PX208" s="88"/>
      <c r="PY208" s="88"/>
      <c r="PZ208" s="88"/>
      <c r="QA208" s="88"/>
      <c r="QB208" s="88"/>
      <c r="QC208" s="88"/>
      <c r="QD208" s="88"/>
      <c r="QE208" s="88"/>
      <c r="QF208" s="88"/>
      <c r="QG208" s="88"/>
      <c r="QH208" s="88"/>
      <c r="QI208" s="88"/>
      <c r="QJ208" s="88"/>
      <c r="QK208" s="88"/>
      <c r="QL208" s="88"/>
      <c r="QM208" s="88"/>
      <c r="QN208" s="88"/>
      <c r="QO208" s="88"/>
      <c r="QP208" s="88"/>
      <c r="QQ208" s="88"/>
      <c r="QR208" s="88"/>
      <c r="QS208" s="88"/>
      <c r="QT208" s="88"/>
      <c r="QU208" s="88"/>
      <c r="QV208" s="88"/>
      <c r="QW208" s="88"/>
      <c r="QX208" s="88"/>
      <c r="QY208" s="88"/>
      <c r="QZ208" s="88"/>
      <c r="RA208" s="88"/>
      <c r="RB208" s="88"/>
      <c r="RC208" s="88"/>
      <c r="RD208" s="88"/>
      <c r="RE208" s="88"/>
      <c r="RF208" s="88"/>
      <c r="RG208" s="88"/>
      <c r="RH208" s="88"/>
      <c r="RI208" s="88"/>
      <c r="RJ208" s="88"/>
      <c r="RK208" s="88"/>
      <c r="RL208" s="88"/>
      <c r="RM208" s="88"/>
      <c r="RN208" s="88"/>
      <c r="RO208" s="88"/>
      <c r="RP208" s="88"/>
      <c r="RQ208" s="88"/>
      <c r="RR208" s="88"/>
      <c r="RS208" s="88"/>
      <c r="RT208" s="88"/>
      <c r="RU208" s="88"/>
      <c r="RV208" s="88"/>
      <c r="RW208" s="88"/>
      <c r="RX208" s="88"/>
      <c r="RY208" s="88"/>
      <c r="RZ208" s="88"/>
      <c r="SA208" s="88"/>
      <c r="SB208" s="88"/>
      <c r="SC208" s="88"/>
      <c r="SD208" s="88"/>
      <c r="SE208" s="88"/>
      <c r="SF208" s="88"/>
      <c r="SG208" s="88"/>
      <c r="SH208" s="88"/>
      <c r="SI208" s="88"/>
      <c r="SJ208" s="88"/>
      <c r="SK208" s="88"/>
      <c r="SL208" s="88"/>
      <c r="SM208" s="88"/>
      <c r="SN208" s="88"/>
      <c r="SO208" s="88"/>
      <c r="SP208" s="88"/>
      <c r="SQ208" s="88"/>
      <c r="SR208" s="88"/>
      <c r="SS208" s="88"/>
      <c r="ST208" s="88"/>
      <c r="SU208" s="88"/>
      <c r="SV208" s="88"/>
      <c r="SW208" s="88"/>
      <c r="SX208" s="88"/>
      <c r="SY208" s="88"/>
      <c r="SZ208" s="88"/>
      <c r="TA208" s="88"/>
      <c r="TB208" s="88"/>
      <c r="TC208" s="88"/>
      <c r="TD208" s="88"/>
      <c r="TE208" s="88"/>
      <c r="TF208" s="88"/>
      <c r="TG208" s="88"/>
      <c r="TH208" s="88"/>
      <c r="TI208" s="88"/>
      <c r="TJ208" s="88"/>
      <c r="TK208" s="88"/>
      <c r="TL208" s="88"/>
      <c r="TM208" s="88"/>
      <c r="TN208" s="88"/>
      <c r="TO208" s="88"/>
      <c r="TP208" s="88"/>
      <c r="TQ208" s="88"/>
      <c r="TR208" s="88"/>
      <c r="TS208" s="88"/>
      <c r="TT208" s="88"/>
      <c r="TU208" s="88"/>
      <c r="TV208" s="88"/>
      <c r="TW208" s="88"/>
      <c r="TX208" s="88"/>
      <c r="TY208" s="88"/>
      <c r="TZ208" s="88"/>
      <c r="UA208" s="88"/>
      <c r="UB208" s="88"/>
      <c r="UC208" s="88"/>
      <c r="UD208" s="88"/>
      <c r="UE208" s="88"/>
      <c r="UF208" s="88"/>
      <c r="UG208" s="88"/>
      <c r="UH208" s="88"/>
      <c r="UI208" s="88"/>
      <c r="UJ208" s="88"/>
      <c r="UK208" s="88"/>
      <c r="UL208" s="88"/>
      <c r="UM208" s="88"/>
      <c r="UN208" s="88"/>
      <c r="UO208" s="88"/>
      <c r="UP208" s="88"/>
      <c r="UQ208" s="88"/>
      <c r="UR208" s="88"/>
      <c r="US208" s="88"/>
      <c r="UT208" s="88"/>
      <c r="UU208" s="88"/>
      <c r="UV208" s="88"/>
      <c r="UW208" s="88"/>
      <c r="UX208" s="88"/>
      <c r="UY208" s="88"/>
      <c r="UZ208" s="88"/>
      <c r="VA208" s="88"/>
      <c r="VB208" s="88"/>
      <c r="VC208" s="88"/>
    </row>
    <row r="209" spans="1:575" s="63" customFormat="1" ht="43.5" customHeight="1" x14ac:dyDescent="0.25">
      <c r="A209" s="53" t="s">
        <v>540</v>
      </c>
      <c r="B209" s="102" t="s">
        <v>497</v>
      </c>
      <c r="C209" s="102" t="s">
        <v>112</v>
      </c>
      <c r="D209" s="56" t="s">
        <v>498</v>
      </c>
      <c r="E209" s="132">
        <f t="shared" si="35"/>
        <v>0</v>
      </c>
      <c r="F209" s="132"/>
      <c r="G209" s="132"/>
      <c r="H209" s="132"/>
      <c r="I209" s="132"/>
      <c r="J209" s="132">
        <f t="shared" si="28"/>
        <v>500000</v>
      </c>
      <c r="K209" s="132">
        <v>500000</v>
      </c>
      <c r="L209" s="132"/>
      <c r="M209" s="132"/>
      <c r="N209" s="132"/>
      <c r="O209" s="132">
        <v>500000</v>
      </c>
      <c r="P209" s="132">
        <f t="shared" si="36"/>
        <v>500000</v>
      </c>
      <c r="Q209" s="159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88"/>
      <c r="EJ209" s="88"/>
      <c r="EK209" s="88"/>
      <c r="EL209" s="88"/>
      <c r="EM209" s="88"/>
      <c r="EN209" s="88"/>
      <c r="EO209" s="88"/>
      <c r="EP209" s="88"/>
      <c r="EQ209" s="88"/>
      <c r="ER209" s="88"/>
      <c r="ES209" s="88"/>
      <c r="ET209" s="88"/>
      <c r="EU209" s="88"/>
      <c r="EV209" s="88"/>
      <c r="EW209" s="88"/>
      <c r="EX209" s="88"/>
      <c r="EY209" s="88"/>
      <c r="EZ209" s="88"/>
      <c r="FA209" s="88"/>
      <c r="FB209" s="88"/>
      <c r="FC209" s="88"/>
      <c r="FD209" s="88"/>
      <c r="FE209" s="88"/>
      <c r="FF209" s="88"/>
      <c r="FG209" s="88"/>
      <c r="FH209" s="88"/>
      <c r="FI209" s="88"/>
      <c r="FJ209" s="88"/>
      <c r="FK209" s="88"/>
      <c r="FL209" s="88"/>
      <c r="FM209" s="88"/>
      <c r="FN209" s="88"/>
      <c r="FO209" s="88"/>
      <c r="FP209" s="88"/>
      <c r="FQ209" s="88"/>
      <c r="FR209" s="88"/>
      <c r="FS209" s="88"/>
      <c r="FT209" s="88"/>
      <c r="FU209" s="88"/>
      <c r="FV209" s="88"/>
      <c r="FW209" s="88"/>
      <c r="FX209" s="88"/>
      <c r="FY209" s="88"/>
      <c r="FZ209" s="88"/>
      <c r="GA209" s="88"/>
      <c r="GB209" s="88"/>
      <c r="GC209" s="88"/>
      <c r="GD209" s="88"/>
      <c r="GE209" s="88"/>
      <c r="GF209" s="88"/>
      <c r="GG209" s="88"/>
      <c r="GH209" s="88"/>
      <c r="GI209" s="88"/>
      <c r="GJ209" s="88"/>
      <c r="GK209" s="88"/>
      <c r="GL209" s="88"/>
      <c r="GM209" s="88"/>
      <c r="GN209" s="88"/>
      <c r="GO209" s="88"/>
      <c r="GP209" s="88"/>
      <c r="GQ209" s="88"/>
      <c r="GR209" s="88"/>
      <c r="GS209" s="88"/>
      <c r="GT209" s="88"/>
      <c r="GU209" s="88"/>
      <c r="GV209" s="88"/>
      <c r="GW209" s="88"/>
      <c r="GX209" s="88"/>
      <c r="GY209" s="88"/>
      <c r="GZ209" s="88"/>
      <c r="HA209" s="88"/>
      <c r="HB209" s="88"/>
      <c r="HC209" s="88"/>
      <c r="HD209" s="88"/>
      <c r="HE209" s="88"/>
      <c r="HF209" s="88"/>
      <c r="HG209" s="88"/>
      <c r="HH209" s="88"/>
      <c r="HI209" s="88"/>
      <c r="HJ209" s="88"/>
      <c r="HK209" s="88"/>
      <c r="HL209" s="88"/>
      <c r="HM209" s="88"/>
      <c r="HN209" s="88"/>
      <c r="HO209" s="88"/>
      <c r="HP209" s="88"/>
      <c r="HQ209" s="88"/>
      <c r="HR209" s="88"/>
      <c r="HS209" s="88"/>
      <c r="HT209" s="88"/>
      <c r="HU209" s="88"/>
      <c r="HV209" s="88"/>
      <c r="HW209" s="88"/>
      <c r="HX209" s="88"/>
      <c r="HY209" s="88"/>
      <c r="HZ209" s="88"/>
      <c r="IA209" s="88"/>
      <c r="IB209" s="88"/>
      <c r="IC209" s="88"/>
      <c r="ID209" s="88"/>
      <c r="IE209" s="88"/>
      <c r="IF209" s="88"/>
      <c r="IG209" s="88"/>
      <c r="IH209" s="88"/>
      <c r="II209" s="88"/>
      <c r="IJ209" s="88"/>
      <c r="IK209" s="88"/>
      <c r="IL209" s="88"/>
      <c r="IM209" s="88"/>
      <c r="IN209" s="88"/>
      <c r="IO209" s="88"/>
      <c r="IP209" s="88"/>
      <c r="IQ209" s="88"/>
      <c r="IR209" s="88"/>
      <c r="IS209" s="88"/>
      <c r="IT209" s="88"/>
      <c r="IU209" s="88"/>
      <c r="IV209" s="88"/>
      <c r="IW209" s="88"/>
      <c r="IX209" s="88"/>
      <c r="IY209" s="88"/>
      <c r="IZ209" s="88"/>
      <c r="JA209" s="88"/>
      <c r="JB209" s="88"/>
      <c r="JC209" s="88"/>
      <c r="JD209" s="88"/>
      <c r="JE209" s="88"/>
      <c r="JF209" s="88"/>
      <c r="JG209" s="88"/>
      <c r="JH209" s="88"/>
      <c r="JI209" s="88"/>
      <c r="JJ209" s="88"/>
      <c r="JK209" s="88"/>
      <c r="JL209" s="88"/>
      <c r="JM209" s="88"/>
      <c r="JN209" s="88"/>
      <c r="JO209" s="88"/>
      <c r="JP209" s="88"/>
      <c r="JQ209" s="88"/>
      <c r="JR209" s="88"/>
      <c r="JS209" s="88"/>
      <c r="JT209" s="88"/>
      <c r="JU209" s="88"/>
      <c r="JV209" s="88"/>
      <c r="JW209" s="88"/>
      <c r="JX209" s="88"/>
      <c r="JY209" s="88"/>
      <c r="JZ209" s="88"/>
      <c r="KA209" s="88"/>
      <c r="KB209" s="88"/>
      <c r="KC209" s="88"/>
      <c r="KD209" s="88"/>
      <c r="KE209" s="88"/>
      <c r="KF209" s="88"/>
      <c r="KG209" s="88"/>
      <c r="KH209" s="88"/>
      <c r="KI209" s="88"/>
      <c r="KJ209" s="88"/>
      <c r="KK209" s="88"/>
      <c r="KL209" s="88"/>
      <c r="KM209" s="88"/>
      <c r="KN209" s="88"/>
      <c r="KO209" s="88"/>
      <c r="KP209" s="88"/>
      <c r="KQ209" s="88"/>
      <c r="KR209" s="88"/>
      <c r="KS209" s="88"/>
      <c r="KT209" s="88"/>
      <c r="KU209" s="88"/>
      <c r="KV209" s="88"/>
      <c r="KW209" s="88"/>
      <c r="KX209" s="88"/>
      <c r="KY209" s="88"/>
      <c r="KZ209" s="88"/>
      <c r="LA209" s="88"/>
      <c r="LB209" s="88"/>
      <c r="LC209" s="88"/>
      <c r="LD209" s="88"/>
      <c r="LE209" s="88"/>
      <c r="LF209" s="88"/>
      <c r="LG209" s="88"/>
      <c r="LH209" s="88"/>
      <c r="LI209" s="88"/>
      <c r="LJ209" s="88"/>
      <c r="LK209" s="88"/>
      <c r="LL209" s="88"/>
      <c r="LM209" s="88"/>
      <c r="LN209" s="88"/>
      <c r="LO209" s="88"/>
      <c r="LP209" s="88"/>
      <c r="LQ209" s="88"/>
      <c r="LR209" s="88"/>
      <c r="LS209" s="88"/>
      <c r="LT209" s="88"/>
      <c r="LU209" s="88"/>
      <c r="LV209" s="88"/>
      <c r="LW209" s="88"/>
      <c r="LX209" s="88"/>
      <c r="LY209" s="88"/>
      <c r="LZ209" s="88"/>
      <c r="MA209" s="88"/>
      <c r="MB209" s="88"/>
      <c r="MC209" s="88"/>
      <c r="MD209" s="88"/>
      <c r="ME209" s="88"/>
      <c r="MF209" s="88"/>
      <c r="MG209" s="88"/>
      <c r="MH209" s="88"/>
      <c r="MI209" s="88"/>
      <c r="MJ209" s="88"/>
      <c r="MK209" s="88"/>
      <c r="ML209" s="88"/>
      <c r="MM209" s="88"/>
      <c r="MN209" s="88"/>
      <c r="MO209" s="88"/>
      <c r="MP209" s="88"/>
      <c r="MQ209" s="88"/>
      <c r="MR209" s="88"/>
      <c r="MS209" s="88"/>
      <c r="MT209" s="88"/>
      <c r="MU209" s="88"/>
      <c r="MV209" s="88"/>
      <c r="MW209" s="88"/>
      <c r="MX209" s="88"/>
      <c r="MY209" s="88"/>
      <c r="MZ209" s="88"/>
      <c r="NA209" s="88"/>
      <c r="NB209" s="88"/>
      <c r="NC209" s="88"/>
      <c r="ND209" s="88"/>
      <c r="NE209" s="88"/>
      <c r="NF209" s="88"/>
      <c r="NG209" s="88"/>
      <c r="NH209" s="88"/>
      <c r="NI209" s="88"/>
      <c r="NJ209" s="88"/>
      <c r="NK209" s="88"/>
      <c r="NL209" s="88"/>
      <c r="NM209" s="88"/>
      <c r="NN209" s="88"/>
      <c r="NO209" s="88"/>
      <c r="NP209" s="88"/>
      <c r="NQ209" s="88"/>
      <c r="NR209" s="88"/>
      <c r="NS209" s="88"/>
      <c r="NT209" s="88"/>
      <c r="NU209" s="88"/>
      <c r="NV209" s="88"/>
      <c r="NW209" s="88"/>
      <c r="NX209" s="88"/>
      <c r="NY209" s="88"/>
      <c r="NZ209" s="88"/>
      <c r="OA209" s="88"/>
      <c r="OB209" s="88"/>
      <c r="OC209" s="88"/>
      <c r="OD209" s="88"/>
      <c r="OE209" s="88"/>
      <c r="OF209" s="88"/>
      <c r="OG209" s="88"/>
      <c r="OH209" s="88"/>
      <c r="OI209" s="88"/>
      <c r="OJ209" s="88"/>
      <c r="OK209" s="88"/>
      <c r="OL209" s="88"/>
      <c r="OM209" s="88"/>
      <c r="ON209" s="88"/>
      <c r="OO209" s="88"/>
      <c r="OP209" s="88"/>
      <c r="OQ209" s="88"/>
      <c r="OR209" s="88"/>
      <c r="OS209" s="88"/>
      <c r="OT209" s="88"/>
      <c r="OU209" s="88"/>
      <c r="OV209" s="88"/>
      <c r="OW209" s="88"/>
      <c r="OX209" s="88"/>
      <c r="OY209" s="88"/>
      <c r="OZ209" s="88"/>
      <c r="PA209" s="88"/>
      <c r="PB209" s="88"/>
      <c r="PC209" s="88"/>
      <c r="PD209" s="88"/>
      <c r="PE209" s="88"/>
      <c r="PF209" s="88"/>
      <c r="PG209" s="88"/>
      <c r="PH209" s="88"/>
      <c r="PI209" s="88"/>
      <c r="PJ209" s="88"/>
      <c r="PK209" s="88"/>
      <c r="PL209" s="88"/>
      <c r="PM209" s="88"/>
      <c r="PN209" s="88"/>
      <c r="PO209" s="88"/>
      <c r="PP209" s="88"/>
      <c r="PQ209" s="88"/>
      <c r="PR209" s="88"/>
      <c r="PS209" s="88"/>
      <c r="PT209" s="88"/>
      <c r="PU209" s="88"/>
      <c r="PV209" s="88"/>
      <c r="PW209" s="88"/>
      <c r="PX209" s="88"/>
      <c r="PY209" s="88"/>
      <c r="PZ209" s="88"/>
      <c r="QA209" s="88"/>
      <c r="QB209" s="88"/>
      <c r="QC209" s="88"/>
      <c r="QD209" s="88"/>
      <c r="QE209" s="88"/>
      <c r="QF209" s="88"/>
      <c r="QG209" s="88"/>
      <c r="QH209" s="88"/>
      <c r="QI209" s="88"/>
      <c r="QJ209" s="88"/>
      <c r="QK209" s="88"/>
      <c r="QL209" s="88"/>
      <c r="QM209" s="88"/>
      <c r="QN209" s="88"/>
      <c r="QO209" s="88"/>
      <c r="QP209" s="88"/>
      <c r="QQ209" s="88"/>
      <c r="QR209" s="88"/>
      <c r="QS209" s="88"/>
      <c r="QT209" s="88"/>
      <c r="QU209" s="88"/>
      <c r="QV209" s="88"/>
      <c r="QW209" s="88"/>
      <c r="QX209" s="88"/>
      <c r="QY209" s="88"/>
      <c r="QZ209" s="88"/>
      <c r="RA209" s="88"/>
      <c r="RB209" s="88"/>
      <c r="RC209" s="88"/>
      <c r="RD209" s="88"/>
      <c r="RE209" s="88"/>
      <c r="RF209" s="88"/>
      <c r="RG209" s="88"/>
      <c r="RH209" s="88"/>
      <c r="RI209" s="88"/>
      <c r="RJ209" s="88"/>
      <c r="RK209" s="88"/>
      <c r="RL209" s="88"/>
      <c r="RM209" s="88"/>
      <c r="RN209" s="88"/>
      <c r="RO209" s="88"/>
      <c r="RP209" s="88"/>
      <c r="RQ209" s="88"/>
      <c r="RR209" s="88"/>
      <c r="RS209" s="88"/>
      <c r="RT209" s="88"/>
      <c r="RU209" s="88"/>
      <c r="RV209" s="88"/>
      <c r="RW209" s="88"/>
      <c r="RX209" s="88"/>
      <c r="RY209" s="88"/>
      <c r="RZ209" s="88"/>
      <c r="SA209" s="88"/>
      <c r="SB209" s="88"/>
      <c r="SC209" s="88"/>
      <c r="SD209" s="88"/>
      <c r="SE209" s="88"/>
      <c r="SF209" s="88"/>
      <c r="SG209" s="88"/>
      <c r="SH209" s="88"/>
      <c r="SI209" s="88"/>
      <c r="SJ209" s="88"/>
      <c r="SK209" s="88"/>
      <c r="SL209" s="88"/>
      <c r="SM209" s="88"/>
      <c r="SN209" s="88"/>
      <c r="SO209" s="88"/>
      <c r="SP209" s="88"/>
      <c r="SQ209" s="88"/>
      <c r="SR209" s="88"/>
      <c r="SS209" s="88"/>
      <c r="ST209" s="88"/>
      <c r="SU209" s="88"/>
      <c r="SV209" s="88"/>
      <c r="SW209" s="88"/>
      <c r="SX209" s="88"/>
      <c r="SY209" s="88"/>
      <c r="SZ209" s="88"/>
      <c r="TA209" s="88"/>
      <c r="TB209" s="88"/>
      <c r="TC209" s="88"/>
      <c r="TD209" s="88"/>
      <c r="TE209" s="88"/>
      <c r="TF209" s="88"/>
      <c r="TG209" s="88"/>
      <c r="TH209" s="88"/>
      <c r="TI209" s="88"/>
      <c r="TJ209" s="88"/>
      <c r="TK209" s="88"/>
      <c r="TL209" s="88"/>
      <c r="TM209" s="88"/>
      <c r="TN209" s="88"/>
      <c r="TO209" s="88"/>
      <c r="TP209" s="88"/>
      <c r="TQ209" s="88"/>
      <c r="TR209" s="88"/>
      <c r="TS209" s="88"/>
      <c r="TT209" s="88"/>
      <c r="TU209" s="88"/>
      <c r="TV209" s="88"/>
      <c r="TW209" s="88"/>
      <c r="TX209" s="88"/>
      <c r="TY209" s="88"/>
      <c r="TZ209" s="88"/>
      <c r="UA209" s="88"/>
      <c r="UB209" s="88"/>
      <c r="UC209" s="88"/>
      <c r="UD209" s="88"/>
      <c r="UE209" s="88"/>
      <c r="UF209" s="88"/>
      <c r="UG209" s="88"/>
      <c r="UH209" s="88"/>
      <c r="UI209" s="88"/>
      <c r="UJ209" s="88"/>
      <c r="UK209" s="88"/>
      <c r="UL209" s="88"/>
      <c r="UM209" s="88"/>
      <c r="UN209" s="88"/>
      <c r="UO209" s="88"/>
      <c r="UP209" s="88"/>
      <c r="UQ209" s="88"/>
      <c r="UR209" s="88"/>
      <c r="US209" s="88"/>
      <c r="UT209" s="88"/>
      <c r="UU209" s="88"/>
      <c r="UV209" s="88"/>
      <c r="UW209" s="88"/>
      <c r="UX209" s="88"/>
      <c r="UY209" s="88"/>
      <c r="UZ209" s="88"/>
      <c r="VA209" s="88"/>
      <c r="VB209" s="88"/>
      <c r="VC209" s="88"/>
    </row>
    <row r="210" spans="1:575" s="63" customFormat="1" ht="15" x14ac:dyDescent="0.25">
      <c r="A210" s="53"/>
      <c r="B210" s="102"/>
      <c r="C210" s="102"/>
      <c r="D210" s="56" t="s">
        <v>344</v>
      </c>
      <c r="E210" s="132">
        <f t="shared" si="35"/>
        <v>0</v>
      </c>
      <c r="F210" s="132"/>
      <c r="G210" s="132"/>
      <c r="H210" s="132"/>
      <c r="I210" s="132"/>
      <c r="J210" s="132">
        <f t="shared" si="28"/>
        <v>500000</v>
      </c>
      <c r="K210" s="132">
        <v>500000</v>
      </c>
      <c r="L210" s="132"/>
      <c r="M210" s="132"/>
      <c r="N210" s="132"/>
      <c r="O210" s="132">
        <v>500000</v>
      </c>
      <c r="P210" s="132">
        <f t="shared" si="36"/>
        <v>500000</v>
      </c>
      <c r="Q210" s="159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  <c r="EF210" s="88"/>
      <c r="EG210" s="88"/>
      <c r="EH210" s="88"/>
      <c r="EI210" s="88"/>
      <c r="EJ210" s="88"/>
      <c r="EK210" s="88"/>
      <c r="EL210" s="88"/>
      <c r="EM210" s="88"/>
      <c r="EN210" s="88"/>
      <c r="EO210" s="88"/>
      <c r="EP210" s="88"/>
      <c r="EQ210" s="88"/>
      <c r="ER210" s="88"/>
      <c r="ES210" s="88"/>
      <c r="ET210" s="88"/>
      <c r="EU210" s="88"/>
      <c r="EV210" s="88"/>
      <c r="EW210" s="88"/>
      <c r="EX210" s="88"/>
      <c r="EY210" s="88"/>
      <c r="EZ210" s="88"/>
      <c r="FA210" s="88"/>
      <c r="FB210" s="88"/>
      <c r="FC210" s="88"/>
      <c r="FD210" s="88"/>
      <c r="FE210" s="88"/>
      <c r="FF210" s="88"/>
      <c r="FG210" s="88"/>
      <c r="FH210" s="88"/>
      <c r="FI210" s="88"/>
      <c r="FJ210" s="88"/>
      <c r="FK210" s="88"/>
      <c r="FL210" s="88"/>
      <c r="FM210" s="88"/>
      <c r="FN210" s="88"/>
      <c r="FO210" s="88"/>
      <c r="FP210" s="88"/>
      <c r="FQ210" s="88"/>
      <c r="FR210" s="88"/>
      <c r="FS210" s="88"/>
      <c r="FT210" s="88"/>
      <c r="FU210" s="88"/>
      <c r="FV210" s="88"/>
      <c r="FW210" s="88"/>
      <c r="FX210" s="88"/>
      <c r="FY210" s="88"/>
      <c r="FZ210" s="88"/>
      <c r="GA210" s="88"/>
      <c r="GB210" s="88"/>
      <c r="GC210" s="88"/>
      <c r="GD210" s="88"/>
      <c r="GE210" s="88"/>
      <c r="GF210" s="88"/>
      <c r="GG210" s="88"/>
      <c r="GH210" s="88"/>
      <c r="GI210" s="88"/>
      <c r="GJ210" s="88"/>
      <c r="GK210" s="88"/>
      <c r="GL210" s="88"/>
      <c r="GM210" s="88"/>
      <c r="GN210" s="88"/>
      <c r="GO210" s="88"/>
      <c r="GP210" s="88"/>
      <c r="GQ210" s="88"/>
      <c r="GR210" s="88"/>
      <c r="GS210" s="88"/>
      <c r="GT210" s="88"/>
      <c r="GU210" s="88"/>
      <c r="GV210" s="88"/>
      <c r="GW210" s="88"/>
      <c r="GX210" s="88"/>
      <c r="GY210" s="88"/>
      <c r="GZ210" s="88"/>
      <c r="HA210" s="88"/>
      <c r="HB210" s="88"/>
      <c r="HC210" s="88"/>
      <c r="HD210" s="88"/>
      <c r="HE210" s="88"/>
      <c r="HF210" s="88"/>
      <c r="HG210" s="88"/>
      <c r="HH210" s="88"/>
      <c r="HI210" s="88"/>
      <c r="HJ210" s="88"/>
      <c r="HK210" s="88"/>
      <c r="HL210" s="88"/>
      <c r="HM210" s="88"/>
      <c r="HN210" s="88"/>
      <c r="HO210" s="88"/>
      <c r="HP210" s="88"/>
      <c r="HQ210" s="88"/>
      <c r="HR210" s="88"/>
      <c r="HS210" s="88"/>
      <c r="HT210" s="88"/>
      <c r="HU210" s="88"/>
      <c r="HV210" s="88"/>
      <c r="HW210" s="88"/>
      <c r="HX210" s="88"/>
      <c r="HY210" s="88"/>
      <c r="HZ210" s="88"/>
      <c r="IA210" s="88"/>
      <c r="IB210" s="88"/>
      <c r="IC210" s="88"/>
      <c r="ID210" s="88"/>
      <c r="IE210" s="88"/>
      <c r="IF210" s="88"/>
      <c r="IG210" s="88"/>
      <c r="IH210" s="88"/>
      <c r="II210" s="88"/>
      <c r="IJ210" s="88"/>
      <c r="IK210" s="88"/>
      <c r="IL210" s="88"/>
      <c r="IM210" s="88"/>
      <c r="IN210" s="88"/>
      <c r="IO210" s="88"/>
      <c r="IP210" s="88"/>
      <c r="IQ210" s="88"/>
      <c r="IR210" s="88"/>
      <c r="IS210" s="88"/>
      <c r="IT210" s="88"/>
      <c r="IU210" s="88"/>
      <c r="IV210" s="88"/>
      <c r="IW210" s="88"/>
      <c r="IX210" s="88"/>
      <c r="IY210" s="88"/>
      <c r="IZ210" s="88"/>
      <c r="JA210" s="88"/>
      <c r="JB210" s="88"/>
      <c r="JC210" s="88"/>
      <c r="JD210" s="88"/>
      <c r="JE210" s="88"/>
      <c r="JF210" s="88"/>
      <c r="JG210" s="88"/>
      <c r="JH210" s="88"/>
      <c r="JI210" s="88"/>
      <c r="JJ210" s="88"/>
      <c r="JK210" s="88"/>
      <c r="JL210" s="88"/>
      <c r="JM210" s="88"/>
      <c r="JN210" s="88"/>
      <c r="JO210" s="88"/>
      <c r="JP210" s="88"/>
      <c r="JQ210" s="88"/>
      <c r="JR210" s="88"/>
      <c r="JS210" s="88"/>
      <c r="JT210" s="88"/>
      <c r="JU210" s="88"/>
      <c r="JV210" s="88"/>
      <c r="JW210" s="88"/>
      <c r="JX210" s="88"/>
      <c r="JY210" s="88"/>
      <c r="JZ210" s="88"/>
      <c r="KA210" s="88"/>
      <c r="KB210" s="88"/>
      <c r="KC210" s="88"/>
      <c r="KD210" s="88"/>
      <c r="KE210" s="88"/>
      <c r="KF210" s="88"/>
      <c r="KG210" s="88"/>
      <c r="KH210" s="88"/>
      <c r="KI210" s="88"/>
      <c r="KJ210" s="88"/>
      <c r="KK210" s="88"/>
      <c r="KL210" s="88"/>
      <c r="KM210" s="88"/>
      <c r="KN210" s="88"/>
      <c r="KO210" s="88"/>
      <c r="KP210" s="88"/>
      <c r="KQ210" s="88"/>
      <c r="KR210" s="88"/>
      <c r="KS210" s="88"/>
      <c r="KT210" s="88"/>
      <c r="KU210" s="88"/>
      <c r="KV210" s="88"/>
      <c r="KW210" s="88"/>
      <c r="KX210" s="88"/>
      <c r="KY210" s="88"/>
      <c r="KZ210" s="88"/>
      <c r="LA210" s="88"/>
      <c r="LB210" s="88"/>
      <c r="LC210" s="88"/>
      <c r="LD210" s="88"/>
      <c r="LE210" s="88"/>
      <c r="LF210" s="88"/>
      <c r="LG210" s="88"/>
      <c r="LH210" s="88"/>
      <c r="LI210" s="88"/>
      <c r="LJ210" s="88"/>
      <c r="LK210" s="88"/>
      <c r="LL210" s="88"/>
      <c r="LM210" s="88"/>
      <c r="LN210" s="88"/>
      <c r="LO210" s="88"/>
      <c r="LP210" s="88"/>
      <c r="LQ210" s="88"/>
      <c r="LR210" s="88"/>
      <c r="LS210" s="88"/>
      <c r="LT210" s="88"/>
      <c r="LU210" s="88"/>
      <c r="LV210" s="88"/>
      <c r="LW210" s="88"/>
      <c r="LX210" s="88"/>
      <c r="LY210" s="88"/>
      <c r="LZ210" s="88"/>
      <c r="MA210" s="88"/>
      <c r="MB210" s="88"/>
      <c r="MC210" s="88"/>
      <c r="MD210" s="88"/>
      <c r="ME210" s="88"/>
      <c r="MF210" s="88"/>
      <c r="MG210" s="88"/>
      <c r="MH210" s="88"/>
      <c r="MI210" s="88"/>
      <c r="MJ210" s="88"/>
      <c r="MK210" s="88"/>
      <c r="ML210" s="88"/>
      <c r="MM210" s="88"/>
      <c r="MN210" s="88"/>
      <c r="MO210" s="88"/>
      <c r="MP210" s="88"/>
      <c r="MQ210" s="88"/>
      <c r="MR210" s="88"/>
      <c r="MS210" s="88"/>
      <c r="MT210" s="88"/>
      <c r="MU210" s="88"/>
      <c r="MV210" s="88"/>
      <c r="MW210" s="88"/>
      <c r="MX210" s="88"/>
      <c r="MY210" s="88"/>
      <c r="MZ210" s="88"/>
      <c r="NA210" s="88"/>
      <c r="NB210" s="88"/>
      <c r="NC210" s="88"/>
      <c r="ND210" s="88"/>
      <c r="NE210" s="88"/>
      <c r="NF210" s="88"/>
      <c r="NG210" s="88"/>
      <c r="NH210" s="88"/>
      <c r="NI210" s="88"/>
      <c r="NJ210" s="88"/>
      <c r="NK210" s="88"/>
      <c r="NL210" s="88"/>
      <c r="NM210" s="88"/>
      <c r="NN210" s="88"/>
      <c r="NO210" s="88"/>
      <c r="NP210" s="88"/>
      <c r="NQ210" s="88"/>
      <c r="NR210" s="88"/>
      <c r="NS210" s="88"/>
      <c r="NT210" s="88"/>
      <c r="NU210" s="88"/>
      <c r="NV210" s="88"/>
      <c r="NW210" s="88"/>
      <c r="NX210" s="88"/>
      <c r="NY210" s="88"/>
      <c r="NZ210" s="88"/>
      <c r="OA210" s="88"/>
      <c r="OB210" s="88"/>
      <c r="OC210" s="88"/>
      <c r="OD210" s="88"/>
      <c r="OE210" s="88"/>
      <c r="OF210" s="88"/>
      <c r="OG210" s="88"/>
      <c r="OH210" s="88"/>
      <c r="OI210" s="88"/>
      <c r="OJ210" s="88"/>
      <c r="OK210" s="88"/>
      <c r="OL210" s="88"/>
      <c r="OM210" s="88"/>
      <c r="ON210" s="88"/>
      <c r="OO210" s="88"/>
      <c r="OP210" s="88"/>
      <c r="OQ210" s="88"/>
      <c r="OR210" s="88"/>
      <c r="OS210" s="88"/>
      <c r="OT210" s="88"/>
      <c r="OU210" s="88"/>
      <c r="OV210" s="88"/>
      <c r="OW210" s="88"/>
      <c r="OX210" s="88"/>
      <c r="OY210" s="88"/>
      <c r="OZ210" s="88"/>
      <c r="PA210" s="88"/>
      <c r="PB210" s="88"/>
      <c r="PC210" s="88"/>
      <c r="PD210" s="88"/>
      <c r="PE210" s="88"/>
      <c r="PF210" s="88"/>
      <c r="PG210" s="88"/>
      <c r="PH210" s="88"/>
      <c r="PI210" s="88"/>
      <c r="PJ210" s="88"/>
      <c r="PK210" s="88"/>
      <c r="PL210" s="88"/>
      <c r="PM210" s="88"/>
      <c r="PN210" s="88"/>
      <c r="PO210" s="88"/>
      <c r="PP210" s="88"/>
      <c r="PQ210" s="88"/>
      <c r="PR210" s="88"/>
      <c r="PS210" s="88"/>
      <c r="PT210" s="88"/>
      <c r="PU210" s="88"/>
      <c r="PV210" s="88"/>
      <c r="PW210" s="88"/>
      <c r="PX210" s="88"/>
      <c r="PY210" s="88"/>
      <c r="PZ210" s="88"/>
      <c r="QA210" s="88"/>
      <c r="QB210" s="88"/>
      <c r="QC210" s="88"/>
      <c r="QD210" s="88"/>
      <c r="QE210" s="88"/>
      <c r="QF210" s="88"/>
      <c r="QG210" s="88"/>
      <c r="QH210" s="88"/>
      <c r="QI210" s="88"/>
      <c r="QJ210" s="88"/>
      <c r="QK210" s="88"/>
      <c r="QL210" s="88"/>
      <c r="QM210" s="88"/>
      <c r="QN210" s="88"/>
      <c r="QO210" s="88"/>
      <c r="QP210" s="88"/>
      <c r="QQ210" s="88"/>
      <c r="QR210" s="88"/>
      <c r="QS210" s="88"/>
      <c r="QT210" s="88"/>
      <c r="QU210" s="88"/>
      <c r="QV210" s="88"/>
      <c r="QW210" s="88"/>
      <c r="QX210" s="88"/>
      <c r="QY210" s="88"/>
      <c r="QZ210" s="88"/>
      <c r="RA210" s="88"/>
      <c r="RB210" s="88"/>
      <c r="RC210" s="88"/>
      <c r="RD210" s="88"/>
      <c r="RE210" s="88"/>
      <c r="RF210" s="88"/>
      <c r="RG210" s="88"/>
      <c r="RH210" s="88"/>
      <c r="RI210" s="88"/>
      <c r="RJ210" s="88"/>
      <c r="RK210" s="88"/>
      <c r="RL210" s="88"/>
      <c r="RM210" s="88"/>
      <c r="RN210" s="88"/>
      <c r="RO210" s="88"/>
      <c r="RP210" s="88"/>
      <c r="RQ210" s="88"/>
      <c r="RR210" s="88"/>
      <c r="RS210" s="88"/>
      <c r="RT210" s="88"/>
      <c r="RU210" s="88"/>
      <c r="RV210" s="88"/>
      <c r="RW210" s="88"/>
      <c r="RX210" s="88"/>
      <c r="RY210" s="88"/>
      <c r="RZ210" s="88"/>
      <c r="SA210" s="88"/>
      <c r="SB210" s="88"/>
      <c r="SC210" s="88"/>
      <c r="SD210" s="88"/>
      <c r="SE210" s="88"/>
      <c r="SF210" s="88"/>
      <c r="SG210" s="88"/>
      <c r="SH210" s="88"/>
      <c r="SI210" s="88"/>
      <c r="SJ210" s="88"/>
      <c r="SK210" s="88"/>
      <c r="SL210" s="88"/>
      <c r="SM210" s="88"/>
      <c r="SN210" s="88"/>
      <c r="SO210" s="88"/>
      <c r="SP210" s="88"/>
      <c r="SQ210" s="88"/>
      <c r="SR210" s="88"/>
      <c r="SS210" s="88"/>
      <c r="ST210" s="88"/>
      <c r="SU210" s="88"/>
      <c r="SV210" s="88"/>
      <c r="SW210" s="88"/>
      <c r="SX210" s="88"/>
      <c r="SY210" s="88"/>
      <c r="SZ210" s="88"/>
      <c r="TA210" s="88"/>
      <c r="TB210" s="88"/>
      <c r="TC210" s="88"/>
      <c r="TD210" s="88"/>
      <c r="TE210" s="88"/>
      <c r="TF210" s="88"/>
      <c r="TG210" s="88"/>
      <c r="TH210" s="88"/>
      <c r="TI210" s="88"/>
      <c r="TJ210" s="88"/>
      <c r="TK210" s="88"/>
      <c r="TL210" s="88"/>
      <c r="TM210" s="88"/>
      <c r="TN210" s="88"/>
      <c r="TO210" s="88"/>
      <c r="TP210" s="88"/>
      <c r="TQ210" s="88"/>
      <c r="TR210" s="88"/>
      <c r="TS210" s="88"/>
      <c r="TT210" s="88"/>
      <c r="TU210" s="88"/>
      <c r="TV210" s="88"/>
      <c r="TW210" s="88"/>
      <c r="TX210" s="88"/>
      <c r="TY210" s="88"/>
      <c r="TZ210" s="88"/>
      <c r="UA210" s="88"/>
      <c r="UB210" s="88"/>
      <c r="UC210" s="88"/>
      <c r="UD210" s="88"/>
      <c r="UE210" s="88"/>
      <c r="UF210" s="88"/>
      <c r="UG210" s="88"/>
      <c r="UH210" s="88"/>
      <c r="UI210" s="88"/>
      <c r="UJ210" s="88"/>
      <c r="UK210" s="88"/>
      <c r="UL210" s="88"/>
      <c r="UM210" s="88"/>
      <c r="UN210" s="88"/>
      <c r="UO210" s="88"/>
      <c r="UP210" s="88"/>
      <c r="UQ210" s="88"/>
      <c r="UR210" s="88"/>
      <c r="US210" s="88"/>
      <c r="UT210" s="88"/>
      <c r="UU210" s="88"/>
      <c r="UV210" s="88"/>
      <c r="UW210" s="88"/>
      <c r="UX210" s="88"/>
      <c r="UY210" s="88"/>
      <c r="UZ210" s="88"/>
      <c r="VA210" s="88"/>
      <c r="VB210" s="88"/>
      <c r="VC210" s="88"/>
    </row>
    <row r="211" spans="1:575" s="55" customFormat="1" ht="22.5" customHeight="1" x14ac:dyDescent="0.25">
      <c r="A211" s="53" t="s">
        <v>197</v>
      </c>
      <c r="B211" s="102" t="str">
        <f>'дод 2'!A188</f>
        <v>7640</v>
      </c>
      <c r="C211" s="102" t="str">
        <f>'дод 2'!B188</f>
        <v>0470</v>
      </c>
      <c r="D211" s="56" t="str">
        <f>'дод 2'!C188</f>
        <v>Заходи з енергозбереження</v>
      </c>
      <c r="E211" s="132">
        <f t="shared" si="35"/>
        <v>0</v>
      </c>
      <c r="F211" s="132"/>
      <c r="G211" s="132"/>
      <c r="H211" s="132"/>
      <c r="I211" s="132"/>
      <c r="J211" s="132">
        <f t="shared" si="28"/>
        <v>870000</v>
      </c>
      <c r="K211" s="132">
        <f>1006000-136000</f>
        <v>870000</v>
      </c>
      <c r="L211" s="132"/>
      <c r="M211" s="132"/>
      <c r="N211" s="132"/>
      <c r="O211" s="132">
        <f>1006000-136000</f>
        <v>870000</v>
      </c>
      <c r="P211" s="132">
        <f t="shared" si="36"/>
        <v>870000</v>
      </c>
      <c r="Q211" s="159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  <c r="CJ211" s="61"/>
      <c r="CK211" s="61"/>
      <c r="CL211" s="61"/>
      <c r="CM211" s="61"/>
      <c r="CN211" s="61"/>
      <c r="CO211" s="61"/>
      <c r="CP211" s="61"/>
      <c r="CQ211" s="61"/>
      <c r="CR211" s="61"/>
      <c r="CS211" s="61"/>
      <c r="CT211" s="61"/>
      <c r="CU211" s="61"/>
      <c r="CV211" s="61"/>
      <c r="CW211" s="61"/>
      <c r="CX211" s="61"/>
      <c r="CY211" s="61"/>
      <c r="CZ211" s="61"/>
      <c r="DA211" s="61"/>
      <c r="DB211" s="61"/>
      <c r="DC211" s="61"/>
      <c r="DD211" s="61"/>
      <c r="DE211" s="61"/>
      <c r="DF211" s="61"/>
      <c r="DG211" s="61"/>
      <c r="DH211" s="61"/>
      <c r="DI211" s="61"/>
      <c r="DJ211" s="61"/>
      <c r="DK211" s="61"/>
      <c r="DL211" s="61"/>
      <c r="DM211" s="61"/>
      <c r="DN211" s="61"/>
      <c r="DO211" s="61"/>
      <c r="DP211" s="61"/>
      <c r="DQ211" s="61"/>
      <c r="DR211" s="61"/>
      <c r="DS211" s="61"/>
      <c r="DT211" s="61"/>
      <c r="DU211" s="61"/>
      <c r="DV211" s="61"/>
      <c r="DW211" s="61"/>
      <c r="DX211" s="61"/>
      <c r="DY211" s="61"/>
      <c r="DZ211" s="61"/>
      <c r="EA211" s="61"/>
      <c r="EB211" s="61"/>
      <c r="EC211" s="61"/>
      <c r="ED211" s="61"/>
      <c r="EE211" s="61"/>
      <c r="EF211" s="61"/>
      <c r="EG211" s="61"/>
      <c r="EH211" s="61"/>
      <c r="EI211" s="61"/>
      <c r="EJ211" s="61"/>
      <c r="EK211" s="61"/>
      <c r="EL211" s="61"/>
      <c r="EM211" s="61"/>
      <c r="EN211" s="61"/>
      <c r="EO211" s="61"/>
      <c r="EP211" s="61"/>
      <c r="EQ211" s="61"/>
      <c r="ER211" s="61"/>
      <c r="ES211" s="61"/>
      <c r="ET211" s="61"/>
      <c r="EU211" s="61"/>
      <c r="EV211" s="61"/>
      <c r="EW211" s="61"/>
      <c r="EX211" s="61"/>
      <c r="EY211" s="61"/>
      <c r="EZ211" s="61"/>
      <c r="FA211" s="61"/>
      <c r="FB211" s="61"/>
      <c r="FC211" s="61"/>
      <c r="FD211" s="61"/>
      <c r="FE211" s="61"/>
      <c r="FF211" s="61"/>
      <c r="FG211" s="61"/>
      <c r="FH211" s="61"/>
      <c r="FI211" s="61"/>
      <c r="FJ211" s="61"/>
      <c r="FK211" s="61"/>
      <c r="FL211" s="61"/>
      <c r="FM211" s="61"/>
      <c r="FN211" s="61"/>
      <c r="FO211" s="61"/>
      <c r="FP211" s="61"/>
      <c r="FQ211" s="61"/>
      <c r="FR211" s="61"/>
      <c r="FS211" s="61"/>
      <c r="FT211" s="61"/>
      <c r="FU211" s="61"/>
      <c r="FV211" s="61"/>
      <c r="FW211" s="61"/>
      <c r="FX211" s="61"/>
      <c r="FY211" s="61"/>
      <c r="FZ211" s="61"/>
      <c r="GA211" s="61"/>
      <c r="GB211" s="61"/>
      <c r="GC211" s="61"/>
      <c r="GD211" s="61"/>
      <c r="GE211" s="61"/>
      <c r="GF211" s="61"/>
      <c r="GG211" s="61"/>
      <c r="GH211" s="61"/>
      <c r="GI211" s="61"/>
      <c r="GJ211" s="61"/>
      <c r="GK211" s="61"/>
      <c r="GL211" s="61"/>
      <c r="GM211" s="61"/>
      <c r="GN211" s="61"/>
      <c r="GO211" s="61"/>
      <c r="GP211" s="61"/>
      <c r="GQ211" s="61"/>
      <c r="GR211" s="61"/>
      <c r="GS211" s="61"/>
      <c r="GT211" s="61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1"/>
      <c r="JX211" s="61"/>
      <c r="JY211" s="61"/>
      <c r="JZ211" s="61"/>
      <c r="KA211" s="61"/>
      <c r="KB211" s="61"/>
      <c r="KC211" s="61"/>
      <c r="KD211" s="61"/>
      <c r="KE211" s="61"/>
      <c r="KF211" s="61"/>
      <c r="KG211" s="61"/>
      <c r="KH211" s="61"/>
      <c r="KI211" s="61"/>
      <c r="KJ211" s="61"/>
      <c r="KK211" s="61"/>
      <c r="KL211" s="61"/>
      <c r="KM211" s="61"/>
      <c r="KN211" s="61"/>
      <c r="KO211" s="61"/>
      <c r="KP211" s="61"/>
      <c r="KQ211" s="61"/>
      <c r="KR211" s="61"/>
      <c r="KS211" s="61"/>
      <c r="KT211" s="61"/>
      <c r="KU211" s="61"/>
      <c r="KV211" s="61"/>
      <c r="KW211" s="61"/>
      <c r="KX211" s="61"/>
      <c r="KY211" s="61"/>
      <c r="KZ211" s="61"/>
      <c r="LA211" s="61"/>
      <c r="LB211" s="61"/>
      <c r="LC211" s="61"/>
      <c r="LD211" s="61"/>
      <c r="LE211" s="61"/>
      <c r="LF211" s="61"/>
      <c r="LG211" s="61"/>
      <c r="LH211" s="61"/>
      <c r="LI211" s="61"/>
      <c r="LJ211" s="61"/>
      <c r="LK211" s="61"/>
      <c r="LL211" s="61"/>
      <c r="LM211" s="61"/>
      <c r="LN211" s="61"/>
      <c r="LO211" s="61"/>
      <c r="LP211" s="61"/>
      <c r="LQ211" s="61"/>
      <c r="LR211" s="61"/>
      <c r="LS211" s="61"/>
      <c r="LT211" s="61"/>
      <c r="LU211" s="61"/>
      <c r="LV211" s="61"/>
      <c r="LW211" s="61"/>
      <c r="LX211" s="61"/>
      <c r="LY211" s="61"/>
      <c r="LZ211" s="61"/>
      <c r="MA211" s="61"/>
      <c r="MB211" s="61"/>
      <c r="MC211" s="61"/>
      <c r="MD211" s="61"/>
      <c r="ME211" s="61"/>
      <c r="MF211" s="61"/>
      <c r="MG211" s="61"/>
      <c r="MH211" s="61"/>
      <c r="MI211" s="61"/>
      <c r="MJ211" s="61"/>
      <c r="MK211" s="61"/>
      <c r="ML211" s="61"/>
      <c r="MM211" s="61"/>
      <c r="MN211" s="61"/>
      <c r="MO211" s="61"/>
      <c r="MP211" s="61"/>
      <c r="MQ211" s="61"/>
      <c r="MR211" s="61"/>
      <c r="MS211" s="61"/>
      <c r="MT211" s="61"/>
      <c r="MU211" s="61"/>
      <c r="MV211" s="61"/>
      <c r="MW211" s="61"/>
      <c r="MX211" s="61"/>
      <c r="MY211" s="61"/>
      <c r="MZ211" s="61"/>
      <c r="NA211" s="61"/>
      <c r="NB211" s="61"/>
      <c r="NC211" s="61"/>
      <c r="ND211" s="61"/>
      <c r="NE211" s="61"/>
      <c r="NF211" s="61"/>
      <c r="NG211" s="61"/>
      <c r="NH211" s="61"/>
      <c r="NI211" s="61"/>
      <c r="NJ211" s="61"/>
      <c r="NK211" s="61"/>
      <c r="NL211" s="61"/>
      <c r="NM211" s="61"/>
      <c r="NN211" s="61"/>
      <c r="NO211" s="61"/>
      <c r="NP211" s="61"/>
      <c r="NQ211" s="61"/>
      <c r="NR211" s="61"/>
      <c r="NS211" s="61"/>
      <c r="NT211" s="61"/>
      <c r="NU211" s="61"/>
      <c r="NV211" s="61"/>
      <c r="NW211" s="61"/>
      <c r="NX211" s="61"/>
      <c r="NY211" s="61"/>
      <c r="NZ211" s="61"/>
      <c r="OA211" s="61"/>
      <c r="OB211" s="61"/>
      <c r="OC211" s="61"/>
      <c r="OD211" s="61"/>
      <c r="OE211" s="61"/>
      <c r="OF211" s="61"/>
      <c r="OG211" s="61"/>
      <c r="OH211" s="61"/>
      <c r="OI211" s="61"/>
      <c r="OJ211" s="61"/>
      <c r="OK211" s="61"/>
      <c r="OL211" s="61"/>
      <c r="OM211" s="61"/>
      <c r="ON211" s="61"/>
      <c r="OO211" s="61"/>
      <c r="OP211" s="61"/>
      <c r="OQ211" s="61"/>
      <c r="OR211" s="61"/>
      <c r="OS211" s="61"/>
      <c r="OT211" s="61"/>
      <c r="OU211" s="61"/>
      <c r="OV211" s="61"/>
      <c r="OW211" s="61"/>
      <c r="OX211" s="61"/>
      <c r="OY211" s="61"/>
      <c r="OZ211" s="61"/>
      <c r="PA211" s="61"/>
      <c r="PB211" s="61"/>
      <c r="PC211" s="61"/>
      <c r="PD211" s="61"/>
      <c r="PE211" s="61"/>
      <c r="PF211" s="61"/>
      <c r="PG211" s="61"/>
      <c r="PH211" s="61"/>
      <c r="PI211" s="61"/>
      <c r="PJ211" s="61"/>
      <c r="PK211" s="61"/>
      <c r="PL211" s="61"/>
      <c r="PM211" s="61"/>
      <c r="PN211" s="61"/>
      <c r="PO211" s="61"/>
      <c r="PP211" s="61"/>
      <c r="PQ211" s="61"/>
      <c r="PR211" s="61"/>
      <c r="PS211" s="61"/>
      <c r="PT211" s="61"/>
      <c r="PU211" s="61"/>
      <c r="PV211" s="61"/>
      <c r="PW211" s="61"/>
      <c r="PX211" s="61"/>
      <c r="PY211" s="61"/>
      <c r="PZ211" s="61"/>
      <c r="QA211" s="61"/>
      <c r="QB211" s="61"/>
      <c r="QC211" s="61"/>
      <c r="QD211" s="61"/>
      <c r="QE211" s="61"/>
      <c r="QF211" s="61"/>
      <c r="QG211" s="61"/>
      <c r="QH211" s="61"/>
      <c r="QI211" s="61"/>
      <c r="QJ211" s="61"/>
      <c r="QK211" s="61"/>
      <c r="QL211" s="61"/>
      <c r="QM211" s="61"/>
      <c r="QN211" s="61"/>
      <c r="QO211" s="61"/>
      <c r="QP211" s="61"/>
      <c r="QQ211" s="61"/>
      <c r="QR211" s="61"/>
      <c r="QS211" s="61"/>
      <c r="QT211" s="61"/>
      <c r="QU211" s="61"/>
      <c r="QV211" s="61"/>
      <c r="QW211" s="61"/>
      <c r="QX211" s="61"/>
      <c r="QY211" s="61"/>
      <c r="QZ211" s="61"/>
      <c r="RA211" s="61"/>
      <c r="RB211" s="61"/>
      <c r="RC211" s="61"/>
      <c r="RD211" s="61"/>
      <c r="RE211" s="61"/>
      <c r="RF211" s="61"/>
      <c r="RG211" s="61"/>
      <c r="RH211" s="61"/>
      <c r="RI211" s="61"/>
      <c r="RJ211" s="61"/>
      <c r="RK211" s="61"/>
      <c r="RL211" s="61"/>
      <c r="RM211" s="61"/>
      <c r="RN211" s="61"/>
      <c r="RO211" s="61"/>
      <c r="RP211" s="61"/>
      <c r="RQ211" s="61"/>
      <c r="RR211" s="61"/>
      <c r="RS211" s="61"/>
      <c r="RT211" s="61"/>
      <c r="RU211" s="61"/>
      <c r="RV211" s="61"/>
      <c r="RW211" s="61"/>
      <c r="RX211" s="61"/>
      <c r="RY211" s="61"/>
      <c r="RZ211" s="61"/>
      <c r="SA211" s="61"/>
      <c r="SB211" s="61"/>
      <c r="SC211" s="61"/>
      <c r="SD211" s="61"/>
      <c r="SE211" s="61"/>
      <c r="SF211" s="61"/>
      <c r="SG211" s="61"/>
      <c r="SH211" s="61"/>
      <c r="SI211" s="61"/>
      <c r="SJ211" s="61"/>
      <c r="SK211" s="61"/>
      <c r="SL211" s="61"/>
      <c r="SM211" s="61"/>
      <c r="SN211" s="61"/>
      <c r="SO211" s="61"/>
      <c r="SP211" s="61"/>
      <c r="SQ211" s="61"/>
      <c r="SR211" s="61"/>
      <c r="SS211" s="61"/>
      <c r="ST211" s="61"/>
      <c r="SU211" s="61"/>
      <c r="SV211" s="61"/>
      <c r="SW211" s="61"/>
      <c r="SX211" s="61"/>
      <c r="SY211" s="61"/>
      <c r="SZ211" s="61"/>
      <c r="TA211" s="61"/>
      <c r="TB211" s="61"/>
      <c r="TC211" s="61"/>
      <c r="TD211" s="61"/>
      <c r="TE211" s="61"/>
      <c r="TF211" s="61"/>
      <c r="TG211" s="61"/>
      <c r="TH211" s="61"/>
      <c r="TI211" s="61"/>
      <c r="TJ211" s="61"/>
      <c r="TK211" s="61"/>
      <c r="TL211" s="61"/>
      <c r="TM211" s="61"/>
      <c r="TN211" s="61"/>
      <c r="TO211" s="61"/>
      <c r="TP211" s="61"/>
      <c r="TQ211" s="61"/>
      <c r="TR211" s="61"/>
      <c r="TS211" s="61"/>
      <c r="TT211" s="61"/>
      <c r="TU211" s="61"/>
      <c r="TV211" s="61"/>
      <c r="TW211" s="61"/>
      <c r="TX211" s="61"/>
      <c r="TY211" s="61"/>
      <c r="TZ211" s="61"/>
      <c r="UA211" s="61"/>
      <c r="UB211" s="61"/>
      <c r="UC211" s="61"/>
      <c r="UD211" s="61"/>
      <c r="UE211" s="61"/>
      <c r="UF211" s="61"/>
      <c r="UG211" s="61"/>
      <c r="UH211" s="61"/>
      <c r="UI211" s="61"/>
      <c r="UJ211" s="61"/>
      <c r="UK211" s="61"/>
      <c r="UL211" s="61"/>
      <c r="UM211" s="61"/>
      <c r="UN211" s="61"/>
      <c r="UO211" s="61"/>
      <c r="UP211" s="61"/>
      <c r="UQ211" s="61"/>
      <c r="UR211" s="61"/>
      <c r="US211" s="61"/>
      <c r="UT211" s="61"/>
      <c r="UU211" s="61"/>
      <c r="UV211" s="61"/>
      <c r="UW211" s="61"/>
      <c r="UX211" s="61"/>
      <c r="UY211" s="61"/>
      <c r="UZ211" s="61"/>
      <c r="VA211" s="61"/>
      <c r="VB211" s="61"/>
      <c r="VC211" s="61"/>
    </row>
    <row r="212" spans="1:575" s="72" customFormat="1" ht="34.5" customHeight="1" x14ac:dyDescent="0.2">
      <c r="A212" s="70" t="s">
        <v>259</v>
      </c>
      <c r="B212" s="111"/>
      <c r="C212" s="111"/>
      <c r="D212" s="71" t="s">
        <v>53</v>
      </c>
      <c r="E212" s="134">
        <f>E213</f>
        <v>263693052.95000002</v>
      </c>
      <c r="F212" s="134">
        <f t="shared" ref="F212:P212" si="37">F213</f>
        <v>206448675.40000001</v>
      </c>
      <c r="G212" s="134">
        <f t="shared" si="37"/>
        <v>8866830</v>
      </c>
      <c r="H212" s="134">
        <f t="shared" si="37"/>
        <v>26440773.59</v>
      </c>
      <c r="I212" s="134">
        <f t="shared" si="37"/>
        <v>57244377.550000004</v>
      </c>
      <c r="J212" s="134">
        <f t="shared" si="37"/>
        <v>193721187.16000003</v>
      </c>
      <c r="K212" s="134">
        <f t="shared" si="37"/>
        <v>147456979.28000003</v>
      </c>
      <c r="L212" s="134">
        <f t="shared" si="37"/>
        <v>43439115.409999996</v>
      </c>
      <c r="M212" s="134">
        <f t="shared" si="37"/>
        <v>0</v>
      </c>
      <c r="N212" s="134">
        <f t="shared" si="37"/>
        <v>540000</v>
      </c>
      <c r="O212" s="134">
        <f t="shared" si="37"/>
        <v>150282071.75</v>
      </c>
      <c r="P212" s="134">
        <f t="shared" si="37"/>
        <v>457414240.11000007</v>
      </c>
      <c r="Q212" s="159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BN212" s="90"/>
      <c r="BO212" s="90"/>
      <c r="BP212" s="90"/>
      <c r="BQ212" s="90"/>
      <c r="BR212" s="90"/>
      <c r="BS212" s="90"/>
      <c r="BT212" s="90"/>
      <c r="BU212" s="90"/>
      <c r="BV212" s="90"/>
      <c r="BW212" s="90"/>
      <c r="BX212" s="90"/>
      <c r="BY212" s="90"/>
      <c r="BZ212" s="90"/>
      <c r="CA212" s="90"/>
      <c r="CB212" s="90"/>
      <c r="CC212" s="90"/>
      <c r="CD212" s="90"/>
      <c r="CE212" s="90"/>
      <c r="CF212" s="90"/>
      <c r="CG212" s="90"/>
      <c r="CH212" s="90"/>
      <c r="CI212" s="90"/>
      <c r="CJ212" s="90"/>
      <c r="CK212" s="90"/>
      <c r="CL212" s="90"/>
      <c r="CM212" s="90"/>
      <c r="CN212" s="90"/>
      <c r="CO212" s="90"/>
      <c r="CP212" s="90"/>
      <c r="CQ212" s="90"/>
      <c r="CR212" s="90"/>
      <c r="CS212" s="90"/>
      <c r="CT212" s="90"/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  <c r="EA212" s="90"/>
      <c r="EB212" s="90"/>
      <c r="EC212" s="90"/>
      <c r="ED212" s="90"/>
      <c r="EE212" s="90"/>
      <c r="EF212" s="90"/>
      <c r="EG212" s="90"/>
      <c r="EH212" s="90"/>
      <c r="EI212" s="90"/>
      <c r="EJ212" s="90"/>
      <c r="EK212" s="90"/>
      <c r="EL212" s="90"/>
      <c r="EM212" s="90"/>
      <c r="EN212" s="90"/>
      <c r="EO212" s="90"/>
      <c r="EP212" s="90"/>
      <c r="EQ212" s="90"/>
      <c r="ER212" s="90"/>
      <c r="ES212" s="90"/>
      <c r="ET212" s="90"/>
      <c r="EU212" s="90"/>
      <c r="EV212" s="90"/>
      <c r="EW212" s="90"/>
      <c r="EX212" s="90"/>
      <c r="EY212" s="90"/>
      <c r="EZ212" s="90"/>
      <c r="FA212" s="90"/>
      <c r="FB212" s="90"/>
      <c r="FC212" s="90"/>
      <c r="FD212" s="90"/>
      <c r="FE212" s="90"/>
      <c r="FF212" s="90"/>
      <c r="FG212" s="90"/>
      <c r="FH212" s="90"/>
      <c r="FI212" s="90"/>
      <c r="FJ212" s="90"/>
      <c r="FK212" s="90"/>
      <c r="FL212" s="90"/>
      <c r="FM212" s="90"/>
      <c r="FN212" s="90"/>
      <c r="FO212" s="90"/>
      <c r="FP212" s="90"/>
      <c r="FQ212" s="90"/>
      <c r="FR212" s="90"/>
      <c r="FS212" s="90"/>
      <c r="FT212" s="90"/>
      <c r="FU212" s="90"/>
      <c r="FV212" s="90"/>
      <c r="FW212" s="90"/>
      <c r="FX212" s="90"/>
      <c r="FY212" s="90"/>
      <c r="FZ212" s="90"/>
      <c r="GA212" s="90"/>
      <c r="GB212" s="90"/>
      <c r="GC212" s="90"/>
      <c r="GD212" s="90"/>
      <c r="GE212" s="90"/>
      <c r="GF212" s="90"/>
      <c r="GG212" s="90"/>
      <c r="GH212" s="90"/>
      <c r="GI212" s="90"/>
      <c r="GJ212" s="90"/>
      <c r="GK212" s="90"/>
      <c r="GL212" s="90"/>
      <c r="GM212" s="90"/>
      <c r="GN212" s="90"/>
      <c r="GO212" s="90"/>
      <c r="GP212" s="90"/>
      <c r="GQ212" s="90"/>
      <c r="GR212" s="90"/>
      <c r="GS212" s="90"/>
      <c r="GT212" s="90"/>
      <c r="GU212" s="90"/>
      <c r="GV212" s="90"/>
      <c r="GW212" s="90"/>
      <c r="GX212" s="90"/>
      <c r="GY212" s="90"/>
      <c r="GZ212" s="90"/>
      <c r="HA212" s="90"/>
      <c r="HB212" s="90"/>
      <c r="HC212" s="90"/>
      <c r="HD212" s="90"/>
      <c r="HE212" s="90"/>
      <c r="HF212" s="90"/>
      <c r="HG212" s="90"/>
      <c r="HH212" s="90"/>
      <c r="HI212" s="90"/>
      <c r="HJ212" s="90"/>
      <c r="HK212" s="90"/>
      <c r="HL212" s="90"/>
      <c r="HM212" s="90"/>
      <c r="HN212" s="90"/>
      <c r="HO212" s="90"/>
      <c r="HP212" s="90"/>
      <c r="HQ212" s="90"/>
      <c r="HR212" s="90"/>
      <c r="HS212" s="90"/>
      <c r="HT212" s="90"/>
      <c r="HU212" s="90"/>
      <c r="HV212" s="90"/>
      <c r="HW212" s="90"/>
      <c r="HX212" s="90"/>
      <c r="HY212" s="90"/>
      <c r="HZ212" s="90"/>
      <c r="IA212" s="90"/>
      <c r="IB212" s="90"/>
      <c r="IC212" s="90"/>
      <c r="ID212" s="90"/>
      <c r="IE212" s="90"/>
      <c r="IF212" s="90"/>
      <c r="IG212" s="90"/>
      <c r="IH212" s="90"/>
      <c r="II212" s="90"/>
      <c r="IJ212" s="90"/>
      <c r="IK212" s="90"/>
      <c r="IL212" s="90"/>
      <c r="IM212" s="90"/>
      <c r="IN212" s="90"/>
      <c r="IO212" s="90"/>
      <c r="IP212" s="90"/>
      <c r="IQ212" s="90"/>
      <c r="IR212" s="90"/>
      <c r="IS212" s="90"/>
      <c r="IT212" s="90"/>
      <c r="IU212" s="90"/>
      <c r="IV212" s="90"/>
      <c r="IW212" s="90"/>
      <c r="IX212" s="90"/>
      <c r="IY212" s="90"/>
      <c r="IZ212" s="90"/>
      <c r="JA212" s="90"/>
      <c r="JB212" s="90"/>
      <c r="JC212" s="90"/>
      <c r="JD212" s="90"/>
      <c r="JE212" s="90"/>
      <c r="JF212" s="90"/>
      <c r="JG212" s="90"/>
      <c r="JH212" s="90"/>
      <c r="JI212" s="90"/>
      <c r="JJ212" s="90"/>
      <c r="JK212" s="90"/>
      <c r="JL212" s="90"/>
      <c r="JM212" s="90"/>
      <c r="JN212" s="90"/>
      <c r="JO212" s="90"/>
      <c r="JP212" s="90"/>
      <c r="JQ212" s="90"/>
      <c r="JR212" s="90"/>
      <c r="JS212" s="90"/>
      <c r="JT212" s="90"/>
      <c r="JU212" s="90"/>
      <c r="JV212" s="90"/>
      <c r="JW212" s="90"/>
      <c r="JX212" s="90"/>
      <c r="JY212" s="90"/>
      <c r="JZ212" s="90"/>
      <c r="KA212" s="90"/>
      <c r="KB212" s="90"/>
      <c r="KC212" s="90"/>
      <c r="KD212" s="90"/>
      <c r="KE212" s="90"/>
      <c r="KF212" s="90"/>
      <c r="KG212" s="90"/>
      <c r="KH212" s="90"/>
      <c r="KI212" s="90"/>
      <c r="KJ212" s="90"/>
      <c r="KK212" s="90"/>
      <c r="KL212" s="90"/>
      <c r="KM212" s="90"/>
      <c r="KN212" s="90"/>
      <c r="KO212" s="90"/>
      <c r="KP212" s="90"/>
      <c r="KQ212" s="90"/>
      <c r="KR212" s="90"/>
      <c r="KS212" s="90"/>
      <c r="KT212" s="90"/>
      <c r="KU212" s="90"/>
      <c r="KV212" s="90"/>
      <c r="KW212" s="90"/>
      <c r="KX212" s="90"/>
      <c r="KY212" s="90"/>
      <c r="KZ212" s="90"/>
      <c r="LA212" s="90"/>
      <c r="LB212" s="90"/>
      <c r="LC212" s="90"/>
      <c r="LD212" s="90"/>
      <c r="LE212" s="90"/>
      <c r="LF212" s="90"/>
      <c r="LG212" s="90"/>
      <c r="LH212" s="90"/>
      <c r="LI212" s="90"/>
      <c r="LJ212" s="90"/>
      <c r="LK212" s="90"/>
      <c r="LL212" s="90"/>
      <c r="LM212" s="90"/>
      <c r="LN212" s="90"/>
      <c r="LO212" s="90"/>
      <c r="LP212" s="90"/>
      <c r="LQ212" s="90"/>
      <c r="LR212" s="90"/>
      <c r="LS212" s="90"/>
      <c r="LT212" s="90"/>
      <c r="LU212" s="90"/>
      <c r="LV212" s="90"/>
      <c r="LW212" s="90"/>
      <c r="LX212" s="90"/>
      <c r="LY212" s="90"/>
      <c r="LZ212" s="90"/>
      <c r="MA212" s="90"/>
      <c r="MB212" s="90"/>
      <c r="MC212" s="90"/>
      <c r="MD212" s="90"/>
      <c r="ME212" s="90"/>
      <c r="MF212" s="90"/>
      <c r="MG212" s="90"/>
      <c r="MH212" s="90"/>
      <c r="MI212" s="90"/>
      <c r="MJ212" s="90"/>
      <c r="MK212" s="90"/>
      <c r="ML212" s="90"/>
      <c r="MM212" s="90"/>
      <c r="MN212" s="90"/>
      <c r="MO212" s="90"/>
      <c r="MP212" s="90"/>
      <c r="MQ212" s="90"/>
      <c r="MR212" s="90"/>
      <c r="MS212" s="90"/>
      <c r="MT212" s="90"/>
      <c r="MU212" s="90"/>
      <c r="MV212" s="90"/>
      <c r="MW212" s="90"/>
      <c r="MX212" s="90"/>
      <c r="MY212" s="90"/>
      <c r="MZ212" s="90"/>
      <c r="NA212" s="90"/>
      <c r="NB212" s="90"/>
      <c r="NC212" s="90"/>
      <c r="ND212" s="90"/>
      <c r="NE212" s="90"/>
      <c r="NF212" s="90"/>
      <c r="NG212" s="90"/>
      <c r="NH212" s="90"/>
      <c r="NI212" s="90"/>
      <c r="NJ212" s="90"/>
      <c r="NK212" s="90"/>
      <c r="NL212" s="90"/>
      <c r="NM212" s="90"/>
      <c r="NN212" s="90"/>
      <c r="NO212" s="90"/>
      <c r="NP212" s="90"/>
      <c r="NQ212" s="90"/>
      <c r="NR212" s="90"/>
      <c r="NS212" s="90"/>
      <c r="NT212" s="90"/>
      <c r="NU212" s="90"/>
      <c r="NV212" s="90"/>
      <c r="NW212" s="90"/>
      <c r="NX212" s="90"/>
      <c r="NY212" s="90"/>
      <c r="NZ212" s="90"/>
      <c r="OA212" s="90"/>
      <c r="OB212" s="90"/>
      <c r="OC212" s="90"/>
      <c r="OD212" s="90"/>
      <c r="OE212" s="90"/>
      <c r="OF212" s="90"/>
      <c r="OG212" s="90"/>
      <c r="OH212" s="90"/>
      <c r="OI212" s="90"/>
      <c r="OJ212" s="90"/>
      <c r="OK212" s="90"/>
      <c r="OL212" s="90"/>
      <c r="OM212" s="90"/>
      <c r="ON212" s="90"/>
      <c r="OO212" s="90"/>
      <c r="OP212" s="90"/>
      <c r="OQ212" s="90"/>
      <c r="OR212" s="90"/>
      <c r="OS212" s="90"/>
      <c r="OT212" s="90"/>
      <c r="OU212" s="90"/>
      <c r="OV212" s="90"/>
      <c r="OW212" s="90"/>
      <c r="OX212" s="90"/>
      <c r="OY212" s="90"/>
      <c r="OZ212" s="90"/>
      <c r="PA212" s="90"/>
      <c r="PB212" s="90"/>
      <c r="PC212" s="90"/>
      <c r="PD212" s="90"/>
      <c r="PE212" s="90"/>
      <c r="PF212" s="90"/>
      <c r="PG212" s="90"/>
      <c r="PH212" s="90"/>
      <c r="PI212" s="90"/>
      <c r="PJ212" s="90"/>
      <c r="PK212" s="90"/>
      <c r="PL212" s="90"/>
      <c r="PM212" s="90"/>
      <c r="PN212" s="90"/>
      <c r="PO212" s="90"/>
      <c r="PP212" s="90"/>
      <c r="PQ212" s="90"/>
      <c r="PR212" s="90"/>
      <c r="PS212" s="90"/>
      <c r="PT212" s="90"/>
      <c r="PU212" s="90"/>
      <c r="PV212" s="90"/>
      <c r="PW212" s="90"/>
      <c r="PX212" s="90"/>
      <c r="PY212" s="90"/>
      <c r="PZ212" s="90"/>
      <c r="QA212" s="90"/>
      <c r="QB212" s="90"/>
      <c r="QC212" s="90"/>
      <c r="QD212" s="90"/>
      <c r="QE212" s="90"/>
      <c r="QF212" s="90"/>
      <c r="QG212" s="90"/>
      <c r="QH212" s="90"/>
      <c r="QI212" s="90"/>
      <c r="QJ212" s="90"/>
      <c r="QK212" s="90"/>
      <c r="QL212" s="90"/>
      <c r="QM212" s="90"/>
      <c r="QN212" s="90"/>
      <c r="QO212" s="90"/>
      <c r="QP212" s="90"/>
      <c r="QQ212" s="90"/>
      <c r="QR212" s="90"/>
      <c r="QS212" s="90"/>
      <c r="QT212" s="90"/>
      <c r="QU212" s="90"/>
      <c r="QV212" s="90"/>
      <c r="QW212" s="90"/>
      <c r="QX212" s="90"/>
      <c r="QY212" s="90"/>
      <c r="QZ212" s="90"/>
      <c r="RA212" s="90"/>
      <c r="RB212" s="90"/>
      <c r="RC212" s="90"/>
      <c r="RD212" s="90"/>
      <c r="RE212" s="90"/>
      <c r="RF212" s="90"/>
      <c r="RG212" s="90"/>
      <c r="RH212" s="90"/>
      <c r="RI212" s="90"/>
      <c r="RJ212" s="90"/>
      <c r="RK212" s="90"/>
      <c r="RL212" s="90"/>
      <c r="RM212" s="90"/>
      <c r="RN212" s="90"/>
      <c r="RO212" s="90"/>
      <c r="RP212" s="90"/>
      <c r="RQ212" s="90"/>
      <c r="RR212" s="90"/>
      <c r="RS212" s="90"/>
      <c r="RT212" s="90"/>
      <c r="RU212" s="90"/>
      <c r="RV212" s="90"/>
      <c r="RW212" s="90"/>
      <c r="RX212" s="90"/>
      <c r="RY212" s="90"/>
      <c r="RZ212" s="90"/>
      <c r="SA212" s="90"/>
      <c r="SB212" s="90"/>
      <c r="SC212" s="90"/>
      <c r="SD212" s="90"/>
      <c r="SE212" s="90"/>
      <c r="SF212" s="90"/>
      <c r="SG212" s="90"/>
      <c r="SH212" s="90"/>
      <c r="SI212" s="90"/>
      <c r="SJ212" s="90"/>
      <c r="SK212" s="90"/>
      <c r="SL212" s="90"/>
      <c r="SM212" s="90"/>
      <c r="SN212" s="90"/>
      <c r="SO212" s="90"/>
      <c r="SP212" s="90"/>
      <c r="SQ212" s="90"/>
      <c r="SR212" s="90"/>
      <c r="SS212" s="90"/>
      <c r="ST212" s="90"/>
      <c r="SU212" s="90"/>
      <c r="SV212" s="90"/>
      <c r="SW212" s="90"/>
      <c r="SX212" s="90"/>
      <c r="SY212" s="90"/>
      <c r="SZ212" s="90"/>
      <c r="TA212" s="90"/>
      <c r="TB212" s="90"/>
      <c r="TC212" s="90"/>
      <c r="TD212" s="90"/>
      <c r="TE212" s="90"/>
      <c r="TF212" s="90"/>
      <c r="TG212" s="90"/>
      <c r="TH212" s="90"/>
      <c r="TI212" s="90"/>
      <c r="TJ212" s="90"/>
      <c r="TK212" s="90"/>
      <c r="TL212" s="90"/>
      <c r="TM212" s="90"/>
      <c r="TN212" s="90"/>
      <c r="TO212" s="90"/>
      <c r="TP212" s="90"/>
      <c r="TQ212" s="90"/>
      <c r="TR212" s="90"/>
      <c r="TS212" s="90"/>
      <c r="TT212" s="90"/>
      <c r="TU212" s="90"/>
      <c r="TV212" s="90"/>
      <c r="TW212" s="90"/>
      <c r="TX212" s="90"/>
      <c r="TY212" s="90"/>
      <c r="TZ212" s="90"/>
      <c r="UA212" s="90"/>
      <c r="UB212" s="90"/>
      <c r="UC212" s="90"/>
      <c r="UD212" s="90"/>
      <c r="UE212" s="90"/>
      <c r="UF212" s="90"/>
      <c r="UG212" s="90"/>
      <c r="UH212" s="90"/>
      <c r="UI212" s="90"/>
      <c r="UJ212" s="90"/>
      <c r="UK212" s="90"/>
      <c r="UL212" s="90"/>
      <c r="UM212" s="90"/>
      <c r="UN212" s="90"/>
      <c r="UO212" s="90"/>
      <c r="UP212" s="90"/>
      <c r="UQ212" s="90"/>
      <c r="UR212" s="90"/>
      <c r="US212" s="90"/>
      <c r="UT212" s="90"/>
      <c r="UU212" s="90"/>
      <c r="UV212" s="90"/>
      <c r="UW212" s="90"/>
      <c r="UX212" s="90"/>
      <c r="UY212" s="90"/>
      <c r="UZ212" s="90"/>
      <c r="VA212" s="90"/>
      <c r="VB212" s="90"/>
      <c r="VC212" s="90"/>
    </row>
    <row r="213" spans="1:575" s="92" customFormat="1" ht="36.75" customHeight="1" x14ac:dyDescent="0.25">
      <c r="A213" s="75" t="s">
        <v>260</v>
      </c>
      <c r="B213" s="112"/>
      <c r="C213" s="112"/>
      <c r="D213" s="76" t="s">
        <v>53</v>
      </c>
      <c r="E213" s="131">
        <f>E215+E216+E217+E218+E219+E220+E221+E222+E223+E224+E228+E229+E230+E234+E237+E238+E239+E241+E242+E231+E232+E235</f>
        <v>263693052.95000002</v>
      </c>
      <c r="F213" s="131">
        <f t="shared" ref="F213:O213" si="38">F215+F216+F217+F218+F219+F220+F221+F222+F223+F224+F228+F229+F230+F234+F237+F238+F239+F241+F242+F231+F232+F235</f>
        <v>206448675.40000001</v>
      </c>
      <c r="G213" s="131">
        <f t="shared" si="38"/>
        <v>8866830</v>
      </c>
      <c r="H213" s="131">
        <f t="shared" si="38"/>
        <v>26440773.59</v>
      </c>
      <c r="I213" s="131">
        <f t="shared" si="38"/>
        <v>57244377.550000004</v>
      </c>
      <c r="J213" s="131">
        <f t="shared" si="38"/>
        <v>193721187.16000003</v>
      </c>
      <c r="K213" s="131">
        <f t="shared" si="38"/>
        <v>147456979.28000003</v>
      </c>
      <c r="L213" s="131">
        <f t="shared" si="38"/>
        <v>43439115.409999996</v>
      </c>
      <c r="M213" s="131">
        <f t="shared" si="38"/>
        <v>0</v>
      </c>
      <c r="N213" s="131">
        <f t="shared" si="38"/>
        <v>540000</v>
      </c>
      <c r="O213" s="131">
        <f t="shared" si="38"/>
        <v>150282071.75</v>
      </c>
      <c r="P213" s="131">
        <f>P215+P216+P217+P218+P219+P220+P221+P222+P223+P224+P228+P229+P230+P234+P237+P238+P239+P241+P242+P231+P232+P235</f>
        <v>457414240.11000007</v>
      </c>
      <c r="Q213" s="159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  <c r="IU213" s="91"/>
      <c r="IV213" s="91"/>
      <c r="IW213" s="91"/>
      <c r="IX213" s="91"/>
      <c r="IY213" s="91"/>
      <c r="IZ213" s="91"/>
      <c r="JA213" s="91"/>
      <c r="JB213" s="91"/>
      <c r="JC213" s="91"/>
      <c r="JD213" s="91"/>
      <c r="JE213" s="91"/>
      <c r="JF213" s="91"/>
      <c r="JG213" s="91"/>
      <c r="JH213" s="91"/>
      <c r="JI213" s="91"/>
      <c r="JJ213" s="91"/>
      <c r="JK213" s="91"/>
      <c r="JL213" s="91"/>
      <c r="JM213" s="91"/>
      <c r="JN213" s="91"/>
      <c r="JO213" s="91"/>
      <c r="JP213" s="91"/>
      <c r="JQ213" s="91"/>
      <c r="JR213" s="91"/>
      <c r="JS213" s="91"/>
      <c r="JT213" s="91"/>
      <c r="JU213" s="91"/>
      <c r="JV213" s="91"/>
      <c r="JW213" s="91"/>
      <c r="JX213" s="91"/>
      <c r="JY213" s="91"/>
      <c r="JZ213" s="91"/>
      <c r="KA213" s="91"/>
      <c r="KB213" s="91"/>
      <c r="KC213" s="91"/>
      <c r="KD213" s="91"/>
      <c r="KE213" s="91"/>
      <c r="KF213" s="91"/>
      <c r="KG213" s="91"/>
      <c r="KH213" s="91"/>
      <c r="KI213" s="91"/>
      <c r="KJ213" s="91"/>
      <c r="KK213" s="91"/>
      <c r="KL213" s="91"/>
      <c r="KM213" s="91"/>
      <c r="KN213" s="91"/>
      <c r="KO213" s="91"/>
      <c r="KP213" s="91"/>
      <c r="KQ213" s="91"/>
      <c r="KR213" s="91"/>
      <c r="KS213" s="91"/>
      <c r="KT213" s="91"/>
      <c r="KU213" s="91"/>
      <c r="KV213" s="91"/>
      <c r="KW213" s="91"/>
      <c r="KX213" s="91"/>
      <c r="KY213" s="91"/>
      <c r="KZ213" s="91"/>
      <c r="LA213" s="91"/>
      <c r="LB213" s="91"/>
      <c r="LC213" s="91"/>
      <c r="LD213" s="91"/>
      <c r="LE213" s="91"/>
      <c r="LF213" s="91"/>
      <c r="LG213" s="91"/>
      <c r="LH213" s="91"/>
      <c r="LI213" s="91"/>
      <c r="LJ213" s="91"/>
      <c r="LK213" s="91"/>
      <c r="LL213" s="91"/>
      <c r="LM213" s="91"/>
      <c r="LN213" s="91"/>
      <c r="LO213" s="91"/>
      <c r="LP213" s="91"/>
      <c r="LQ213" s="91"/>
      <c r="LR213" s="91"/>
      <c r="LS213" s="91"/>
      <c r="LT213" s="91"/>
      <c r="LU213" s="91"/>
      <c r="LV213" s="91"/>
      <c r="LW213" s="91"/>
      <c r="LX213" s="91"/>
      <c r="LY213" s="91"/>
      <c r="LZ213" s="91"/>
      <c r="MA213" s="91"/>
      <c r="MB213" s="91"/>
      <c r="MC213" s="91"/>
      <c r="MD213" s="91"/>
      <c r="ME213" s="91"/>
      <c r="MF213" s="91"/>
      <c r="MG213" s="91"/>
      <c r="MH213" s="91"/>
      <c r="MI213" s="91"/>
      <c r="MJ213" s="91"/>
      <c r="MK213" s="91"/>
      <c r="ML213" s="91"/>
      <c r="MM213" s="91"/>
      <c r="MN213" s="91"/>
      <c r="MO213" s="91"/>
      <c r="MP213" s="91"/>
      <c r="MQ213" s="91"/>
      <c r="MR213" s="91"/>
      <c r="MS213" s="91"/>
      <c r="MT213" s="91"/>
      <c r="MU213" s="91"/>
      <c r="MV213" s="91"/>
      <c r="MW213" s="91"/>
      <c r="MX213" s="91"/>
      <c r="MY213" s="91"/>
      <c r="MZ213" s="91"/>
      <c r="NA213" s="91"/>
      <c r="NB213" s="91"/>
      <c r="NC213" s="91"/>
      <c r="ND213" s="91"/>
      <c r="NE213" s="91"/>
      <c r="NF213" s="91"/>
      <c r="NG213" s="91"/>
      <c r="NH213" s="91"/>
      <c r="NI213" s="91"/>
      <c r="NJ213" s="91"/>
      <c r="NK213" s="91"/>
      <c r="NL213" s="91"/>
      <c r="NM213" s="91"/>
      <c r="NN213" s="91"/>
      <c r="NO213" s="91"/>
      <c r="NP213" s="91"/>
      <c r="NQ213" s="91"/>
      <c r="NR213" s="91"/>
      <c r="NS213" s="91"/>
      <c r="NT213" s="91"/>
      <c r="NU213" s="91"/>
      <c r="NV213" s="91"/>
      <c r="NW213" s="91"/>
      <c r="NX213" s="91"/>
      <c r="NY213" s="91"/>
      <c r="NZ213" s="91"/>
      <c r="OA213" s="91"/>
      <c r="OB213" s="91"/>
      <c r="OC213" s="91"/>
      <c r="OD213" s="91"/>
      <c r="OE213" s="91"/>
      <c r="OF213" s="91"/>
      <c r="OG213" s="91"/>
      <c r="OH213" s="91"/>
      <c r="OI213" s="91"/>
      <c r="OJ213" s="91"/>
      <c r="OK213" s="91"/>
      <c r="OL213" s="91"/>
      <c r="OM213" s="91"/>
      <c r="ON213" s="91"/>
      <c r="OO213" s="91"/>
      <c r="OP213" s="91"/>
      <c r="OQ213" s="91"/>
      <c r="OR213" s="91"/>
      <c r="OS213" s="91"/>
      <c r="OT213" s="91"/>
      <c r="OU213" s="91"/>
      <c r="OV213" s="91"/>
      <c r="OW213" s="91"/>
      <c r="OX213" s="91"/>
      <c r="OY213" s="91"/>
      <c r="OZ213" s="91"/>
      <c r="PA213" s="91"/>
      <c r="PB213" s="91"/>
      <c r="PC213" s="91"/>
      <c r="PD213" s="91"/>
      <c r="PE213" s="91"/>
      <c r="PF213" s="91"/>
      <c r="PG213" s="91"/>
      <c r="PH213" s="91"/>
      <c r="PI213" s="91"/>
      <c r="PJ213" s="91"/>
      <c r="PK213" s="91"/>
      <c r="PL213" s="91"/>
      <c r="PM213" s="91"/>
      <c r="PN213" s="91"/>
      <c r="PO213" s="91"/>
      <c r="PP213" s="91"/>
      <c r="PQ213" s="91"/>
      <c r="PR213" s="91"/>
      <c r="PS213" s="91"/>
      <c r="PT213" s="91"/>
      <c r="PU213" s="91"/>
      <c r="PV213" s="91"/>
      <c r="PW213" s="91"/>
      <c r="PX213" s="91"/>
      <c r="PY213" s="91"/>
      <c r="PZ213" s="91"/>
      <c r="QA213" s="91"/>
      <c r="QB213" s="91"/>
      <c r="QC213" s="91"/>
      <c r="QD213" s="91"/>
      <c r="QE213" s="91"/>
      <c r="QF213" s="91"/>
      <c r="QG213" s="91"/>
      <c r="QH213" s="91"/>
      <c r="QI213" s="91"/>
      <c r="QJ213" s="91"/>
      <c r="QK213" s="91"/>
      <c r="QL213" s="91"/>
      <c r="QM213" s="91"/>
      <c r="QN213" s="91"/>
      <c r="QO213" s="91"/>
      <c r="QP213" s="91"/>
      <c r="QQ213" s="91"/>
      <c r="QR213" s="91"/>
      <c r="QS213" s="91"/>
      <c r="QT213" s="91"/>
      <c r="QU213" s="91"/>
      <c r="QV213" s="91"/>
      <c r="QW213" s="91"/>
      <c r="QX213" s="91"/>
      <c r="QY213" s="91"/>
      <c r="QZ213" s="91"/>
      <c r="RA213" s="91"/>
      <c r="RB213" s="91"/>
      <c r="RC213" s="91"/>
      <c r="RD213" s="91"/>
      <c r="RE213" s="91"/>
      <c r="RF213" s="91"/>
      <c r="RG213" s="91"/>
      <c r="RH213" s="91"/>
      <c r="RI213" s="91"/>
      <c r="RJ213" s="91"/>
      <c r="RK213" s="91"/>
      <c r="RL213" s="91"/>
      <c r="RM213" s="91"/>
      <c r="RN213" s="91"/>
      <c r="RO213" s="91"/>
      <c r="RP213" s="91"/>
      <c r="RQ213" s="91"/>
      <c r="RR213" s="91"/>
      <c r="RS213" s="91"/>
      <c r="RT213" s="91"/>
      <c r="RU213" s="91"/>
      <c r="RV213" s="91"/>
      <c r="RW213" s="91"/>
      <c r="RX213" s="91"/>
      <c r="RY213" s="91"/>
      <c r="RZ213" s="91"/>
      <c r="SA213" s="91"/>
      <c r="SB213" s="91"/>
      <c r="SC213" s="91"/>
      <c r="SD213" s="91"/>
      <c r="SE213" s="91"/>
      <c r="SF213" s="91"/>
      <c r="SG213" s="91"/>
      <c r="SH213" s="91"/>
      <c r="SI213" s="91"/>
      <c r="SJ213" s="91"/>
      <c r="SK213" s="91"/>
      <c r="SL213" s="91"/>
      <c r="SM213" s="91"/>
      <c r="SN213" s="91"/>
      <c r="SO213" s="91"/>
      <c r="SP213" s="91"/>
      <c r="SQ213" s="91"/>
      <c r="SR213" s="91"/>
      <c r="SS213" s="91"/>
      <c r="ST213" s="91"/>
      <c r="SU213" s="91"/>
      <c r="SV213" s="91"/>
      <c r="SW213" s="91"/>
      <c r="SX213" s="91"/>
      <c r="SY213" s="91"/>
      <c r="SZ213" s="91"/>
      <c r="TA213" s="91"/>
      <c r="TB213" s="91"/>
      <c r="TC213" s="91"/>
      <c r="TD213" s="91"/>
      <c r="TE213" s="91"/>
      <c r="TF213" s="91"/>
      <c r="TG213" s="91"/>
      <c r="TH213" s="91"/>
      <c r="TI213" s="91"/>
      <c r="TJ213" s="91"/>
      <c r="TK213" s="91"/>
      <c r="TL213" s="91"/>
      <c r="TM213" s="91"/>
      <c r="TN213" s="91"/>
      <c r="TO213" s="91"/>
      <c r="TP213" s="91"/>
      <c r="TQ213" s="91"/>
      <c r="TR213" s="91"/>
      <c r="TS213" s="91"/>
      <c r="TT213" s="91"/>
      <c r="TU213" s="91"/>
      <c r="TV213" s="91"/>
      <c r="TW213" s="91"/>
      <c r="TX213" s="91"/>
      <c r="TY213" s="91"/>
      <c r="TZ213" s="91"/>
      <c r="UA213" s="91"/>
      <c r="UB213" s="91"/>
      <c r="UC213" s="91"/>
      <c r="UD213" s="91"/>
      <c r="UE213" s="91"/>
      <c r="UF213" s="91"/>
      <c r="UG213" s="91"/>
      <c r="UH213" s="91"/>
      <c r="UI213" s="91"/>
      <c r="UJ213" s="91"/>
      <c r="UK213" s="91"/>
      <c r="UL213" s="91"/>
      <c r="UM213" s="91"/>
      <c r="UN213" s="91"/>
      <c r="UO213" s="91"/>
      <c r="UP213" s="91"/>
      <c r="UQ213" s="91"/>
      <c r="UR213" s="91"/>
      <c r="US213" s="91"/>
      <c r="UT213" s="91"/>
      <c r="UU213" s="91"/>
      <c r="UV213" s="91"/>
      <c r="UW213" s="91"/>
      <c r="UX213" s="91"/>
      <c r="UY213" s="91"/>
      <c r="UZ213" s="91"/>
      <c r="VA213" s="91"/>
      <c r="VB213" s="91"/>
      <c r="VC213" s="91"/>
    </row>
    <row r="214" spans="1:575" s="92" customFormat="1" ht="23.25" customHeight="1" x14ac:dyDescent="0.2">
      <c r="A214" s="70"/>
      <c r="B214" s="111"/>
      <c r="C214" s="111"/>
      <c r="D214" s="71" t="s">
        <v>344</v>
      </c>
      <c r="E214" s="134">
        <f>E226+E233+E236</f>
        <v>0</v>
      </c>
      <c r="F214" s="134">
        <f t="shared" ref="F214:P214" si="39">F226+F233+F236</f>
        <v>0</v>
      </c>
      <c r="G214" s="134">
        <f t="shared" si="39"/>
        <v>0</v>
      </c>
      <c r="H214" s="134">
        <f t="shared" si="39"/>
        <v>0</v>
      </c>
      <c r="I214" s="134">
        <f t="shared" si="39"/>
        <v>0</v>
      </c>
      <c r="J214" s="134">
        <f t="shared" si="39"/>
        <v>72728677.879999995</v>
      </c>
      <c r="K214" s="134">
        <f t="shared" si="39"/>
        <v>31728677.880000003</v>
      </c>
      <c r="L214" s="134">
        <f t="shared" si="39"/>
        <v>41000000</v>
      </c>
      <c r="M214" s="134">
        <f t="shared" si="39"/>
        <v>0</v>
      </c>
      <c r="N214" s="134">
        <f t="shared" si="39"/>
        <v>0</v>
      </c>
      <c r="O214" s="134">
        <f t="shared" si="39"/>
        <v>31728677.880000003</v>
      </c>
      <c r="P214" s="134">
        <f t="shared" si="39"/>
        <v>72728677.879999995</v>
      </c>
      <c r="Q214" s="159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  <c r="IU214" s="91"/>
      <c r="IV214" s="91"/>
      <c r="IW214" s="91"/>
      <c r="IX214" s="91"/>
      <c r="IY214" s="91"/>
      <c r="IZ214" s="91"/>
      <c r="JA214" s="91"/>
      <c r="JB214" s="91"/>
      <c r="JC214" s="91"/>
      <c r="JD214" s="91"/>
      <c r="JE214" s="91"/>
      <c r="JF214" s="91"/>
      <c r="JG214" s="91"/>
      <c r="JH214" s="91"/>
      <c r="JI214" s="91"/>
      <c r="JJ214" s="91"/>
      <c r="JK214" s="91"/>
      <c r="JL214" s="91"/>
      <c r="JM214" s="91"/>
      <c r="JN214" s="91"/>
      <c r="JO214" s="91"/>
      <c r="JP214" s="91"/>
      <c r="JQ214" s="91"/>
      <c r="JR214" s="91"/>
      <c r="JS214" s="91"/>
      <c r="JT214" s="91"/>
      <c r="JU214" s="91"/>
      <c r="JV214" s="91"/>
      <c r="JW214" s="91"/>
      <c r="JX214" s="91"/>
      <c r="JY214" s="91"/>
      <c r="JZ214" s="91"/>
      <c r="KA214" s="91"/>
      <c r="KB214" s="91"/>
      <c r="KC214" s="91"/>
      <c r="KD214" s="91"/>
      <c r="KE214" s="91"/>
      <c r="KF214" s="91"/>
      <c r="KG214" s="91"/>
      <c r="KH214" s="91"/>
      <c r="KI214" s="91"/>
      <c r="KJ214" s="91"/>
      <c r="KK214" s="91"/>
      <c r="KL214" s="91"/>
      <c r="KM214" s="91"/>
      <c r="KN214" s="91"/>
      <c r="KO214" s="91"/>
      <c r="KP214" s="91"/>
      <c r="KQ214" s="91"/>
      <c r="KR214" s="91"/>
      <c r="KS214" s="91"/>
      <c r="KT214" s="91"/>
      <c r="KU214" s="91"/>
      <c r="KV214" s="91"/>
      <c r="KW214" s="91"/>
      <c r="KX214" s="91"/>
      <c r="KY214" s="91"/>
      <c r="KZ214" s="91"/>
      <c r="LA214" s="91"/>
      <c r="LB214" s="91"/>
      <c r="LC214" s="91"/>
      <c r="LD214" s="91"/>
      <c r="LE214" s="91"/>
      <c r="LF214" s="91"/>
      <c r="LG214" s="91"/>
      <c r="LH214" s="91"/>
      <c r="LI214" s="91"/>
      <c r="LJ214" s="91"/>
      <c r="LK214" s="91"/>
      <c r="LL214" s="91"/>
      <c r="LM214" s="91"/>
      <c r="LN214" s="91"/>
      <c r="LO214" s="91"/>
      <c r="LP214" s="91"/>
      <c r="LQ214" s="91"/>
      <c r="LR214" s="91"/>
      <c r="LS214" s="91"/>
      <c r="LT214" s="91"/>
      <c r="LU214" s="91"/>
      <c r="LV214" s="91"/>
      <c r="LW214" s="91"/>
      <c r="LX214" s="91"/>
      <c r="LY214" s="91"/>
      <c r="LZ214" s="91"/>
      <c r="MA214" s="91"/>
      <c r="MB214" s="91"/>
      <c r="MC214" s="91"/>
      <c r="MD214" s="91"/>
      <c r="ME214" s="91"/>
      <c r="MF214" s="91"/>
      <c r="MG214" s="91"/>
      <c r="MH214" s="91"/>
      <c r="MI214" s="91"/>
      <c r="MJ214" s="91"/>
      <c r="MK214" s="91"/>
      <c r="ML214" s="91"/>
      <c r="MM214" s="91"/>
      <c r="MN214" s="91"/>
      <c r="MO214" s="91"/>
      <c r="MP214" s="91"/>
      <c r="MQ214" s="91"/>
      <c r="MR214" s="91"/>
      <c r="MS214" s="91"/>
      <c r="MT214" s="91"/>
      <c r="MU214" s="91"/>
      <c r="MV214" s="91"/>
      <c r="MW214" s="91"/>
      <c r="MX214" s="91"/>
      <c r="MY214" s="91"/>
      <c r="MZ214" s="91"/>
      <c r="NA214" s="91"/>
      <c r="NB214" s="91"/>
      <c r="NC214" s="91"/>
      <c r="ND214" s="91"/>
      <c r="NE214" s="91"/>
      <c r="NF214" s="91"/>
      <c r="NG214" s="91"/>
      <c r="NH214" s="91"/>
      <c r="NI214" s="91"/>
      <c r="NJ214" s="91"/>
      <c r="NK214" s="91"/>
      <c r="NL214" s="91"/>
      <c r="NM214" s="91"/>
      <c r="NN214" s="91"/>
      <c r="NO214" s="91"/>
      <c r="NP214" s="91"/>
      <c r="NQ214" s="91"/>
      <c r="NR214" s="91"/>
      <c r="NS214" s="91"/>
      <c r="NT214" s="91"/>
      <c r="NU214" s="91"/>
      <c r="NV214" s="91"/>
      <c r="NW214" s="91"/>
      <c r="NX214" s="91"/>
      <c r="NY214" s="91"/>
      <c r="NZ214" s="91"/>
      <c r="OA214" s="91"/>
      <c r="OB214" s="91"/>
      <c r="OC214" s="91"/>
      <c r="OD214" s="91"/>
      <c r="OE214" s="91"/>
      <c r="OF214" s="91"/>
      <c r="OG214" s="91"/>
      <c r="OH214" s="91"/>
      <c r="OI214" s="91"/>
      <c r="OJ214" s="91"/>
      <c r="OK214" s="91"/>
      <c r="OL214" s="91"/>
      <c r="OM214" s="91"/>
      <c r="ON214" s="91"/>
      <c r="OO214" s="91"/>
      <c r="OP214" s="91"/>
      <c r="OQ214" s="91"/>
      <c r="OR214" s="91"/>
      <c r="OS214" s="91"/>
      <c r="OT214" s="91"/>
      <c r="OU214" s="91"/>
      <c r="OV214" s="91"/>
      <c r="OW214" s="91"/>
      <c r="OX214" s="91"/>
      <c r="OY214" s="91"/>
      <c r="OZ214" s="91"/>
      <c r="PA214" s="91"/>
      <c r="PB214" s="91"/>
      <c r="PC214" s="91"/>
      <c r="PD214" s="91"/>
      <c r="PE214" s="91"/>
      <c r="PF214" s="91"/>
      <c r="PG214" s="91"/>
      <c r="PH214" s="91"/>
      <c r="PI214" s="91"/>
      <c r="PJ214" s="91"/>
      <c r="PK214" s="91"/>
      <c r="PL214" s="91"/>
      <c r="PM214" s="91"/>
      <c r="PN214" s="91"/>
      <c r="PO214" s="91"/>
      <c r="PP214" s="91"/>
      <c r="PQ214" s="91"/>
      <c r="PR214" s="91"/>
      <c r="PS214" s="91"/>
      <c r="PT214" s="91"/>
      <c r="PU214" s="91"/>
      <c r="PV214" s="91"/>
      <c r="PW214" s="91"/>
      <c r="PX214" s="91"/>
      <c r="PY214" s="91"/>
      <c r="PZ214" s="91"/>
      <c r="QA214" s="91"/>
      <c r="QB214" s="91"/>
      <c r="QC214" s="91"/>
      <c r="QD214" s="91"/>
      <c r="QE214" s="91"/>
      <c r="QF214" s="91"/>
      <c r="QG214" s="91"/>
      <c r="QH214" s="91"/>
      <c r="QI214" s="91"/>
      <c r="QJ214" s="91"/>
      <c r="QK214" s="91"/>
      <c r="QL214" s="91"/>
      <c r="QM214" s="91"/>
      <c r="QN214" s="91"/>
      <c r="QO214" s="91"/>
      <c r="QP214" s="91"/>
      <c r="QQ214" s="91"/>
      <c r="QR214" s="91"/>
      <c r="QS214" s="91"/>
      <c r="QT214" s="91"/>
      <c r="QU214" s="91"/>
      <c r="QV214" s="91"/>
      <c r="QW214" s="91"/>
      <c r="QX214" s="91"/>
      <c r="QY214" s="91"/>
      <c r="QZ214" s="91"/>
      <c r="RA214" s="91"/>
      <c r="RB214" s="91"/>
      <c r="RC214" s="91"/>
      <c r="RD214" s="91"/>
      <c r="RE214" s="91"/>
      <c r="RF214" s="91"/>
      <c r="RG214" s="91"/>
      <c r="RH214" s="91"/>
      <c r="RI214" s="91"/>
      <c r="RJ214" s="91"/>
      <c r="RK214" s="91"/>
      <c r="RL214" s="91"/>
      <c r="RM214" s="91"/>
      <c r="RN214" s="91"/>
      <c r="RO214" s="91"/>
      <c r="RP214" s="91"/>
      <c r="RQ214" s="91"/>
      <c r="RR214" s="91"/>
      <c r="RS214" s="91"/>
      <c r="RT214" s="91"/>
      <c r="RU214" s="91"/>
      <c r="RV214" s="91"/>
      <c r="RW214" s="91"/>
      <c r="RX214" s="91"/>
      <c r="RY214" s="91"/>
      <c r="RZ214" s="91"/>
      <c r="SA214" s="91"/>
      <c r="SB214" s="91"/>
      <c r="SC214" s="91"/>
      <c r="SD214" s="91"/>
      <c r="SE214" s="91"/>
      <c r="SF214" s="91"/>
      <c r="SG214" s="91"/>
      <c r="SH214" s="91"/>
      <c r="SI214" s="91"/>
      <c r="SJ214" s="91"/>
      <c r="SK214" s="91"/>
      <c r="SL214" s="91"/>
      <c r="SM214" s="91"/>
      <c r="SN214" s="91"/>
      <c r="SO214" s="91"/>
      <c r="SP214" s="91"/>
      <c r="SQ214" s="91"/>
      <c r="SR214" s="91"/>
      <c r="SS214" s="91"/>
      <c r="ST214" s="91"/>
      <c r="SU214" s="91"/>
      <c r="SV214" s="91"/>
      <c r="SW214" s="91"/>
      <c r="SX214" s="91"/>
      <c r="SY214" s="91"/>
      <c r="SZ214" s="91"/>
      <c r="TA214" s="91"/>
      <c r="TB214" s="91"/>
      <c r="TC214" s="91"/>
      <c r="TD214" s="91"/>
      <c r="TE214" s="91"/>
      <c r="TF214" s="91"/>
      <c r="TG214" s="91"/>
      <c r="TH214" s="91"/>
      <c r="TI214" s="91"/>
      <c r="TJ214" s="91"/>
      <c r="TK214" s="91"/>
      <c r="TL214" s="91"/>
      <c r="TM214" s="91"/>
      <c r="TN214" s="91"/>
      <c r="TO214" s="91"/>
      <c r="TP214" s="91"/>
      <c r="TQ214" s="91"/>
      <c r="TR214" s="91"/>
      <c r="TS214" s="91"/>
      <c r="TT214" s="91"/>
      <c r="TU214" s="91"/>
      <c r="TV214" s="91"/>
      <c r="TW214" s="91"/>
      <c r="TX214" s="91"/>
      <c r="TY214" s="91"/>
      <c r="TZ214" s="91"/>
      <c r="UA214" s="91"/>
      <c r="UB214" s="91"/>
      <c r="UC214" s="91"/>
      <c r="UD214" s="91"/>
      <c r="UE214" s="91"/>
      <c r="UF214" s="91"/>
      <c r="UG214" s="91"/>
      <c r="UH214" s="91"/>
      <c r="UI214" s="91"/>
      <c r="UJ214" s="91"/>
      <c r="UK214" s="91"/>
      <c r="UL214" s="91"/>
      <c r="UM214" s="91"/>
      <c r="UN214" s="91"/>
      <c r="UO214" s="91"/>
      <c r="UP214" s="91"/>
      <c r="UQ214" s="91"/>
      <c r="UR214" s="91"/>
      <c r="US214" s="91"/>
      <c r="UT214" s="91"/>
      <c r="UU214" s="91"/>
      <c r="UV214" s="91"/>
      <c r="UW214" s="91"/>
      <c r="UX214" s="91"/>
      <c r="UY214" s="91"/>
      <c r="UZ214" s="91"/>
      <c r="VA214" s="91"/>
      <c r="VB214" s="91"/>
      <c r="VC214" s="91"/>
    </row>
    <row r="215" spans="1:575" s="55" customFormat="1" ht="48.75" customHeight="1" x14ac:dyDescent="0.25">
      <c r="A215" s="53" t="s">
        <v>261</v>
      </c>
      <c r="B215" s="102" t="str">
        <f>'дод 2'!A13</f>
        <v>0160</v>
      </c>
      <c r="C215" s="102" t="str">
        <f>'дод 2'!B13</f>
        <v>0111</v>
      </c>
      <c r="D21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15" s="132">
        <f t="shared" ref="E215:E242" si="40">F215+I215</f>
        <v>11351354</v>
      </c>
      <c r="F215" s="132">
        <f>11201800+149554</f>
        <v>11351354</v>
      </c>
      <c r="G215" s="132">
        <f>8745720+121110</f>
        <v>8866830</v>
      </c>
      <c r="H215" s="132">
        <f>125237+2502+7737</f>
        <v>135476</v>
      </c>
      <c r="I215" s="132"/>
      <c r="J215" s="132">
        <f t="shared" si="28"/>
        <v>100000</v>
      </c>
      <c r="K215" s="132">
        <v>100000</v>
      </c>
      <c r="L215" s="132"/>
      <c r="M215" s="132"/>
      <c r="N215" s="132"/>
      <c r="O215" s="132">
        <f>100000</f>
        <v>100000</v>
      </c>
      <c r="P215" s="132">
        <f t="shared" ref="P215:P242" si="41">E215+J215</f>
        <v>11451354</v>
      </c>
      <c r="Q215" s="159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  <c r="KO215" s="61"/>
      <c r="KP215" s="61"/>
      <c r="KQ215" s="61"/>
      <c r="KR215" s="61"/>
      <c r="KS215" s="61"/>
      <c r="KT215" s="61"/>
      <c r="KU215" s="61"/>
      <c r="KV215" s="61"/>
      <c r="KW215" s="61"/>
      <c r="KX215" s="61"/>
      <c r="KY215" s="61"/>
      <c r="KZ215" s="61"/>
      <c r="LA215" s="61"/>
      <c r="LB215" s="61"/>
      <c r="LC215" s="61"/>
      <c r="LD215" s="61"/>
      <c r="LE215" s="61"/>
      <c r="LF215" s="61"/>
      <c r="LG215" s="61"/>
      <c r="LH215" s="61"/>
      <c r="LI215" s="61"/>
      <c r="LJ215" s="61"/>
      <c r="LK215" s="61"/>
      <c r="LL215" s="61"/>
      <c r="LM215" s="61"/>
      <c r="LN215" s="61"/>
      <c r="LO215" s="61"/>
      <c r="LP215" s="61"/>
      <c r="LQ215" s="61"/>
      <c r="LR215" s="61"/>
      <c r="LS215" s="61"/>
      <c r="LT215" s="61"/>
      <c r="LU215" s="61"/>
      <c r="LV215" s="61"/>
      <c r="LW215" s="61"/>
      <c r="LX215" s="61"/>
      <c r="LY215" s="61"/>
      <c r="LZ215" s="61"/>
      <c r="MA215" s="61"/>
      <c r="MB215" s="61"/>
      <c r="MC215" s="61"/>
      <c r="MD215" s="61"/>
      <c r="ME215" s="61"/>
      <c r="MF215" s="61"/>
      <c r="MG215" s="61"/>
      <c r="MH215" s="61"/>
      <c r="MI215" s="61"/>
      <c r="MJ215" s="61"/>
      <c r="MK215" s="61"/>
      <c r="ML215" s="61"/>
      <c r="MM215" s="61"/>
      <c r="MN215" s="61"/>
      <c r="MO215" s="61"/>
      <c r="MP215" s="61"/>
      <c r="MQ215" s="61"/>
      <c r="MR215" s="61"/>
      <c r="MS215" s="61"/>
      <c r="MT215" s="61"/>
      <c r="MU215" s="61"/>
      <c r="MV215" s="61"/>
      <c r="MW215" s="61"/>
      <c r="MX215" s="61"/>
      <c r="MY215" s="61"/>
      <c r="MZ215" s="61"/>
      <c r="NA215" s="61"/>
      <c r="NB215" s="61"/>
      <c r="NC215" s="61"/>
      <c r="ND215" s="61"/>
      <c r="NE215" s="61"/>
      <c r="NF215" s="61"/>
      <c r="NG215" s="61"/>
      <c r="NH215" s="61"/>
      <c r="NI215" s="61"/>
      <c r="NJ215" s="61"/>
      <c r="NK215" s="61"/>
      <c r="NL215" s="61"/>
      <c r="NM215" s="61"/>
      <c r="NN215" s="61"/>
      <c r="NO215" s="61"/>
      <c r="NP215" s="61"/>
      <c r="NQ215" s="61"/>
      <c r="NR215" s="61"/>
      <c r="NS215" s="61"/>
      <c r="NT215" s="61"/>
      <c r="NU215" s="61"/>
      <c r="NV215" s="61"/>
      <c r="NW215" s="61"/>
      <c r="NX215" s="61"/>
      <c r="NY215" s="61"/>
      <c r="NZ215" s="61"/>
      <c r="OA215" s="61"/>
      <c r="OB215" s="61"/>
      <c r="OC215" s="61"/>
      <c r="OD215" s="61"/>
      <c r="OE215" s="61"/>
      <c r="OF215" s="61"/>
      <c r="OG215" s="61"/>
      <c r="OH215" s="61"/>
      <c r="OI215" s="61"/>
      <c r="OJ215" s="61"/>
      <c r="OK215" s="61"/>
      <c r="OL215" s="61"/>
      <c r="OM215" s="61"/>
      <c r="ON215" s="61"/>
      <c r="OO215" s="61"/>
      <c r="OP215" s="61"/>
      <c r="OQ215" s="61"/>
      <c r="OR215" s="61"/>
      <c r="OS215" s="61"/>
      <c r="OT215" s="61"/>
      <c r="OU215" s="61"/>
      <c r="OV215" s="61"/>
      <c r="OW215" s="61"/>
      <c r="OX215" s="61"/>
      <c r="OY215" s="61"/>
      <c r="OZ215" s="61"/>
      <c r="PA215" s="61"/>
      <c r="PB215" s="61"/>
      <c r="PC215" s="61"/>
      <c r="PD215" s="61"/>
      <c r="PE215" s="61"/>
      <c r="PF215" s="61"/>
      <c r="PG215" s="61"/>
      <c r="PH215" s="61"/>
      <c r="PI215" s="61"/>
      <c r="PJ215" s="61"/>
      <c r="PK215" s="61"/>
      <c r="PL215" s="61"/>
      <c r="PM215" s="61"/>
      <c r="PN215" s="61"/>
      <c r="PO215" s="61"/>
      <c r="PP215" s="61"/>
      <c r="PQ215" s="61"/>
      <c r="PR215" s="61"/>
      <c r="PS215" s="61"/>
      <c r="PT215" s="61"/>
      <c r="PU215" s="61"/>
      <c r="PV215" s="61"/>
      <c r="PW215" s="61"/>
      <c r="PX215" s="61"/>
      <c r="PY215" s="61"/>
      <c r="PZ215" s="61"/>
      <c r="QA215" s="61"/>
      <c r="QB215" s="61"/>
      <c r="QC215" s="61"/>
      <c r="QD215" s="61"/>
      <c r="QE215" s="61"/>
      <c r="QF215" s="61"/>
      <c r="QG215" s="61"/>
      <c r="QH215" s="61"/>
      <c r="QI215" s="61"/>
      <c r="QJ215" s="61"/>
      <c r="QK215" s="61"/>
      <c r="QL215" s="61"/>
      <c r="QM215" s="61"/>
      <c r="QN215" s="61"/>
      <c r="QO215" s="61"/>
      <c r="QP215" s="61"/>
      <c r="QQ215" s="61"/>
      <c r="QR215" s="61"/>
      <c r="QS215" s="61"/>
      <c r="QT215" s="61"/>
      <c r="QU215" s="61"/>
      <c r="QV215" s="61"/>
      <c r="QW215" s="61"/>
      <c r="QX215" s="61"/>
      <c r="QY215" s="61"/>
      <c r="QZ215" s="61"/>
      <c r="RA215" s="61"/>
      <c r="RB215" s="61"/>
      <c r="RC215" s="61"/>
      <c r="RD215" s="61"/>
      <c r="RE215" s="61"/>
      <c r="RF215" s="61"/>
      <c r="RG215" s="61"/>
      <c r="RH215" s="61"/>
      <c r="RI215" s="61"/>
      <c r="RJ215" s="61"/>
      <c r="RK215" s="61"/>
      <c r="RL215" s="61"/>
      <c r="RM215" s="61"/>
      <c r="RN215" s="61"/>
      <c r="RO215" s="61"/>
      <c r="RP215" s="61"/>
      <c r="RQ215" s="61"/>
      <c r="RR215" s="61"/>
      <c r="RS215" s="61"/>
      <c r="RT215" s="61"/>
      <c r="RU215" s="61"/>
      <c r="RV215" s="61"/>
      <c r="RW215" s="61"/>
      <c r="RX215" s="61"/>
      <c r="RY215" s="61"/>
      <c r="RZ215" s="61"/>
      <c r="SA215" s="61"/>
      <c r="SB215" s="61"/>
      <c r="SC215" s="61"/>
      <c r="SD215" s="61"/>
      <c r="SE215" s="61"/>
      <c r="SF215" s="61"/>
      <c r="SG215" s="61"/>
      <c r="SH215" s="61"/>
      <c r="SI215" s="61"/>
      <c r="SJ215" s="61"/>
      <c r="SK215" s="61"/>
      <c r="SL215" s="61"/>
      <c r="SM215" s="61"/>
      <c r="SN215" s="61"/>
      <c r="SO215" s="61"/>
      <c r="SP215" s="61"/>
      <c r="SQ215" s="61"/>
      <c r="SR215" s="61"/>
      <c r="SS215" s="61"/>
      <c r="ST215" s="61"/>
      <c r="SU215" s="61"/>
      <c r="SV215" s="61"/>
      <c r="SW215" s="61"/>
      <c r="SX215" s="61"/>
      <c r="SY215" s="61"/>
      <c r="SZ215" s="61"/>
      <c r="TA215" s="61"/>
      <c r="TB215" s="61"/>
      <c r="TC215" s="61"/>
      <c r="TD215" s="61"/>
      <c r="TE215" s="61"/>
      <c r="TF215" s="61"/>
      <c r="TG215" s="61"/>
      <c r="TH215" s="61"/>
      <c r="TI215" s="61"/>
      <c r="TJ215" s="61"/>
      <c r="TK215" s="61"/>
      <c r="TL215" s="61"/>
      <c r="TM215" s="61"/>
      <c r="TN215" s="61"/>
      <c r="TO215" s="61"/>
      <c r="TP215" s="61"/>
      <c r="TQ215" s="61"/>
      <c r="TR215" s="61"/>
      <c r="TS215" s="61"/>
      <c r="TT215" s="61"/>
      <c r="TU215" s="61"/>
      <c r="TV215" s="61"/>
      <c r="TW215" s="61"/>
      <c r="TX215" s="61"/>
      <c r="TY215" s="61"/>
      <c r="TZ215" s="61"/>
      <c r="UA215" s="61"/>
      <c r="UB215" s="61"/>
      <c r="UC215" s="61"/>
      <c r="UD215" s="61"/>
      <c r="UE215" s="61"/>
      <c r="UF215" s="61"/>
      <c r="UG215" s="61"/>
      <c r="UH215" s="61"/>
      <c r="UI215" s="61"/>
      <c r="UJ215" s="61"/>
      <c r="UK215" s="61"/>
      <c r="UL215" s="61"/>
      <c r="UM215" s="61"/>
      <c r="UN215" s="61"/>
      <c r="UO215" s="61"/>
      <c r="UP215" s="61"/>
      <c r="UQ215" s="61"/>
      <c r="UR215" s="61"/>
      <c r="US215" s="61"/>
      <c r="UT215" s="61"/>
      <c r="UU215" s="61"/>
      <c r="UV215" s="61"/>
      <c r="UW215" s="61"/>
      <c r="UX215" s="61"/>
      <c r="UY215" s="61"/>
      <c r="UZ215" s="61"/>
      <c r="VA215" s="61"/>
      <c r="VB215" s="61"/>
      <c r="VC215" s="61"/>
    </row>
    <row r="216" spans="1:575" s="55" customFormat="1" ht="19.5" customHeight="1" x14ac:dyDescent="0.25">
      <c r="A216" s="57" t="s">
        <v>394</v>
      </c>
      <c r="B216" s="107" t="str">
        <f>'дод 2'!A117</f>
        <v>3210</v>
      </c>
      <c r="C216" s="107" t="str">
        <f>'дод 2'!B117</f>
        <v>1050</v>
      </c>
      <c r="D216" s="54" t="str">
        <f>'дод 2'!C117</f>
        <v>Організація та проведення громадських робіт</v>
      </c>
      <c r="E216" s="132">
        <f t="shared" si="40"/>
        <v>380000</v>
      </c>
      <c r="F216" s="132">
        <f>200000+180000</f>
        <v>380000</v>
      </c>
      <c r="G216" s="132"/>
      <c r="H216" s="132"/>
      <c r="I216" s="132"/>
      <c r="J216" s="132">
        <f t="shared" si="28"/>
        <v>0</v>
      </c>
      <c r="K216" s="132"/>
      <c r="L216" s="132"/>
      <c r="M216" s="132"/>
      <c r="N216" s="132"/>
      <c r="O216" s="132"/>
      <c r="P216" s="132">
        <f t="shared" si="41"/>
        <v>380000</v>
      </c>
      <c r="Q216" s="159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  <c r="SP216" s="61"/>
      <c r="SQ216" s="61"/>
      <c r="SR216" s="61"/>
      <c r="SS216" s="61"/>
      <c r="ST216" s="61"/>
      <c r="SU216" s="61"/>
      <c r="SV216" s="61"/>
      <c r="SW216" s="61"/>
      <c r="SX216" s="61"/>
      <c r="SY216" s="61"/>
      <c r="SZ216" s="61"/>
      <c r="TA216" s="61"/>
      <c r="TB216" s="61"/>
      <c r="TC216" s="61"/>
      <c r="TD216" s="61"/>
      <c r="TE216" s="61"/>
      <c r="TF216" s="61"/>
      <c r="TG216" s="61"/>
      <c r="TH216" s="61"/>
      <c r="TI216" s="61"/>
      <c r="TJ216" s="61"/>
      <c r="TK216" s="61"/>
      <c r="TL216" s="61"/>
      <c r="TM216" s="61"/>
      <c r="TN216" s="61"/>
      <c r="TO216" s="61"/>
      <c r="TP216" s="61"/>
      <c r="TQ216" s="61"/>
      <c r="TR216" s="61"/>
      <c r="TS216" s="61"/>
      <c r="TT216" s="61"/>
      <c r="TU216" s="61"/>
      <c r="TV216" s="61"/>
      <c r="TW216" s="61"/>
      <c r="TX216" s="61"/>
      <c r="TY216" s="61"/>
      <c r="TZ216" s="61"/>
      <c r="UA216" s="61"/>
      <c r="UB216" s="61"/>
      <c r="UC216" s="61"/>
      <c r="UD216" s="61"/>
      <c r="UE216" s="61"/>
      <c r="UF216" s="61"/>
      <c r="UG216" s="61"/>
      <c r="UH216" s="61"/>
      <c r="UI216" s="61"/>
      <c r="UJ216" s="61"/>
      <c r="UK216" s="61"/>
      <c r="UL216" s="61"/>
      <c r="UM216" s="61"/>
      <c r="UN216" s="61"/>
      <c r="UO216" s="61"/>
      <c r="UP216" s="61"/>
      <c r="UQ216" s="61"/>
      <c r="UR216" s="61"/>
      <c r="US216" s="61"/>
      <c r="UT216" s="61"/>
      <c r="UU216" s="61"/>
      <c r="UV216" s="61"/>
      <c r="UW216" s="61"/>
      <c r="UX216" s="61"/>
      <c r="UY216" s="61"/>
      <c r="UZ216" s="61"/>
      <c r="VA216" s="61"/>
      <c r="VB216" s="61"/>
      <c r="VC216" s="61"/>
    </row>
    <row r="217" spans="1:575" s="55" customFormat="1" ht="38.25" customHeight="1" x14ac:dyDescent="0.25">
      <c r="A217" s="53" t="s">
        <v>262</v>
      </c>
      <c r="B217" s="102" t="str">
        <f>'дод 2'!A144</f>
        <v>6011</v>
      </c>
      <c r="C217" s="102" t="str">
        <f>'дод 2'!B144</f>
        <v>0610</v>
      </c>
      <c r="D217" s="56" t="str">
        <f>'дод 2'!C144</f>
        <v>Експлуатація та технічне обслуговування житлового фонду</v>
      </c>
      <c r="E217" s="132">
        <f t="shared" si="40"/>
        <v>0</v>
      </c>
      <c r="F217" s="132"/>
      <c r="G217" s="132"/>
      <c r="H217" s="132"/>
      <c r="I217" s="132"/>
      <c r="J217" s="132">
        <f t="shared" si="28"/>
        <v>29229250</v>
      </c>
      <c r="K217" s="132">
        <f>26800000+72700-23250+20000+82300+122000+20000+950000+1250000-150000+165500-170000+90000</f>
        <v>29229250</v>
      </c>
      <c r="L217" s="132"/>
      <c r="M217" s="132"/>
      <c r="N217" s="132"/>
      <c r="O217" s="132">
        <f>26800000+72700-23250+20000+82300+122000+20000+950000+1250000-150000+165500-170000+90000</f>
        <v>29229250</v>
      </c>
      <c r="P217" s="132">
        <f t="shared" si="41"/>
        <v>29229250</v>
      </c>
      <c r="Q217" s="159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  <c r="SP217" s="61"/>
      <c r="SQ217" s="61"/>
      <c r="SR217" s="61"/>
      <c r="SS217" s="61"/>
      <c r="ST217" s="61"/>
      <c r="SU217" s="61"/>
      <c r="SV217" s="61"/>
      <c r="SW217" s="61"/>
      <c r="SX217" s="61"/>
      <c r="SY217" s="61"/>
      <c r="SZ217" s="61"/>
      <c r="TA217" s="61"/>
      <c r="TB217" s="61"/>
      <c r="TC217" s="61"/>
      <c r="TD217" s="61"/>
      <c r="TE217" s="61"/>
      <c r="TF217" s="61"/>
      <c r="TG217" s="61"/>
      <c r="TH217" s="61"/>
      <c r="TI217" s="61"/>
      <c r="TJ217" s="61"/>
      <c r="TK217" s="61"/>
      <c r="TL217" s="61"/>
      <c r="TM217" s="61"/>
      <c r="TN217" s="61"/>
      <c r="TO217" s="61"/>
      <c r="TP217" s="61"/>
      <c r="TQ217" s="61"/>
      <c r="TR217" s="61"/>
      <c r="TS217" s="61"/>
      <c r="TT217" s="61"/>
      <c r="TU217" s="61"/>
      <c r="TV217" s="61"/>
      <c r="TW217" s="61"/>
      <c r="TX217" s="61"/>
      <c r="TY217" s="61"/>
      <c r="TZ217" s="61"/>
      <c r="UA217" s="61"/>
      <c r="UB217" s="61"/>
      <c r="UC217" s="61"/>
      <c r="UD217" s="61"/>
      <c r="UE217" s="61"/>
      <c r="UF217" s="61"/>
      <c r="UG217" s="61"/>
      <c r="UH217" s="61"/>
      <c r="UI217" s="61"/>
      <c r="UJ217" s="61"/>
      <c r="UK217" s="61"/>
      <c r="UL217" s="61"/>
      <c r="UM217" s="61"/>
      <c r="UN217" s="61"/>
      <c r="UO217" s="61"/>
      <c r="UP217" s="61"/>
      <c r="UQ217" s="61"/>
      <c r="UR217" s="61"/>
      <c r="US217" s="61"/>
      <c r="UT217" s="61"/>
      <c r="UU217" s="61"/>
      <c r="UV217" s="61"/>
      <c r="UW217" s="61"/>
      <c r="UX217" s="61"/>
      <c r="UY217" s="61"/>
      <c r="UZ217" s="61"/>
      <c r="VA217" s="61"/>
      <c r="VB217" s="61"/>
      <c r="VC217" s="61"/>
    </row>
    <row r="218" spans="1:575" s="55" customFormat="1" ht="33" customHeight="1" x14ac:dyDescent="0.25">
      <c r="A218" s="53" t="s">
        <v>263</v>
      </c>
      <c r="B218" s="102" t="str">
        <f>'дод 2'!A145</f>
        <v>6013</v>
      </c>
      <c r="C218" s="102" t="str">
        <f>'дод 2'!B145</f>
        <v>0620</v>
      </c>
      <c r="D218" s="56" t="str">
        <f>'дод 2'!C145</f>
        <v>Забезпечення діяльності водопровідно-каналізаційного господарства</v>
      </c>
      <c r="E218" s="132">
        <f t="shared" si="40"/>
        <v>52042357.600000001</v>
      </c>
      <c r="F218" s="132">
        <f>410000-300000+245000+77357+140000+120000</f>
        <v>692357</v>
      </c>
      <c r="G218" s="132"/>
      <c r="H218" s="132">
        <v>15000</v>
      </c>
      <c r="I218" s="132">
        <f>4350000+2000000+2000000+300000+5000000+9000000+1000000+2000000+3000000+3000000+3200000+4000000.6+1000000+3500000+5000000+3000000</f>
        <v>51350000.600000001</v>
      </c>
      <c r="J218" s="132">
        <f t="shared" si="28"/>
        <v>50000</v>
      </c>
      <c r="K218" s="132">
        <v>50000</v>
      </c>
      <c r="L218" s="132"/>
      <c r="M218" s="132"/>
      <c r="N218" s="132"/>
      <c r="O218" s="132">
        <v>50000</v>
      </c>
      <c r="P218" s="132">
        <f t="shared" si="41"/>
        <v>52092357.600000001</v>
      </c>
      <c r="Q218" s="159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  <c r="KO218" s="61"/>
      <c r="KP218" s="61"/>
      <c r="KQ218" s="61"/>
      <c r="KR218" s="61"/>
      <c r="KS218" s="61"/>
      <c r="KT218" s="61"/>
      <c r="KU218" s="61"/>
      <c r="KV218" s="61"/>
      <c r="KW218" s="61"/>
      <c r="KX218" s="61"/>
      <c r="KY218" s="61"/>
      <c r="KZ218" s="61"/>
      <c r="LA218" s="61"/>
      <c r="LB218" s="61"/>
      <c r="LC218" s="61"/>
      <c r="LD218" s="61"/>
      <c r="LE218" s="61"/>
      <c r="LF218" s="61"/>
      <c r="LG218" s="61"/>
      <c r="LH218" s="61"/>
      <c r="LI218" s="61"/>
      <c r="LJ218" s="61"/>
      <c r="LK218" s="61"/>
      <c r="LL218" s="61"/>
      <c r="LM218" s="61"/>
      <c r="LN218" s="61"/>
      <c r="LO218" s="61"/>
      <c r="LP218" s="61"/>
      <c r="LQ218" s="61"/>
      <c r="LR218" s="61"/>
      <c r="LS218" s="61"/>
      <c r="LT218" s="61"/>
      <c r="LU218" s="61"/>
      <c r="LV218" s="61"/>
      <c r="LW218" s="61"/>
      <c r="LX218" s="61"/>
      <c r="LY218" s="61"/>
      <c r="LZ218" s="61"/>
      <c r="MA218" s="61"/>
      <c r="MB218" s="61"/>
      <c r="MC218" s="61"/>
      <c r="MD218" s="61"/>
      <c r="ME218" s="61"/>
      <c r="MF218" s="61"/>
      <c r="MG218" s="61"/>
      <c r="MH218" s="61"/>
      <c r="MI218" s="61"/>
      <c r="MJ218" s="61"/>
      <c r="MK218" s="61"/>
      <c r="ML218" s="61"/>
      <c r="MM218" s="61"/>
      <c r="MN218" s="61"/>
      <c r="MO218" s="61"/>
      <c r="MP218" s="61"/>
      <c r="MQ218" s="61"/>
      <c r="MR218" s="61"/>
      <c r="MS218" s="61"/>
      <c r="MT218" s="61"/>
      <c r="MU218" s="61"/>
      <c r="MV218" s="61"/>
      <c r="MW218" s="61"/>
      <c r="MX218" s="61"/>
      <c r="MY218" s="61"/>
      <c r="MZ218" s="61"/>
      <c r="NA218" s="61"/>
      <c r="NB218" s="61"/>
      <c r="NC218" s="61"/>
      <c r="ND218" s="61"/>
      <c r="NE218" s="61"/>
      <c r="NF218" s="61"/>
      <c r="NG218" s="61"/>
      <c r="NH218" s="61"/>
      <c r="NI218" s="61"/>
      <c r="NJ218" s="61"/>
      <c r="NK218" s="61"/>
      <c r="NL218" s="61"/>
      <c r="NM218" s="61"/>
      <c r="NN218" s="61"/>
      <c r="NO218" s="61"/>
      <c r="NP218" s="61"/>
      <c r="NQ218" s="61"/>
      <c r="NR218" s="61"/>
      <c r="NS218" s="61"/>
      <c r="NT218" s="61"/>
      <c r="NU218" s="61"/>
      <c r="NV218" s="61"/>
      <c r="NW218" s="61"/>
      <c r="NX218" s="61"/>
      <c r="NY218" s="61"/>
      <c r="NZ218" s="61"/>
      <c r="OA218" s="61"/>
      <c r="OB218" s="61"/>
      <c r="OC218" s="61"/>
      <c r="OD218" s="61"/>
      <c r="OE218" s="61"/>
      <c r="OF218" s="61"/>
      <c r="OG218" s="61"/>
      <c r="OH218" s="61"/>
      <c r="OI218" s="61"/>
      <c r="OJ218" s="61"/>
      <c r="OK218" s="61"/>
      <c r="OL218" s="61"/>
      <c r="OM218" s="61"/>
      <c r="ON218" s="61"/>
      <c r="OO218" s="61"/>
      <c r="OP218" s="61"/>
      <c r="OQ218" s="61"/>
      <c r="OR218" s="61"/>
      <c r="OS218" s="61"/>
      <c r="OT218" s="61"/>
      <c r="OU218" s="61"/>
      <c r="OV218" s="61"/>
      <c r="OW218" s="61"/>
      <c r="OX218" s="61"/>
      <c r="OY218" s="61"/>
      <c r="OZ218" s="61"/>
      <c r="PA218" s="61"/>
      <c r="PB218" s="61"/>
      <c r="PC218" s="61"/>
      <c r="PD218" s="61"/>
      <c r="PE218" s="61"/>
      <c r="PF218" s="61"/>
      <c r="PG218" s="61"/>
      <c r="PH218" s="61"/>
      <c r="PI218" s="61"/>
      <c r="PJ218" s="61"/>
      <c r="PK218" s="61"/>
      <c r="PL218" s="61"/>
      <c r="PM218" s="61"/>
      <c r="PN218" s="61"/>
      <c r="PO218" s="61"/>
      <c r="PP218" s="61"/>
      <c r="PQ218" s="61"/>
      <c r="PR218" s="61"/>
      <c r="PS218" s="61"/>
      <c r="PT218" s="61"/>
      <c r="PU218" s="61"/>
      <c r="PV218" s="61"/>
      <c r="PW218" s="61"/>
      <c r="PX218" s="61"/>
      <c r="PY218" s="61"/>
      <c r="PZ218" s="61"/>
      <c r="QA218" s="61"/>
      <c r="QB218" s="61"/>
      <c r="QC218" s="61"/>
      <c r="QD218" s="61"/>
      <c r="QE218" s="61"/>
      <c r="QF218" s="61"/>
      <c r="QG218" s="61"/>
      <c r="QH218" s="61"/>
      <c r="QI218" s="61"/>
      <c r="QJ218" s="61"/>
      <c r="QK218" s="61"/>
      <c r="QL218" s="61"/>
      <c r="QM218" s="61"/>
      <c r="QN218" s="61"/>
      <c r="QO218" s="61"/>
      <c r="QP218" s="61"/>
      <c r="QQ218" s="61"/>
      <c r="QR218" s="61"/>
      <c r="QS218" s="61"/>
      <c r="QT218" s="61"/>
      <c r="QU218" s="61"/>
      <c r="QV218" s="61"/>
      <c r="QW218" s="61"/>
      <c r="QX218" s="61"/>
      <c r="QY218" s="61"/>
      <c r="QZ218" s="61"/>
      <c r="RA218" s="61"/>
      <c r="RB218" s="61"/>
      <c r="RC218" s="61"/>
      <c r="RD218" s="61"/>
      <c r="RE218" s="61"/>
      <c r="RF218" s="61"/>
      <c r="RG218" s="61"/>
      <c r="RH218" s="61"/>
      <c r="RI218" s="61"/>
      <c r="RJ218" s="61"/>
      <c r="RK218" s="61"/>
      <c r="RL218" s="61"/>
      <c r="RM218" s="61"/>
      <c r="RN218" s="61"/>
      <c r="RO218" s="61"/>
      <c r="RP218" s="61"/>
      <c r="RQ218" s="61"/>
      <c r="RR218" s="61"/>
      <c r="RS218" s="61"/>
      <c r="RT218" s="61"/>
      <c r="RU218" s="61"/>
      <c r="RV218" s="61"/>
      <c r="RW218" s="61"/>
      <c r="RX218" s="61"/>
      <c r="RY218" s="61"/>
      <c r="RZ218" s="61"/>
      <c r="SA218" s="61"/>
      <c r="SB218" s="61"/>
      <c r="SC218" s="61"/>
      <c r="SD218" s="61"/>
      <c r="SE218" s="61"/>
      <c r="SF218" s="61"/>
      <c r="SG218" s="61"/>
      <c r="SH218" s="61"/>
      <c r="SI218" s="61"/>
      <c r="SJ218" s="61"/>
      <c r="SK218" s="61"/>
      <c r="SL218" s="61"/>
      <c r="SM218" s="61"/>
      <c r="SN218" s="61"/>
      <c r="SO218" s="61"/>
      <c r="SP218" s="61"/>
      <c r="SQ218" s="61"/>
      <c r="SR218" s="61"/>
      <c r="SS218" s="61"/>
      <c r="ST218" s="61"/>
      <c r="SU218" s="61"/>
      <c r="SV218" s="61"/>
      <c r="SW218" s="61"/>
      <c r="SX218" s="61"/>
      <c r="SY218" s="61"/>
      <c r="SZ218" s="61"/>
      <c r="TA218" s="61"/>
      <c r="TB218" s="61"/>
      <c r="TC218" s="61"/>
      <c r="TD218" s="61"/>
      <c r="TE218" s="61"/>
      <c r="TF218" s="61"/>
      <c r="TG218" s="61"/>
      <c r="TH218" s="61"/>
      <c r="TI218" s="61"/>
      <c r="TJ218" s="61"/>
      <c r="TK218" s="61"/>
      <c r="TL218" s="61"/>
      <c r="TM218" s="61"/>
      <c r="TN218" s="61"/>
      <c r="TO218" s="61"/>
      <c r="TP218" s="61"/>
      <c r="TQ218" s="61"/>
      <c r="TR218" s="61"/>
      <c r="TS218" s="61"/>
      <c r="TT218" s="61"/>
      <c r="TU218" s="61"/>
      <c r="TV218" s="61"/>
      <c r="TW218" s="61"/>
      <c r="TX218" s="61"/>
      <c r="TY218" s="61"/>
      <c r="TZ218" s="61"/>
      <c r="UA218" s="61"/>
      <c r="UB218" s="61"/>
      <c r="UC218" s="61"/>
      <c r="UD218" s="61"/>
      <c r="UE218" s="61"/>
      <c r="UF218" s="61"/>
      <c r="UG218" s="61"/>
      <c r="UH218" s="61"/>
      <c r="UI218" s="61"/>
      <c r="UJ218" s="61"/>
      <c r="UK218" s="61"/>
      <c r="UL218" s="61"/>
      <c r="UM218" s="61"/>
      <c r="UN218" s="61"/>
      <c r="UO218" s="61"/>
      <c r="UP218" s="61"/>
      <c r="UQ218" s="61"/>
      <c r="UR218" s="61"/>
      <c r="US218" s="61"/>
      <c r="UT218" s="61"/>
      <c r="UU218" s="61"/>
      <c r="UV218" s="61"/>
      <c r="UW218" s="61"/>
      <c r="UX218" s="61"/>
      <c r="UY218" s="61"/>
      <c r="UZ218" s="61"/>
      <c r="VA218" s="61"/>
      <c r="VB218" s="61"/>
      <c r="VC218" s="61"/>
    </row>
    <row r="219" spans="1:575" s="55" customFormat="1" ht="27.75" customHeight="1" x14ac:dyDescent="0.25">
      <c r="A219" s="53" t="s">
        <v>335</v>
      </c>
      <c r="B219" s="102" t="str">
        <f>'дод 2'!A146</f>
        <v>6015</v>
      </c>
      <c r="C219" s="102" t="str">
        <f>'дод 2'!B146</f>
        <v>0620</v>
      </c>
      <c r="D219" s="56" t="str">
        <f>'дод 2'!C146</f>
        <v>Забезпечення надійної та безперебійної експлуатації ліфтів</v>
      </c>
      <c r="E219" s="132">
        <f t="shared" si="40"/>
        <v>535300</v>
      </c>
      <c r="F219" s="132">
        <f>520000+15300</f>
        <v>535300</v>
      </c>
      <c r="G219" s="132"/>
      <c r="H219" s="132"/>
      <c r="I219" s="132"/>
      <c r="J219" s="132">
        <f t="shared" si="28"/>
        <v>19775000</v>
      </c>
      <c r="K219" s="132">
        <f>19865000-90000</f>
        <v>19775000</v>
      </c>
      <c r="L219" s="132"/>
      <c r="M219" s="132"/>
      <c r="N219" s="132"/>
      <c r="O219" s="132">
        <f>19865000-90000</f>
        <v>19775000</v>
      </c>
      <c r="P219" s="132">
        <f t="shared" si="41"/>
        <v>20310300</v>
      </c>
      <c r="Q219" s="159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  <c r="SP219" s="61"/>
      <c r="SQ219" s="61"/>
      <c r="SR219" s="61"/>
      <c r="SS219" s="61"/>
      <c r="ST219" s="61"/>
      <c r="SU219" s="61"/>
      <c r="SV219" s="61"/>
      <c r="SW219" s="61"/>
      <c r="SX219" s="61"/>
      <c r="SY219" s="61"/>
      <c r="SZ219" s="61"/>
      <c r="TA219" s="61"/>
      <c r="TB219" s="61"/>
      <c r="TC219" s="61"/>
      <c r="TD219" s="61"/>
      <c r="TE219" s="61"/>
      <c r="TF219" s="61"/>
      <c r="TG219" s="61"/>
      <c r="TH219" s="61"/>
      <c r="TI219" s="61"/>
      <c r="TJ219" s="61"/>
      <c r="TK219" s="61"/>
      <c r="TL219" s="61"/>
      <c r="TM219" s="61"/>
      <c r="TN219" s="61"/>
      <c r="TO219" s="61"/>
      <c r="TP219" s="61"/>
      <c r="TQ219" s="61"/>
      <c r="TR219" s="61"/>
      <c r="TS219" s="61"/>
      <c r="TT219" s="61"/>
      <c r="TU219" s="61"/>
      <c r="TV219" s="61"/>
      <c r="TW219" s="61"/>
      <c r="TX219" s="61"/>
      <c r="TY219" s="61"/>
      <c r="TZ219" s="61"/>
      <c r="UA219" s="61"/>
      <c r="UB219" s="61"/>
      <c r="UC219" s="61"/>
      <c r="UD219" s="61"/>
      <c r="UE219" s="61"/>
      <c r="UF219" s="61"/>
      <c r="UG219" s="61"/>
      <c r="UH219" s="61"/>
      <c r="UI219" s="61"/>
      <c r="UJ219" s="61"/>
      <c r="UK219" s="61"/>
      <c r="UL219" s="61"/>
      <c r="UM219" s="61"/>
      <c r="UN219" s="61"/>
      <c r="UO219" s="61"/>
      <c r="UP219" s="61"/>
      <c r="UQ219" s="61"/>
      <c r="UR219" s="61"/>
      <c r="US219" s="61"/>
      <c r="UT219" s="61"/>
      <c r="UU219" s="61"/>
      <c r="UV219" s="61"/>
      <c r="UW219" s="61"/>
      <c r="UX219" s="61"/>
      <c r="UY219" s="61"/>
      <c r="UZ219" s="61"/>
      <c r="VA219" s="61"/>
      <c r="VB219" s="61"/>
      <c r="VC219" s="61"/>
    </row>
    <row r="220" spans="1:575" s="55" customFormat="1" ht="38.25" customHeight="1" x14ac:dyDescent="0.25">
      <c r="A220" s="53" t="s">
        <v>505</v>
      </c>
      <c r="B220" s="102" t="str">
        <f>'дод 2'!A147</f>
        <v>6016</v>
      </c>
      <c r="C220" s="102" t="str">
        <f>'дод 2'!B147</f>
        <v>0620</v>
      </c>
      <c r="D220" s="56" t="str">
        <f>'дод 2'!C147</f>
        <v>Впровадження засобів обліку витрат та регулювання споживання води та теплової енергії</v>
      </c>
      <c r="E220" s="132">
        <f t="shared" si="40"/>
        <v>0</v>
      </c>
      <c r="F220" s="132"/>
      <c r="G220" s="132"/>
      <c r="H220" s="132"/>
      <c r="I220" s="132"/>
      <c r="J220" s="132">
        <f t="shared" si="28"/>
        <v>1166130</v>
      </c>
      <c r="K220" s="132">
        <f>1108600+27530+30000</f>
        <v>1166130</v>
      </c>
      <c r="L220" s="132"/>
      <c r="M220" s="132"/>
      <c r="N220" s="132"/>
      <c r="O220" s="132">
        <f>1108600+27530+30000</f>
        <v>1166130</v>
      </c>
      <c r="P220" s="132">
        <f t="shared" si="41"/>
        <v>1166130</v>
      </c>
      <c r="Q220" s="159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  <c r="KO220" s="61"/>
      <c r="KP220" s="61"/>
      <c r="KQ220" s="61"/>
      <c r="KR220" s="61"/>
      <c r="KS220" s="61"/>
      <c r="KT220" s="61"/>
      <c r="KU220" s="61"/>
      <c r="KV220" s="61"/>
      <c r="KW220" s="61"/>
      <c r="KX220" s="61"/>
      <c r="KY220" s="61"/>
      <c r="KZ220" s="61"/>
      <c r="LA220" s="61"/>
      <c r="LB220" s="61"/>
      <c r="LC220" s="61"/>
      <c r="LD220" s="61"/>
      <c r="LE220" s="61"/>
      <c r="LF220" s="61"/>
      <c r="LG220" s="61"/>
      <c r="LH220" s="61"/>
      <c r="LI220" s="61"/>
      <c r="LJ220" s="61"/>
      <c r="LK220" s="61"/>
      <c r="LL220" s="61"/>
      <c r="LM220" s="61"/>
      <c r="LN220" s="61"/>
      <c r="LO220" s="61"/>
      <c r="LP220" s="61"/>
      <c r="LQ220" s="61"/>
      <c r="LR220" s="61"/>
      <c r="LS220" s="61"/>
      <c r="LT220" s="61"/>
      <c r="LU220" s="61"/>
      <c r="LV220" s="61"/>
      <c r="LW220" s="61"/>
      <c r="LX220" s="61"/>
      <c r="LY220" s="61"/>
      <c r="LZ220" s="61"/>
      <c r="MA220" s="61"/>
      <c r="MB220" s="61"/>
      <c r="MC220" s="61"/>
      <c r="MD220" s="61"/>
      <c r="ME220" s="61"/>
      <c r="MF220" s="61"/>
      <c r="MG220" s="61"/>
      <c r="MH220" s="61"/>
      <c r="MI220" s="61"/>
      <c r="MJ220" s="61"/>
      <c r="MK220" s="61"/>
      <c r="ML220" s="61"/>
      <c r="MM220" s="61"/>
      <c r="MN220" s="61"/>
      <c r="MO220" s="61"/>
      <c r="MP220" s="61"/>
      <c r="MQ220" s="61"/>
      <c r="MR220" s="61"/>
      <c r="MS220" s="61"/>
      <c r="MT220" s="61"/>
      <c r="MU220" s="61"/>
      <c r="MV220" s="61"/>
      <c r="MW220" s="61"/>
      <c r="MX220" s="61"/>
      <c r="MY220" s="61"/>
      <c r="MZ220" s="61"/>
      <c r="NA220" s="61"/>
      <c r="NB220" s="61"/>
      <c r="NC220" s="61"/>
      <c r="ND220" s="61"/>
      <c r="NE220" s="61"/>
      <c r="NF220" s="61"/>
      <c r="NG220" s="61"/>
      <c r="NH220" s="61"/>
      <c r="NI220" s="61"/>
      <c r="NJ220" s="61"/>
      <c r="NK220" s="61"/>
      <c r="NL220" s="61"/>
      <c r="NM220" s="61"/>
      <c r="NN220" s="61"/>
      <c r="NO220" s="61"/>
      <c r="NP220" s="61"/>
      <c r="NQ220" s="61"/>
      <c r="NR220" s="61"/>
      <c r="NS220" s="61"/>
      <c r="NT220" s="61"/>
      <c r="NU220" s="61"/>
      <c r="NV220" s="61"/>
      <c r="NW220" s="61"/>
      <c r="NX220" s="61"/>
      <c r="NY220" s="61"/>
      <c r="NZ220" s="61"/>
      <c r="OA220" s="61"/>
      <c r="OB220" s="61"/>
      <c r="OC220" s="61"/>
      <c r="OD220" s="61"/>
      <c r="OE220" s="61"/>
      <c r="OF220" s="61"/>
      <c r="OG220" s="61"/>
      <c r="OH220" s="61"/>
      <c r="OI220" s="61"/>
      <c r="OJ220" s="61"/>
      <c r="OK220" s="61"/>
      <c r="OL220" s="61"/>
      <c r="OM220" s="61"/>
      <c r="ON220" s="61"/>
      <c r="OO220" s="61"/>
      <c r="OP220" s="61"/>
      <c r="OQ220" s="61"/>
      <c r="OR220" s="61"/>
      <c r="OS220" s="61"/>
      <c r="OT220" s="61"/>
      <c r="OU220" s="61"/>
      <c r="OV220" s="61"/>
      <c r="OW220" s="61"/>
      <c r="OX220" s="61"/>
      <c r="OY220" s="61"/>
      <c r="OZ220" s="61"/>
      <c r="PA220" s="61"/>
      <c r="PB220" s="61"/>
      <c r="PC220" s="61"/>
      <c r="PD220" s="61"/>
      <c r="PE220" s="61"/>
      <c r="PF220" s="61"/>
      <c r="PG220" s="61"/>
      <c r="PH220" s="61"/>
      <c r="PI220" s="61"/>
      <c r="PJ220" s="61"/>
      <c r="PK220" s="61"/>
      <c r="PL220" s="61"/>
      <c r="PM220" s="61"/>
      <c r="PN220" s="61"/>
      <c r="PO220" s="61"/>
      <c r="PP220" s="61"/>
      <c r="PQ220" s="61"/>
      <c r="PR220" s="61"/>
      <c r="PS220" s="61"/>
      <c r="PT220" s="61"/>
      <c r="PU220" s="61"/>
      <c r="PV220" s="61"/>
      <c r="PW220" s="61"/>
      <c r="PX220" s="61"/>
      <c r="PY220" s="61"/>
      <c r="PZ220" s="61"/>
      <c r="QA220" s="61"/>
      <c r="QB220" s="61"/>
      <c r="QC220" s="61"/>
      <c r="QD220" s="61"/>
      <c r="QE220" s="61"/>
      <c r="QF220" s="61"/>
      <c r="QG220" s="61"/>
      <c r="QH220" s="61"/>
      <c r="QI220" s="61"/>
      <c r="QJ220" s="61"/>
      <c r="QK220" s="61"/>
      <c r="QL220" s="61"/>
      <c r="QM220" s="61"/>
      <c r="QN220" s="61"/>
      <c r="QO220" s="61"/>
      <c r="QP220" s="61"/>
      <c r="QQ220" s="61"/>
      <c r="QR220" s="61"/>
      <c r="QS220" s="61"/>
      <c r="QT220" s="61"/>
      <c r="QU220" s="61"/>
      <c r="QV220" s="61"/>
      <c r="QW220" s="61"/>
      <c r="QX220" s="61"/>
      <c r="QY220" s="61"/>
      <c r="QZ220" s="61"/>
      <c r="RA220" s="61"/>
      <c r="RB220" s="61"/>
      <c r="RC220" s="61"/>
      <c r="RD220" s="61"/>
      <c r="RE220" s="61"/>
      <c r="RF220" s="61"/>
      <c r="RG220" s="61"/>
      <c r="RH220" s="61"/>
      <c r="RI220" s="61"/>
      <c r="RJ220" s="61"/>
      <c r="RK220" s="61"/>
      <c r="RL220" s="61"/>
      <c r="RM220" s="61"/>
      <c r="RN220" s="61"/>
      <c r="RO220" s="61"/>
      <c r="RP220" s="61"/>
      <c r="RQ220" s="61"/>
      <c r="RR220" s="61"/>
      <c r="RS220" s="61"/>
      <c r="RT220" s="61"/>
      <c r="RU220" s="61"/>
      <c r="RV220" s="61"/>
      <c r="RW220" s="61"/>
      <c r="RX220" s="61"/>
      <c r="RY220" s="61"/>
      <c r="RZ220" s="61"/>
      <c r="SA220" s="61"/>
      <c r="SB220" s="61"/>
      <c r="SC220" s="61"/>
      <c r="SD220" s="61"/>
      <c r="SE220" s="61"/>
      <c r="SF220" s="61"/>
      <c r="SG220" s="61"/>
      <c r="SH220" s="61"/>
      <c r="SI220" s="61"/>
      <c r="SJ220" s="61"/>
      <c r="SK220" s="61"/>
      <c r="SL220" s="61"/>
      <c r="SM220" s="61"/>
      <c r="SN220" s="61"/>
      <c r="SO220" s="61"/>
      <c r="SP220" s="61"/>
      <c r="SQ220" s="61"/>
      <c r="SR220" s="61"/>
      <c r="SS220" s="61"/>
      <c r="ST220" s="61"/>
      <c r="SU220" s="61"/>
      <c r="SV220" s="61"/>
      <c r="SW220" s="61"/>
      <c r="SX220" s="61"/>
      <c r="SY220" s="61"/>
      <c r="SZ220" s="61"/>
      <c r="TA220" s="61"/>
      <c r="TB220" s="61"/>
      <c r="TC220" s="61"/>
      <c r="TD220" s="61"/>
      <c r="TE220" s="61"/>
      <c r="TF220" s="61"/>
      <c r="TG220" s="61"/>
      <c r="TH220" s="61"/>
      <c r="TI220" s="61"/>
      <c r="TJ220" s="61"/>
      <c r="TK220" s="61"/>
      <c r="TL220" s="61"/>
      <c r="TM220" s="61"/>
      <c r="TN220" s="61"/>
      <c r="TO220" s="61"/>
      <c r="TP220" s="61"/>
      <c r="TQ220" s="61"/>
      <c r="TR220" s="61"/>
      <c r="TS220" s="61"/>
      <c r="TT220" s="61"/>
      <c r="TU220" s="61"/>
      <c r="TV220" s="61"/>
      <c r="TW220" s="61"/>
      <c r="TX220" s="61"/>
      <c r="TY220" s="61"/>
      <c r="TZ220" s="61"/>
      <c r="UA220" s="61"/>
      <c r="UB220" s="61"/>
      <c r="UC220" s="61"/>
      <c r="UD220" s="61"/>
      <c r="UE220" s="61"/>
      <c r="UF220" s="61"/>
      <c r="UG220" s="61"/>
      <c r="UH220" s="61"/>
      <c r="UI220" s="61"/>
      <c r="UJ220" s="61"/>
      <c r="UK220" s="61"/>
      <c r="UL220" s="61"/>
      <c r="UM220" s="61"/>
      <c r="UN220" s="61"/>
      <c r="UO220" s="61"/>
      <c r="UP220" s="61"/>
      <c r="UQ220" s="61"/>
      <c r="UR220" s="61"/>
      <c r="US220" s="61"/>
      <c r="UT220" s="61"/>
      <c r="UU220" s="61"/>
      <c r="UV220" s="61"/>
      <c r="UW220" s="61"/>
      <c r="UX220" s="61"/>
      <c r="UY220" s="61"/>
      <c r="UZ220" s="61"/>
      <c r="VA220" s="61"/>
      <c r="VB220" s="61"/>
      <c r="VC220" s="61"/>
    </row>
    <row r="221" spans="1:575" s="55" customFormat="1" ht="38.25" customHeight="1" x14ac:dyDescent="0.25">
      <c r="A221" s="53" t="s">
        <v>338</v>
      </c>
      <c r="B221" s="102" t="str">
        <f>'дод 2'!A148</f>
        <v>6017</v>
      </c>
      <c r="C221" s="102" t="str">
        <f>'дод 2'!B148</f>
        <v>0620</v>
      </c>
      <c r="D221" s="56" t="str">
        <f>'дод 2'!C148</f>
        <v xml:space="preserve">Інша діяльність, пов’язана з експлуатацією об’єктів житлово-комунального господарства </v>
      </c>
      <c r="E221" s="132">
        <f t="shared" si="40"/>
        <v>50000</v>
      </c>
      <c r="F221" s="132">
        <f>500000-450000</f>
        <v>50000</v>
      </c>
      <c r="G221" s="132"/>
      <c r="H221" s="132"/>
      <c r="I221" s="132"/>
      <c r="J221" s="132">
        <f t="shared" si="28"/>
        <v>0</v>
      </c>
      <c r="K221" s="132"/>
      <c r="L221" s="132"/>
      <c r="M221" s="132"/>
      <c r="N221" s="132"/>
      <c r="O221" s="132"/>
      <c r="P221" s="132">
        <f t="shared" si="41"/>
        <v>50000</v>
      </c>
      <c r="Q221" s="159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  <c r="SP221" s="61"/>
      <c r="SQ221" s="61"/>
      <c r="SR221" s="61"/>
      <c r="SS221" s="61"/>
      <c r="ST221" s="61"/>
      <c r="SU221" s="61"/>
      <c r="SV221" s="61"/>
      <c r="SW221" s="61"/>
      <c r="SX221" s="61"/>
      <c r="SY221" s="61"/>
      <c r="SZ221" s="61"/>
      <c r="TA221" s="61"/>
      <c r="TB221" s="61"/>
      <c r="TC221" s="61"/>
      <c r="TD221" s="61"/>
      <c r="TE221" s="61"/>
      <c r="TF221" s="61"/>
      <c r="TG221" s="61"/>
      <c r="TH221" s="61"/>
      <c r="TI221" s="61"/>
      <c r="TJ221" s="61"/>
      <c r="TK221" s="61"/>
      <c r="TL221" s="61"/>
      <c r="TM221" s="61"/>
      <c r="TN221" s="61"/>
      <c r="TO221" s="61"/>
      <c r="TP221" s="61"/>
      <c r="TQ221" s="61"/>
      <c r="TR221" s="61"/>
      <c r="TS221" s="61"/>
      <c r="TT221" s="61"/>
      <c r="TU221" s="61"/>
      <c r="TV221" s="61"/>
      <c r="TW221" s="61"/>
      <c r="TX221" s="61"/>
      <c r="TY221" s="61"/>
      <c r="TZ221" s="61"/>
      <c r="UA221" s="61"/>
      <c r="UB221" s="61"/>
      <c r="UC221" s="61"/>
      <c r="UD221" s="61"/>
      <c r="UE221" s="61"/>
      <c r="UF221" s="61"/>
      <c r="UG221" s="61"/>
      <c r="UH221" s="61"/>
      <c r="UI221" s="61"/>
      <c r="UJ221" s="61"/>
      <c r="UK221" s="61"/>
      <c r="UL221" s="61"/>
      <c r="UM221" s="61"/>
      <c r="UN221" s="61"/>
      <c r="UO221" s="61"/>
      <c r="UP221" s="61"/>
      <c r="UQ221" s="61"/>
      <c r="UR221" s="61"/>
      <c r="US221" s="61"/>
      <c r="UT221" s="61"/>
      <c r="UU221" s="61"/>
      <c r="UV221" s="61"/>
      <c r="UW221" s="61"/>
      <c r="UX221" s="61"/>
      <c r="UY221" s="61"/>
      <c r="UZ221" s="61"/>
      <c r="VA221" s="61"/>
      <c r="VB221" s="61"/>
      <c r="VC221" s="61"/>
    </row>
    <row r="222" spans="1:575" s="55" customFormat="1" ht="45" x14ac:dyDescent="0.25">
      <c r="A222" s="53" t="s">
        <v>264</v>
      </c>
      <c r="B222" s="102" t="str">
        <f>'дод 2'!A149</f>
        <v>6020</v>
      </c>
      <c r="C222" s="102" t="str">
        <f>'дод 2'!B149</f>
        <v>0620</v>
      </c>
      <c r="D222" s="56" t="str">
        <f>'дод 2'!C149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2" s="132">
        <f t="shared" si="40"/>
        <v>4721226.95</v>
      </c>
      <c r="F222" s="132"/>
      <c r="G222" s="132"/>
      <c r="H222" s="132"/>
      <c r="I222" s="132">
        <f>350000+557000+200000-63000+2209000+427000+232000+108168+384588+316470.95</f>
        <v>4721226.95</v>
      </c>
      <c r="J222" s="132">
        <f t="shared" si="28"/>
        <v>0</v>
      </c>
      <c r="K222" s="132"/>
      <c r="L222" s="132"/>
      <c r="M222" s="132"/>
      <c r="N222" s="132"/>
      <c r="O222" s="132"/>
      <c r="P222" s="132">
        <f t="shared" si="41"/>
        <v>4721226.95</v>
      </c>
      <c r="Q222" s="159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  <c r="SP222" s="61"/>
      <c r="SQ222" s="61"/>
      <c r="SR222" s="61"/>
      <c r="SS222" s="61"/>
      <c r="ST222" s="61"/>
      <c r="SU222" s="61"/>
      <c r="SV222" s="61"/>
      <c r="SW222" s="61"/>
      <c r="SX222" s="61"/>
      <c r="SY222" s="61"/>
      <c r="SZ222" s="61"/>
      <c r="TA222" s="61"/>
      <c r="TB222" s="61"/>
      <c r="TC222" s="61"/>
      <c r="TD222" s="61"/>
      <c r="TE222" s="61"/>
      <c r="TF222" s="61"/>
      <c r="TG222" s="61"/>
      <c r="TH222" s="61"/>
      <c r="TI222" s="61"/>
      <c r="TJ222" s="61"/>
      <c r="TK222" s="61"/>
      <c r="TL222" s="61"/>
      <c r="TM222" s="61"/>
      <c r="TN222" s="61"/>
      <c r="TO222" s="61"/>
      <c r="TP222" s="61"/>
      <c r="TQ222" s="61"/>
      <c r="TR222" s="61"/>
      <c r="TS222" s="61"/>
      <c r="TT222" s="61"/>
      <c r="TU222" s="61"/>
      <c r="TV222" s="61"/>
      <c r="TW222" s="61"/>
      <c r="TX222" s="61"/>
      <c r="TY222" s="61"/>
      <c r="TZ222" s="61"/>
      <c r="UA222" s="61"/>
      <c r="UB222" s="61"/>
      <c r="UC222" s="61"/>
      <c r="UD222" s="61"/>
      <c r="UE222" s="61"/>
      <c r="UF222" s="61"/>
      <c r="UG222" s="61"/>
      <c r="UH222" s="61"/>
      <c r="UI222" s="61"/>
      <c r="UJ222" s="61"/>
      <c r="UK222" s="61"/>
      <c r="UL222" s="61"/>
      <c r="UM222" s="61"/>
      <c r="UN222" s="61"/>
      <c r="UO222" s="61"/>
      <c r="UP222" s="61"/>
      <c r="UQ222" s="61"/>
      <c r="UR222" s="61"/>
      <c r="US222" s="61"/>
      <c r="UT222" s="61"/>
      <c r="UU222" s="61"/>
      <c r="UV222" s="61"/>
      <c r="UW222" s="61"/>
      <c r="UX222" s="61"/>
      <c r="UY222" s="61"/>
      <c r="UZ222" s="61"/>
      <c r="VA222" s="61"/>
      <c r="VB222" s="61"/>
      <c r="VC222" s="61"/>
    </row>
    <row r="223" spans="1:575" s="55" customFormat="1" ht="21.75" customHeight="1" x14ac:dyDescent="0.25">
      <c r="A223" s="53" t="s">
        <v>265</v>
      </c>
      <c r="B223" s="102" t="str">
        <f>'дод 2'!A150</f>
        <v>6030</v>
      </c>
      <c r="C223" s="102" t="str">
        <f>'дод 2'!B150</f>
        <v>0620</v>
      </c>
      <c r="D223" s="56" t="str">
        <f>'дод 2'!C150</f>
        <v>Організація благоустрою населених пунктів</v>
      </c>
      <c r="E223" s="132">
        <f t="shared" si="40"/>
        <v>186953820</v>
      </c>
      <c r="F223" s="132">
        <f>69545300-1000000+4500000+109000000+500000-300000-3528000+185000-19950-18600+3600+15000-200000+40000+87000+39000+180000+4450000-2775000+50000+307345-18321+98000+225000-733500+4000+45300-200000+319700+9000-84554+1500000-56000+176500+1164000+28000+65000-80000-80000+100000+3100000+200000+195000-84000</f>
        <v>186953820</v>
      </c>
      <c r="G223" s="132"/>
      <c r="H223" s="132">
        <f>20263000+1150000+1500000+3100000+37297.59+200000</f>
        <v>26250297.59</v>
      </c>
      <c r="I223" s="132"/>
      <c r="J223" s="132">
        <f t="shared" si="28"/>
        <v>37140754.629999995</v>
      </c>
      <c r="K223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L223" s="132"/>
      <c r="M223" s="132"/>
      <c r="N223" s="132"/>
      <c r="O223" s="132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P223" s="132">
        <f>E223+J223</f>
        <v>224094574.63</v>
      </c>
      <c r="Q223" s="159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  <c r="KO223" s="61"/>
      <c r="KP223" s="61"/>
      <c r="KQ223" s="61"/>
      <c r="KR223" s="61"/>
      <c r="KS223" s="61"/>
      <c r="KT223" s="61"/>
      <c r="KU223" s="61"/>
      <c r="KV223" s="61"/>
      <c r="KW223" s="61"/>
      <c r="KX223" s="61"/>
      <c r="KY223" s="61"/>
      <c r="KZ223" s="61"/>
      <c r="LA223" s="61"/>
      <c r="LB223" s="61"/>
      <c r="LC223" s="61"/>
      <c r="LD223" s="61"/>
      <c r="LE223" s="61"/>
      <c r="LF223" s="61"/>
      <c r="LG223" s="61"/>
      <c r="LH223" s="61"/>
      <c r="LI223" s="61"/>
      <c r="LJ223" s="61"/>
      <c r="LK223" s="61"/>
      <c r="LL223" s="61"/>
      <c r="LM223" s="61"/>
      <c r="LN223" s="61"/>
      <c r="LO223" s="61"/>
      <c r="LP223" s="61"/>
      <c r="LQ223" s="61"/>
      <c r="LR223" s="61"/>
      <c r="LS223" s="61"/>
      <c r="LT223" s="61"/>
      <c r="LU223" s="61"/>
      <c r="LV223" s="61"/>
      <c r="LW223" s="61"/>
      <c r="LX223" s="61"/>
      <c r="LY223" s="61"/>
      <c r="LZ223" s="61"/>
      <c r="MA223" s="61"/>
      <c r="MB223" s="61"/>
      <c r="MC223" s="61"/>
      <c r="MD223" s="61"/>
      <c r="ME223" s="61"/>
      <c r="MF223" s="61"/>
      <c r="MG223" s="61"/>
      <c r="MH223" s="61"/>
      <c r="MI223" s="61"/>
      <c r="MJ223" s="61"/>
      <c r="MK223" s="61"/>
      <c r="ML223" s="61"/>
      <c r="MM223" s="61"/>
      <c r="MN223" s="61"/>
      <c r="MO223" s="61"/>
      <c r="MP223" s="61"/>
      <c r="MQ223" s="61"/>
      <c r="MR223" s="61"/>
      <c r="MS223" s="61"/>
      <c r="MT223" s="61"/>
      <c r="MU223" s="61"/>
      <c r="MV223" s="61"/>
      <c r="MW223" s="61"/>
      <c r="MX223" s="61"/>
      <c r="MY223" s="61"/>
      <c r="MZ223" s="61"/>
      <c r="NA223" s="61"/>
      <c r="NB223" s="61"/>
      <c r="NC223" s="61"/>
      <c r="ND223" s="61"/>
      <c r="NE223" s="61"/>
      <c r="NF223" s="61"/>
      <c r="NG223" s="61"/>
      <c r="NH223" s="61"/>
      <c r="NI223" s="61"/>
      <c r="NJ223" s="61"/>
      <c r="NK223" s="61"/>
      <c r="NL223" s="61"/>
      <c r="NM223" s="61"/>
      <c r="NN223" s="61"/>
      <c r="NO223" s="61"/>
      <c r="NP223" s="61"/>
      <c r="NQ223" s="61"/>
      <c r="NR223" s="61"/>
      <c r="NS223" s="61"/>
      <c r="NT223" s="61"/>
      <c r="NU223" s="61"/>
      <c r="NV223" s="61"/>
      <c r="NW223" s="61"/>
      <c r="NX223" s="61"/>
      <c r="NY223" s="61"/>
      <c r="NZ223" s="61"/>
      <c r="OA223" s="61"/>
      <c r="OB223" s="61"/>
      <c r="OC223" s="61"/>
      <c r="OD223" s="61"/>
      <c r="OE223" s="61"/>
      <c r="OF223" s="61"/>
      <c r="OG223" s="61"/>
      <c r="OH223" s="61"/>
      <c r="OI223" s="61"/>
      <c r="OJ223" s="61"/>
      <c r="OK223" s="61"/>
      <c r="OL223" s="61"/>
      <c r="OM223" s="61"/>
      <c r="ON223" s="61"/>
      <c r="OO223" s="61"/>
      <c r="OP223" s="61"/>
      <c r="OQ223" s="61"/>
      <c r="OR223" s="61"/>
      <c r="OS223" s="61"/>
      <c r="OT223" s="61"/>
      <c r="OU223" s="61"/>
      <c r="OV223" s="61"/>
      <c r="OW223" s="61"/>
      <c r="OX223" s="61"/>
      <c r="OY223" s="61"/>
      <c r="OZ223" s="61"/>
      <c r="PA223" s="61"/>
      <c r="PB223" s="61"/>
      <c r="PC223" s="61"/>
      <c r="PD223" s="61"/>
      <c r="PE223" s="61"/>
      <c r="PF223" s="61"/>
      <c r="PG223" s="61"/>
      <c r="PH223" s="61"/>
      <c r="PI223" s="61"/>
      <c r="PJ223" s="61"/>
      <c r="PK223" s="61"/>
      <c r="PL223" s="61"/>
      <c r="PM223" s="61"/>
      <c r="PN223" s="61"/>
      <c r="PO223" s="61"/>
      <c r="PP223" s="61"/>
      <c r="PQ223" s="61"/>
      <c r="PR223" s="61"/>
      <c r="PS223" s="61"/>
      <c r="PT223" s="61"/>
      <c r="PU223" s="61"/>
      <c r="PV223" s="61"/>
      <c r="PW223" s="61"/>
      <c r="PX223" s="61"/>
      <c r="PY223" s="61"/>
      <c r="PZ223" s="61"/>
      <c r="QA223" s="61"/>
      <c r="QB223" s="61"/>
      <c r="QC223" s="61"/>
      <c r="QD223" s="61"/>
      <c r="QE223" s="61"/>
      <c r="QF223" s="61"/>
      <c r="QG223" s="61"/>
      <c r="QH223" s="61"/>
      <c r="QI223" s="61"/>
      <c r="QJ223" s="61"/>
      <c r="QK223" s="61"/>
      <c r="QL223" s="61"/>
      <c r="QM223" s="61"/>
      <c r="QN223" s="61"/>
      <c r="QO223" s="61"/>
      <c r="QP223" s="61"/>
      <c r="QQ223" s="61"/>
      <c r="QR223" s="61"/>
      <c r="QS223" s="61"/>
      <c r="QT223" s="61"/>
      <c r="QU223" s="61"/>
      <c r="QV223" s="61"/>
      <c r="QW223" s="61"/>
      <c r="QX223" s="61"/>
      <c r="QY223" s="61"/>
      <c r="QZ223" s="61"/>
      <c r="RA223" s="61"/>
      <c r="RB223" s="61"/>
      <c r="RC223" s="61"/>
      <c r="RD223" s="61"/>
      <c r="RE223" s="61"/>
      <c r="RF223" s="61"/>
      <c r="RG223" s="61"/>
      <c r="RH223" s="61"/>
      <c r="RI223" s="61"/>
      <c r="RJ223" s="61"/>
      <c r="RK223" s="61"/>
      <c r="RL223" s="61"/>
      <c r="RM223" s="61"/>
      <c r="RN223" s="61"/>
      <c r="RO223" s="61"/>
      <c r="RP223" s="61"/>
      <c r="RQ223" s="61"/>
      <c r="RR223" s="61"/>
      <c r="RS223" s="61"/>
      <c r="RT223" s="61"/>
      <c r="RU223" s="61"/>
      <c r="RV223" s="61"/>
      <c r="RW223" s="61"/>
      <c r="RX223" s="61"/>
      <c r="RY223" s="61"/>
      <c r="RZ223" s="61"/>
      <c r="SA223" s="61"/>
      <c r="SB223" s="61"/>
      <c r="SC223" s="61"/>
      <c r="SD223" s="61"/>
      <c r="SE223" s="61"/>
      <c r="SF223" s="61"/>
      <c r="SG223" s="61"/>
      <c r="SH223" s="61"/>
      <c r="SI223" s="61"/>
      <c r="SJ223" s="61"/>
      <c r="SK223" s="61"/>
      <c r="SL223" s="61"/>
      <c r="SM223" s="61"/>
      <c r="SN223" s="61"/>
      <c r="SO223" s="61"/>
      <c r="SP223" s="61"/>
      <c r="SQ223" s="61"/>
      <c r="SR223" s="61"/>
      <c r="SS223" s="61"/>
      <c r="ST223" s="61"/>
      <c r="SU223" s="61"/>
      <c r="SV223" s="61"/>
      <c r="SW223" s="61"/>
      <c r="SX223" s="61"/>
      <c r="SY223" s="61"/>
      <c r="SZ223" s="61"/>
      <c r="TA223" s="61"/>
      <c r="TB223" s="61"/>
      <c r="TC223" s="61"/>
      <c r="TD223" s="61"/>
      <c r="TE223" s="61"/>
      <c r="TF223" s="61"/>
      <c r="TG223" s="61"/>
      <c r="TH223" s="61"/>
      <c r="TI223" s="61"/>
      <c r="TJ223" s="61"/>
      <c r="TK223" s="61"/>
      <c r="TL223" s="61"/>
      <c r="TM223" s="61"/>
      <c r="TN223" s="61"/>
      <c r="TO223" s="61"/>
      <c r="TP223" s="61"/>
      <c r="TQ223" s="61"/>
      <c r="TR223" s="61"/>
      <c r="TS223" s="61"/>
      <c r="TT223" s="61"/>
      <c r="TU223" s="61"/>
      <c r="TV223" s="61"/>
      <c r="TW223" s="61"/>
      <c r="TX223" s="61"/>
      <c r="TY223" s="61"/>
      <c r="TZ223" s="61"/>
      <c r="UA223" s="61"/>
      <c r="UB223" s="61"/>
      <c r="UC223" s="61"/>
      <c r="UD223" s="61"/>
      <c r="UE223" s="61"/>
      <c r="UF223" s="61"/>
      <c r="UG223" s="61"/>
      <c r="UH223" s="61"/>
      <c r="UI223" s="61"/>
      <c r="UJ223" s="61"/>
      <c r="UK223" s="61"/>
      <c r="UL223" s="61"/>
      <c r="UM223" s="61"/>
      <c r="UN223" s="61"/>
      <c r="UO223" s="61"/>
      <c r="UP223" s="61"/>
      <c r="UQ223" s="61"/>
      <c r="UR223" s="61"/>
      <c r="US223" s="61"/>
      <c r="UT223" s="61"/>
      <c r="UU223" s="61"/>
      <c r="UV223" s="61"/>
      <c r="UW223" s="61"/>
      <c r="UX223" s="61"/>
      <c r="UY223" s="61"/>
      <c r="UZ223" s="61"/>
      <c r="VA223" s="61"/>
      <c r="VB223" s="61"/>
      <c r="VC223" s="61"/>
    </row>
    <row r="224" spans="1:575" s="55" customFormat="1" ht="31.5" customHeight="1" x14ac:dyDescent="0.25">
      <c r="A224" s="53" t="s">
        <v>326</v>
      </c>
      <c r="B224" s="102" t="str">
        <f>'дод 2'!A157</f>
        <v>6090</v>
      </c>
      <c r="C224" s="102" t="str">
        <f>'дод 2'!B157</f>
        <v>0640</v>
      </c>
      <c r="D224" s="56" t="str">
        <f>'дод 2'!C157</f>
        <v>Інша діяльність у сфері житлово-комунального господарства</v>
      </c>
      <c r="E224" s="132">
        <f t="shared" si="40"/>
        <v>3878994.4000000008</v>
      </c>
      <c r="F224" s="132">
        <f>546348+9772152+23000-3297740+15000-891800-308000-411800-40000-733109.6-8836.6-743770-103300-16000-22500-529545-20000-2110+20431-232435.4+79330+56000+96000+4530+200000+84000</f>
        <v>3535844.4000000008</v>
      </c>
      <c r="G224" s="132"/>
      <c r="H224" s="132">
        <v>40000</v>
      </c>
      <c r="I224" s="132">
        <f>19950+200000+13500+29700+80000</f>
        <v>343150</v>
      </c>
      <c r="J224" s="132">
        <f t="shared" si="28"/>
        <v>90230.400000000373</v>
      </c>
      <c r="K224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L224" s="132"/>
      <c r="M224" s="132"/>
      <c r="N224" s="132"/>
      <c r="O224" s="132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P224" s="132">
        <f t="shared" si="41"/>
        <v>3969224.8000000012</v>
      </c>
      <c r="Q224" s="159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  <c r="KO224" s="61"/>
      <c r="KP224" s="61"/>
      <c r="KQ224" s="61"/>
      <c r="KR224" s="61"/>
      <c r="KS224" s="61"/>
      <c r="KT224" s="61"/>
      <c r="KU224" s="61"/>
      <c r="KV224" s="61"/>
      <c r="KW224" s="61"/>
      <c r="KX224" s="61"/>
      <c r="KY224" s="61"/>
      <c r="KZ224" s="61"/>
      <c r="LA224" s="61"/>
      <c r="LB224" s="61"/>
      <c r="LC224" s="61"/>
      <c r="LD224" s="61"/>
      <c r="LE224" s="61"/>
      <c r="LF224" s="61"/>
      <c r="LG224" s="61"/>
      <c r="LH224" s="61"/>
      <c r="LI224" s="61"/>
      <c r="LJ224" s="61"/>
      <c r="LK224" s="61"/>
      <c r="LL224" s="61"/>
      <c r="LM224" s="61"/>
      <c r="LN224" s="61"/>
      <c r="LO224" s="61"/>
      <c r="LP224" s="61"/>
      <c r="LQ224" s="61"/>
      <c r="LR224" s="61"/>
      <c r="LS224" s="61"/>
      <c r="LT224" s="61"/>
      <c r="LU224" s="61"/>
      <c r="LV224" s="61"/>
      <c r="LW224" s="61"/>
      <c r="LX224" s="61"/>
      <c r="LY224" s="61"/>
      <c r="LZ224" s="61"/>
      <c r="MA224" s="61"/>
      <c r="MB224" s="61"/>
      <c r="MC224" s="61"/>
      <c r="MD224" s="61"/>
      <c r="ME224" s="61"/>
      <c r="MF224" s="61"/>
      <c r="MG224" s="61"/>
      <c r="MH224" s="61"/>
      <c r="MI224" s="61"/>
      <c r="MJ224" s="61"/>
      <c r="MK224" s="61"/>
      <c r="ML224" s="61"/>
      <c r="MM224" s="61"/>
      <c r="MN224" s="61"/>
      <c r="MO224" s="61"/>
      <c r="MP224" s="61"/>
      <c r="MQ224" s="61"/>
      <c r="MR224" s="61"/>
      <c r="MS224" s="61"/>
      <c r="MT224" s="61"/>
      <c r="MU224" s="61"/>
      <c r="MV224" s="61"/>
      <c r="MW224" s="61"/>
      <c r="MX224" s="61"/>
      <c r="MY224" s="61"/>
      <c r="MZ224" s="61"/>
      <c r="NA224" s="61"/>
      <c r="NB224" s="61"/>
      <c r="NC224" s="61"/>
      <c r="ND224" s="61"/>
      <c r="NE224" s="61"/>
      <c r="NF224" s="61"/>
      <c r="NG224" s="61"/>
      <c r="NH224" s="61"/>
      <c r="NI224" s="61"/>
      <c r="NJ224" s="61"/>
      <c r="NK224" s="61"/>
      <c r="NL224" s="61"/>
      <c r="NM224" s="61"/>
      <c r="NN224" s="61"/>
      <c r="NO224" s="61"/>
      <c r="NP224" s="61"/>
      <c r="NQ224" s="61"/>
      <c r="NR224" s="61"/>
      <c r="NS224" s="61"/>
      <c r="NT224" s="61"/>
      <c r="NU224" s="61"/>
      <c r="NV224" s="61"/>
      <c r="NW224" s="61"/>
      <c r="NX224" s="61"/>
      <c r="NY224" s="61"/>
      <c r="NZ224" s="61"/>
      <c r="OA224" s="61"/>
      <c r="OB224" s="61"/>
      <c r="OC224" s="61"/>
      <c r="OD224" s="61"/>
      <c r="OE224" s="61"/>
      <c r="OF224" s="61"/>
      <c r="OG224" s="61"/>
      <c r="OH224" s="61"/>
      <c r="OI224" s="61"/>
      <c r="OJ224" s="61"/>
      <c r="OK224" s="61"/>
      <c r="OL224" s="61"/>
      <c r="OM224" s="61"/>
      <c r="ON224" s="61"/>
      <c r="OO224" s="61"/>
      <c r="OP224" s="61"/>
      <c r="OQ224" s="61"/>
      <c r="OR224" s="61"/>
      <c r="OS224" s="61"/>
      <c r="OT224" s="61"/>
      <c r="OU224" s="61"/>
      <c r="OV224" s="61"/>
      <c r="OW224" s="61"/>
      <c r="OX224" s="61"/>
      <c r="OY224" s="61"/>
      <c r="OZ224" s="61"/>
      <c r="PA224" s="61"/>
      <c r="PB224" s="61"/>
      <c r="PC224" s="61"/>
      <c r="PD224" s="61"/>
      <c r="PE224" s="61"/>
      <c r="PF224" s="61"/>
      <c r="PG224" s="61"/>
      <c r="PH224" s="61"/>
      <c r="PI224" s="61"/>
      <c r="PJ224" s="61"/>
      <c r="PK224" s="61"/>
      <c r="PL224" s="61"/>
      <c r="PM224" s="61"/>
      <c r="PN224" s="61"/>
      <c r="PO224" s="61"/>
      <c r="PP224" s="61"/>
      <c r="PQ224" s="61"/>
      <c r="PR224" s="61"/>
      <c r="PS224" s="61"/>
      <c r="PT224" s="61"/>
      <c r="PU224" s="61"/>
      <c r="PV224" s="61"/>
      <c r="PW224" s="61"/>
      <c r="PX224" s="61"/>
      <c r="PY224" s="61"/>
      <c r="PZ224" s="61"/>
      <c r="QA224" s="61"/>
      <c r="QB224" s="61"/>
      <c r="QC224" s="61"/>
      <c r="QD224" s="61"/>
      <c r="QE224" s="61"/>
      <c r="QF224" s="61"/>
      <c r="QG224" s="61"/>
      <c r="QH224" s="61"/>
      <c r="QI224" s="61"/>
      <c r="QJ224" s="61"/>
      <c r="QK224" s="61"/>
      <c r="QL224" s="61"/>
      <c r="QM224" s="61"/>
      <c r="QN224" s="61"/>
      <c r="QO224" s="61"/>
      <c r="QP224" s="61"/>
      <c r="QQ224" s="61"/>
      <c r="QR224" s="61"/>
      <c r="QS224" s="61"/>
      <c r="QT224" s="61"/>
      <c r="QU224" s="61"/>
      <c r="QV224" s="61"/>
      <c r="QW224" s="61"/>
      <c r="QX224" s="61"/>
      <c r="QY224" s="61"/>
      <c r="QZ224" s="61"/>
      <c r="RA224" s="61"/>
      <c r="RB224" s="61"/>
      <c r="RC224" s="61"/>
      <c r="RD224" s="61"/>
      <c r="RE224" s="61"/>
      <c r="RF224" s="61"/>
      <c r="RG224" s="61"/>
      <c r="RH224" s="61"/>
      <c r="RI224" s="61"/>
      <c r="RJ224" s="61"/>
      <c r="RK224" s="61"/>
      <c r="RL224" s="61"/>
      <c r="RM224" s="61"/>
      <c r="RN224" s="61"/>
      <c r="RO224" s="61"/>
      <c r="RP224" s="61"/>
      <c r="RQ224" s="61"/>
      <c r="RR224" s="61"/>
      <c r="RS224" s="61"/>
      <c r="RT224" s="61"/>
      <c r="RU224" s="61"/>
      <c r="RV224" s="61"/>
      <c r="RW224" s="61"/>
      <c r="RX224" s="61"/>
      <c r="RY224" s="61"/>
      <c r="RZ224" s="61"/>
      <c r="SA224" s="61"/>
      <c r="SB224" s="61"/>
      <c r="SC224" s="61"/>
      <c r="SD224" s="61"/>
      <c r="SE224" s="61"/>
      <c r="SF224" s="61"/>
      <c r="SG224" s="61"/>
      <c r="SH224" s="61"/>
      <c r="SI224" s="61"/>
      <c r="SJ224" s="61"/>
      <c r="SK224" s="61"/>
      <c r="SL224" s="61"/>
      <c r="SM224" s="61"/>
      <c r="SN224" s="61"/>
      <c r="SO224" s="61"/>
      <c r="SP224" s="61"/>
      <c r="SQ224" s="61"/>
      <c r="SR224" s="61"/>
      <c r="SS224" s="61"/>
      <c r="ST224" s="61"/>
      <c r="SU224" s="61"/>
      <c r="SV224" s="61"/>
      <c r="SW224" s="61"/>
      <c r="SX224" s="61"/>
      <c r="SY224" s="61"/>
      <c r="SZ224" s="61"/>
      <c r="TA224" s="61"/>
      <c r="TB224" s="61"/>
      <c r="TC224" s="61"/>
      <c r="TD224" s="61"/>
      <c r="TE224" s="61"/>
      <c r="TF224" s="61"/>
      <c r="TG224" s="61"/>
      <c r="TH224" s="61"/>
      <c r="TI224" s="61"/>
      <c r="TJ224" s="61"/>
      <c r="TK224" s="61"/>
      <c r="TL224" s="61"/>
      <c r="TM224" s="61"/>
      <c r="TN224" s="61"/>
      <c r="TO224" s="61"/>
      <c r="TP224" s="61"/>
      <c r="TQ224" s="61"/>
      <c r="TR224" s="61"/>
      <c r="TS224" s="61"/>
      <c r="TT224" s="61"/>
      <c r="TU224" s="61"/>
      <c r="TV224" s="61"/>
      <c r="TW224" s="61"/>
      <c r="TX224" s="61"/>
      <c r="TY224" s="61"/>
      <c r="TZ224" s="61"/>
      <c r="UA224" s="61"/>
      <c r="UB224" s="61"/>
      <c r="UC224" s="61"/>
      <c r="UD224" s="61"/>
      <c r="UE224" s="61"/>
      <c r="UF224" s="61"/>
      <c r="UG224" s="61"/>
      <c r="UH224" s="61"/>
      <c r="UI224" s="61"/>
      <c r="UJ224" s="61"/>
      <c r="UK224" s="61"/>
      <c r="UL224" s="61"/>
      <c r="UM224" s="61"/>
      <c r="UN224" s="61"/>
      <c r="UO224" s="61"/>
      <c r="UP224" s="61"/>
      <c r="UQ224" s="61"/>
      <c r="UR224" s="61"/>
      <c r="US224" s="61"/>
      <c r="UT224" s="61"/>
      <c r="UU224" s="61"/>
      <c r="UV224" s="61"/>
      <c r="UW224" s="61"/>
      <c r="UX224" s="61"/>
      <c r="UY224" s="61"/>
      <c r="UZ224" s="61"/>
      <c r="VA224" s="61"/>
      <c r="VB224" s="61"/>
      <c r="VC224" s="61"/>
    </row>
    <row r="225" spans="1:575" s="55" customFormat="1" ht="169.5" hidden="1" customHeight="1" x14ac:dyDescent="0.25">
      <c r="A225" s="53" t="s">
        <v>526</v>
      </c>
      <c r="B225" s="102" t="str">
        <f>'дод 2'!A151</f>
        <v>6072</v>
      </c>
      <c r="C225" s="102" t="str">
        <f>'дод 2'!B151</f>
        <v>0640</v>
      </c>
      <c r="D225" s="54" t="s">
        <v>525</v>
      </c>
      <c r="E225" s="132">
        <f t="shared" si="40"/>
        <v>0</v>
      </c>
      <c r="F225" s="132"/>
      <c r="G225" s="132"/>
      <c r="H225" s="132"/>
      <c r="I225" s="132"/>
      <c r="J225" s="132">
        <f t="shared" si="28"/>
        <v>0</v>
      </c>
      <c r="K225" s="132"/>
      <c r="L225" s="132"/>
      <c r="M225" s="132"/>
      <c r="N225" s="132"/>
      <c r="O225" s="132"/>
      <c r="P225" s="132">
        <f t="shared" si="41"/>
        <v>0</v>
      </c>
      <c r="Q225" s="159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  <c r="KO225" s="61"/>
      <c r="KP225" s="61"/>
      <c r="KQ225" s="61"/>
      <c r="KR225" s="61"/>
      <c r="KS225" s="61"/>
      <c r="KT225" s="61"/>
      <c r="KU225" s="61"/>
      <c r="KV225" s="61"/>
      <c r="KW225" s="61"/>
      <c r="KX225" s="61"/>
      <c r="KY225" s="61"/>
      <c r="KZ225" s="61"/>
      <c r="LA225" s="61"/>
      <c r="LB225" s="61"/>
      <c r="LC225" s="61"/>
      <c r="LD225" s="61"/>
      <c r="LE225" s="61"/>
      <c r="LF225" s="61"/>
      <c r="LG225" s="61"/>
      <c r="LH225" s="61"/>
      <c r="LI225" s="61"/>
      <c r="LJ225" s="61"/>
      <c r="LK225" s="61"/>
      <c r="LL225" s="61"/>
      <c r="LM225" s="61"/>
      <c r="LN225" s="61"/>
      <c r="LO225" s="61"/>
      <c r="LP225" s="61"/>
      <c r="LQ225" s="61"/>
      <c r="LR225" s="61"/>
      <c r="LS225" s="61"/>
      <c r="LT225" s="61"/>
      <c r="LU225" s="61"/>
      <c r="LV225" s="61"/>
      <c r="LW225" s="61"/>
      <c r="LX225" s="61"/>
      <c r="LY225" s="61"/>
      <c r="LZ225" s="61"/>
      <c r="MA225" s="61"/>
      <c r="MB225" s="61"/>
      <c r="MC225" s="61"/>
      <c r="MD225" s="61"/>
      <c r="ME225" s="61"/>
      <c r="MF225" s="61"/>
      <c r="MG225" s="61"/>
      <c r="MH225" s="61"/>
      <c r="MI225" s="61"/>
      <c r="MJ225" s="61"/>
      <c r="MK225" s="61"/>
      <c r="ML225" s="61"/>
      <c r="MM225" s="61"/>
      <c r="MN225" s="61"/>
      <c r="MO225" s="61"/>
      <c r="MP225" s="61"/>
      <c r="MQ225" s="61"/>
      <c r="MR225" s="61"/>
      <c r="MS225" s="61"/>
      <c r="MT225" s="61"/>
      <c r="MU225" s="61"/>
      <c r="MV225" s="61"/>
      <c r="MW225" s="61"/>
      <c r="MX225" s="61"/>
      <c r="MY225" s="61"/>
      <c r="MZ225" s="61"/>
      <c r="NA225" s="61"/>
      <c r="NB225" s="61"/>
      <c r="NC225" s="61"/>
      <c r="ND225" s="61"/>
      <c r="NE225" s="61"/>
      <c r="NF225" s="61"/>
      <c r="NG225" s="61"/>
      <c r="NH225" s="61"/>
      <c r="NI225" s="61"/>
      <c r="NJ225" s="61"/>
      <c r="NK225" s="61"/>
      <c r="NL225" s="61"/>
      <c r="NM225" s="61"/>
      <c r="NN225" s="61"/>
      <c r="NO225" s="61"/>
      <c r="NP225" s="61"/>
      <c r="NQ225" s="61"/>
      <c r="NR225" s="61"/>
      <c r="NS225" s="61"/>
      <c r="NT225" s="61"/>
      <c r="NU225" s="61"/>
      <c r="NV225" s="61"/>
      <c r="NW225" s="61"/>
      <c r="NX225" s="61"/>
      <c r="NY225" s="61"/>
      <c r="NZ225" s="61"/>
      <c r="OA225" s="61"/>
      <c r="OB225" s="61"/>
      <c r="OC225" s="61"/>
      <c r="OD225" s="61"/>
      <c r="OE225" s="61"/>
      <c r="OF225" s="61"/>
      <c r="OG225" s="61"/>
      <c r="OH225" s="61"/>
      <c r="OI225" s="61"/>
      <c r="OJ225" s="61"/>
      <c r="OK225" s="61"/>
      <c r="OL225" s="61"/>
      <c r="OM225" s="61"/>
      <c r="ON225" s="61"/>
      <c r="OO225" s="61"/>
      <c r="OP225" s="61"/>
      <c r="OQ225" s="61"/>
      <c r="OR225" s="61"/>
      <c r="OS225" s="61"/>
      <c r="OT225" s="61"/>
      <c r="OU225" s="61"/>
      <c r="OV225" s="61"/>
      <c r="OW225" s="61"/>
      <c r="OX225" s="61"/>
      <c r="OY225" s="61"/>
      <c r="OZ225" s="61"/>
      <c r="PA225" s="61"/>
      <c r="PB225" s="61"/>
      <c r="PC225" s="61"/>
      <c r="PD225" s="61"/>
      <c r="PE225" s="61"/>
      <c r="PF225" s="61"/>
      <c r="PG225" s="61"/>
      <c r="PH225" s="61"/>
      <c r="PI225" s="61"/>
      <c r="PJ225" s="61"/>
      <c r="PK225" s="61"/>
      <c r="PL225" s="61"/>
      <c r="PM225" s="61"/>
      <c r="PN225" s="61"/>
      <c r="PO225" s="61"/>
      <c r="PP225" s="61"/>
      <c r="PQ225" s="61"/>
      <c r="PR225" s="61"/>
      <c r="PS225" s="61"/>
      <c r="PT225" s="61"/>
      <c r="PU225" s="61"/>
      <c r="PV225" s="61"/>
      <c r="PW225" s="61"/>
      <c r="PX225" s="61"/>
      <c r="PY225" s="61"/>
      <c r="PZ225" s="61"/>
      <c r="QA225" s="61"/>
      <c r="QB225" s="61"/>
      <c r="QC225" s="61"/>
      <c r="QD225" s="61"/>
      <c r="QE225" s="61"/>
      <c r="QF225" s="61"/>
      <c r="QG225" s="61"/>
      <c r="QH225" s="61"/>
      <c r="QI225" s="61"/>
      <c r="QJ225" s="61"/>
      <c r="QK225" s="61"/>
      <c r="QL225" s="61"/>
      <c r="QM225" s="61"/>
      <c r="QN225" s="61"/>
      <c r="QO225" s="61"/>
      <c r="QP225" s="61"/>
      <c r="QQ225" s="61"/>
      <c r="QR225" s="61"/>
      <c r="QS225" s="61"/>
      <c r="QT225" s="61"/>
      <c r="QU225" s="61"/>
      <c r="QV225" s="61"/>
      <c r="QW225" s="61"/>
      <c r="QX225" s="61"/>
      <c r="QY225" s="61"/>
      <c r="QZ225" s="61"/>
      <c r="RA225" s="61"/>
      <c r="RB225" s="61"/>
      <c r="RC225" s="61"/>
      <c r="RD225" s="61"/>
      <c r="RE225" s="61"/>
      <c r="RF225" s="61"/>
      <c r="RG225" s="61"/>
      <c r="RH225" s="61"/>
      <c r="RI225" s="61"/>
      <c r="RJ225" s="61"/>
      <c r="RK225" s="61"/>
      <c r="RL225" s="61"/>
      <c r="RM225" s="61"/>
      <c r="RN225" s="61"/>
      <c r="RO225" s="61"/>
      <c r="RP225" s="61"/>
      <c r="RQ225" s="61"/>
      <c r="RR225" s="61"/>
      <c r="RS225" s="61"/>
      <c r="RT225" s="61"/>
      <c r="RU225" s="61"/>
      <c r="RV225" s="61"/>
      <c r="RW225" s="61"/>
      <c r="RX225" s="61"/>
      <c r="RY225" s="61"/>
      <c r="RZ225" s="61"/>
      <c r="SA225" s="61"/>
      <c r="SB225" s="61"/>
      <c r="SC225" s="61"/>
      <c r="SD225" s="61"/>
      <c r="SE225" s="61"/>
      <c r="SF225" s="61"/>
      <c r="SG225" s="61"/>
      <c r="SH225" s="61"/>
      <c r="SI225" s="61"/>
      <c r="SJ225" s="61"/>
      <c r="SK225" s="61"/>
      <c r="SL225" s="61"/>
      <c r="SM225" s="61"/>
      <c r="SN225" s="61"/>
      <c r="SO225" s="61"/>
      <c r="SP225" s="61"/>
      <c r="SQ225" s="61"/>
      <c r="SR225" s="61"/>
      <c r="SS225" s="61"/>
      <c r="ST225" s="61"/>
      <c r="SU225" s="61"/>
      <c r="SV225" s="61"/>
      <c r="SW225" s="61"/>
      <c r="SX225" s="61"/>
      <c r="SY225" s="61"/>
      <c r="SZ225" s="61"/>
      <c r="TA225" s="61"/>
      <c r="TB225" s="61"/>
      <c r="TC225" s="61"/>
      <c r="TD225" s="61"/>
      <c r="TE225" s="61"/>
      <c r="TF225" s="61"/>
      <c r="TG225" s="61"/>
      <c r="TH225" s="61"/>
      <c r="TI225" s="61"/>
      <c r="TJ225" s="61"/>
      <c r="TK225" s="61"/>
      <c r="TL225" s="61"/>
      <c r="TM225" s="61"/>
      <c r="TN225" s="61"/>
      <c r="TO225" s="61"/>
      <c r="TP225" s="61"/>
      <c r="TQ225" s="61"/>
      <c r="TR225" s="61"/>
      <c r="TS225" s="61"/>
      <c r="TT225" s="61"/>
      <c r="TU225" s="61"/>
      <c r="TV225" s="61"/>
      <c r="TW225" s="61"/>
      <c r="TX225" s="61"/>
      <c r="TY225" s="61"/>
      <c r="TZ225" s="61"/>
      <c r="UA225" s="61"/>
      <c r="UB225" s="61"/>
      <c r="UC225" s="61"/>
      <c r="UD225" s="61"/>
      <c r="UE225" s="61"/>
      <c r="UF225" s="61"/>
      <c r="UG225" s="61"/>
      <c r="UH225" s="61"/>
      <c r="UI225" s="61"/>
      <c r="UJ225" s="61"/>
      <c r="UK225" s="61"/>
      <c r="UL225" s="61"/>
      <c r="UM225" s="61"/>
      <c r="UN225" s="61"/>
      <c r="UO225" s="61"/>
      <c r="UP225" s="61"/>
      <c r="UQ225" s="61"/>
      <c r="UR225" s="61"/>
      <c r="US225" s="61"/>
      <c r="UT225" s="61"/>
      <c r="UU225" s="61"/>
      <c r="UV225" s="61"/>
      <c r="UW225" s="61"/>
      <c r="UX225" s="61"/>
      <c r="UY225" s="61"/>
      <c r="UZ225" s="61"/>
      <c r="VA225" s="61"/>
      <c r="VB225" s="61"/>
      <c r="VC225" s="61"/>
    </row>
    <row r="226" spans="1:575" s="55" customFormat="1" ht="18" hidden="1" customHeight="1" x14ac:dyDescent="0.25">
      <c r="A226" s="53"/>
      <c r="B226" s="102"/>
      <c r="C226" s="102"/>
      <c r="D226" s="56" t="s">
        <v>344</v>
      </c>
      <c r="E226" s="132">
        <f t="shared" si="40"/>
        <v>0</v>
      </c>
      <c r="F226" s="132"/>
      <c r="G226" s="132"/>
      <c r="H226" s="132"/>
      <c r="I226" s="132"/>
      <c r="J226" s="132">
        <f t="shared" si="28"/>
        <v>0</v>
      </c>
      <c r="K226" s="132"/>
      <c r="L226" s="132"/>
      <c r="M226" s="132"/>
      <c r="N226" s="132"/>
      <c r="O226" s="132"/>
      <c r="P226" s="132">
        <f t="shared" si="41"/>
        <v>0</v>
      </c>
      <c r="Q226" s="159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  <c r="KO226" s="61"/>
      <c r="KP226" s="61"/>
      <c r="KQ226" s="61"/>
      <c r="KR226" s="61"/>
      <c r="KS226" s="61"/>
      <c r="KT226" s="61"/>
      <c r="KU226" s="61"/>
      <c r="KV226" s="61"/>
      <c r="KW226" s="61"/>
      <c r="KX226" s="61"/>
      <c r="KY226" s="61"/>
      <c r="KZ226" s="61"/>
      <c r="LA226" s="61"/>
      <c r="LB226" s="61"/>
      <c r="LC226" s="61"/>
      <c r="LD226" s="61"/>
      <c r="LE226" s="61"/>
      <c r="LF226" s="61"/>
      <c r="LG226" s="61"/>
      <c r="LH226" s="61"/>
      <c r="LI226" s="61"/>
      <c r="LJ226" s="61"/>
      <c r="LK226" s="61"/>
      <c r="LL226" s="61"/>
      <c r="LM226" s="61"/>
      <c r="LN226" s="61"/>
      <c r="LO226" s="61"/>
      <c r="LP226" s="61"/>
      <c r="LQ226" s="61"/>
      <c r="LR226" s="61"/>
      <c r="LS226" s="61"/>
      <c r="LT226" s="61"/>
      <c r="LU226" s="61"/>
      <c r="LV226" s="61"/>
      <c r="LW226" s="61"/>
      <c r="LX226" s="61"/>
      <c r="LY226" s="61"/>
      <c r="LZ226" s="61"/>
      <c r="MA226" s="61"/>
      <c r="MB226" s="61"/>
      <c r="MC226" s="61"/>
      <c r="MD226" s="61"/>
      <c r="ME226" s="61"/>
      <c r="MF226" s="61"/>
      <c r="MG226" s="61"/>
      <c r="MH226" s="61"/>
      <c r="MI226" s="61"/>
      <c r="MJ226" s="61"/>
      <c r="MK226" s="61"/>
      <c r="ML226" s="61"/>
      <c r="MM226" s="61"/>
      <c r="MN226" s="61"/>
      <c r="MO226" s="61"/>
      <c r="MP226" s="61"/>
      <c r="MQ226" s="61"/>
      <c r="MR226" s="61"/>
      <c r="MS226" s="61"/>
      <c r="MT226" s="61"/>
      <c r="MU226" s="61"/>
      <c r="MV226" s="61"/>
      <c r="MW226" s="61"/>
      <c r="MX226" s="61"/>
      <c r="MY226" s="61"/>
      <c r="MZ226" s="61"/>
      <c r="NA226" s="61"/>
      <c r="NB226" s="61"/>
      <c r="NC226" s="61"/>
      <c r="ND226" s="61"/>
      <c r="NE226" s="61"/>
      <c r="NF226" s="61"/>
      <c r="NG226" s="61"/>
      <c r="NH226" s="61"/>
      <c r="NI226" s="61"/>
      <c r="NJ226" s="61"/>
      <c r="NK226" s="61"/>
      <c r="NL226" s="61"/>
      <c r="NM226" s="61"/>
      <c r="NN226" s="61"/>
      <c r="NO226" s="61"/>
      <c r="NP226" s="61"/>
      <c r="NQ226" s="61"/>
      <c r="NR226" s="61"/>
      <c r="NS226" s="61"/>
      <c r="NT226" s="61"/>
      <c r="NU226" s="61"/>
      <c r="NV226" s="61"/>
      <c r="NW226" s="61"/>
      <c r="NX226" s="61"/>
      <c r="NY226" s="61"/>
      <c r="NZ226" s="61"/>
      <c r="OA226" s="61"/>
      <c r="OB226" s="61"/>
      <c r="OC226" s="61"/>
      <c r="OD226" s="61"/>
      <c r="OE226" s="61"/>
      <c r="OF226" s="61"/>
      <c r="OG226" s="61"/>
      <c r="OH226" s="61"/>
      <c r="OI226" s="61"/>
      <c r="OJ226" s="61"/>
      <c r="OK226" s="61"/>
      <c r="OL226" s="61"/>
      <c r="OM226" s="61"/>
      <c r="ON226" s="61"/>
      <c r="OO226" s="61"/>
      <c r="OP226" s="61"/>
      <c r="OQ226" s="61"/>
      <c r="OR226" s="61"/>
      <c r="OS226" s="61"/>
      <c r="OT226" s="61"/>
      <c r="OU226" s="61"/>
      <c r="OV226" s="61"/>
      <c r="OW226" s="61"/>
      <c r="OX226" s="61"/>
      <c r="OY226" s="61"/>
      <c r="OZ226" s="61"/>
      <c r="PA226" s="61"/>
      <c r="PB226" s="61"/>
      <c r="PC226" s="61"/>
      <c r="PD226" s="61"/>
      <c r="PE226" s="61"/>
      <c r="PF226" s="61"/>
      <c r="PG226" s="61"/>
      <c r="PH226" s="61"/>
      <c r="PI226" s="61"/>
      <c r="PJ226" s="61"/>
      <c r="PK226" s="61"/>
      <c r="PL226" s="61"/>
      <c r="PM226" s="61"/>
      <c r="PN226" s="61"/>
      <c r="PO226" s="61"/>
      <c r="PP226" s="61"/>
      <c r="PQ226" s="61"/>
      <c r="PR226" s="61"/>
      <c r="PS226" s="61"/>
      <c r="PT226" s="61"/>
      <c r="PU226" s="61"/>
      <c r="PV226" s="61"/>
      <c r="PW226" s="61"/>
      <c r="PX226" s="61"/>
      <c r="PY226" s="61"/>
      <c r="PZ226" s="61"/>
      <c r="QA226" s="61"/>
      <c r="QB226" s="61"/>
      <c r="QC226" s="61"/>
      <c r="QD226" s="61"/>
      <c r="QE226" s="61"/>
      <c r="QF226" s="61"/>
      <c r="QG226" s="61"/>
      <c r="QH226" s="61"/>
      <c r="QI226" s="61"/>
      <c r="QJ226" s="61"/>
      <c r="QK226" s="61"/>
      <c r="QL226" s="61"/>
      <c r="QM226" s="61"/>
      <c r="QN226" s="61"/>
      <c r="QO226" s="61"/>
      <c r="QP226" s="61"/>
      <c r="QQ226" s="61"/>
      <c r="QR226" s="61"/>
      <c r="QS226" s="61"/>
      <c r="QT226" s="61"/>
      <c r="QU226" s="61"/>
      <c r="QV226" s="61"/>
      <c r="QW226" s="61"/>
      <c r="QX226" s="61"/>
      <c r="QY226" s="61"/>
      <c r="QZ226" s="61"/>
      <c r="RA226" s="61"/>
      <c r="RB226" s="61"/>
      <c r="RC226" s="61"/>
      <c r="RD226" s="61"/>
      <c r="RE226" s="61"/>
      <c r="RF226" s="61"/>
      <c r="RG226" s="61"/>
      <c r="RH226" s="61"/>
      <c r="RI226" s="61"/>
      <c r="RJ226" s="61"/>
      <c r="RK226" s="61"/>
      <c r="RL226" s="61"/>
      <c r="RM226" s="61"/>
      <c r="RN226" s="61"/>
      <c r="RO226" s="61"/>
      <c r="RP226" s="61"/>
      <c r="RQ226" s="61"/>
      <c r="RR226" s="61"/>
      <c r="RS226" s="61"/>
      <c r="RT226" s="61"/>
      <c r="RU226" s="61"/>
      <c r="RV226" s="61"/>
      <c r="RW226" s="61"/>
      <c r="RX226" s="61"/>
      <c r="RY226" s="61"/>
      <c r="RZ226" s="61"/>
      <c r="SA226" s="61"/>
      <c r="SB226" s="61"/>
      <c r="SC226" s="61"/>
      <c r="SD226" s="61"/>
      <c r="SE226" s="61"/>
      <c r="SF226" s="61"/>
      <c r="SG226" s="61"/>
      <c r="SH226" s="61"/>
      <c r="SI226" s="61"/>
      <c r="SJ226" s="61"/>
      <c r="SK226" s="61"/>
      <c r="SL226" s="61"/>
      <c r="SM226" s="61"/>
      <c r="SN226" s="61"/>
      <c r="SO226" s="61"/>
      <c r="SP226" s="61"/>
      <c r="SQ226" s="61"/>
      <c r="SR226" s="61"/>
      <c r="SS226" s="61"/>
      <c r="ST226" s="61"/>
      <c r="SU226" s="61"/>
      <c r="SV226" s="61"/>
      <c r="SW226" s="61"/>
      <c r="SX226" s="61"/>
      <c r="SY226" s="61"/>
      <c r="SZ226" s="61"/>
      <c r="TA226" s="61"/>
      <c r="TB226" s="61"/>
      <c r="TC226" s="61"/>
      <c r="TD226" s="61"/>
      <c r="TE226" s="61"/>
      <c r="TF226" s="61"/>
      <c r="TG226" s="61"/>
      <c r="TH226" s="61"/>
      <c r="TI226" s="61"/>
      <c r="TJ226" s="61"/>
      <c r="TK226" s="61"/>
      <c r="TL226" s="61"/>
      <c r="TM226" s="61"/>
      <c r="TN226" s="61"/>
      <c r="TO226" s="61"/>
      <c r="TP226" s="61"/>
      <c r="TQ226" s="61"/>
      <c r="TR226" s="61"/>
      <c r="TS226" s="61"/>
      <c r="TT226" s="61"/>
      <c r="TU226" s="61"/>
      <c r="TV226" s="61"/>
      <c r="TW226" s="61"/>
      <c r="TX226" s="61"/>
      <c r="TY226" s="61"/>
      <c r="TZ226" s="61"/>
      <c r="UA226" s="61"/>
      <c r="UB226" s="61"/>
      <c r="UC226" s="61"/>
      <c r="UD226" s="61"/>
      <c r="UE226" s="61"/>
      <c r="UF226" s="61"/>
      <c r="UG226" s="61"/>
      <c r="UH226" s="61"/>
      <c r="UI226" s="61"/>
      <c r="UJ226" s="61"/>
      <c r="UK226" s="61"/>
      <c r="UL226" s="61"/>
      <c r="UM226" s="61"/>
      <c r="UN226" s="61"/>
      <c r="UO226" s="61"/>
      <c r="UP226" s="61"/>
      <c r="UQ226" s="61"/>
      <c r="UR226" s="61"/>
      <c r="US226" s="61"/>
      <c r="UT226" s="61"/>
      <c r="UU226" s="61"/>
      <c r="UV226" s="61"/>
      <c r="UW226" s="61"/>
      <c r="UX226" s="61"/>
      <c r="UY226" s="61"/>
      <c r="UZ226" s="61"/>
      <c r="VA226" s="61"/>
      <c r="VB226" s="61"/>
      <c r="VC226" s="61"/>
    </row>
    <row r="227" spans="1:575" s="55" customFormat="1" ht="31.5" hidden="1" customHeight="1" x14ac:dyDescent="0.25">
      <c r="A227" s="53" t="s">
        <v>519</v>
      </c>
      <c r="B227" s="102" t="str">
        <f>'дод 2'!A160</f>
        <v>7130</v>
      </c>
      <c r="C227" s="102" t="str">
        <f>'дод 2'!B160</f>
        <v>0421</v>
      </c>
      <c r="D227" s="56" t="str">
        <f>'дод 2'!C160</f>
        <v>Здійснення  заходів із землеустрою</v>
      </c>
      <c r="E227" s="132">
        <f t="shared" si="40"/>
        <v>0</v>
      </c>
      <c r="F227" s="132"/>
      <c r="G227" s="132"/>
      <c r="H227" s="132"/>
      <c r="I227" s="132">
        <f>490670-490670</f>
        <v>0</v>
      </c>
      <c r="J227" s="132">
        <f t="shared" si="28"/>
        <v>0</v>
      </c>
      <c r="K227" s="132"/>
      <c r="L227" s="132"/>
      <c r="M227" s="132"/>
      <c r="N227" s="132"/>
      <c r="O227" s="132"/>
      <c r="P227" s="132">
        <f t="shared" si="41"/>
        <v>0</v>
      </c>
      <c r="Q227" s="159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  <c r="SP227" s="61"/>
      <c r="SQ227" s="61"/>
      <c r="SR227" s="61"/>
      <c r="SS227" s="61"/>
      <c r="ST227" s="61"/>
      <c r="SU227" s="61"/>
      <c r="SV227" s="61"/>
      <c r="SW227" s="61"/>
      <c r="SX227" s="61"/>
      <c r="SY227" s="61"/>
      <c r="SZ227" s="61"/>
      <c r="TA227" s="61"/>
      <c r="TB227" s="61"/>
      <c r="TC227" s="61"/>
      <c r="TD227" s="61"/>
      <c r="TE227" s="61"/>
      <c r="TF227" s="61"/>
      <c r="TG227" s="61"/>
      <c r="TH227" s="61"/>
      <c r="TI227" s="61"/>
      <c r="TJ227" s="61"/>
      <c r="TK227" s="61"/>
      <c r="TL227" s="61"/>
      <c r="TM227" s="61"/>
      <c r="TN227" s="61"/>
      <c r="TO227" s="61"/>
      <c r="TP227" s="61"/>
      <c r="TQ227" s="61"/>
      <c r="TR227" s="61"/>
      <c r="TS227" s="61"/>
      <c r="TT227" s="61"/>
      <c r="TU227" s="61"/>
      <c r="TV227" s="61"/>
      <c r="TW227" s="61"/>
      <c r="TX227" s="61"/>
      <c r="TY227" s="61"/>
      <c r="TZ227" s="61"/>
      <c r="UA227" s="61"/>
      <c r="UB227" s="61"/>
      <c r="UC227" s="61"/>
      <c r="UD227" s="61"/>
      <c r="UE227" s="61"/>
      <c r="UF227" s="61"/>
      <c r="UG227" s="61"/>
      <c r="UH227" s="61"/>
      <c r="UI227" s="61"/>
      <c r="UJ227" s="61"/>
      <c r="UK227" s="61"/>
      <c r="UL227" s="61"/>
      <c r="UM227" s="61"/>
      <c r="UN227" s="61"/>
      <c r="UO227" s="61"/>
      <c r="UP227" s="61"/>
      <c r="UQ227" s="61"/>
      <c r="UR227" s="61"/>
      <c r="US227" s="61"/>
      <c r="UT227" s="61"/>
      <c r="UU227" s="61"/>
      <c r="UV227" s="61"/>
      <c r="UW227" s="61"/>
      <c r="UX227" s="61"/>
      <c r="UY227" s="61"/>
      <c r="UZ227" s="61"/>
      <c r="VA227" s="61"/>
      <c r="VB227" s="61"/>
      <c r="VC227" s="61"/>
    </row>
    <row r="228" spans="1:575" s="55" customFormat="1" ht="25.5" customHeight="1" x14ac:dyDescent="0.25">
      <c r="A228" s="53" t="s">
        <v>352</v>
      </c>
      <c r="B228" s="102" t="str">
        <f>'дод 2'!A163</f>
        <v>7310</v>
      </c>
      <c r="C228" s="102" t="str">
        <f>'дод 2'!B163</f>
        <v>0443</v>
      </c>
      <c r="D228" s="56" t="str">
        <f>'дод 2'!C163</f>
        <v>Будівництво об'єктів житлово-комунального господарства</v>
      </c>
      <c r="E228" s="132">
        <f t="shared" si="40"/>
        <v>0</v>
      </c>
      <c r="F228" s="132"/>
      <c r="G228" s="132"/>
      <c r="H228" s="132"/>
      <c r="I228" s="132"/>
      <c r="J228" s="132">
        <f t="shared" si="28"/>
        <v>4686256.0000000019</v>
      </c>
      <c r="K228" s="132">
        <f>15050000+11900000-7308614.43-165090-245000+7308614.43-24295.57-300000+8836.6+1500000-1500000-140000+300000+40000-12569763.43-65000-7954239.6-384588-950000+316486-200000+80000-11090</f>
        <v>4686256.0000000019</v>
      </c>
      <c r="L228" s="132"/>
      <c r="M228" s="132"/>
      <c r="N228" s="132"/>
      <c r="O228" s="132">
        <f>15050000+11900000-7308614.43-165090-245000+7308614.43-24295.57-300000+8836.6+1500000-1500000-140000+300000+40000-12569763.43-65000-7954239.6-384588-950000+316486-200000+80000-11090</f>
        <v>4686256.0000000019</v>
      </c>
      <c r="P228" s="132">
        <f t="shared" si="41"/>
        <v>4686256.0000000019</v>
      </c>
      <c r="Q228" s="159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  <c r="KO228" s="61"/>
      <c r="KP228" s="61"/>
      <c r="KQ228" s="61"/>
      <c r="KR228" s="61"/>
      <c r="KS228" s="61"/>
      <c r="KT228" s="61"/>
      <c r="KU228" s="61"/>
      <c r="KV228" s="61"/>
      <c r="KW228" s="61"/>
      <c r="KX228" s="61"/>
      <c r="KY228" s="61"/>
      <c r="KZ228" s="61"/>
      <c r="LA228" s="61"/>
      <c r="LB228" s="61"/>
      <c r="LC228" s="61"/>
      <c r="LD228" s="61"/>
      <c r="LE228" s="61"/>
      <c r="LF228" s="61"/>
      <c r="LG228" s="61"/>
      <c r="LH228" s="61"/>
      <c r="LI228" s="61"/>
      <c r="LJ228" s="61"/>
      <c r="LK228" s="61"/>
      <c r="LL228" s="61"/>
      <c r="LM228" s="61"/>
      <c r="LN228" s="61"/>
      <c r="LO228" s="61"/>
      <c r="LP228" s="61"/>
      <c r="LQ228" s="61"/>
      <c r="LR228" s="61"/>
      <c r="LS228" s="61"/>
      <c r="LT228" s="61"/>
      <c r="LU228" s="61"/>
      <c r="LV228" s="61"/>
      <c r="LW228" s="61"/>
      <c r="LX228" s="61"/>
      <c r="LY228" s="61"/>
      <c r="LZ228" s="61"/>
      <c r="MA228" s="61"/>
      <c r="MB228" s="61"/>
      <c r="MC228" s="61"/>
      <c r="MD228" s="61"/>
      <c r="ME228" s="61"/>
      <c r="MF228" s="61"/>
      <c r="MG228" s="61"/>
      <c r="MH228" s="61"/>
      <c r="MI228" s="61"/>
      <c r="MJ228" s="61"/>
      <c r="MK228" s="61"/>
      <c r="ML228" s="61"/>
      <c r="MM228" s="61"/>
      <c r="MN228" s="61"/>
      <c r="MO228" s="61"/>
      <c r="MP228" s="61"/>
      <c r="MQ228" s="61"/>
      <c r="MR228" s="61"/>
      <c r="MS228" s="61"/>
      <c r="MT228" s="61"/>
      <c r="MU228" s="61"/>
      <c r="MV228" s="61"/>
      <c r="MW228" s="61"/>
      <c r="MX228" s="61"/>
      <c r="MY228" s="61"/>
      <c r="MZ228" s="61"/>
      <c r="NA228" s="61"/>
      <c r="NB228" s="61"/>
      <c r="NC228" s="61"/>
      <c r="ND228" s="61"/>
      <c r="NE228" s="61"/>
      <c r="NF228" s="61"/>
      <c r="NG228" s="61"/>
      <c r="NH228" s="61"/>
      <c r="NI228" s="61"/>
      <c r="NJ228" s="61"/>
      <c r="NK228" s="61"/>
      <c r="NL228" s="61"/>
      <c r="NM228" s="61"/>
      <c r="NN228" s="61"/>
      <c r="NO228" s="61"/>
      <c r="NP228" s="61"/>
      <c r="NQ228" s="61"/>
      <c r="NR228" s="61"/>
      <c r="NS228" s="61"/>
      <c r="NT228" s="61"/>
      <c r="NU228" s="61"/>
      <c r="NV228" s="61"/>
      <c r="NW228" s="61"/>
      <c r="NX228" s="61"/>
      <c r="NY228" s="61"/>
      <c r="NZ228" s="61"/>
      <c r="OA228" s="61"/>
      <c r="OB228" s="61"/>
      <c r="OC228" s="61"/>
      <c r="OD228" s="61"/>
      <c r="OE228" s="61"/>
      <c r="OF228" s="61"/>
      <c r="OG228" s="61"/>
      <c r="OH228" s="61"/>
      <c r="OI228" s="61"/>
      <c r="OJ228" s="61"/>
      <c r="OK228" s="61"/>
      <c r="OL228" s="61"/>
      <c r="OM228" s="61"/>
      <c r="ON228" s="61"/>
      <c r="OO228" s="61"/>
      <c r="OP228" s="61"/>
      <c r="OQ228" s="61"/>
      <c r="OR228" s="61"/>
      <c r="OS228" s="61"/>
      <c r="OT228" s="61"/>
      <c r="OU228" s="61"/>
      <c r="OV228" s="61"/>
      <c r="OW228" s="61"/>
      <c r="OX228" s="61"/>
      <c r="OY228" s="61"/>
      <c r="OZ228" s="61"/>
      <c r="PA228" s="61"/>
      <c r="PB228" s="61"/>
      <c r="PC228" s="61"/>
      <c r="PD228" s="61"/>
      <c r="PE228" s="61"/>
      <c r="PF228" s="61"/>
      <c r="PG228" s="61"/>
      <c r="PH228" s="61"/>
      <c r="PI228" s="61"/>
      <c r="PJ228" s="61"/>
      <c r="PK228" s="61"/>
      <c r="PL228" s="61"/>
      <c r="PM228" s="61"/>
      <c r="PN228" s="61"/>
      <c r="PO228" s="61"/>
      <c r="PP228" s="61"/>
      <c r="PQ228" s="61"/>
      <c r="PR228" s="61"/>
      <c r="PS228" s="61"/>
      <c r="PT228" s="61"/>
      <c r="PU228" s="61"/>
      <c r="PV228" s="61"/>
      <c r="PW228" s="61"/>
      <c r="PX228" s="61"/>
      <c r="PY228" s="61"/>
      <c r="PZ228" s="61"/>
      <c r="QA228" s="61"/>
      <c r="QB228" s="61"/>
      <c r="QC228" s="61"/>
      <c r="QD228" s="61"/>
      <c r="QE228" s="61"/>
      <c r="QF228" s="61"/>
      <c r="QG228" s="61"/>
      <c r="QH228" s="61"/>
      <c r="QI228" s="61"/>
      <c r="QJ228" s="61"/>
      <c r="QK228" s="61"/>
      <c r="QL228" s="61"/>
      <c r="QM228" s="61"/>
      <c r="QN228" s="61"/>
      <c r="QO228" s="61"/>
      <c r="QP228" s="61"/>
      <c r="QQ228" s="61"/>
      <c r="QR228" s="61"/>
      <c r="QS228" s="61"/>
      <c r="QT228" s="61"/>
      <c r="QU228" s="61"/>
      <c r="QV228" s="61"/>
      <c r="QW228" s="61"/>
      <c r="QX228" s="61"/>
      <c r="QY228" s="61"/>
      <c r="QZ228" s="61"/>
      <c r="RA228" s="61"/>
      <c r="RB228" s="61"/>
      <c r="RC228" s="61"/>
      <c r="RD228" s="61"/>
      <c r="RE228" s="61"/>
      <c r="RF228" s="61"/>
      <c r="RG228" s="61"/>
      <c r="RH228" s="61"/>
      <c r="RI228" s="61"/>
      <c r="RJ228" s="61"/>
      <c r="RK228" s="61"/>
      <c r="RL228" s="61"/>
      <c r="RM228" s="61"/>
      <c r="RN228" s="61"/>
      <c r="RO228" s="61"/>
      <c r="RP228" s="61"/>
      <c r="RQ228" s="61"/>
      <c r="RR228" s="61"/>
      <c r="RS228" s="61"/>
      <c r="RT228" s="61"/>
      <c r="RU228" s="61"/>
      <c r="RV228" s="61"/>
      <c r="RW228" s="61"/>
      <c r="RX228" s="61"/>
      <c r="RY228" s="61"/>
      <c r="RZ228" s="61"/>
      <c r="SA228" s="61"/>
      <c r="SB228" s="61"/>
      <c r="SC228" s="61"/>
      <c r="SD228" s="61"/>
      <c r="SE228" s="61"/>
      <c r="SF228" s="61"/>
      <c r="SG228" s="61"/>
      <c r="SH228" s="61"/>
      <c r="SI228" s="61"/>
      <c r="SJ228" s="61"/>
      <c r="SK228" s="61"/>
      <c r="SL228" s="61"/>
      <c r="SM228" s="61"/>
      <c r="SN228" s="61"/>
      <c r="SO228" s="61"/>
      <c r="SP228" s="61"/>
      <c r="SQ228" s="61"/>
      <c r="SR228" s="61"/>
      <c r="SS228" s="61"/>
      <c r="ST228" s="61"/>
      <c r="SU228" s="61"/>
      <c r="SV228" s="61"/>
      <c r="SW228" s="61"/>
      <c r="SX228" s="61"/>
      <c r="SY228" s="61"/>
      <c r="SZ228" s="61"/>
      <c r="TA228" s="61"/>
      <c r="TB228" s="61"/>
      <c r="TC228" s="61"/>
      <c r="TD228" s="61"/>
      <c r="TE228" s="61"/>
      <c r="TF228" s="61"/>
      <c r="TG228" s="61"/>
      <c r="TH228" s="61"/>
      <c r="TI228" s="61"/>
      <c r="TJ228" s="61"/>
      <c r="TK228" s="61"/>
      <c r="TL228" s="61"/>
      <c r="TM228" s="61"/>
      <c r="TN228" s="61"/>
      <c r="TO228" s="61"/>
      <c r="TP228" s="61"/>
      <c r="TQ228" s="61"/>
      <c r="TR228" s="61"/>
      <c r="TS228" s="61"/>
      <c r="TT228" s="61"/>
      <c r="TU228" s="61"/>
      <c r="TV228" s="61"/>
      <c r="TW228" s="61"/>
      <c r="TX228" s="61"/>
      <c r="TY228" s="61"/>
      <c r="TZ228" s="61"/>
      <c r="UA228" s="61"/>
      <c r="UB228" s="61"/>
      <c r="UC228" s="61"/>
      <c r="UD228" s="61"/>
      <c r="UE228" s="61"/>
      <c r="UF228" s="61"/>
      <c r="UG228" s="61"/>
      <c r="UH228" s="61"/>
      <c r="UI228" s="61"/>
      <c r="UJ228" s="61"/>
      <c r="UK228" s="61"/>
      <c r="UL228" s="61"/>
      <c r="UM228" s="61"/>
      <c r="UN228" s="61"/>
      <c r="UO228" s="61"/>
      <c r="UP228" s="61"/>
      <c r="UQ228" s="61"/>
      <c r="UR228" s="61"/>
      <c r="US228" s="61"/>
      <c r="UT228" s="61"/>
      <c r="UU228" s="61"/>
      <c r="UV228" s="61"/>
      <c r="UW228" s="61"/>
      <c r="UX228" s="61"/>
      <c r="UY228" s="61"/>
      <c r="UZ228" s="61"/>
      <c r="VA228" s="61"/>
      <c r="VB228" s="61"/>
      <c r="VC228" s="61"/>
    </row>
    <row r="229" spans="1:575" s="55" customFormat="1" ht="21.75" customHeight="1" x14ac:dyDescent="0.25">
      <c r="A229" s="53" t="s">
        <v>354</v>
      </c>
      <c r="B229" s="102" t="str">
        <f>'дод 2'!A167</f>
        <v>7330</v>
      </c>
      <c r="C229" s="102" t="str">
        <f>'дод 2'!B167</f>
        <v>0443</v>
      </c>
      <c r="D229" s="56" t="str">
        <f>'дод 2'!C167</f>
        <v>Будівництво інших об'єктів комунальної власності</v>
      </c>
      <c r="E229" s="132">
        <f t="shared" si="40"/>
        <v>0</v>
      </c>
      <c r="F229" s="132"/>
      <c r="G229" s="132"/>
      <c r="H229" s="132"/>
      <c r="I229" s="132"/>
      <c r="J229" s="132">
        <f t="shared" si="28"/>
        <v>3855530</v>
      </c>
      <c r="K229" s="132">
        <f>5765753-4000000+200000+65000+1450000-65000-200000+50000-100000+689777</f>
        <v>3855530</v>
      </c>
      <c r="L229" s="132"/>
      <c r="M229" s="132"/>
      <c r="N229" s="132"/>
      <c r="O229" s="132">
        <f>5765753-4000000+200000+65000+1450000-65000-200000+50000-100000+689777</f>
        <v>3855530</v>
      </c>
      <c r="P229" s="132">
        <f t="shared" si="41"/>
        <v>3855530</v>
      </c>
      <c r="Q229" s="159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  <c r="KO229" s="61"/>
      <c r="KP229" s="61"/>
      <c r="KQ229" s="61"/>
      <c r="KR229" s="61"/>
      <c r="KS229" s="61"/>
      <c r="KT229" s="61"/>
      <c r="KU229" s="61"/>
      <c r="KV229" s="61"/>
      <c r="KW229" s="61"/>
      <c r="KX229" s="61"/>
      <c r="KY229" s="61"/>
      <c r="KZ229" s="61"/>
      <c r="LA229" s="61"/>
      <c r="LB229" s="61"/>
      <c r="LC229" s="61"/>
      <c r="LD229" s="61"/>
      <c r="LE229" s="61"/>
      <c r="LF229" s="61"/>
      <c r="LG229" s="61"/>
      <c r="LH229" s="61"/>
      <c r="LI229" s="61"/>
      <c r="LJ229" s="61"/>
      <c r="LK229" s="61"/>
      <c r="LL229" s="61"/>
      <c r="LM229" s="61"/>
      <c r="LN229" s="61"/>
      <c r="LO229" s="61"/>
      <c r="LP229" s="61"/>
      <c r="LQ229" s="61"/>
      <c r="LR229" s="61"/>
      <c r="LS229" s="61"/>
      <c r="LT229" s="61"/>
      <c r="LU229" s="61"/>
      <c r="LV229" s="61"/>
      <c r="LW229" s="61"/>
      <c r="LX229" s="61"/>
      <c r="LY229" s="61"/>
      <c r="LZ229" s="61"/>
      <c r="MA229" s="61"/>
      <c r="MB229" s="61"/>
      <c r="MC229" s="61"/>
      <c r="MD229" s="61"/>
      <c r="ME229" s="61"/>
      <c r="MF229" s="61"/>
      <c r="MG229" s="61"/>
      <c r="MH229" s="61"/>
      <c r="MI229" s="61"/>
      <c r="MJ229" s="61"/>
      <c r="MK229" s="61"/>
      <c r="ML229" s="61"/>
      <c r="MM229" s="61"/>
      <c r="MN229" s="61"/>
      <c r="MO229" s="61"/>
      <c r="MP229" s="61"/>
      <c r="MQ229" s="61"/>
      <c r="MR229" s="61"/>
      <c r="MS229" s="61"/>
      <c r="MT229" s="61"/>
      <c r="MU229" s="61"/>
      <c r="MV229" s="61"/>
      <c r="MW229" s="61"/>
      <c r="MX229" s="61"/>
      <c r="MY229" s="61"/>
      <c r="MZ229" s="61"/>
      <c r="NA229" s="61"/>
      <c r="NB229" s="61"/>
      <c r="NC229" s="61"/>
      <c r="ND229" s="61"/>
      <c r="NE229" s="61"/>
      <c r="NF229" s="61"/>
      <c r="NG229" s="61"/>
      <c r="NH229" s="61"/>
      <c r="NI229" s="61"/>
      <c r="NJ229" s="61"/>
      <c r="NK229" s="61"/>
      <c r="NL229" s="61"/>
      <c r="NM229" s="61"/>
      <c r="NN229" s="61"/>
      <c r="NO229" s="61"/>
      <c r="NP229" s="61"/>
      <c r="NQ229" s="61"/>
      <c r="NR229" s="61"/>
      <c r="NS229" s="61"/>
      <c r="NT229" s="61"/>
      <c r="NU229" s="61"/>
      <c r="NV229" s="61"/>
      <c r="NW229" s="61"/>
      <c r="NX229" s="61"/>
      <c r="NY229" s="61"/>
      <c r="NZ229" s="61"/>
      <c r="OA229" s="61"/>
      <c r="OB229" s="61"/>
      <c r="OC229" s="61"/>
      <c r="OD229" s="61"/>
      <c r="OE229" s="61"/>
      <c r="OF229" s="61"/>
      <c r="OG229" s="61"/>
      <c r="OH229" s="61"/>
      <c r="OI229" s="61"/>
      <c r="OJ229" s="61"/>
      <c r="OK229" s="61"/>
      <c r="OL229" s="61"/>
      <c r="OM229" s="61"/>
      <c r="ON229" s="61"/>
      <c r="OO229" s="61"/>
      <c r="OP229" s="61"/>
      <c r="OQ229" s="61"/>
      <c r="OR229" s="61"/>
      <c r="OS229" s="61"/>
      <c r="OT229" s="61"/>
      <c r="OU229" s="61"/>
      <c r="OV229" s="61"/>
      <c r="OW229" s="61"/>
      <c r="OX229" s="61"/>
      <c r="OY229" s="61"/>
      <c r="OZ229" s="61"/>
      <c r="PA229" s="61"/>
      <c r="PB229" s="61"/>
      <c r="PC229" s="61"/>
      <c r="PD229" s="61"/>
      <c r="PE229" s="61"/>
      <c r="PF229" s="61"/>
      <c r="PG229" s="61"/>
      <c r="PH229" s="61"/>
      <c r="PI229" s="61"/>
      <c r="PJ229" s="61"/>
      <c r="PK229" s="61"/>
      <c r="PL229" s="61"/>
      <c r="PM229" s="61"/>
      <c r="PN229" s="61"/>
      <c r="PO229" s="61"/>
      <c r="PP229" s="61"/>
      <c r="PQ229" s="61"/>
      <c r="PR229" s="61"/>
      <c r="PS229" s="61"/>
      <c r="PT229" s="61"/>
      <c r="PU229" s="61"/>
      <c r="PV229" s="61"/>
      <c r="PW229" s="61"/>
      <c r="PX229" s="61"/>
      <c r="PY229" s="61"/>
      <c r="PZ229" s="61"/>
      <c r="QA229" s="61"/>
      <c r="QB229" s="61"/>
      <c r="QC229" s="61"/>
      <c r="QD229" s="61"/>
      <c r="QE229" s="61"/>
      <c r="QF229" s="61"/>
      <c r="QG229" s="61"/>
      <c r="QH229" s="61"/>
      <c r="QI229" s="61"/>
      <c r="QJ229" s="61"/>
      <c r="QK229" s="61"/>
      <c r="QL229" s="61"/>
      <c r="QM229" s="61"/>
      <c r="QN229" s="61"/>
      <c r="QO229" s="61"/>
      <c r="QP229" s="61"/>
      <c r="QQ229" s="61"/>
      <c r="QR229" s="61"/>
      <c r="QS229" s="61"/>
      <c r="QT229" s="61"/>
      <c r="QU229" s="61"/>
      <c r="QV229" s="61"/>
      <c r="QW229" s="61"/>
      <c r="QX229" s="61"/>
      <c r="QY229" s="61"/>
      <c r="QZ229" s="61"/>
      <c r="RA229" s="61"/>
      <c r="RB229" s="61"/>
      <c r="RC229" s="61"/>
      <c r="RD229" s="61"/>
      <c r="RE229" s="61"/>
      <c r="RF229" s="61"/>
      <c r="RG229" s="61"/>
      <c r="RH229" s="61"/>
      <c r="RI229" s="61"/>
      <c r="RJ229" s="61"/>
      <c r="RK229" s="61"/>
      <c r="RL229" s="61"/>
      <c r="RM229" s="61"/>
      <c r="RN229" s="61"/>
      <c r="RO229" s="61"/>
      <c r="RP229" s="61"/>
      <c r="RQ229" s="61"/>
      <c r="RR229" s="61"/>
      <c r="RS229" s="61"/>
      <c r="RT229" s="61"/>
      <c r="RU229" s="61"/>
      <c r="RV229" s="61"/>
      <c r="RW229" s="61"/>
      <c r="RX229" s="61"/>
      <c r="RY229" s="61"/>
      <c r="RZ229" s="61"/>
      <c r="SA229" s="61"/>
      <c r="SB229" s="61"/>
      <c r="SC229" s="61"/>
      <c r="SD229" s="61"/>
      <c r="SE229" s="61"/>
      <c r="SF229" s="61"/>
      <c r="SG229" s="61"/>
      <c r="SH229" s="61"/>
      <c r="SI229" s="61"/>
      <c r="SJ229" s="61"/>
      <c r="SK229" s="61"/>
      <c r="SL229" s="61"/>
      <c r="SM229" s="61"/>
      <c r="SN229" s="61"/>
      <c r="SO229" s="61"/>
      <c r="SP229" s="61"/>
      <c r="SQ229" s="61"/>
      <c r="SR229" s="61"/>
      <c r="SS229" s="61"/>
      <c r="ST229" s="61"/>
      <c r="SU229" s="61"/>
      <c r="SV229" s="61"/>
      <c r="SW229" s="61"/>
      <c r="SX229" s="61"/>
      <c r="SY229" s="61"/>
      <c r="SZ229" s="61"/>
      <c r="TA229" s="61"/>
      <c r="TB229" s="61"/>
      <c r="TC229" s="61"/>
      <c r="TD229" s="61"/>
      <c r="TE229" s="61"/>
      <c r="TF229" s="61"/>
      <c r="TG229" s="61"/>
      <c r="TH229" s="61"/>
      <c r="TI229" s="61"/>
      <c r="TJ229" s="61"/>
      <c r="TK229" s="61"/>
      <c r="TL229" s="61"/>
      <c r="TM229" s="61"/>
      <c r="TN229" s="61"/>
      <c r="TO229" s="61"/>
      <c r="TP229" s="61"/>
      <c r="TQ229" s="61"/>
      <c r="TR229" s="61"/>
      <c r="TS229" s="61"/>
      <c r="TT229" s="61"/>
      <c r="TU229" s="61"/>
      <c r="TV229" s="61"/>
      <c r="TW229" s="61"/>
      <c r="TX229" s="61"/>
      <c r="TY229" s="61"/>
      <c r="TZ229" s="61"/>
      <c r="UA229" s="61"/>
      <c r="UB229" s="61"/>
      <c r="UC229" s="61"/>
      <c r="UD229" s="61"/>
      <c r="UE229" s="61"/>
      <c r="UF229" s="61"/>
      <c r="UG229" s="61"/>
      <c r="UH229" s="61"/>
      <c r="UI229" s="61"/>
      <c r="UJ229" s="61"/>
      <c r="UK229" s="61"/>
      <c r="UL229" s="61"/>
      <c r="UM229" s="61"/>
      <c r="UN229" s="61"/>
      <c r="UO229" s="61"/>
      <c r="UP229" s="61"/>
      <c r="UQ229" s="61"/>
      <c r="UR229" s="61"/>
      <c r="US229" s="61"/>
      <c r="UT229" s="61"/>
      <c r="UU229" s="61"/>
      <c r="UV229" s="61"/>
      <c r="UW229" s="61"/>
      <c r="UX229" s="61"/>
      <c r="UY229" s="61"/>
      <c r="UZ229" s="61"/>
      <c r="VA229" s="61"/>
      <c r="VB229" s="61"/>
      <c r="VC229" s="61"/>
    </row>
    <row r="230" spans="1:575" s="55" customFormat="1" ht="36.75" customHeight="1" x14ac:dyDescent="0.25">
      <c r="A230" s="53" t="s">
        <v>266</v>
      </c>
      <c r="B230" s="102" t="str">
        <f>'дод 2'!A168</f>
        <v>7340</v>
      </c>
      <c r="C230" s="102" t="str">
        <f>'дод 2'!B168</f>
        <v>0443</v>
      </c>
      <c r="D230" s="56" t="str">
        <f>'дод 2'!C168</f>
        <v>Проектування, реставрація та охорона пам'яток архітектури</v>
      </c>
      <c r="E230" s="132">
        <f t="shared" si="40"/>
        <v>0</v>
      </c>
      <c r="F230" s="132"/>
      <c r="G230" s="132"/>
      <c r="H230" s="132"/>
      <c r="I230" s="132"/>
      <c r="J230" s="132">
        <f t="shared" si="28"/>
        <v>100709</v>
      </c>
      <c r="K230" s="132">
        <f>3100000+3700000-3700000-1250000-1749291</f>
        <v>100709</v>
      </c>
      <c r="L230" s="132"/>
      <c r="M230" s="132"/>
      <c r="N230" s="132"/>
      <c r="O230" s="132">
        <f>3100000+3700000-3700000-1250000-1749291</f>
        <v>100709</v>
      </c>
      <c r="P230" s="132">
        <f t="shared" si="41"/>
        <v>100709</v>
      </c>
      <c r="Q230" s="159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  <c r="KO230" s="61"/>
      <c r="KP230" s="61"/>
      <c r="KQ230" s="61"/>
      <c r="KR230" s="61"/>
      <c r="KS230" s="61"/>
      <c r="KT230" s="61"/>
      <c r="KU230" s="61"/>
      <c r="KV230" s="61"/>
      <c r="KW230" s="61"/>
      <c r="KX230" s="61"/>
      <c r="KY230" s="61"/>
      <c r="KZ230" s="61"/>
      <c r="LA230" s="61"/>
      <c r="LB230" s="61"/>
      <c r="LC230" s="61"/>
      <c r="LD230" s="61"/>
      <c r="LE230" s="61"/>
      <c r="LF230" s="61"/>
      <c r="LG230" s="61"/>
      <c r="LH230" s="61"/>
      <c r="LI230" s="61"/>
      <c r="LJ230" s="61"/>
      <c r="LK230" s="61"/>
      <c r="LL230" s="61"/>
      <c r="LM230" s="61"/>
      <c r="LN230" s="61"/>
      <c r="LO230" s="61"/>
      <c r="LP230" s="61"/>
      <c r="LQ230" s="61"/>
      <c r="LR230" s="61"/>
      <c r="LS230" s="61"/>
      <c r="LT230" s="61"/>
      <c r="LU230" s="61"/>
      <c r="LV230" s="61"/>
      <c r="LW230" s="61"/>
      <c r="LX230" s="61"/>
      <c r="LY230" s="61"/>
      <c r="LZ230" s="61"/>
      <c r="MA230" s="61"/>
      <c r="MB230" s="61"/>
      <c r="MC230" s="61"/>
      <c r="MD230" s="61"/>
      <c r="ME230" s="61"/>
      <c r="MF230" s="61"/>
      <c r="MG230" s="61"/>
      <c r="MH230" s="61"/>
      <c r="MI230" s="61"/>
      <c r="MJ230" s="61"/>
      <c r="MK230" s="61"/>
      <c r="ML230" s="61"/>
      <c r="MM230" s="61"/>
      <c r="MN230" s="61"/>
      <c r="MO230" s="61"/>
      <c r="MP230" s="61"/>
      <c r="MQ230" s="61"/>
      <c r="MR230" s="61"/>
      <c r="MS230" s="61"/>
      <c r="MT230" s="61"/>
      <c r="MU230" s="61"/>
      <c r="MV230" s="61"/>
      <c r="MW230" s="61"/>
      <c r="MX230" s="61"/>
      <c r="MY230" s="61"/>
      <c r="MZ230" s="61"/>
      <c r="NA230" s="61"/>
      <c r="NB230" s="61"/>
      <c r="NC230" s="61"/>
      <c r="ND230" s="61"/>
      <c r="NE230" s="61"/>
      <c r="NF230" s="61"/>
      <c r="NG230" s="61"/>
      <c r="NH230" s="61"/>
      <c r="NI230" s="61"/>
      <c r="NJ230" s="61"/>
      <c r="NK230" s="61"/>
      <c r="NL230" s="61"/>
      <c r="NM230" s="61"/>
      <c r="NN230" s="61"/>
      <c r="NO230" s="61"/>
      <c r="NP230" s="61"/>
      <c r="NQ230" s="61"/>
      <c r="NR230" s="61"/>
      <c r="NS230" s="61"/>
      <c r="NT230" s="61"/>
      <c r="NU230" s="61"/>
      <c r="NV230" s="61"/>
      <c r="NW230" s="61"/>
      <c r="NX230" s="61"/>
      <c r="NY230" s="61"/>
      <c r="NZ230" s="61"/>
      <c r="OA230" s="61"/>
      <c r="OB230" s="61"/>
      <c r="OC230" s="61"/>
      <c r="OD230" s="61"/>
      <c r="OE230" s="61"/>
      <c r="OF230" s="61"/>
      <c r="OG230" s="61"/>
      <c r="OH230" s="61"/>
      <c r="OI230" s="61"/>
      <c r="OJ230" s="61"/>
      <c r="OK230" s="61"/>
      <c r="OL230" s="61"/>
      <c r="OM230" s="61"/>
      <c r="ON230" s="61"/>
      <c r="OO230" s="61"/>
      <c r="OP230" s="61"/>
      <c r="OQ230" s="61"/>
      <c r="OR230" s="61"/>
      <c r="OS230" s="61"/>
      <c r="OT230" s="61"/>
      <c r="OU230" s="61"/>
      <c r="OV230" s="61"/>
      <c r="OW230" s="61"/>
      <c r="OX230" s="61"/>
      <c r="OY230" s="61"/>
      <c r="OZ230" s="61"/>
      <c r="PA230" s="61"/>
      <c r="PB230" s="61"/>
      <c r="PC230" s="61"/>
      <c r="PD230" s="61"/>
      <c r="PE230" s="61"/>
      <c r="PF230" s="61"/>
      <c r="PG230" s="61"/>
      <c r="PH230" s="61"/>
      <c r="PI230" s="61"/>
      <c r="PJ230" s="61"/>
      <c r="PK230" s="61"/>
      <c r="PL230" s="61"/>
      <c r="PM230" s="61"/>
      <c r="PN230" s="61"/>
      <c r="PO230" s="61"/>
      <c r="PP230" s="61"/>
      <c r="PQ230" s="61"/>
      <c r="PR230" s="61"/>
      <c r="PS230" s="61"/>
      <c r="PT230" s="61"/>
      <c r="PU230" s="61"/>
      <c r="PV230" s="61"/>
      <c r="PW230" s="61"/>
      <c r="PX230" s="61"/>
      <c r="PY230" s="61"/>
      <c r="PZ230" s="61"/>
      <c r="QA230" s="61"/>
      <c r="QB230" s="61"/>
      <c r="QC230" s="61"/>
      <c r="QD230" s="61"/>
      <c r="QE230" s="61"/>
      <c r="QF230" s="61"/>
      <c r="QG230" s="61"/>
      <c r="QH230" s="61"/>
      <c r="QI230" s="61"/>
      <c r="QJ230" s="61"/>
      <c r="QK230" s="61"/>
      <c r="QL230" s="61"/>
      <c r="QM230" s="61"/>
      <c r="QN230" s="61"/>
      <c r="QO230" s="61"/>
      <c r="QP230" s="61"/>
      <c r="QQ230" s="61"/>
      <c r="QR230" s="61"/>
      <c r="QS230" s="61"/>
      <c r="QT230" s="61"/>
      <c r="QU230" s="61"/>
      <c r="QV230" s="61"/>
      <c r="QW230" s="61"/>
      <c r="QX230" s="61"/>
      <c r="QY230" s="61"/>
      <c r="QZ230" s="61"/>
      <c r="RA230" s="61"/>
      <c r="RB230" s="61"/>
      <c r="RC230" s="61"/>
      <c r="RD230" s="61"/>
      <c r="RE230" s="61"/>
      <c r="RF230" s="61"/>
      <c r="RG230" s="61"/>
      <c r="RH230" s="61"/>
      <c r="RI230" s="61"/>
      <c r="RJ230" s="61"/>
      <c r="RK230" s="61"/>
      <c r="RL230" s="61"/>
      <c r="RM230" s="61"/>
      <c r="RN230" s="61"/>
      <c r="RO230" s="61"/>
      <c r="RP230" s="61"/>
      <c r="RQ230" s="61"/>
      <c r="RR230" s="61"/>
      <c r="RS230" s="61"/>
      <c r="RT230" s="61"/>
      <c r="RU230" s="61"/>
      <c r="RV230" s="61"/>
      <c r="RW230" s="61"/>
      <c r="RX230" s="61"/>
      <c r="RY230" s="61"/>
      <c r="RZ230" s="61"/>
      <c r="SA230" s="61"/>
      <c r="SB230" s="61"/>
      <c r="SC230" s="61"/>
      <c r="SD230" s="61"/>
      <c r="SE230" s="61"/>
      <c r="SF230" s="61"/>
      <c r="SG230" s="61"/>
      <c r="SH230" s="61"/>
      <c r="SI230" s="61"/>
      <c r="SJ230" s="61"/>
      <c r="SK230" s="61"/>
      <c r="SL230" s="61"/>
      <c r="SM230" s="61"/>
      <c r="SN230" s="61"/>
      <c r="SO230" s="61"/>
      <c r="SP230" s="61"/>
      <c r="SQ230" s="61"/>
      <c r="SR230" s="61"/>
      <c r="SS230" s="61"/>
      <c r="ST230" s="61"/>
      <c r="SU230" s="61"/>
      <c r="SV230" s="61"/>
      <c r="SW230" s="61"/>
      <c r="SX230" s="61"/>
      <c r="SY230" s="61"/>
      <c r="SZ230" s="61"/>
      <c r="TA230" s="61"/>
      <c r="TB230" s="61"/>
      <c r="TC230" s="61"/>
      <c r="TD230" s="61"/>
      <c r="TE230" s="61"/>
      <c r="TF230" s="61"/>
      <c r="TG230" s="61"/>
      <c r="TH230" s="61"/>
      <c r="TI230" s="61"/>
      <c r="TJ230" s="61"/>
      <c r="TK230" s="61"/>
      <c r="TL230" s="61"/>
      <c r="TM230" s="61"/>
      <c r="TN230" s="61"/>
      <c r="TO230" s="61"/>
      <c r="TP230" s="61"/>
      <c r="TQ230" s="61"/>
      <c r="TR230" s="61"/>
      <c r="TS230" s="61"/>
      <c r="TT230" s="61"/>
      <c r="TU230" s="61"/>
      <c r="TV230" s="61"/>
      <c r="TW230" s="61"/>
      <c r="TX230" s="61"/>
      <c r="TY230" s="61"/>
      <c r="TZ230" s="61"/>
      <c r="UA230" s="61"/>
      <c r="UB230" s="61"/>
      <c r="UC230" s="61"/>
      <c r="UD230" s="61"/>
      <c r="UE230" s="61"/>
      <c r="UF230" s="61"/>
      <c r="UG230" s="61"/>
      <c r="UH230" s="61"/>
      <c r="UI230" s="61"/>
      <c r="UJ230" s="61"/>
      <c r="UK230" s="61"/>
      <c r="UL230" s="61"/>
      <c r="UM230" s="61"/>
      <c r="UN230" s="61"/>
      <c r="UO230" s="61"/>
      <c r="UP230" s="61"/>
      <c r="UQ230" s="61"/>
      <c r="UR230" s="61"/>
      <c r="US230" s="61"/>
      <c r="UT230" s="61"/>
      <c r="UU230" s="61"/>
      <c r="UV230" s="61"/>
      <c r="UW230" s="61"/>
      <c r="UX230" s="61"/>
      <c r="UY230" s="61"/>
      <c r="UZ230" s="61"/>
      <c r="VA230" s="61"/>
      <c r="VB230" s="61"/>
      <c r="VC230" s="61"/>
    </row>
    <row r="231" spans="1:575" s="55" customFormat="1" ht="45" x14ac:dyDescent="0.25">
      <c r="A231" s="53" t="s">
        <v>513</v>
      </c>
      <c r="B231" s="102" t="str">
        <f>'дод 2'!A170</f>
        <v>7361</v>
      </c>
      <c r="C231" s="102" t="str">
        <f>'дод 2'!B170</f>
        <v>0490</v>
      </c>
      <c r="D231" s="56" t="str">
        <f>'дод 2'!C170</f>
        <v>Співфінансування інвестиційних проектів, що реалізуються за рахунок коштів державного фонду регіонального розвитку</v>
      </c>
      <c r="E231" s="132">
        <f t="shared" si="40"/>
        <v>0</v>
      </c>
      <c r="F231" s="132"/>
      <c r="G231" s="132"/>
      <c r="H231" s="132"/>
      <c r="I231" s="132"/>
      <c r="J231" s="132">
        <f t="shared" si="28"/>
        <v>12489763.43</v>
      </c>
      <c r="K231" s="132">
        <f>12569763.43-80000</f>
        <v>12489763.43</v>
      </c>
      <c r="L231" s="132"/>
      <c r="M231" s="132"/>
      <c r="N231" s="132"/>
      <c r="O231" s="132">
        <f>12569763.43-80000</f>
        <v>12489763.43</v>
      </c>
      <c r="P231" s="132">
        <f t="shared" si="41"/>
        <v>12489763.43</v>
      </c>
      <c r="Q231" s="159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  <c r="KO231" s="61"/>
      <c r="KP231" s="61"/>
      <c r="KQ231" s="61"/>
      <c r="KR231" s="61"/>
      <c r="KS231" s="61"/>
      <c r="KT231" s="61"/>
      <c r="KU231" s="61"/>
      <c r="KV231" s="61"/>
      <c r="KW231" s="61"/>
      <c r="KX231" s="61"/>
      <c r="KY231" s="61"/>
      <c r="KZ231" s="61"/>
      <c r="LA231" s="61"/>
      <c r="LB231" s="61"/>
      <c r="LC231" s="61"/>
      <c r="LD231" s="61"/>
      <c r="LE231" s="61"/>
      <c r="LF231" s="61"/>
      <c r="LG231" s="61"/>
      <c r="LH231" s="61"/>
      <c r="LI231" s="61"/>
      <c r="LJ231" s="61"/>
      <c r="LK231" s="61"/>
      <c r="LL231" s="61"/>
      <c r="LM231" s="61"/>
      <c r="LN231" s="61"/>
      <c r="LO231" s="61"/>
      <c r="LP231" s="61"/>
      <c r="LQ231" s="61"/>
      <c r="LR231" s="61"/>
      <c r="LS231" s="61"/>
      <c r="LT231" s="61"/>
      <c r="LU231" s="61"/>
      <c r="LV231" s="61"/>
      <c r="LW231" s="61"/>
      <c r="LX231" s="61"/>
      <c r="LY231" s="61"/>
      <c r="LZ231" s="61"/>
      <c r="MA231" s="61"/>
      <c r="MB231" s="61"/>
      <c r="MC231" s="61"/>
      <c r="MD231" s="61"/>
      <c r="ME231" s="61"/>
      <c r="MF231" s="61"/>
      <c r="MG231" s="61"/>
      <c r="MH231" s="61"/>
      <c r="MI231" s="61"/>
      <c r="MJ231" s="61"/>
      <c r="MK231" s="61"/>
      <c r="ML231" s="61"/>
      <c r="MM231" s="61"/>
      <c r="MN231" s="61"/>
      <c r="MO231" s="61"/>
      <c r="MP231" s="61"/>
      <c r="MQ231" s="61"/>
      <c r="MR231" s="61"/>
      <c r="MS231" s="61"/>
      <c r="MT231" s="61"/>
      <c r="MU231" s="61"/>
      <c r="MV231" s="61"/>
      <c r="MW231" s="61"/>
      <c r="MX231" s="61"/>
      <c r="MY231" s="61"/>
      <c r="MZ231" s="61"/>
      <c r="NA231" s="61"/>
      <c r="NB231" s="61"/>
      <c r="NC231" s="61"/>
      <c r="ND231" s="61"/>
      <c r="NE231" s="61"/>
      <c r="NF231" s="61"/>
      <c r="NG231" s="61"/>
      <c r="NH231" s="61"/>
      <c r="NI231" s="61"/>
      <c r="NJ231" s="61"/>
      <c r="NK231" s="61"/>
      <c r="NL231" s="61"/>
      <c r="NM231" s="61"/>
      <c r="NN231" s="61"/>
      <c r="NO231" s="61"/>
      <c r="NP231" s="61"/>
      <c r="NQ231" s="61"/>
      <c r="NR231" s="61"/>
      <c r="NS231" s="61"/>
      <c r="NT231" s="61"/>
      <c r="NU231" s="61"/>
      <c r="NV231" s="61"/>
      <c r="NW231" s="61"/>
      <c r="NX231" s="61"/>
      <c r="NY231" s="61"/>
      <c r="NZ231" s="61"/>
      <c r="OA231" s="61"/>
      <c r="OB231" s="61"/>
      <c r="OC231" s="61"/>
      <c r="OD231" s="61"/>
      <c r="OE231" s="61"/>
      <c r="OF231" s="61"/>
      <c r="OG231" s="61"/>
      <c r="OH231" s="61"/>
      <c r="OI231" s="61"/>
      <c r="OJ231" s="61"/>
      <c r="OK231" s="61"/>
      <c r="OL231" s="61"/>
      <c r="OM231" s="61"/>
      <c r="ON231" s="61"/>
      <c r="OO231" s="61"/>
      <c r="OP231" s="61"/>
      <c r="OQ231" s="61"/>
      <c r="OR231" s="61"/>
      <c r="OS231" s="61"/>
      <c r="OT231" s="61"/>
      <c r="OU231" s="61"/>
      <c r="OV231" s="61"/>
      <c r="OW231" s="61"/>
      <c r="OX231" s="61"/>
      <c r="OY231" s="61"/>
      <c r="OZ231" s="61"/>
      <c r="PA231" s="61"/>
      <c r="PB231" s="61"/>
      <c r="PC231" s="61"/>
      <c r="PD231" s="61"/>
      <c r="PE231" s="61"/>
      <c r="PF231" s="61"/>
      <c r="PG231" s="61"/>
      <c r="PH231" s="61"/>
      <c r="PI231" s="61"/>
      <c r="PJ231" s="61"/>
      <c r="PK231" s="61"/>
      <c r="PL231" s="61"/>
      <c r="PM231" s="61"/>
      <c r="PN231" s="61"/>
      <c r="PO231" s="61"/>
      <c r="PP231" s="61"/>
      <c r="PQ231" s="61"/>
      <c r="PR231" s="61"/>
      <c r="PS231" s="61"/>
      <c r="PT231" s="61"/>
      <c r="PU231" s="61"/>
      <c r="PV231" s="61"/>
      <c r="PW231" s="61"/>
      <c r="PX231" s="61"/>
      <c r="PY231" s="61"/>
      <c r="PZ231" s="61"/>
      <c r="QA231" s="61"/>
      <c r="QB231" s="61"/>
      <c r="QC231" s="61"/>
      <c r="QD231" s="61"/>
      <c r="QE231" s="61"/>
      <c r="QF231" s="61"/>
      <c r="QG231" s="61"/>
      <c r="QH231" s="61"/>
      <c r="QI231" s="61"/>
      <c r="QJ231" s="61"/>
      <c r="QK231" s="61"/>
      <c r="QL231" s="61"/>
      <c r="QM231" s="61"/>
      <c r="QN231" s="61"/>
      <c r="QO231" s="61"/>
      <c r="QP231" s="61"/>
      <c r="QQ231" s="61"/>
      <c r="QR231" s="61"/>
      <c r="QS231" s="61"/>
      <c r="QT231" s="61"/>
      <c r="QU231" s="61"/>
      <c r="QV231" s="61"/>
      <c r="QW231" s="61"/>
      <c r="QX231" s="61"/>
      <c r="QY231" s="61"/>
      <c r="QZ231" s="61"/>
      <c r="RA231" s="61"/>
      <c r="RB231" s="61"/>
      <c r="RC231" s="61"/>
      <c r="RD231" s="61"/>
      <c r="RE231" s="61"/>
      <c r="RF231" s="61"/>
      <c r="RG231" s="61"/>
      <c r="RH231" s="61"/>
      <c r="RI231" s="61"/>
      <c r="RJ231" s="61"/>
      <c r="RK231" s="61"/>
      <c r="RL231" s="61"/>
      <c r="RM231" s="61"/>
      <c r="RN231" s="61"/>
      <c r="RO231" s="61"/>
      <c r="RP231" s="61"/>
      <c r="RQ231" s="61"/>
      <c r="RR231" s="61"/>
      <c r="RS231" s="61"/>
      <c r="RT231" s="61"/>
      <c r="RU231" s="61"/>
      <c r="RV231" s="61"/>
      <c r="RW231" s="61"/>
      <c r="RX231" s="61"/>
      <c r="RY231" s="61"/>
      <c r="RZ231" s="61"/>
      <c r="SA231" s="61"/>
      <c r="SB231" s="61"/>
      <c r="SC231" s="61"/>
      <c r="SD231" s="61"/>
      <c r="SE231" s="61"/>
      <c r="SF231" s="61"/>
      <c r="SG231" s="61"/>
      <c r="SH231" s="61"/>
      <c r="SI231" s="61"/>
      <c r="SJ231" s="61"/>
      <c r="SK231" s="61"/>
      <c r="SL231" s="61"/>
      <c r="SM231" s="61"/>
      <c r="SN231" s="61"/>
      <c r="SO231" s="61"/>
      <c r="SP231" s="61"/>
      <c r="SQ231" s="61"/>
      <c r="SR231" s="61"/>
      <c r="SS231" s="61"/>
      <c r="ST231" s="61"/>
      <c r="SU231" s="61"/>
      <c r="SV231" s="61"/>
      <c r="SW231" s="61"/>
      <c r="SX231" s="61"/>
      <c r="SY231" s="61"/>
      <c r="SZ231" s="61"/>
      <c r="TA231" s="61"/>
      <c r="TB231" s="61"/>
      <c r="TC231" s="61"/>
      <c r="TD231" s="61"/>
      <c r="TE231" s="61"/>
      <c r="TF231" s="61"/>
      <c r="TG231" s="61"/>
      <c r="TH231" s="61"/>
      <c r="TI231" s="61"/>
      <c r="TJ231" s="61"/>
      <c r="TK231" s="61"/>
      <c r="TL231" s="61"/>
      <c r="TM231" s="61"/>
      <c r="TN231" s="61"/>
      <c r="TO231" s="61"/>
      <c r="TP231" s="61"/>
      <c r="TQ231" s="61"/>
      <c r="TR231" s="61"/>
      <c r="TS231" s="61"/>
      <c r="TT231" s="61"/>
      <c r="TU231" s="61"/>
      <c r="TV231" s="61"/>
      <c r="TW231" s="61"/>
      <c r="TX231" s="61"/>
      <c r="TY231" s="61"/>
      <c r="TZ231" s="61"/>
      <c r="UA231" s="61"/>
      <c r="UB231" s="61"/>
      <c r="UC231" s="61"/>
      <c r="UD231" s="61"/>
      <c r="UE231" s="61"/>
      <c r="UF231" s="61"/>
      <c r="UG231" s="61"/>
      <c r="UH231" s="61"/>
      <c r="UI231" s="61"/>
      <c r="UJ231" s="61"/>
      <c r="UK231" s="61"/>
      <c r="UL231" s="61"/>
      <c r="UM231" s="61"/>
      <c r="UN231" s="61"/>
      <c r="UO231" s="61"/>
      <c r="UP231" s="61"/>
      <c r="UQ231" s="61"/>
      <c r="UR231" s="61"/>
      <c r="US231" s="61"/>
      <c r="UT231" s="61"/>
      <c r="UU231" s="61"/>
      <c r="UV231" s="61"/>
      <c r="UW231" s="61"/>
      <c r="UX231" s="61"/>
      <c r="UY231" s="61"/>
      <c r="UZ231" s="61"/>
      <c r="VA231" s="61"/>
      <c r="VB231" s="61"/>
      <c r="VC231" s="61"/>
    </row>
    <row r="232" spans="1:575" s="55" customFormat="1" ht="49.5" customHeight="1" x14ac:dyDescent="0.25">
      <c r="A232" s="102" t="s">
        <v>506</v>
      </c>
      <c r="B232" s="102" t="str">
        <f>'дод 2'!A171</f>
        <v>7363</v>
      </c>
      <c r="C232" s="102" t="str">
        <f>'дод 2'!B171</f>
        <v>0490</v>
      </c>
      <c r="D232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232" s="132">
        <f t="shared" si="40"/>
        <v>0</v>
      </c>
      <c r="F232" s="132"/>
      <c r="G232" s="132"/>
      <c r="H232" s="132"/>
      <c r="I232" s="132"/>
      <c r="J232" s="132">
        <f t="shared" si="28"/>
        <v>32277855.820000008</v>
      </c>
      <c r="K232" s="132">
        <f>7308614.43+53472.74+11064300+15155075.88+495705.2-7308614.43+5123000+1660000-1273698</f>
        <v>32277855.820000008</v>
      </c>
      <c r="L232" s="132"/>
      <c r="M232" s="132"/>
      <c r="N232" s="132"/>
      <c r="O232" s="132">
        <f>7308614.43+53472.74+11064300+15155075.88+495705.2-7308614.43+5123000+1660000-1273698</f>
        <v>32277855.820000008</v>
      </c>
      <c r="P232" s="132">
        <f t="shared" si="41"/>
        <v>32277855.820000008</v>
      </c>
      <c r="Q232" s="159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  <c r="KO232" s="61"/>
      <c r="KP232" s="61"/>
      <c r="KQ232" s="61"/>
      <c r="KR232" s="61"/>
      <c r="KS232" s="61"/>
      <c r="KT232" s="61"/>
      <c r="KU232" s="61"/>
      <c r="KV232" s="61"/>
      <c r="KW232" s="61"/>
      <c r="KX232" s="61"/>
      <c r="KY232" s="61"/>
      <c r="KZ232" s="61"/>
      <c r="LA232" s="61"/>
      <c r="LB232" s="61"/>
      <c r="LC232" s="61"/>
      <c r="LD232" s="61"/>
      <c r="LE232" s="61"/>
      <c r="LF232" s="61"/>
      <c r="LG232" s="61"/>
      <c r="LH232" s="61"/>
      <c r="LI232" s="61"/>
      <c r="LJ232" s="61"/>
      <c r="LK232" s="61"/>
      <c r="LL232" s="61"/>
      <c r="LM232" s="61"/>
      <c r="LN232" s="61"/>
      <c r="LO232" s="61"/>
      <c r="LP232" s="61"/>
      <c r="LQ232" s="61"/>
      <c r="LR232" s="61"/>
      <c r="LS232" s="61"/>
      <c r="LT232" s="61"/>
      <c r="LU232" s="61"/>
      <c r="LV232" s="61"/>
      <c r="LW232" s="61"/>
      <c r="LX232" s="61"/>
      <c r="LY232" s="61"/>
      <c r="LZ232" s="61"/>
      <c r="MA232" s="61"/>
      <c r="MB232" s="61"/>
      <c r="MC232" s="61"/>
      <c r="MD232" s="61"/>
      <c r="ME232" s="61"/>
      <c r="MF232" s="61"/>
      <c r="MG232" s="61"/>
      <c r="MH232" s="61"/>
      <c r="MI232" s="61"/>
      <c r="MJ232" s="61"/>
      <c r="MK232" s="61"/>
      <c r="ML232" s="61"/>
      <c r="MM232" s="61"/>
      <c r="MN232" s="61"/>
      <c r="MO232" s="61"/>
      <c r="MP232" s="61"/>
      <c r="MQ232" s="61"/>
      <c r="MR232" s="61"/>
      <c r="MS232" s="61"/>
      <c r="MT232" s="61"/>
      <c r="MU232" s="61"/>
      <c r="MV232" s="61"/>
      <c r="MW232" s="61"/>
      <c r="MX232" s="61"/>
      <c r="MY232" s="61"/>
      <c r="MZ232" s="61"/>
      <c r="NA232" s="61"/>
      <c r="NB232" s="61"/>
      <c r="NC232" s="61"/>
      <c r="ND232" s="61"/>
      <c r="NE232" s="61"/>
      <c r="NF232" s="61"/>
      <c r="NG232" s="61"/>
      <c r="NH232" s="61"/>
      <c r="NI232" s="61"/>
      <c r="NJ232" s="61"/>
      <c r="NK232" s="61"/>
      <c r="NL232" s="61"/>
      <c r="NM232" s="61"/>
      <c r="NN232" s="61"/>
      <c r="NO232" s="61"/>
      <c r="NP232" s="61"/>
      <c r="NQ232" s="61"/>
      <c r="NR232" s="61"/>
      <c r="NS232" s="61"/>
      <c r="NT232" s="61"/>
      <c r="NU232" s="61"/>
      <c r="NV232" s="61"/>
      <c r="NW232" s="61"/>
      <c r="NX232" s="61"/>
      <c r="NY232" s="61"/>
      <c r="NZ232" s="61"/>
      <c r="OA232" s="61"/>
      <c r="OB232" s="61"/>
      <c r="OC232" s="61"/>
      <c r="OD232" s="61"/>
      <c r="OE232" s="61"/>
      <c r="OF232" s="61"/>
      <c r="OG232" s="61"/>
      <c r="OH232" s="61"/>
      <c r="OI232" s="61"/>
      <c r="OJ232" s="61"/>
      <c r="OK232" s="61"/>
      <c r="OL232" s="61"/>
      <c r="OM232" s="61"/>
      <c r="ON232" s="61"/>
      <c r="OO232" s="61"/>
      <c r="OP232" s="61"/>
      <c r="OQ232" s="61"/>
      <c r="OR232" s="61"/>
      <c r="OS232" s="61"/>
      <c r="OT232" s="61"/>
      <c r="OU232" s="61"/>
      <c r="OV232" s="61"/>
      <c r="OW232" s="61"/>
      <c r="OX232" s="61"/>
      <c r="OY232" s="61"/>
      <c r="OZ232" s="61"/>
      <c r="PA232" s="61"/>
      <c r="PB232" s="61"/>
      <c r="PC232" s="61"/>
      <c r="PD232" s="61"/>
      <c r="PE232" s="61"/>
      <c r="PF232" s="61"/>
      <c r="PG232" s="61"/>
      <c r="PH232" s="61"/>
      <c r="PI232" s="61"/>
      <c r="PJ232" s="61"/>
      <c r="PK232" s="61"/>
      <c r="PL232" s="61"/>
      <c r="PM232" s="61"/>
      <c r="PN232" s="61"/>
      <c r="PO232" s="61"/>
      <c r="PP232" s="61"/>
      <c r="PQ232" s="61"/>
      <c r="PR232" s="61"/>
      <c r="PS232" s="61"/>
      <c r="PT232" s="61"/>
      <c r="PU232" s="61"/>
      <c r="PV232" s="61"/>
      <c r="PW232" s="61"/>
      <c r="PX232" s="61"/>
      <c r="PY232" s="61"/>
      <c r="PZ232" s="61"/>
      <c r="QA232" s="61"/>
      <c r="QB232" s="61"/>
      <c r="QC232" s="61"/>
      <c r="QD232" s="61"/>
      <c r="QE232" s="61"/>
      <c r="QF232" s="61"/>
      <c r="QG232" s="61"/>
      <c r="QH232" s="61"/>
      <c r="QI232" s="61"/>
      <c r="QJ232" s="61"/>
      <c r="QK232" s="61"/>
      <c r="QL232" s="61"/>
      <c r="QM232" s="61"/>
      <c r="QN232" s="61"/>
      <c r="QO232" s="61"/>
      <c r="QP232" s="61"/>
      <c r="QQ232" s="61"/>
      <c r="QR232" s="61"/>
      <c r="QS232" s="61"/>
      <c r="QT232" s="61"/>
      <c r="QU232" s="61"/>
      <c r="QV232" s="61"/>
      <c r="QW232" s="61"/>
      <c r="QX232" s="61"/>
      <c r="QY232" s="61"/>
      <c r="QZ232" s="61"/>
      <c r="RA232" s="61"/>
      <c r="RB232" s="61"/>
      <c r="RC232" s="61"/>
      <c r="RD232" s="61"/>
      <c r="RE232" s="61"/>
      <c r="RF232" s="61"/>
      <c r="RG232" s="61"/>
      <c r="RH232" s="61"/>
      <c r="RI232" s="61"/>
      <c r="RJ232" s="61"/>
      <c r="RK232" s="61"/>
      <c r="RL232" s="61"/>
      <c r="RM232" s="61"/>
      <c r="RN232" s="61"/>
      <c r="RO232" s="61"/>
      <c r="RP232" s="61"/>
      <c r="RQ232" s="61"/>
      <c r="RR232" s="61"/>
      <c r="RS232" s="61"/>
      <c r="RT232" s="61"/>
      <c r="RU232" s="61"/>
      <c r="RV232" s="61"/>
      <c r="RW232" s="61"/>
      <c r="RX232" s="61"/>
      <c r="RY232" s="61"/>
      <c r="RZ232" s="61"/>
      <c r="SA232" s="61"/>
      <c r="SB232" s="61"/>
      <c r="SC232" s="61"/>
      <c r="SD232" s="61"/>
      <c r="SE232" s="61"/>
      <c r="SF232" s="61"/>
      <c r="SG232" s="61"/>
      <c r="SH232" s="61"/>
      <c r="SI232" s="61"/>
      <c r="SJ232" s="61"/>
      <c r="SK232" s="61"/>
      <c r="SL232" s="61"/>
      <c r="SM232" s="61"/>
      <c r="SN232" s="61"/>
      <c r="SO232" s="61"/>
      <c r="SP232" s="61"/>
      <c r="SQ232" s="61"/>
      <c r="SR232" s="61"/>
      <c r="SS232" s="61"/>
      <c r="ST232" s="61"/>
      <c r="SU232" s="61"/>
      <c r="SV232" s="61"/>
      <c r="SW232" s="61"/>
      <c r="SX232" s="61"/>
      <c r="SY232" s="61"/>
      <c r="SZ232" s="61"/>
      <c r="TA232" s="61"/>
      <c r="TB232" s="61"/>
      <c r="TC232" s="61"/>
      <c r="TD232" s="61"/>
      <c r="TE232" s="61"/>
      <c r="TF232" s="61"/>
      <c r="TG232" s="61"/>
      <c r="TH232" s="61"/>
      <c r="TI232" s="61"/>
      <c r="TJ232" s="61"/>
      <c r="TK232" s="61"/>
      <c r="TL232" s="61"/>
      <c r="TM232" s="61"/>
      <c r="TN232" s="61"/>
      <c r="TO232" s="61"/>
      <c r="TP232" s="61"/>
      <c r="TQ232" s="61"/>
      <c r="TR232" s="61"/>
      <c r="TS232" s="61"/>
      <c r="TT232" s="61"/>
      <c r="TU232" s="61"/>
      <c r="TV232" s="61"/>
      <c r="TW232" s="61"/>
      <c r="TX232" s="61"/>
      <c r="TY232" s="61"/>
      <c r="TZ232" s="61"/>
      <c r="UA232" s="61"/>
      <c r="UB232" s="61"/>
      <c r="UC232" s="61"/>
      <c r="UD232" s="61"/>
      <c r="UE232" s="61"/>
      <c r="UF232" s="61"/>
      <c r="UG232" s="61"/>
      <c r="UH232" s="61"/>
      <c r="UI232" s="61"/>
      <c r="UJ232" s="61"/>
      <c r="UK232" s="61"/>
      <c r="UL232" s="61"/>
      <c r="UM232" s="61"/>
      <c r="UN232" s="61"/>
      <c r="UO232" s="61"/>
      <c r="UP232" s="61"/>
      <c r="UQ232" s="61"/>
      <c r="UR232" s="61"/>
      <c r="US232" s="61"/>
      <c r="UT232" s="61"/>
      <c r="UU232" s="61"/>
      <c r="UV232" s="61"/>
      <c r="UW232" s="61"/>
      <c r="UX232" s="61"/>
      <c r="UY232" s="61"/>
      <c r="UZ232" s="61"/>
      <c r="VA232" s="61"/>
      <c r="VB232" s="61"/>
      <c r="VC232" s="61"/>
    </row>
    <row r="233" spans="1:575" s="55" customFormat="1" ht="18.75" customHeight="1" x14ac:dyDescent="0.25">
      <c r="A233" s="102"/>
      <c r="B233" s="102"/>
      <c r="C233" s="102"/>
      <c r="D233" s="54" t="s">
        <v>344</v>
      </c>
      <c r="E233" s="132">
        <f t="shared" si="40"/>
        <v>0</v>
      </c>
      <c r="F233" s="132"/>
      <c r="G233" s="132"/>
      <c r="H233" s="132"/>
      <c r="I233" s="132"/>
      <c r="J233" s="132">
        <f t="shared" si="28"/>
        <v>31728677.880000003</v>
      </c>
      <c r="K233" s="132">
        <f>11064300+15155075.88+5123000+1660000-1273698</f>
        <v>31728677.880000003</v>
      </c>
      <c r="L233" s="132"/>
      <c r="M233" s="132"/>
      <c r="N233" s="132"/>
      <c r="O233" s="132">
        <f>11064300+15155075.88+5123000+1660000-1273698</f>
        <v>31728677.880000003</v>
      </c>
      <c r="P233" s="132">
        <f t="shared" si="41"/>
        <v>31728677.880000003</v>
      </c>
      <c r="Q233" s="159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  <c r="KO233" s="61"/>
      <c r="KP233" s="61"/>
      <c r="KQ233" s="61"/>
      <c r="KR233" s="61"/>
      <c r="KS233" s="61"/>
      <c r="KT233" s="61"/>
      <c r="KU233" s="61"/>
      <c r="KV233" s="61"/>
      <c r="KW233" s="61"/>
      <c r="KX233" s="61"/>
      <c r="KY233" s="61"/>
      <c r="KZ233" s="61"/>
      <c r="LA233" s="61"/>
      <c r="LB233" s="61"/>
      <c r="LC233" s="61"/>
      <c r="LD233" s="61"/>
      <c r="LE233" s="61"/>
      <c r="LF233" s="61"/>
      <c r="LG233" s="61"/>
      <c r="LH233" s="61"/>
      <c r="LI233" s="61"/>
      <c r="LJ233" s="61"/>
      <c r="LK233" s="61"/>
      <c r="LL233" s="61"/>
      <c r="LM233" s="61"/>
      <c r="LN233" s="61"/>
      <c r="LO233" s="61"/>
      <c r="LP233" s="61"/>
      <c r="LQ233" s="61"/>
      <c r="LR233" s="61"/>
      <c r="LS233" s="61"/>
      <c r="LT233" s="61"/>
      <c r="LU233" s="61"/>
      <c r="LV233" s="61"/>
      <c r="LW233" s="61"/>
      <c r="LX233" s="61"/>
      <c r="LY233" s="61"/>
      <c r="LZ233" s="61"/>
      <c r="MA233" s="61"/>
      <c r="MB233" s="61"/>
      <c r="MC233" s="61"/>
      <c r="MD233" s="61"/>
      <c r="ME233" s="61"/>
      <c r="MF233" s="61"/>
      <c r="MG233" s="61"/>
      <c r="MH233" s="61"/>
      <c r="MI233" s="61"/>
      <c r="MJ233" s="61"/>
      <c r="MK233" s="61"/>
      <c r="ML233" s="61"/>
      <c r="MM233" s="61"/>
      <c r="MN233" s="61"/>
      <c r="MO233" s="61"/>
      <c r="MP233" s="61"/>
      <c r="MQ233" s="61"/>
      <c r="MR233" s="61"/>
      <c r="MS233" s="61"/>
      <c r="MT233" s="61"/>
      <c r="MU233" s="61"/>
      <c r="MV233" s="61"/>
      <c r="MW233" s="61"/>
      <c r="MX233" s="61"/>
      <c r="MY233" s="61"/>
      <c r="MZ233" s="61"/>
      <c r="NA233" s="61"/>
      <c r="NB233" s="61"/>
      <c r="NC233" s="61"/>
      <c r="ND233" s="61"/>
      <c r="NE233" s="61"/>
      <c r="NF233" s="61"/>
      <c r="NG233" s="61"/>
      <c r="NH233" s="61"/>
      <c r="NI233" s="61"/>
      <c r="NJ233" s="61"/>
      <c r="NK233" s="61"/>
      <c r="NL233" s="61"/>
      <c r="NM233" s="61"/>
      <c r="NN233" s="61"/>
      <c r="NO233" s="61"/>
      <c r="NP233" s="61"/>
      <c r="NQ233" s="61"/>
      <c r="NR233" s="61"/>
      <c r="NS233" s="61"/>
      <c r="NT233" s="61"/>
      <c r="NU233" s="61"/>
      <c r="NV233" s="61"/>
      <c r="NW233" s="61"/>
      <c r="NX233" s="61"/>
      <c r="NY233" s="61"/>
      <c r="NZ233" s="61"/>
      <c r="OA233" s="61"/>
      <c r="OB233" s="61"/>
      <c r="OC233" s="61"/>
      <c r="OD233" s="61"/>
      <c r="OE233" s="61"/>
      <c r="OF233" s="61"/>
      <c r="OG233" s="61"/>
      <c r="OH233" s="61"/>
      <c r="OI233" s="61"/>
      <c r="OJ233" s="61"/>
      <c r="OK233" s="61"/>
      <c r="OL233" s="61"/>
      <c r="OM233" s="61"/>
      <c r="ON233" s="61"/>
      <c r="OO233" s="61"/>
      <c r="OP233" s="61"/>
      <c r="OQ233" s="61"/>
      <c r="OR233" s="61"/>
      <c r="OS233" s="61"/>
      <c r="OT233" s="61"/>
      <c r="OU233" s="61"/>
      <c r="OV233" s="61"/>
      <c r="OW233" s="61"/>
      <c r="OX233" s="61"/>
      <c r="OY233" s="61"/>
      <c r="OZ233" s="61"/>
      <c r="PA233" s="61"/>
      <c r="PB233" s="61"/>
      <c r="PC233" s="61"/>
      <c r="PD233" s="61"/>
      <c r="PE233" s="61"/>
      <c r="PF233" s="61"/>
      <c r="PG233" s="61"/>
      <c r="PH233" s="61"/>
      <c r="PI233" s="61"/>
      <c r="PJ233" s="61"/>
      <c r="PK233" s="61"/>
      <c r="PL233" s="61"/>
      <c r="PM233" s="61"/>
      <c r="PN233" s="61"/>
      <c r="PO233" s="61"/>
      <c r="PP233" s="61"/>
      <c r="PQ233" s="61"/>
      <c r="PR233" s="61"/>
      <c r="PS233" s="61"/>
      <c r="PT233" s="61"/>
      <c r="PU233" s="61"/>
      <c r="PV233" s="61"/>
      <c r="PW233" s="61"/>
      <c r="PX233" s="61"/>
      <c r="PY233" s="61"/>
      <c r="PZ233" s="61"/>
      <c r="QA233" s="61"/>
      <c r="QB233" s="61"/>
      <c r="QC233" s="61"/>
      <c r="QD233" s="61"/>
      <c r="QE233" s="61"/>
      <c r="QF233" s="61"/>
      <c r="QG233" s="61"/>
      <c r="QH233" s="61"/>
      <c r="QI233" s="61"/>
      <c r="QJ233" s="61"/>
      <c r="QK233" s="61"/>
      <c r="QL233" s="61"/>
      <c r="QM233" s="61"/>
      <c r="QN233" s="61"/>
      <c r="QO233" s="61"/>
      <c r="QP233" s="61"/>
      <c r="QQ233" s="61"/>
      <c r="QR233" s="61"/>
      <c r="QS233" s="61"/>
      <c r="QT233" s="61"/>
      <c r="QU233" s="61"/>
      <c r="QV233" s="61"/>
      <c r="QW233" s="61"/>
      <c r="QX233" s="61"/>
      <c r="QY233" s="61"/>
      <c r="QZ233" s="61"/>
      <c r="RA233" s="61"/>
      <c r="RB233" s="61"/>
      <c r="RC233" s="61"/>
      <c r="RD233" s="61"/>
      <c r="RE233" s="61"/>
      <c r="RF233" s="61"/>
      <c r="RG233" s="61"/>
      <c r="RH233" s="61"/>
      <c r="RI233" s="61"/>
      <c r="RJ233" s="61"/>
      <c r="RK233" s="61"/>
      <c r="RL233" s="61"/>
      <c r="RM233" s="61"/>
      <c r="RN233" s="61"/>
      <c r="RO233" s="61"/>
      <c r="RP233" s="61"/>
      <c r="RQ233" s="61"/>
      <c r="RR233" s="61"/>
      <c r="RS233" s="61"/>
      <c r="RT233" s="61"/>
      <c r="RU233" s="61"/>
      <c r="RV233" s="61"/>
      <c r="RW233" s="61"/>
      <c r="RX233" s="61"/>
      <c r="RY233" s="61"/>
      <c r="RZ233" s="61"/>
      <c r="SA233" s="61"/>
      <c r="SB233" s="61"/>
      <c r="SC233" s="61"/>
      <c r="SD233" s="61"/>
      <c r="SE233" s="61"/>
      <c r="SF233" s="61"/>
      <c r="SG233" s="61"/>
      <c r="SH233" s="61"/>
      <c r="SI233" s="61"/>
      <c r="SJ233" s="61"/>
      <c r="SK233" s="61"/>
      <c r="SL233" s="61"/>
      <c r="SM233" s="61"/>
      <c r="SN233" s="61"/>
      <c r="SO233" s="61"/>
      <c r="SP233" s="61"/>
      <c r="SQ233" s="61"/>
      <c r="SR233" s="61"/>
      <c r="SS233" s="61"/>
      <c r="ST233" s="61"/>
      <c r="SU233" s="61"/>
      <c r="SV233" s="61"/>
      <c r="SW233" s="61"/>
      <c r="SX233" s="61"/>
      <c r="SY233" s="61"/>
      <c r="SZ233" s="61"/>
      <c r="TA233" s="61"/>
      <c r="TB233" s="61"/>
      <c r="TC233" s="61"/>
      <c r="TD233" s="61"/>
      <c r="TE233" s="61"/>
      <c r="TF233" s="61"/>
      <c r="TG233" s="61"/>
      <c r="TH233" s="61"/>
      <c r="TI233" s="61"/>
      <c r="TJ233" s="61"/>
      <c r="TK233" s="61"/>
      <c r="TL233" s="61"/>
      <c r="TM233" s="61"/>
      <c r="TN233" s="61"/>
      <c r="TO233" s="61"/>
      <c r="TP233" s="61"/>
      <c r="TQ233" s="61"/>
      <c r="TR233" s="61"/>
      <c r="TS233" s="61"/>
      <c r="TT233" s="61"/>
      <c r="TU233" s="61"/>
      <c r="TV233" s="61"/>
      <c r="TW233" s="61"/>
      <c r="TX233" s="61"/>
      <c r="TY233" s="61"/>
      <c r="TZ233" s="61"/>
      <c r="UA233" s="61"/>
      <c r="UB233" s="61"/>
      <c r="UC233" s="61"/>
      <c r="UD233" s="61"/>
      <c r="UE233" s="61"/>
      <c r="UF233" s="61"/>
      <c r="UG233" s="61"/>
      <c r="UH233" s="61"/>
      <c r="UI233" s="61"/>
      <c r="UJ233" s="61"/>
      <c r="UK233" s="61"/>
      <c r="UL233" s="61"/>
      <c r="UM233" s="61"/>
      <c r="UN233" s="61"/>
      <c r="UO233" s="61"/>
      <c r="UP233" s="61"/>
      <c r="UQ233" s="61"/>
      <c r="UR233" s="61"/>
      <c r="US233" s="61"/>
      <c r="UT233" s="61"/>
      <c r="UU233" s="61"/>
      <c r="UV233" s="61"/>
      <c r="UW233" s="61"/>
      <c r="UX233" s="61"/>
      <c r="UY233" s="61"/>
      <c r="UZ233" s="61"/>
      <c r="VA233" s="61"/>
      <c r="VB233" s="61"/>
      <c r="VC233" s="61"/>
    </row>
    <row r="234" spans="1:575" s="55" customFormat="1" ht="39" customHeight="1" x14ac:dyDescent="0.25">
      <c r="A234" s="102">
        <v>1217461</v>
      </c>
      <c r="B234" s="102">
        <v>7461</v>
      </c>
      <c r="C234" s="79" t="s">
        <v>410</v>
      </c>
      <c r="D234" s="54" t="s">
        <v>607</v>
      </c>
      <c r="E234" s="132">
        <f t="shared" si="40"/>
        <v>0</v>
      </c>
      <c r="F234" s="132"/>
      <c r="G234" s="132"/>
      <c r="H234" s="132"/>
      <c r="I234" s="132"/>
      <c r="J234" s="132">
        <f t="shared" si="28"/>
        <v>70472.47</v>
      </c>
      <c r="K234" s="132"/>
      <c r="L234" s="132"/>
      <c r="M234" s="132"/>
      <c r="N234" s="132"/>
      <c r="O234" s="132">
        <v>70472.47</v>
      </c>
      <c r="P234" s="132">
        <f t="shared" si="41"/>
        <v>70472.47</v>
      </c>
      <c r="Q234" s="159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  <c r="SP234" s="61"/>
      <c r="SQ234" s="61"/>
      <c r="SR234" s="61"/>
      <c r="SS234" s="61"/>
      <c r="ST234" s="61"/>
      <c r="SU234" s="61"/>
      <c r="SV234" s="61"/>
      <c r="SW234" s="61"/>
      <c r="SX234" s="61"/>
      <c r="SY234" s="61"/>
      <c r="SZ234" s="61"/>
      <c r="TA234" s="61"/>
      <c r="TB234" s="61"/>
      <c r="TC234" s="61"/>
      <c r="TD234" s="61"/>
      <c r="TE234" s="61"/>
      <c r="TF234" s="61"/>
      <c r="TG234" s="61"/>
      <c r="TH234" s="61"/>
      <c r="TI234" s="61"/>
      <c r="TJ234" s="61"/>
      <c r="TK234" s="61"/>
      <c r="TL234" s="61"/>
      <c r="TM234" s="61"/>
      <c r="TN234" s="61"/>
      <c r="TO234" s="61"/>
      <c r="TP234" s="61"/>
      <c r="TQ234" s="61"/>
      <c r="TR234" s="61"/>
      <c r="TS234" s="61"/>
      <c r="TT234" s="61"/>
      <c r="TU234" s="61"/>
      <c r="TV234" s="61"/>
      <c r="TW234" s="61"/>
      <c r="TX234" s="61"/>
      <c r="TY234" s="61"/>
      <c r="TZ234" s="61"/>
      <c r="UA234" s="61"/>
      <c r="UB234" s="61"/>
      <c r="UC234" s="61"/>
      <c r="UD234" s="61"/>
      <c r="UE234" s="61"/>
      <c r="UF234" s="61"/>
      <c r="UG234" s="61"/>
      <c r="UH234" s="61"/>
      <c r="UI234" s="61"/>
      <c r="UJ234" s="61"/>
      <c r="UK234" s="61"/>
      <c r="UL234" s="61"/>
      <c r="UM234" s="61"/>
      <c r="UN234" s="61"/>
      <c r="UO234" s="61"/>
      <c r="UP234" s="61"/>
      <c r="UQ234" s="61"/>
      <c r="UR234" s="61"/>
      <c r="US234" s="61"/>
      <c r="UT234" s="61"/>
      <c r="UU234" s="61"/>
      <c r="UV234" s="61"/>
      <c r="UW234" s="61"/>
      <c r="UX234" s="61"/>
      <c r="UY234" s="61"/>
      <c r="UZ234" s="61"/>
      <c r="VA234" s="61"/>
      <c r="VB234" s="61"/>
      <c r="VC234" s="61"/>
    </row>
    <row r="235" spans="1:575" s="55" customFormat="1" ht="48" customHeight="1" x14ac:dyDescent="0.25">
      <c r="A235" s="102">
        <v>1217462</v>
      </c>
      <c r="B235" s="102">
        <v>7462</v>
      </c>
      <c r="C235" s="79" t="s">
        <v>410</v>
      </c>
      <c r="D235" s="54" t="s">
        <v>529</v>
      </c>
      <c r="E235" s="132">
        <f t="shared" si="40"/>
        <v>0</v>
      </c>
      <c r="F235" s="132"/>
      <c r="G235" s="132"/>
      <c r="H235" s="132"/>
      <c r="I235" s="132"/>
      <c r="J235" s="132">
        <f t="shared" si="28"/>
        <v>41000000</v>
      </c>
      <c r="K235" s="132"/>
      <c r="L235" s="132">
        <v>41000000</v>
      </c>
      <c r="M235" s="132"/>
      <c r="N235" s="132"/>
      <c r="O235" s="132"/>
      <c r="P235" s="132">
        <f t="shared" si="41"/>
        <v>41000000</v>
      </c>
      <c r="Q235" s="159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  <c r="KO235" s="61"/>
      <c r="KP235" s="61"/>
      <c r="KQ235" s="61"/>
      <c r="KR235" s="61"/>
      <c r="KS235" s="61"/>
      <c r="KT235" s="61"/>
      <c r="KU235" s="61"/>
      <c r="KV235" s="61"/>
      <c r="KW235" s="61"/>
      <c r="KX235" s="61"/>
      <c r="KY235" s="61"/>
      <c r="KZ235" s="61"/>
      <c r="LA235" s="61"/>
      <c r="LB235" s="61"/>
      <c r="LC235" s="61"/>
      <c r="LD235" s="61"/>
      <c r="LE235" s="61"/>
      <c r="LF235" s="61"/>
      <c r="LG235" s="61"/>
      <c r="LH235" s="61"/>
      <c r="LI235" s="61"/>
      <c r="LJ235" s="61"/>
      <c r="LK235" s="61"/>
      <c r="LL235" s="61"/>
      <c r="LM235" s="61"/>
      <c r="LN235" s="61"/>
      <c r="LO235" s="61"/>
      <c r="LP235" s="61"/>
      <c r="LQ235" s="61"/>
      <c r="LR235" s="61"/>
      <c r="LS235" s="61"/>
      <c r="LT235" s="61"/>
      <c r="LU235" s="61"/>
      <c r="LV235" s="61"/>
      <c r="LW235" s="61"/>
      <c r="LX235" s="61"/>
      <c r="LY235" s="61"/>
      <c r="LZ235" s="61"/>
      <c r="MA235" s="61"/>
      <c r="MB235" s="61"/>
      <c r="MC235" s="61"/>
      <c r="MD235" s="61"/>
      <c r="ME235" s="61"/>
      <c r="MF235" s="61"/>
      <c r="MG235" s="61"/>
      <c r="MH235" s="61"/>
      <c r="MI235" s="61"/>
      <c r="MJ235" s="61"/>
      <c r="MK235" s="61"/>
      <c r="ML235" s="61"/>
      <c r="MM235" s="61"/>
      <c r="MN235" s="61"/>
      <c r="MO235" s="61"/>
      <c r="MP235" s="61"/>
      <c r="MQ235" s="61"/>
      <c r="MR235" s="61"/>
      <c r="MS235" s="61"/>
      <c r="MT235" s="61"/>
      <c r="MU235" s="61"/>
      <c r="MV235" s="61"/>
      <c r="MW235" s="61"/>
      <c r="MX235" s="61"/>
      <c r="MY235" s="61"/>
      <c r="MZ235" s="61"/>
      <c r="NA235" s="61"/>
      <c r="NB235" s="61"/>
      <c r="NC235" s="61"/>
      <c r="ND235" s="61"/>
      <c r="NE235" s="61"/>
      <c r="NF235" s="61"/>
      <c r="NG235" s="61"/>
      <c r="NH235" s="61"/>
      <c r="NI235" s="61"/>
      <c r="NJ235" s="61"/>
      <c r="NK235" s="61"/>
      <c r="NL235" s="61"/>
      <c r="NM235" s="61"/>
      <c r="NN235" s="61"/>
      <c r="NO235" s="61"/>
      <c r="NP235" s="61"/>
      <c r="NQ235" s="61"/>
      <c r="NR235" s="61"/>
      <c r="NS235" s="61"/>
      <c r="NT235" s="61"/>
      <c r="NU235" s="61"/>
      <c r="NV235" s="61"/>
      <c r="NW235" s="61"/>
      <c r="NX235" s="61"/>
      <c r="NY235" s="61"/>
      <c r="NZ235" s="61"/>
      <c r="OA235" s="61"/>
      <c r="OB235" s="61"/>
      <c r="OC235" s="61"/>
      <c r="OD235" s="61"/>
      <c r="OE235" s="61"/>
      <c r="OF235" s="61"/>
      <c r="OG235" s="61"/>
      <c r="OH235" s="61"/>
      <c r="OI235" s="61"/>
      <c r="OJ235" s="61"/>
      <c r="OK235" s="61"/>
      <c r="OL235" s="61"/>
      <c r="OM235" s="61"/>
      <c r="ON235" s="61"/>
      <c r="OO235" s="61"/>
      <c r="OP235" s="61"/>
      <c r="OQ235" s="61"/>
      <c r="OR235" s="61"/>
      <c r="OS235" s="61"/>
      <c r="OT235" s="61"/>
      <c r="OU235" s="61"/>
      <c r="OV235" s="61"/>
      <c r="OW235" s="61"/>
      <c r="OX235" s="61"/>
      <c r="OY235" s="61"/>
      <c r="OZ235" s="61"/>
      <c r="PA235" s="61"/>
      <c r="PB235" s="61"/>
      <c r="PC235" s="61"/>
      <c r="PD235" s="61"/>
      <c r="PE235" s="61"/>
      <c r="PF235" s="61"/>
      <c r="PG235" s="61"/>
      <c r="PH235" s="61"/>
      <c r="PI235" s="61"/>
      <c r="PJ235" s="61"/>
      <c r="PK235" s="61"/>
      <c r="PL235" s="61"/>
      <c r="PM235" s="61"/>
      <c r="PN235" s="61"/>
      <c r="PO235" s="61"/>
      <c r="PP235" s="61"/>
      <c r="PQ235" s="61"/>
      <c r="PR235" s="61"/>
      <c r="PS235" s="61"/>
      <c r="PT235" s="61"/>
      <c r="PU235" s="61"/>
      <c r="PV235" s="61"/>
      <c r="PW235" s="61"/>
      <c r="PX235" s="61"/>
      <c r="PY235" s="61"/>
      <c r="PZ235" s="61"/>
      <c r="QA235" s="61"/>
      <c r="QB235" s="61"/>
      <c r="QC235" s="61"/>
      <c r="QD235" s="61"/>
      <c r="QE235" s="61"/>
      <c r="QF235" s="61"/>
      <c r="QG235" s="61"/>
      <c r="QH235" s="61"/>
      <c r="QI235" s="61"/>
      <c r="QJ235" s="61"/>
      <c r="QK235" s="61"/>
      <c r="QL235" s="61"/>
      <c r="QM235" s="61"/>
      <c r="QN235" s="61"/>
      <c r="QO235" s="61"/>
      <c r="QP235" s="61"/>
      <c r="QQ235" s="61"/>
      <c r="QR235" s="61"/>
      <c r="QS235" s="61"/>
      <c r="QT235" s="61"/>
      <c r="QU235" s="61"/>
      <c r="QV235" s="61"/>
      <c r="QW235" s="61"/>
      <c r="QX235" s="61"/>
      <c r="QY235" s="61"/>
      <c r="QZ235" s="61"/>
      <c r="RA235" s="61"/>
      <c r="RB235" s="61"/>
      <c r="RC235" s="61"/>
      <c r="RD235" s="61"/>
      <c r="RE235" s="61"/>
      <c r="RF235" s="61"/>
      <c r="RG235" s="61"/>
      <c r="RH235" s="61"/>
      <c r="RI235" s="61"/>
      <c r="RJ235" s="61"/>
      <c r="RK235" s="61"/>
      <c r="RL235" s="61"/>
      <c r="RM235" s="61"/>
      <c r="RN235" s="61"/>
      <c r="RO235" s="61"/>
      <c r="RP235" s="61"/>
      <c r="RQ235" s="61"/>
      <c r="RR235" s="61"/>
      <c r="RS235" s="61"/>
      <c r="RT235" s="61"/>
      <c r="RU235" s="61"/>
      <c r="RV235" s="61"/>
      <c r="RW235" s="61"/>
      <c r="RX235" s="61"/>
      <c r="RY235" s="61"/>
      <c r="RZ235" s="61"/>
      <c r="SA235" s="61"/>
      <c r="SB235" s="61"/>
      <c r="SC235" s="61"/>
      <c r="SD235" s="61"/>
      <c r="SE235" s="61"/>
      <c r="SF235" s="61"/>
      <c r="SG235" s="61"/>
      <c r="SH235" s="61"/>
      <c r="SI235" s="61"/>
      <c r="SJ235" s="61"/>
      <c r="SK235" s="61"/>
      <c r="SL235" s="61"/>
      <c r="SM235" s="61"/>
      <c r="SN235" s="61"/>
      <c r="SO235" s="61"/>
      <c r="SP235" s="61"/>
      <c r="SQ235" s="61"/>
      <c r="SR235" s="61"/>
      <c r="SS235" s="61"/>
      <c r="ST235" s="61"/>
      <c r="SU235" s="61"/>
      <c r="SV235" s="61"/>
      <c r="SW235" s="61"/>
      <c r="SX235" s="61"/>
      <c r="SY235" s="61"/>
      <c r="SZ235" s="61"/>
      <c r="TA235" s="61"/>
      <c r="TB235" s="61"/>
      <c r="TC235" s="61"/>
      <c r="TD235" s="61"/>
      <c r="TE235" s="61"/>
      <c r="TF235" s="61"/>
      <c r="TG235" s="61"/>
      <c r="TH235" s="61"/>
      <c r="TI235" s="61"/>
      <c r="TJ235" s="61"/>
      <c r="TK235" s="61"/>
      <c r="TL235" s="61"/>
      <c r="TM235" s="61"/>
      <c r="TN235" s="61"/>
      <c r="TO235" s="61"/>
      <c r="TP235" s="61"/>
      <c r="TQ235" s="61"/>
      <c r="TR235" s="61"/>
      <c r="TS235" s="61"/>
      <c r="TT235" s="61"/>
      <c r="TU235" s="61"/>
      <c r="TV235" s="61"/>
      <c r="TW235" s="61"/>
      <c r="TX235" s="61"/>
      <c r="TY235" s="61"/>
      <c r="TZ235" s="61"/>
      <c r="UA235" s="61"/>
      <c r="UB235" s="61"/>
      <c r="UC235" s="61"/>
      <c r="UD235" s="61"/>
      <c r="UE235" s="61"/>
      <c r="UF235" s="61"/>
      <c r="UG235" s="61"/>
      <c r="UH235" s="61"/>
      <c r="UI235" s="61"/>
      <c r="UJ235" s="61"/>
      <c r="UK235" s="61"/>
      <c r="UL235" s="61"/>
      <c r="UM235" s="61"/>
      <c r="UN235" s="61"/>
      <c r="UO235" s="61"/>
      <c r="UP235" s="61"/>
      <c r="UQ235" s="61"/>
      <c r="UR235" s="61"/>
      <c r="US235" s="61"/>
      <c r="UT235" s="61"/>
      <c r="UU235" s="61"/>
      <c r="UV235" s="61"/>
      <c r="UW235" s="61"/>
      <c r="UX235" s="61"/>
      <c r="UY235" s="61"/>
      <c r="UZ235" s="61"/>
      <c r="VA235" s="61"/>
      <c r="VB235" s="61"/>
      <c r="VC235" s="61"/>
    </row>
    <row r="236" spans="1:575" s="55" customFormat="1" ht="20.25" customHeight="1" x14ac:dyDescent="0.25">
      <c r="A236" s="102"/>
      <c r="B236" s="102"/>
      <c r="C236" s="102"/>
      <c r="D236" s="54" t="s">
        <v>344</v>
      </c>
      <c r="E236" s="132">
        <f t="shared" si="40"/>
        <v>0</v>
      </c>
      <c r="F236" s="132"/>
      <c r="G236" s="132"/>
      <c r="H236" s="132"/>
      <c r="I236" s="132"/>
      <c r="J236" s="132">
        <f t="shared" si="28"/>
        <v>41000000</v>
      </c>
      <c r="K236" s="132"/>
      <c r="L236" s="132">
        <v>41000000</v>
      </c>
      <c r="M236" s="132"/>
      <c r="N236" s="132"/>
      <c r="O236" s="132"/>
      <c r="P236" s="132">
        <f t="shared" si="41"/>
        <v>41000000</v>
      </c>
      <c r="Q236" s="159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  <c r="SP236" s="61"/>
      <c r="SQ236" s="61"/>
      <c r="SR236" s="61"/>
      <c r="SS236" s="61"/>
      <c r="ST236" s="61"/>
      <c r="SU236" s="61"/>
      <c r="SV236" s="61"/>
      <c r="SW236" s="61"/>
      <c r="SX236" s="61"/>
      <c r="SY236" s="61"/>
      <c r="SZ236" s="61"/>
      <c r="TA236" s="61"/>
      <c r="TB236" s="61"/>
      <c r="TC236" s="61"/>
      <c r="TD236" s="61"/>
      <c r="TE236" s="61"/>
      <c r="TF236" s="61"/>
      <c r="TG236" s="61"/>
      <c r="TH236" s="61"/>
      <c r="TI236" s="61"/>
      <c r="TJ236" s="61"/>
      <c r="TK236" s="61"/>
      <c r="TL236" s="61"/>
      <c r="TM236" s="61"/>
      <c r="TN236" s="61"/>
      <c r="TO236" s="61"/>
      <c r="TP236" s="61"/>
      <c r="TQ236" s="61"/>
      <c r="TR236" s="61"/>
      <c r="TS236" s="61"/>
      <c r="TT236" s="61"/>
      <c r="TU236" s="61"/>
      <c r="TV236" s="61"/>
      <c r="TW236" s="61"/>
      <c r="TX236" s="61"/>
      <c r="TY236" s="61"/>
      <c r="TZ236" s="61"/>
      <c r="UA236" s="61"/>
      <c r="UB236" s="61"/>
      <c r="UC236" s="61"/>
      <c r="UD236" s="61"/>
      <c r="UE236" s="61"/>
      <c r="UF236" s="61"/>
      <c r="UG236" s="61"/>
      <c r="UH236" s="61"/>
      <c r="UI236" s="61"/>
      <c r="UJ236" s="61"/>
      <c r="UK236" s="61"/>
      <c r="UL236" s="61"/>
      <c r="UM236" s="61"/>
      <c r="UN236" s="61"/>
      <c r="UO236" s="61"/>
      <c r="UP236" s="61"/>
      <c r="UQ236" s="61"/>
      <c r="UR236" s="61"/>
      <c r="US236" s="61"/>
      <c r="UT236" s="61"/>
      <c r="UU236" s="61"/>
      <c r="UV236" s="61"/>
      <c r="UW236" s="61"/>
      <c r="UX236" s="61"/>
      <c r="UY236" s="61"/>
      <c r="UZ236" s="61"/>
      <c r="VA236" s="61"/>
      <c r="VB236" s="61"/>
      <c r="VC236" s="61"/>
    </row>
    <row r="237" spans="1:575" s="55" customFormat="1" ht="20.25" customHeight="1" x14ac:dyDescent="0.25">
      <c r="A237" s="102" t="s">
        <v>267</v>
      </c>
      <c r="B237" s="102" t="str">
        <f>'дод 2'!A188</f>
        <v>7640</v>
      </c>
      <c r="C237" s="102" t="str">
        <f>'дод 2'!B188</f>
        <v>0470</v>
      </c>
      <c r="D237" s="56" t="str">
        <f>'дод 2'!C188</f>
        <v>Заходи з енергозбереження</v>
      </c>
      <c r="E237" s="132">
        <f t="shared" si="40"/>
        <v>1820000</v>
      </c>
      <c r="F237" s="132">
        <f>1220000-100000-130000</f>
        <v>990000</v>
      </c>
      <c r="G237" s="132"/>
      <c r="H237" s="132"/>
      <c r="I237" s="132">
        <f>280000+100000+150000+170000+130000</f>
        <v>830000</v>
      </c>
      <c r="J237" s="132">
        <f t="shared" si="28"/>
        <v>0</v>
      </c>
      <c r="K237" s="132"/>
      <c r="L237" s="132"/>
      <c r="M237" s="132"/>
      <c r="N237" s="132"/>
      <c r="O237" s="132"/>
      <c r="P237" s="132">
        <f t="shared" si="41"/>
        <v>1820000</v>
      </c>
      <c r="Q237" s="159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  <c r="SP237" s="61"/>
      <c r="SQ237" s="61"/>
      <c r="SR237" s="61"/>
      <c r="SS237" s="61"/>
      <c r="ST237" s="61"/>
      <c r="SU237" s="61"/>
      <c r="SV237" s="61"/>
      <c r="SW237" s="61"/>
      <c r="SX237" s="61"/>
      <c r="SY237" s="61"/>
      <c r="SZ237" s="61"/>
      <c r="TA237" s="61"/>
      <c r="TB237" s="61"/>
      <c r="TC237" s="61"/>
      <c r="TD237" s="61"/>
      <c r="TE237" s="61"/>
      <c r="TF237" s="61"/>
      <c r="TG237" s="61"/>
      <c r="TH237" s="61"/>
      <c r="TI237" s="61"/>
      <c r="TJ237" s="61"/>
      <c r="TK237" s="61"/>
      <c r="TL237" s="61"/>
      <c r="TM237" s="61"/>
      <c r="TN237" s="61"/>
      <c r="TO237" s="61"/>
      <c r="TP237" s="61"/>
      <c r="TQ237" s="61"/>
      <c r="TR237" s="61"/>
      <c r="TS237" s="61"/>
      <c r="TT237" s="61"/>
      <c r="TU237" s="61"/>
      <c r="TV237" s="61"/>
      <c r="TW237" s="61"/>
      <c r="TX237" s="61"/>
      <c r="TY237" s="61"/>
      <c r="TZ237" s="61"/>
      <c r="UA237" s="61"/>
      <c r="UB237" s="61"/>
      <c r="UC237" s="61"/>
      <c r="UD237" s="61"/>
      <c r="UE237" s="61"/>
      <c r="UF237" s="61"/>
      <c r="UG237" s="61"/>
      <c r="UH237" s="61"/>
      <c r="UI237" s="61"/>
      <c r="UJ237" s="61"/>
      <c r="UK237" s="61"/>
      <c r="UL237" s="61"/>
      <c r="UM237" s="61"/>
      <c r="UN237" s="61"/>
      <c r="UO237" s="61"/>
      <c r="UP237" s="61"/>
      <c r="UQ237" s="61"/>
      <c r="UR237" s="61"/>
      <c r="US237" s="61"/>
      <c r="UT237" s="61"/>
      <c r="UU237" s="61"/>
      <c r="UV237" s="61"/>
      <c r="UW237" s="61"/>
      <c r="UX237" s="61"/>
      <c r="UY237" s="61"/>
      <c r="UZ237" s="61"/>
      <c r="VA237" s="61"/>
      <c r="VB237" s="61"/>
      <c r="VC237" s="61"/>
    </row>
    <row r="238" spans="1:575" s="55" customFormat="1" ht="23.25" customHeight="1" x14ac:dyDescent="0.25">
      <c r="A238" s="102" t="s">
        <v>565</v>
      </c>
      <c r="B238" s="102" t="str">
        <f>'дод 2'!A191</f>
        <v>7670</v>
      </c>
      <c r="C238" s="102" t="str">
        <f>'дод 2'!B191</f>
        <v>0490</v>
      </c>
      <c r="D238" s="64" t="str">
        <f>'дод 2'!C191</f>
        <v>Внески до статутного капіталу суб’єктів господарювання</v>
      </c>
      <c r="E238" s="132">
        <f t="shared" si="40"/>
        <v>0</v>
      </c>
      <c r="F238" s="132"/>
      <c r="G238" s="132"/>
      <c r="H238" s="132"/>
      <c r="I238" s="132"/>
      <c r="J238" s="132">
        <f t="shared" si="28"/>
        <v>463000</v>
      </c>
      <c r="K238" s="132">
        <f>63000+300000+1000000-1000000+100000</f>
        <v>463000</v>
      </c>
      <c r="L238" s="132"/>
      <c r="M238" s="132"/>
      <c r="N238" s="132"/>
      <c r="O238" s="132">
        <f>63000+300000+1000000-1000000+100000</f>
        <v>463000</v>
      </c>
      <c r="P238" s="132">
        <f t="shared" si="41"/>
        <v>463000</v>
      </c>
      <c r="Q238" s="159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  <c r="SP238" s="61"/>
      <c r="SQ238" s="61"/>
      <c r="SR238" s="61"/>
      <c r="SS238" s="61"/>
      <c r="ST238" s="61"/>
      <c r="SU238" s="61"/>
      <c r="SV238" s="61"/>
      <c r="SW238" s="61"/>
      <c r="SX238" s="61"/>
      <c r="SY238" s="61"/>
      <c r="SZ238" s="61"/>
      <c r="TA238" s="61"/>
      <c r="TB238" s="61"/>
      <c r="TC238" s="61"/>
      <c r="TD238" s="61"/>
      <c r="TE238" s="61"/>
      <c r="TF238" s="61"/>
      <c r="TG238" s="61"/>
      <c r="TH238" s="61"/>
      <c r="TI238" s="61"/>
      <c r="TJ238" s="61"/>
      <c r="TK238" s="61"/>
      <c r="TL238" s="61"/>
      <c r="TM238" s="61"/>
      <c r="TN238" s="61"/>
      <c r="TO238" s="61"/>
      <c r="TP238" s="61"/>
      <c r="TQ238" s="61"/>
      <c r="TR238" s="61"/>
      <c r="TS238" s="61"/>
      <c r="TT238" s="61"/>
      <c r="TU238" s="61"/>
      <c r="TV238" s="61"/>
      <c r="TW238" s="61"/>
      <c r="TX238" s="61"/>
      <c r="TY238" s="61"/>
      <c r="TZ238" s="61"/>
      <c r="UA238" s="61"/>
      <c r="UB238" s="61"/>
      <c r="UC238" s="61"/>
      <c r="UD238" s="61"/>
      <c r="UE238" s="61"/>
      <c r="UF238" s="61"/>
      <c r="UG238" s="61"/>
      <c r="UH238" s="61"/>
      <c r="UI238" s="61"/>
      <c r="UJ238" s="61"/>
      <c r="UK238" s="61"/>
      <c r="UL238" s="61"/>
      <c r="UM238" s="61"/>
      <c r="UN238" s="61"/>
      <c r="UO238" s="61"/>
      <c r="UP238" s="61"/>
      <c r="UQ238" s="61"/>
      <c r="UR238" s="61"/>
      <c r="US238" s="61"/>
      <c r="UT238" s="61"/>
      <c r="UU238" s="61"/>
      <c r="UV238" s="61"/>
      <c r="UW238" s="61"/>
      <c r="UX238" s="61"/>
      <c r="UY238" s="61"/>
      <c r="UZ238" s="61"/>
      <c r="VA238" s="61"/>
      <c r="VB238" s="61"/>
      <c r="VC238" s="61"/>
    </row>
    <row r="239" spans="1:575" s="55" customFormat="1" ht="105" x14ac:dyDescent="0.25">
      <c r="A239" s="57" t="s">
        <v>392</v>
      </c>
      <c r="B239" s="107">
        <v>7691</v>
      </c>
      <c r="C239" s="107" t="s">
        <v>112</v>
      </c>
      <c r="D239" s="54" t="s">
        <v>415</v>
      </c>
      <c r="E239" s="132">
        <f t="shared" si="40"/>
        <v>0</v>
      </c>
      <c r="F239" s="132"/>
      <c r="G239" s="132"/>
      <c r="H239" s="132"/>
      <c r="I239" s="132"/>
      <c r="J239" s="132">
        <f t="shared" si="28"/>
        <v>287835.41000000003</v>
      </c>
      <c r="K239" s="132"/>
      <c r="L239" s="132">
        <f>65000+20000+67835.41</f>
        <v>152835.41</v>
      </c>
      <c r="M239" s="132"/>
      <c r="N239" s="132"/>
      <c r="O239" s="132">
        <f>20000+115000</f>
        <v>135000</v>
      </c>
      <c r="P239" s="132">
        <f t="shared" si="41"/>
        <v>287835.41000000003</v>
      </c>
      <c r="Q239" s="159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  <c r="SP239" s="61"/>
      <c r="SQ239" s="61"/>
      <c r="SR239" s="61"/>
      <c r="SS239" s="61"/>
      <c r="ST239" s="61"/>
      <c r="SU239" s="61"/>
      <c r="SV239" s="61"/>
      <c r="SW239" s="61"/>
      <c r="SX239" s="61"/>
      <c r="SY239" s="61"/>
      <c r="SZ239" s="61"/>
      <c r="TA239" s="61"/>
      <c r="TB239" s="61"/>
      <c r="TC239" s="61"/>
      <c r="TD239" s="61"/>
      <c r="TE239" s="61"/>
      <c r="TF239" s="61"/>
      <c r="TG239" s="61"/>
      <c r="TH239" s="61"/>
      <c r="TI239" s="61"/>
      <c r="TJ239" s="61"/>
      <c r="TK239" s="61"/>
      <c r="TL239" s="61"/>
      <c r="TM239" s="61"/>
      <c r="TN239" s="61"/>
      <c r="TO239" s="61"/>
      <c r="TP239" s="61"/>
      <c r="TQ239" s="61"/>
      <c r="TR239" s="61"/>
      <c r="TS239" s="61"/>
      <c r="TT239" s="61"/>
      <c r="TU239" s="61"/>
      <c r="TV239" s="61"/>
      <c r="TW239" s="61"/>
      <c r="TX239" s="61"/>
      <c r="TY239" s="61"/>
      <c r="TZ239" s="61"/>
      <c r="UA239" s="61"/>
      <c r="UB239" s="61"/>
      <c r="UC239" s="61"/>
      <c r="UD239" s="61"/>
      <c r="UE239" s="61"/>
      <c r="UF239" s="61"/>
      <c r="UG239" s="61"/>
      <c r="UH239" s="61"/>
      <c r="UI239" s="61"/>
      <c r="UJ239" s="61"/>
      <c r="UK239" s="61"/>
      <c r="UL239" s="61"/>
      <c r="UM239" s="61"/>
      <c r="UN239" s="61"/>
      <c r="UO239" s="61"/>
      <c r="UP239" s="61"/>
      <c r="UQ239" s="61"/>
      <c r="UR239" s="61"/>
      <c r="US239" s="61"/>
      <c r="UT239" s="61"/>
      <c r="UU239" s="61"/>
      <c r="UV239" s="61"/>
      <c r="UW239" s="61"/>
      <c r="UX239" s="61"/>
      <c r="UY239" s="61"/>
      <c r="UZ239" s="61"/>
      <c r="VA239" s="61"/>
      <c r="VB239" s="61"/>
      <c r="VC239" s="61"/>
    </row>
    <row r="240" spans="1:575" s="55" customFormat="1" ht="21.75" hidden="1" customHeight="1" x14ac:dyDescent="0.25">
      <c r="A240" s="53" t="s">
        <v>268</v>
      </c>
      <c r="B240" s="102" t="str">
        <f>'дод 2'!A205</f>
        <v>8320</v>
      </c>
      <c r="C240" s="102" t="str">
        <f>'дод 2'!B205</f>
        <v>0520</v>
      </c>
      <c r="D240" s="56" t="str">
        <f>'дод 2'!C205</f>
        <v>Збереження природно-заповідного фонду</v>
      </c>
      <c r="E240" s="132">
        <f t="shared" si="40"/>
        <v>0</v>
      </c>
      <c r="F240" s="132"/>
      <c r="G240" s="132"/>
      <c r="H240" s="132"/>
      <c r="I240" s="132"/>
      <c r="J240" s="132">
        <f t="shared" si="28"/>
        <v>0</v>
      </c>
      <c r="K240" s="132"/>
      <c r="L240" s="132"/>
      <c r="M240" s="132"/>
      <c r="N240" s="132"/>
      <c r="O240" s="132"/>
      <c r="P240" s="132">
        <f t="shared" si="41"/>
        <v>0</v>
      </c>
      <c r="Q240" s="159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  <c r="KO240" s="61"/>
      <c r="KP240" s="61"/>
      <c r="KQ240" s="61"/>
      <c r="KR240" s="61"/>
      <c r="KS240" s="61"/>
      <c r="KT240" s="61"/>
      <c r="KU240" s="61"/>
      <c r="KV240" s="61"/>
      <c r="KW240" s="61"/>
      <c r="KX240" s="61"/>
      <c r="KY240" s="61"/>
      <c r="KZ240" s="61"/>
      <c r="LA240" s="61"/>
      <c r="LB240" s="61"/>
      <c r="LC240" s="61"/>
      <c r="LD240" s="61"/>
      <c r="LE240" s="61"/>
      <c r="LF240" s="61"/>
      <c r="LG240" s="61"/>
      <c r="LH240" s="61"/>
      <c r="LI240" s="61"/>
      <c r="LJ240" s="61"/>
      <c r="LK240" s="61"/>
      <c r="LL240" s="61"/>
      <c r="LM240" s="61"/>
      <c r="LN240" s="61"/>
      <c r="LO240" s="61"/>
      <c r="LP240" s="61"/>
      <c r="LQ240" s="61"/>
      <c r="LR240" s="61"/>
      <c r="LS240" s="61"/>
      <c r="LT240" s="61"/>
      <c r="LU240" s="61"/>
      <c r="LV240" s="61"/>
      <c r="LW240" s="61"/>
      <c r="LX240" s="61"/>
      <c r="LY240" s="61"/>
      <c r="LZ240" s="61"/>
      <c r="MA240" s="61"/>
      <c r="MB240" s="61"/>
      <c r="MC240" s="61"/>
      <c r="MD240" s="61"/>
      <c r="ME240" s="61"/>
      <c r="MF240" s="61"/>
      <c r="MG240" s="61"/>
      <c r="MH240" s="61"/>
      <c r="MI240" s="61"/>
      <c r="MJ240" s="61"/>
      <c r="MK240" s="61"/>
      <c r="ML240" s="61"/>
      <c r="MM240" s="61"/>
      <c r="MN240" s="61"/>
      <c r="MO240" s="61"/>
      <c r="MP240" s="61"/>
      <c r="MQ240" s="61"/>
      <c r="MR240" s="61"/>
      <c r="MS240" s="61"/>
      <c r="MT240" s="61"/>
      <c r="MU240" s="61"/>
      <c r="MV240" s="61"/>
      <c r="MW240" s="61"/>
      <c r="MX240" s="61"/>
      <c r="MY240" s="61"/>
      <c r="MZ240" s="61"/>
      <c r="NA240" s="61"/>
      <c r="NB240" s="61"/>
      <c r="NC240" s="61"/>
      <c r="ND240" s="61"/>
      <c r="NE240" s="61"/>
      <c r="NF240" s="61"/>
      <c r="NG240" s="61"/>
      <c r="NH240" s="61"/>
      <c r="NI240" s="61"/>
      <c r="NJ240" s="61"/>
      <c r="NK240" s="61"/>
      <c r="NL240" s="61"/>
      <c r="NM240" s="61"/>
      <c r="NN240" s="61"/>
      <c r="NO240" s="61"/>
      <c r="NP240" s="61"/>
      <c r="NQ240" s="61"/>
      <c r="NR240" s="61"/>
      <c r="NS240" s="61"/>
      <c r="NT240" s="61"/>
      <c r="NU240" s="61"/>
      <c r="NV240" s="61"/>
      <c r="NW240" s="61"/>
      <c r="NX240" s="61"/>
      <c r="NY240" s="61"/>
      <c r="NZ240" s="61"/>
      <c r="OA240" s="61"/>
      <c r="OB240" s="61"/>
      <c r="OC240" s="61"/>
      <c r="OD240" s="61"/>
      <c r="OE240" s="61"/>
      <c r="OF240" s="61"/>
      <c r="OG240" s="61"/>
      <c r="OH240" s="61"/>
      <c r="OI240" s="61"/>
      <c r="OJ240" s="61"/>
      <c r="OK240" s="61"/>
      <c r="OL240" s="61"/>
      <c r="OM240" s="61"/>
      <c r="ON240" s="61"/>
      <c r="OO240" s="61"/>
      <c r="OP240" s="61"/>
      <c r="OQ240" s="61"/>
      <c r="OR240" s="61"/>
      <c r="OS240" s="61"/>
      <c r="OT240" s="61"/>
      <c r="OU240" s="61"/>
      <c r="OV240" s="61"/>
      <c r="OW240" s="61"/>
      <c r="OX240" s="61"/>
      <c r="OY240" s="61"/>
      <c r="OZ240" s="61"/>
      <c r="PA240" s="61"/>
      <c r="PB240" s="61"/>
      <c r="PC240" s="61"/>
      <c r="PD240" s="61"/>
      <c r="PE240" s="61"/>
      <c r="PF240" s="61"/>
      <c r="PG240" s="61"/>
      <c r="PH240" s="61"/>
      <c r="PI240" s="61"/>
      <c r="PJ240" s="61"/>
      <c r="PK240" s="61"/>
      <c r="PL240" s="61"/>
      <c r="PM240" s="61"/>
      <c r="PN240" s="61"/>
      <c r="PO240" s="61"/>
      <c r="PP240" s="61"/>
      <c r="PQ240" s="61"/>
      <c r="PR240" s="61"/>
      <c r="PS240" s="61"/>
      <c r="PT240" s="61"/>
      <c r="PU240" s="61"/>
      <c r="PV240" s="61"/>
      <c r="PW240" s="61"/>
      <c r="PX240" s="61"/>
      <c r="PY240" s="61"/>
      <c r="PZ240" s="61"/>
      <c r="QA240" s="61"/>
      <c r="QB240" s="61"/>
      <c r="QC240" s="61"/>
      <c r="QD240" s="61"/>
      <c r="QE240" s="61"/>
      <c r="QF240" s="61"/>
      <c r="QG240" s="61"/>
      <c r="QH240" s="61"/>
      <c r="QI240" s="61"/>
      <c r="QJ240" s="61"/>
      <c r="QK240" s="61"/>
      <c r="QL240" s="61"/>
      <c r="QM240" s="61"/>
      <c r="QN240" s="61"/>
      <c r="QO240" s="61"/>
      <c r="QP240" s="61"/>
      <c r="QQ240" s="61"/>
      <c r="QR240" s="61"/>
      <c r="QS240" s="61"/>
      <c r="QT240" s="61"/>
      <c r="QU240" s="61"/>
      <c r="QV240" s="61"/>
      <c r="QW240" s="61"/>
      <c r="QX240" s="61"/>
      <c r="QY240" s="61"/>
      <c r="QZ240" s="61"/>
      <c r="RA240" s="61"/>
      <c r="RB240" s="61"/>
      <c r="RC240" s="61"/>
      <c r="RD240" s="61"/>
      <c r="RE240" s="61"/>
      <c r="RF240" s="61"/>
      <c r="RG240" s="61"/>
      <c r="RH240" s="61"/>
      <c r="RI240" s="61"/>
      <c r="RJ240" s="61"/>
      <c r="RK240" s="61"/>
      <c r="RL240" s="61"/>
      <c r="RM240" s="61"/>
      <c r="RN240" s="61"/>
      <c r="RO240" s="61"/>
      <c r="RP240" s="61"/>
      <c r="RQ240" s="61"/>
      <c r="RR240" s="61"/>
      <c r="RS240" s="61"/>
      <c r="RT240" s="61"/>
      <c r="RU240" s="61"/>
      <c r="RV240" s="61"/>
      <c r="RW240" s="61"/>
      <c r="RX240" s="61"/>
      <c r="RY240" s="61"/>
      <c r="RZ240" s="61"/>
      <c r="SA240" s="61"/>
      <c r="SB240" s="61"/>
      <c r="SC240" s="61"/>
      <c r="SD240" s="61"/>
      <c r="SE240" s="61"/>
      <c r="SF240" s="61"/>
      <c r="SG240" s="61"/>
      <c r="SH240" s="61"/>
      <c r="SI240" s="61"/>
      <c r="SJ240" s="61"/>
      <c r="SK240" s="61"/>
      <c r="SL240" s="61"/>
      <c r="SM240" s="61"/>
      <c r="SN240" s="61"/>
      <c r="SO240" s="61"/>
      <c r="SP240" s="61"/>
      <c r="SQ240" s="61"/>
      <c r="SR240" s="61"/>
      <c r="SS240" s="61"/>
      <c r="ST240" s="61"/>
      <c r="SU240" s="61"/>
      <c r="SV240" s="61"/>
      <c r="SW240" s="61"/>
      <c r="SX240" s="61"/>
      <c r="SY240" s="61"/>
      <c r="SZ240" s="61"/>
      <c r="TA240" s="61"/>
      <c r="TB240" s="61"/>
      <c r="TC240" s="61"/>
      <c r="TD240" s="61"/>
      <c r="TE240" s="61"/>
      <c r="TF240" s="61"/>
      <c r="TG240" s="61"/>
      <c r="TH240" s="61"/>
      <c r="TI240" s="61"/>
      <c r="TJ240" s="61"/>
      <c r="TK240" s="61"/>
      <c r="TL240" s="61"/>
      <c r="TM240" s="61"/>
      <c r="TN240" s="61"/>
      <c r="TO240" s="61"/>
      <c r="TP240" s="61"/>
      <c r="TQ240" s="61"/>
      <c r="TR240" s="61"/>
      <c r="TS240" s="61"/>
      <c r="TT240" s="61"/>
      <c r="TU240" s="61"/>
      <c r="TV240" s="61"/>
      <c r="TW240" s="61"/>
      <c r="TX240" s="61"/>
      <c r="TY240" s="61"/>
      <c r="TZ240" s="61"/>
      <c r="UA240" s="61"/>
      <c r="UB240" s="61"/>
      <c r="UC240" s="61"/>
      <c r="UD240" s="61"/>
      <c r="UE240" s="61"/>
      <c r="UF240" s="61"/>
      <c r="UG240" s="61"/>
      <c r="UH240" s="61"/>
      <c r="UI240" s="61"/>
      <c r="UJ240" s="61"/>
      <c r="UK240" s="61"/>
      <c r="UL240" s="61"/>
      <c r="UM240" s="61"/>
      <c r="UN240" s="61"/>
      <c r="UO240" s="61"/>
      <c r="UP240" s="61"/>
      <c r="UQ240" s="61"/>
      <c r="UR240" s="61"/>
      <c r="US240" s="61"/>
      <c r="UT240" s="61"/>
      <c r="UU240" s="61"/>
      <c r="UV240" s="61"/>
      <c r="UW240" s="61"/>
      <c r="UX240" s="61"/>
      <c r="UY240" s="61"/>
      <c r="UZ240" s="61"/>
      <c r="VA240" s="61"/>
      <c r="VB240" s="61"/>
      <c r="VC240" s="61"/>
    </row>
    <row r="241" spans="1:575" s="55" customFormat="1" ht="24.75" customHeight="1" x14ac:dyDescent="0.25">
      <c r="A241" s="53" t="s">
        <v>269</v>
      </c>
      <c r="B241" s="102" t="str">
        <f>'дод 2'!A206</f>
        <v>8340</v>
      </c>
      <c r="C241" s="102" t="str">
        <f>'дод 2'!B206</f>
        <v>0540</v>
      </c>
      <c r="D241" s="56" t="str">
        <f>'дод 2'!C206</f>
        <v>Природоохоронні заходи за рахунок цільових фондів</v>
      </c>
      <c r="E241" s="132">
        <f t="shared" si="40"/>
        <v>0</v>
      </c>
      <c r="F241" s="132"/>
      <c r="G241" s="132"/>
      <c r="H241" s="132"/>
      <c r="I241" s="132"/>
      <c r="J241" s="132">
        <f t="shared" si="28"/>
        <v>4905900</v>
      </c>
      <c r="K241" s="132"/>
      <c r="L241" s="132">
        <f>1910000-70000+60000+320000+66280</f>
        <v>2286280</v>
      </c>
      <c r="M241" s="132"/>
      <c r="N241" s="132">
        <f>540000</f>
        <v>540000</v>
      </c>
      <c r="O241" s="132">
        <f>1985900+70000+950000-320000-66280</f>
        <v>2619620</v>
      </c>
      <c r="P241" s="132">
        <f t="shared" si="41"/>
        <v>4905900</v>
      </c>
      <c r="Q241" s="159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  <c r="CJ241" s="61"/>
      <c r="CK241" s="61"/>
      <c r="CL241" s="61"/>
      <c r="CM241" s="61"/>
      <c r="CN241" s="61"/>
      <c r="CO241" s="61"/>
      <c r="CP241" s="61"/>
      <c r="CQ241" s="61"/>
      <c r="CR241" s="61"/>
      <c r="CS241" s="61"/>
      <c r="CT241" s="61"/>
      <c r="CU241" s="61"/>
      <c r="CV241" s="61"/>
      <c r="CW241" s="61"/>
      <c r="CX241" s="61"/>
      <c r="CY241" s="61"/>
      <c r="CZ241" s="61"/>
      <c r="DA241" s="61"/>
      <c r="DB241" s="61"/>
      <c r="DC241" s="61"/>
      <c r="DD241" s="61"/>
      <c r="DE241" s="61"/>
      <c r="DF241" s="61"/>
      <c r="DG241" s="61"/>
      <c r="DH241" s="61"/>
      <c r="DI241" s="61"/>
      <c r="DJ241" s="61"/>
      <c r="DK241" s="61"/>
      <c r="DL241" s="61"/>
      <c r="DM241" s="61"/>
      <c r="DN241" s="61"/>
      <c r="DO241" s="61"/>
      <c r="DP241" s="61"/>
      <c r="DQ241" s="61"/>
      <c r="DR241" s="61"/>
      <c r="DS241" s="61"/>
      <c r="DT241" s="61"/>
      <c r="DU241" s="61"/>
      <c r="DV241" s="61"/>
      <c r="DW241" s="61"/>
      <c r="DX241" s="61"/>
      <c r="DY241" s="61"/>
      <c r="DZ241" s="61"/>
      <c r="EA241" s="61"/>
      <c r="EB241" s="61"/>
      <c r="EC241" s="61"/>
      <c r="ED241" s="61"/>
      <c r="EE241" s="61"/>
      <c r="EF241" s="61"/>
      <c r="EG241" s="61"/>
      <c r="EH241" s="61"/>
      <c r="EI241" s="61"/>
      <c r="EJ241" s="61"/>
      <c r="EK241" s="61"/>
      <c r="EL241" s="61"/>
      <c r="EM241" s="61"/>
      <c r="EN241" s="61"/>
      <c r="EO241" s="61"/>
      <c r="EP241" s="61"/>
      <c r="EQ241" s="61"/>
      <c r="ER241" s="61"/>
      <c r="ES241" s="61"/>
      <c r="ET241" s="61"/>
      <c r="EU241" s="61"/>
      <c r="EV241" s="61"/>
      <c r="EW241" s="61"/>
      <c r="EX241" s="61"/>
      <c r="EY241" s="61"/>
      <c r="EZ241" s="61"/>
      <c r="FA241" s="61"/>
      <c r="FB241" s="61"/>
      <c r="FC241" s="61"/>
      <c r="FD241" s="61"/>
      <c r="FE241" s="61"/>
      <c r="FF241" s="61"/>
      <c r="FG241" s="61"/>
      <c r="FH241" s="61"/>
      <c r="FI241" s="61"/>
      <c r="FJ241" s="61"/>
      <c r="FK241" s="61"/>
      <c r="FL241" s="61"/>
      <c r="FM241" s="61"/>
      <c r="FN241" s="61"/>
      <c r="FO241" s="61"/>
      <c r="FP241" s="61"/>
      <c r="FQ241" s="61"/>
      <c r="FR241" s="61"/>
      <c r="FS241" s="61"/>
      <c r="FT241" s="61"/>
      <c r="FU241" s="61"/>
      <c r="FV241" s="61"/>
      <c r="FW241" s="61"/>
      <c r="FX241" s="61"/>
      <c r="FY241" s="61"/>
      <c r="FZ241" s="61"/>
      <c r="GA241" s="61"/>
      <c r="GB241" s="61"/>
      <c r="GC241" s="61"/>
      <c r="GD241" s="61"/>
      <c r="GE241" s="61"/>
      <c r="GF241" s="61"/>
      <c r="GG241" s="61"/>
      <c r="GH241" s="61"/>
      <c r="GI241" s="61"/>
      <c r="GJ241" s="61"/>
      <c r="GK241" s="61"/>
      <c r="GL241" s="61"/>
      <c r="GM241" s="61"/>
      <c r="GN241" s="61"/>
      <c r="GO241" s="61"/>
      <c r="GP241" s="61"/>
      <c r="GQ241" s="61"/>
      <c r="GR241" s="61"/>
      <c r="GS241" s="61"/>
      <c r="GT241" s="61"/>
      <c r="GU241" s="61"/>
      <c r="GV241" s="61"/>
      <c r="GW241" s="61"/>
      <c r="GX241" s="61"/>
      <c r="GY241" s="61"/>
      <c r="GZ241" s="61"/>
      <c r="HA241" s="61"/>
      <c r="HB241" s="61"/>
      <c r="HC241" s="61"/>
      <c r="HD241" s="61"/>
      <c r="HE241" s="61"/>
      <c r="HF241" s="61"/>
      <c r="HG241" s="61"/>
      <c r="HH241" s="61"/>
      <c r="HI241" s="61"/>
      <c r="HJ241" s="61"/>
      <c r="HK241" s="61"/>
      <c r="HL241" s="61"/>
      <c r="HM241" s="61"/>
      <c r="HN241" s="61"/>
      <c r="HO241" s="61"/>
      <c r="HP241" s="61"/>
      <c r="HQ241" s="61"/>
      <c r="HR241" s="61"/>
      <c r="HS241" s="61"/>
      <c r="HT241" s="61"/>
      <c r="HU241" s="61"/>
      <c r="HV241" s="61"/>
      <c r="HW241" s="61"/>
      <c r="HX241" s="61"/>
      <c r="HY241" s="61"/>
      <c r="HZ241" s="61"/>
      <c r="IA241" s="61"/>
      <c r="IB241" s="61"/>
      <c r="IC241" s="61"/>
      <c r="ID241" s="61"/>
      <c r="IE241" s="61"/>
      <c r="IF241" s="61"/>
      <c r="IG241" s="61"/>
      <c r="IH241" s="61"/>
      <c r="II241" s="61"/>
      <c r="IJ241" s="61"/>
      <c r="IK241" s="61"/>
      <c r="IL241" s="61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  <c r="IW241" s="61"/>
      <c r="IX241" s="61"/>
      <c r="IY241" s="61"/>
      <c r="IZ241" s="61"/>
      <c r="JA241" s="61"/>
      <c r="JB241" s="61"/>
      <c r="JC241" s="61"/>
      <c r="JD241" s="61"/>
      <c r="JE241" s="61"/>
      <c r="JF241" s="61"/>
      <c r="JG241" s="61"/>
      <c r="JH241" s="61"/>
      <c r="JI241" s="61"/>
      <c r="JJ241" s="61"/>
      <c r="JK241" s="61"/>
      <c r="JL241" s="61"/>
      <c r="JM241" s="61"/>
      <c r="JN241" s="61"/>
      <c r="JO241" s="61"/>
      <c r="JP241" s="61"/>
      <c r="JQ241" s="61"/>
      <c r="JR241" s="61"/>
      <c r="JS241" s="61"/>
      <c r="JT241" s="61"/>
      <c r="JU241" s="61"/>
      <c r="JV241" s="61"/>
      <c r="JW241" s="61"/>
      <c r="JX241" s="61"/>
      <c r="JY241" s="61"/>
      <c r="JZ241" s="61"/>
      <c r="KA241" s="61"/>
      <c r="KB241" s="61"/>
      <c r="KC241" s="61"/>
      <c r="KD241" s="61"/>
      <c r="KE241" s="61"/>
      <c r="KF241" s="61"/>
      <c r="KG241" s="61"/>
      <c r="KH241" s="61"/>
      <c r="KI241" s="61"/>
      <c r="KJ241" s="61"/>
      <c r="KK241" s="61"/>
      <c r="KL241" s="61"/>
      <c r="KM241" s="61"/>
      <c r="KN241" s="61"/>
      <c r="KO241" s="61"/>
      <c r="KP241" s="61"/>
      <c r="KQ241" s="61"/>
      <c r="KR241" s="61"/>
      <c r="KS241" s="61"/>
      <c r="KT241" s="61"/>
      <c r="KU241" s="61"/>
      <c r="KV241" s="61"/>
      <c r="KW241" s="61"/>
      <c r="KX241" s="61"/>
      <c r="KY241" s="61"/>
      <c r="KZ241" s="61"/>
      <c r="LA241" s="61"/>
      <c r="LB241" s="61"/>
      <c r="LC241" s="61"/>
      <c r="LD241" s="61"/>
      <c r="LE241" s="61"/>
      <c r="LF241" s="61"/>
      <c r="LG241" s="61"/>
      <c r="LH241" s="61"/>
      <c r="LI241" s="61"/>
      <c r="LJ241" s="61"/>
      <c r="LK241" s="61"/>
      <c r="LL241" s="61"/>
      <c r="LM241" s="61"/>
      <c r="LN241" s="61"/>
      <c r="LO241" s="61"/>
      <c r="LP241" s="61"/>
      <c r="LQ241" s="61"/>
      <c r="LR241" s="61"/>
      <c r="LS241" s="61"/>
      <c r="LT241" s="61"/>
      <c r="LU241" s="61"/>
      <c r="LV241" s="61"/>
      <c r="LW241" s="61"/>
      <c r="LX241" s="61"/>
      <c r="LY241" s="61"/>
      <c r="LZ241" s="61"/>
      <c r="MA241" s="61"/>
      <c r="MB241" s="61"/>
      <c r="MC241" s="61"/>
      <c r="MD241" s="61"/>
      <c r="ME241" s="61"/>
      <c r="MF241" s="61"/>
      <c r="MG241" s="61"/>
      <c r="MH241" s="61"/>
      <c r="MI241" s="61"/>
      <c r="MJ241" s="61"/>
      <c r="MK241" s="61"/>
      <c r="ML241" s="61"/>
      <c r="MM241" s="61"/>
      <c r="MN241" s="61"/>
      <c r="MO241" s="61"/>
      <c r="MP241" s="61"/>
      <c r="MQ241" s="61"/>
      <c r="MR241" s="61"/>
      <c r="MS241" s="61"/>
      <c r="MT241" s="61"/>
      <c r="MU241" s="61"/>
      <c r="MV241" s="61"/>
      <c r="MW241" s="61"/>
      <c r="MX241" s="61"/>
      <c r="MY241" s="61"/>
      <c r="MZ241" s="61"/>
      <c r="NA241" s="61"/>
      <c r="NB241" s="61"/>
      <c r="NC241" s="61"/>
      <c r="ND241" s="61"/>
      <c r="NE241" s="61"/>
      <c r="NF241" s="61"/>
      <c r="NG241" s="61"/>
      <c r="NH241" s="61"/>
      <c r="NI241" s="61"/>
      <c r="NJ241" s="61"/>
      <c r="NK241" s="61"/>
      <c r="NL241" s="61"/>
      <c r="NM241" s="61"/>
      <c r="NN241" s="61"/>
      <c r="NO241" s="61"/>
      <c r="NP241" s="61"/>
      <c r="NQ241" s="61"/>
      <c r="NR241" s="61"/>
      <c r="NS241" s="61"/>
      <c r="NT241" s="61"/>
      <c r="NU241" s="61"/>
      <c r="NV241" s="61"/>
      <c r="NW241" s="61"/>
      <c r="NX241" s="61"/>
      <c r="NY241" s="61"/>
      <c r="NZ241" s="61"/>
      <c r="OA241" s="61"/>
      <c r="OB241" s="61"/>
      <c r="OC241" s="61"/>
      <c r="OD241" s="61"/>
      <c r="OE241" s="61"/>
      <c r="OF241" s="61"/>
      <c r="OG241" s="61"/>
      <c r="OH241" s="61"/>
      <c r="OI241" s="61"/>
      <c r="OJ241" s="61"/>
      <c r="OK241" s="61"/>
      <c r="OL241" s="61"/>
      <c r="OM241" s="61"/>
      <c r="ON241" s="61"/>
      <c r="OO241" s="61"/>
      <c r="OP241" s="61"/>
      <c r="OQ241" s="61"/>
      <c r="OR241" s="61"/>
      <c r="OS241" s="61"/>
      <c r="OT241" s="61"/>
      <c r="OU241" s="61"/>
      <c r="OV241" s="61"/>
      <c r="OW241" s="61"/>
      <c r="OX241" s="61"/>
      <c r="OY241" s="61"/>
      <c r="OZ241" s="61"/>
      <c r="PA241" s="61"/>
      <c r="PB241" s="61"/>
      <c r="PC241" s="61"/>
      <c r="PD241" s="61"/>
      <c r="PE241" s="61"/>
      <c r="PF241" s="61"/>
      <c r="PG241" s="61"/>
      <c r="PH241" s="61"/>
      <c r="PI241" s="61"/>
      <c r="PJ241" s="61"/>
      <c r="PK241" s="61"/>
      <c r="PL241" s="61"/>
      <c r="PM241" s="61"/>
      <c r="PN241" s="61"/>
      <c r="PO241" s="61"/>
      <c r="PP241" s="61"/>
      <c r="PQ241" s="61"/>
      <c r="PR241" s="61"/>
      <c r="PS241" s="61"/>
      <c r="PT241" s="61"/>
      <c r="PU241" s="61"/>
      <c r="PV241" s="61"/>
      <c r="PW241" s="61"/>
      <c r="PX241" s="61"/>
      <c r="PY241" s="61"/>
      <c r="PZ241" s="61"/>
      <c r="QA241" s="61"/>
      <c r="QB241" s="61"/>
      <c r="QC241" s="61"/>
      <c r="QD241" s="61"/>
      <c r="QE241" s="61"/>
      <c r="QF241" s="61"/>
      <c r="QG241" s="61"/>
      <c r="QH241" s="61"/>
      <c r="QI241" s="61"/>
      <c r="QJ241" s="61"/>
      <c r="QK241" s="61"/>
      <c r="QL241" s="61"/>
      <c r="QM241" s="61"/>
      <c r="QN241" s="61"/>
      <c r="QO241" s="61"/>
      <c r="QP241" s="61"/>
      <c r="QQ241" s="61"/>
      <c r="QR241" s="61"/>
      <c r="QS241" s="61"/>
      <c r="QT241" s="61"/>
      <c r="QU241" s="61"/>
      <c r="QV241" s="61"/>
      <c r="QW241" s="61"/>
      <c r="QX241" s="61"/>
      <c r="QY241" s="61"/>
      <c r="QZ241" s="61"/>
      <c r="RA241" s="61"/>
      <c r="RB241" s="61"/>
      <c r="RC241" s="61"/>
      <c r="RD241" s="61"/>
      <c r="RE241" s="61"/>
      <c r="RF241" s="61"/>
      <c r="RG241" s="61"/>
      <c r="RH241" s="61"/>
      <c r="RI241" s="61"/>
      <c r="RJ241" s="61"/>
      <c r="RK241" s="61"/>
      <c r="RL241" s="61"/>
      <c r="RM241" s="61"/>
      <c r="RN241" s="61"/>
      <c r="RO241" s="61"/>
      <c r="RP241" s="61"/>
      <c r="RQ241" s="61"/>
      <c r="RR241" s="61"/>
      <c r="RS241" s="61"/>
      <c r="RT241" s="61"/>
      <c r="RU241" s="61"/>
      <c r="RV241" s="61"/>
      <c r="RW241" s="61"/>
      <c r="RX241" s="61"/>
      <c r="RY241" s="61"/>
      <c r="RZ241" s="61"/>
      <c r="SA241" s="61"/>
      <c r="SB241" s="61"/>
      <c r="SC241" s="61"/>
      <c r="SD241" s="61"/>
      <c r="SE241" s="61"/>
      <c r="SF241" s="61"/>
      <c r="SG241" s="61"/>
      <c r="SH241" s="61"/>
      <c r="SI241" s="61"/>
      <c r="SJ241" s="61"/>
      <c r="SK241" s="61"/>
      <c r="SL241" s="61"/>
      <c r="SM241" s="61"/>
      <c r="SN241" s="61"/>
      <c r="SO241" s="61"/>
      <c r="SP241" s="61"/>
      <c r="SQ241" s="61"/>
      <c r="SR241" s="61"/>
      <c r="SS241" s="61"/>
      <c r="ST241" s="61"/>
      <c r="SU241" s="61"/>
      <c r="SV241" s="61"/>
      <c r="SW241" s="61"/>
      <c r="SX241" s="61"/>
      <c r="SY241" s="61"/>
      <c r="SZ241" s="61"/>
      <c r="TA241" s="61"/>
      <c r="TB241" s="61"/>
      <c r="TC241" s="61"/>
      <c r="TD241" s="61"/>
      <c r="TE241" s="61"/>
      <c r="TF241" s="61"/>
      <c r="TG241" s="61"/>
      <c r="TH241" s="61"/>
      <c r="TI241" s="61"/>
      <c r="TJ241" s="61"/>
      <c r="TK241" s="61"/>
      <c r="TL241" s="61"/>
      <c r="TM241" s="61"/>
      <c r="TN241" s="61"/>
      <c r="TO241" s="61"/>
      <c r="TP241" s="61"/>
      <c r="TQ241" s="61"/>
      <c r="TR241" s="61"/>
      <c r="TS241" s="61"/>
      <c r="TT241" s="61"/>
      <c r="TU241" s="61"/>
      <c r="TV241" s="61"/>
      <c r="TW241" s="61"/>
      <c r="TX241" s="61"/>
      <c r="TY241" s="61"/>
      <c r="TZ241" s="61"/>
      <c r="UA241" s="61"/>
      <c r="UB241" s="61"/>
      <c r="UC241" s="61"/>
      <c r="UD241" s="61"/>
      <c r="UE241" s="61"/>
      <c r="UF241" s="61"/>
      <c r="UG241" s="61"/>
      <c r="UH241" s="61"/>
      <c r="UI241" s="61"/>
      <c r="UJ241" s="61"/>
      <c r="UK241" s="61"/>
      <c r="UL241" s="61"/>
      <c r="UM241" s="61"/>
      <c r="UN241" s="61"/>
      <c r="UO241" s="61"/>
      <c r="UP241" s="61"/>
      <c r="UQ241" s="61"/>
      <c r="UR241" s="61"/>
      <c r="US241" s="61"/>
      <c r="UT241" s="61"/>
      <c r="UU241" s="61"/>
      <c r="UV241" s="61"/>
      <c r="UW241" s="61"/>
      <c r="UX241" s="61"/>
      <c r="UY241" s="61"/>
      <c r="UZ241" s="61"/>
      <c r="VA241" s="61"/>
      <c r="VB241" s="61"/>
      <c r="VC241" s="61"/>
    </row>
    <row r="242" spans="1:575" s="55" customFormat="1" ht="21" customHeight="1" x14ac:dyDescent="0.25">
      <c r="A242" s="53" t="s">
        <v>270</v>
      </c>
      <c r="B242" s="102" t="str">
        <f>'дод 2'!A226</f>
        <v>9770</v>
      </c>
      <c r="C242" s="102" t="str">
        <f>'дод 2'!B226</f>
        <v>0180</v>
      </c>
      <c r="D242" s="56" t="str">
        <f>'дод 2'!C226</f>
        <v xml:space="preserve">Інші субвенції з місцевого бюджету </v>
      </c>
      <c r="E242" s="132">
        <f t="shared" si="40"/>
        <v>1960000</v>
      </c>
      <c r="F242" s="132">
        <v>1960000</v>
      </c>
      <c r="G242" s="132"/>
      <c r="H242" s="132"/>
      <c r="I242" s="132"/>
      <c r="J242" s="132">
        <f t="shared" si="28"/>
        <v>6032500</v>
      </c>
      <c r="K242" s="132">
        <f>7000000+992500-1960000</f>
        <v>6032500</v>
      </c>
      <c r="L242" s="132"/>
      <c r="M242" s="132"/>
      <c r="N242" s="132"/>
      <c r="O242" s="132">
        <f>7000000+992500-1960000</f>
        <v>6032500</v>
      </c>
      <c r="P242" s="132">
        <f t="shared" si="41"/>
        <v>7992500</v>
      </c>
      <c r="Q242" s="159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  <c r="CJ242" s="61"/>
      <c r="CK242" s="61"/>
      <c r="CL242" s="61"/>
      <c r="CM242" s="61"/>
      <c r="CN242" s="61"/>
      <c r="CO242" s="61"/>
      <c r="CP242" s="61"/>
      <c r="CQ242" s="61"/>
      <c r="CR242" s="61"/>
      <c r="CS242" s="61"/>
      <c r="CT242" s="61"/>
      <c r="CU242" s="61"/>
      <c r="CV242" s="61"/>
      <c r="CW242" s="61"/>
      <c r="CX242" s="61"/>
      <c r="CY242" s="61"/>
      <c r="CZ242" s="61"/>
      <c r="DA242" s="61"/>
      <c r="DB242" s="61"/>
      <c r="DC242" s="61"/>
      <c r="DD242" s="61"/>
      <c r="DE242" s="61"/>
      <c r="DF242" s="61"/>
      <c r="DG242" s="61"/>
      <c r="DH242" s="61"/>
      <c r="DI242" s="61"/>
      <c r="DJ242" s="61"/>
      <c r="DK242" s="61"/>
      <c r="DL242" s="61"/>
      <c r="DM242" s="61"/>
      <c r="DN242" s="61"/>
      <c r="DO242" s="61"/>
      <c r="DP242" s="61"/>
      <c r="DQ242" s="61"/>
      <c r="DR242" s="61"/>
      <c r="DS242" s="61"/>
      <c r="DT242" s="61"/>
      <c r="DU242" s="61"/>
      <c r="DV242" s="61"/>
      <c r="DW242" s="61"/>
      <c r="DX242" s="61"/>
      <c r="DY242" s="61"/>
      <c r="DZ242" s="61"/>
      <c r="EA242" s="61"/>
      <c r="EB242" s="61"/>
      <c r="EC242" s="61"/>
      <c r="ED242" s="61"/>
      <c r="EE242" s="61"/>
      <c r="EF242" s="61"/>
      <c r="EG242" s="61"/>
      <c r="EH242" s="61"/>
      <c r="EI242" s="61"/>
      <c r="EJ242" s="61"/>
      <c r="EK242" s="61"/>
      <c r="EL242" s="61"/>
      <c r="EM242" s="61"/>
      <c r="EN242" s="61"/>
      <c r="EO242" s="61"/>
      <c r="EP242" s="61"/>
      <c r="EQ242" s="61"/>
      <c r="ER242" s="61"/>
      <c r="ES242" s="61"/>
      <c r="ET242" s="61"/>
      <c r="EU242" s="61"/>
      <c r="EV242" s="61"/>
      <c r="EW242" s="61"/>
      <c r="EX242" s="61"/>
      <c r="EY242" s="61"/>
      <c r="EZ242" s="61"/>
      <c r="FA242" s="61"/>
      <c r="FB242" s="61"/>
      <c r="FC242" s="61"/>
      <c r="FD242" s="61"/>
      <c r="FE242" s="61"/>
      <c r="FF242" s="61"/>
      <c r="FG242" s="61"/>
      <c r="FH242" s="61"/>
      <c r="FI242" s="61"/>
      <c r="FJ242" s="61"/>
      <c r="FK242" s="61"/>
      <c r="FL242" s="61"/>
      <c r="FM242" s="61"/>
      <c r="FN242" s="61"/>
      <c r="FO242" s="61"/>
      <c r="FP242" s="61"/>
      <c r="FQ242" s="61"/>
      <c r="FR242" s="61"/>
      <c r="FS242" s="61"/>
      <c r="FT242" s="61"/>
      <c r="FU242" s="61"/>
      <c r="FV242" s="61"/>
      <c r="FW242" s="61"/>
      <c r="FX242" s="61"/>
      <c r="FY242" s="61"/>
      <c r="FZ242" s="61"/>
      <c r="GA242" s="61"/>
      <c r="GB242" s="61"/>
      <c r="GC242" s="61"/>
      <c r="GD242" s="61"/>
      <c r="GE242" s="61"/>
      <c r="GF242" s="61"/>
      <c r="GG242" s="61"/>
      <c r="GH242" s="61"/>
      <c r="GI242" s="61"/>
      <c r="GJ242" s="61"/>
      <c r="GK242" s="61"/>
      <c r="GL242" s="61"/>
      <c r="GM242" s="61"/>
      <c r="GN242" s="61"/>
      <c r="GO242" s="61"/>
      <c r="GP242" s="61"/>
      <c r="GQ242" s="61"/>
      <c r="GR242" s="61"/>
      <c r="GS242" s="61"/>
      <c r="GT242" s="61"/>
      <c r="GU242" s="61"/>
      <c r="GV242" s="61"/>
      <c r="GW242" s="61"/>
      <c r="GX242" s="61"/>
      <c r="GY242" s="61"/>
      <c r="GZ242" s="61"/>
      <c r="HA242" s="61"/>
      <c r="HB242" s="61"/>
      <c r="HC242" s="61"/>
      <c r="HD242" s="61"/>
      <c r="HE242" s="61"/>
      <c r="HF242" s="61"/>
      <c r="HG242" s="61"/>
      <c r="HH242" s="61"/>
      <c r="HI242" s="61"/>
      <c r="HJ242" s="61"/>
      <c r="HK242" s="61"/>
      <c r="HL242" s="61"/>
      <c r="HM242" s="61"/>
      <c r="HN242" s="61"/>
      <c r="HO242" s="61"/>
      <c r="HP242" s="61"/>
      <c r="HQ242" s="61"/>
      <c r="HR242" s="61"/>
      <c r="HS242" s="61"/>
      <c r="HT242" s="61"/>
      <c r="HU242" s="61"/>
      <c r="HV242" s="61"/>
      <c r="HW242" s="61"/>
      <c r="HX242" s="61"/>
      <c r="HY242" s="61"/>
      <c r="HZ242" s="61"/>
      <c r="IA242" s="61"/>
      <c r="IB242" s="61"/>
      <c r="IC242" s="61"/>
      <c r="ID242" s="61"/>
      <c r="IE242" s="61"/>
      <c r="IF242" s="61"/>
      <c r="IG242" s="61"/>
      <c r="IH242" s="61"/>
      <c r="II242" s="61"/>
      <c r="IJ242" s="61"/>
      <c r="IK242" s="61"/>
      <c r="IL242" s="61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  <c r="IW242" s="61"/>
      <c r="IX242" s="61"/>
      <c r="IY242" s="61"/>
      <c r="IZ242" s="61"/>
      <c r="JA242" s="61"/>
      <c r="JB242" s="61"/>
      <c r="JC242" s="61"/>
      <c r="JD242" s="61"/>
      <c r="JE242" s="61"/>
      <c r="JF242" s="61"/>
      <c r="JG242" s="61"/>
      <c r="JH242" s="61"/>
      <c r="JI242" s="61"/>
      <c r="JJ242" s="61"/>
      <c r="JK242" s="61"/>
      <c r="JL242" s="61"/>
      <c r="JM242" s="61"/>
      <c r="JN242" s="61"/>
      <c r="JO242" s="61"/>
      <c r="JP242" s="61"/>
      <c r="JQ242" s="61"/>
      <c r="JR242" s="61"/>
      <c r="JS242" s="61"/>
      <c r="JT242" s="61"/>
      <c r="JU242" s="61"/>
      <c r="JV242" s="61"/>
      <c r="JW242" s="61"/>
      <c r="JX242" s="61"/>
      <c r="JY242" s="61"/>
      <c r="JZ242" s="61"/>
      <c r="KA242" s="61"/>
      <c r="KB242" s="61"/>
      <c r="KC242" s="61"/>
      <c r="KD242" s="61"/>
      <c r="KE242" s="61"/>
      <c r="KF242" s="61"/>
      <c r="KG242" s="61"/>
      <c r="KH242" s="61"/>
      <c r="KI242" s="61"/>
      <c r="KJ242" s="61"/>
      <c r="KK242" s="61"/>
      <c r="KL242" s="61"/>
      <c r="KM242" s="61"/>
      <c r="KN242" s="61"/>
      <c r="KO242" s="61"/>
      <c r="KP242" s="61"/>
      <c r="KQ242" s="61"/>
      <c r="KR242" s="61"/>
      <c r="KS242" s="61"/>
      <c r="KT242" s="61"/>
      <c r="KU242" s="61"/>
      <c r="KV242" s="61"/>
      <c r="KW242" s="61"/>
      <c r="KX242" s="61"/>
      <c r="KY242" s="61"/>
      <c r="KZ242" s="61"/>
      <c r="LA242" s="61"/>
      <c r="LB242" s="61"/>
      <c r="LC242" s="61"/>
      <c r="LD242" s="61"/>
      <c r="LE242" s="61"/>
      <c r="LF242" s="61"/>
      <c r="LG242" s="61"/>
      <c r="LH242" s="61"/>
      <c r="LI242" s="61"/>
      <c r="LJ242" s="61"/>
      <c r="LK242" s="61"/>
      <c r="LL242" s="61"/>
      <c r="LM242" s="61"/>
      <c r="LN242" s="61"/>
      <c r="LO242" s="61"/>
      <c r="LP242" s="61"/>
      <c r="LQ242" s="61"/>
      <c r="LR242" s="61"/>
      <c r="LS242" s="61"/>
      <c r="LT242" s="61"/>
      <c r="LU242" s="61"/>
      <c r="LV242" s="61"/>
      <c r="LW242" s="61"/>
      <c r="LX242" s="61"/>
      <c r="LY242" s="61"/>
      <c r="LZ242" s="61"/>
      <c r="MA242" s="61"/>
      <c r="MB242" s="61"/>
      <c r="MC242" s="61"/>
      <c r="MD242" s="61"/>
      <c r="ME242" s="61"/>
      <c r="MF242" s="61"/>
      <c r="MG242" s="61"/>
      <c r="MH242" s="61"/>
      <c r="MI242" s="61"/>
      <c r="MJ242" s="61"/>
      <c r="MK242" s="61"/>
      <c r="ML242" s="61"/>
      <c r="MM242" s="61"/>
      <c r="MN242" s="61"/>
      <c r="MO242" s="61"/>
      <c r="MP242" s="61"/>
      <c r="MQ242" s="61"/>
      <c r="MR242" s="61"/>
      <c r="MS242" s="61"/>
      <c r="MT242" s="61"/>
      <c r="MU242" s="61"/>
      <c r="MV242" s="61"/>
      <c r="MW242" s="61"/>
      <c r="MX242" s="61"/>
      <c r="MY242" s="61"/>
      <c r="MZ242" s="61"/>
      <c r="NA242" s="61"/>
      <c r="NB242" s="61"/>
      <c r="NC242" s="61"/>
      <c r="ND242" s="61"/>
      <c r="NE242" s="61"/>
      <c r="NF242" s="61"/>
      <c r="NG242" s="61"/>
      <c r="NH242" s="61"/>
      <c r="NI242" s="61"/>
      <c r="NJ242" s="61"/>
      <c r="NK242" s="61"/>
      <c r="NL242" s="61"/>
      <c r="NM242" s="61"/>
      <c r="NN242" s="61"/>
      <c r="NO242" s="61"/>
      <c r="NP242" s="61"/>
      <c r="NQ242" s="61"/>
      <c r="NR242" s="61"/>
      <c r="NS242" s="61"/>
      <c r="NT242" s="61"/>
      <c r="NU242" s="61"/>
      <c r="NV242" s="61"/>
      <c r="NW242" s="61"/>
      <c r="NX242" s="61"/>
      <c r="NY242" s="61"/>
      <c r="NZ242" s="61"/>
      <c r="OA242" s="61"/>
      <c r="OB242" s="61"/>
      <c r="OC242" s="61"/>
      <c r="OD242" s="61"/>
      <c r="OE242" s="61"/>
      <c r="OF242" s="61"/>
      <c r="OG242" s="61"/>
      <c r="OH242" s="61"/>
      <c r="OI242" s="61"/>
      <c r="OJ242" s="61"/>
      <c r="OK242" s="61"/>
      <c r="OL242" s="61"/>
      <c r="OM242" s="61"/>
      <c r="ON242" s="61"/>
      <c r="OO242" s="61"/>
      <c r="OP242" s="61"/>
      <c r="OQ242" s="61"/>
      <c r="OR242" s="61"/>
      <c r="OS242" s="61"/>
      <c r="OT242" s="61"/>
      <c r="OU242" s="61"/>
      <c r="OV242" s="61"/>
      <c r="OW242" s="61"/>
      <c r="OX242" s="61"/>
      <c r="OY242" s="61"/>
      <c r="OZ242" s="61"/>
      <c r="PA242" s="61"/>
      <c r="PB242" s="61"/>
      <c r="PC242" s="61"/>
      <c r="PD242" s="61"/>
      <c r="PE242" s="61"/>
      <c r="PF242" s="61"/>
      <c r="PG242" s="61"/>
      <c r="PH242" s="61"/>
      <c r="PI242" s="61"/>
      <c r="PJ242" s="61"/>
      <c r="PK242" s="61"/>
      <c r="PL242" s="61"/>
      <c r="PM242" s="61"/>
      <c r="PN242" s="61"/>
      <c r="PO242" s="61"/>
      <c r="PP242" s="61"/>
      <c r="PQ242" s="61"/>
      <c r="PR242" s="61"/>
      <c r="PS242" s="61"/>
      <c r="PT242" s="61"/>
      <c r="PU242" s="61"/>
      <c r="PV242" s="61"/>
      <c r="PW242" s="61"/>
      <c r="PX242" s="61"/>
      <c r="PY242" s="61"/>
      <c r="PZ242" s="61"/>
      <c r="QA242" s="61"/>
      <c r="QB242" s="61"/>
      <c r="QC242" s="61"/>
      <c r="QD242" s="61"/>
      <c r="QE242" s="61"/>
      <c r="QF242" s="61"/>
      <c r="QG242" s="61"/>
      <c r="QH242" s="61"/>
      <c r="QI242" s="61"/>
      <c r="QJ242" s="61"/>
      <c r="QK242" s="61"/>
      <c r="QL242" s="61"/>
      <c r="QM242" s="61"/>
      <c r="QN242" s="61"/>
      <c r="QO242" s="61"/>
      <c r="QP242" s="61"/>
      <c r="QQ242" s="61"/>
      <c r="QR242" s="61"/>
      <c r="QS242" s="61"/>
      <c r="QT242" s="61"/>
      <c r="QU242" s="61"/>
      <c r="QV242" s="61"/>
      <c r="QW242" s="61"/>
      <c r="QX242" s="61"/>
      <c r="QY242" s="61"/>
      <c r="QZ242" s="61"/>
      <c r="RA242" s="61"/>
      <c r="RB242" s="61"/>
      <c r="RC242" s="61"/>
      <c r="RD242" s="61"/>
      <c r="RE242" s="61"/>
      <c r="RF242" s="61"/>
      <c r="RG242" s="61"/>
      <c r="RH242" s="61"/>
      <c r="RI242" s="61"/>
      <c r="RJ242" s="61"/>
      <c r="RK242" s="61"/>
      <c r="RL242" s="61"/>
      <c r="RM242" s="61"/>
      <c r="RN242" s="61"/>
      <c r="RO242" s="61"/>
      <c r="RP242" s="61"/>
      <c r="RQ242" s="61"/>
      <c r="RR242" s="61"/>
      <c r="RS242" s="61"/>
      <c r="RT242" s="61"/>
      <c r="RU242" s="61"/>
      <c r="RV242" s="61"/>
      <c r="RW242" s="61"/>
      <c r="RX242" s="61"/>
      <c r="RY242" s="61"/>
      <c r="RZ242" s="61"/>
      <c r="SA242" s="61"/>
      <c r="SB242" s="61"/>
      <c r="SC242" s="61"/>
      <c r="SD242" s="61"/>
      <c r="SE242" s="61"/>
      <c r="SF242" s="61"/>
      <c r="SG242" s="61"/>
      <c r="SH242" s="61"/>
      <c r="SI242" s="61"/>
      <c r="SJ242" s="61"/>
      <c r="SK242" s="61"/>
      <c r="SL242" s="61"/>
      <c r="SM242" s="61"/>
      <c r="SN242" s="61"/>
      <c r="SO242" s="61"/>
      <c r="SP242" s="61"/>
      <c r="SQ242" s="61"/>
      <c r="SR242" s="61"/>
      <c r="SS242" s="61"/>
      <c r="ST242" s="61"/>
      <c r="SU242" s="61"/>
      <c r="SV242" s="61"/>
      <c r="SW242" s="61"/>
      <c r="SX242" s="61"/>
      <c r="SY242" s="61"/>
      <c r="SZ242" s="61"/>
      <c r="TA242" s="61"/>
      <c r="TB242" s="61"/>
      <c r="TC242" s="61"/>
      <c r="TD242" s="61"/>
      <c r="TE242" s="61"/>
      <c r="TF242" s="61"/>
      <c r="TG242" s="61"/>
      <c r="TH242" s="61"/>
      <c r="TI242" s="61"/>
      <c r="TJ242" s="61"/>
      <c r="TK242" s="61"/>
      <c r="TL242" s="61"/>
      <c r="TM242" s="61"/>
      <c r="TN242" s="61"/>
      <c r="TO242" s="61"/>
      <c r="TP242" s="61"/>
      <c r="TQ242" s="61"/>
      <c r="TR242" s="61"/>
      <c r="TS242" s="61"/>
      <c r="TT242" s="61"/>
      <c r="TU242" s="61"/>
      <c r="TV242" s="61"/>
      <c r="TW242" s="61"/>
      <c r="TX242" s="61"/>
      <c r="TY242" s="61"/>
      <c r="TZ242" s="61"/>
      <c r="UA242" s="61"/>
      <c r="UB242" s="61"/>
      <c r="UC242" s="61"/>
      <c r="UD242" s="61"/>
      <c r="UE242" s="61"/>
      <c r="UF242" s="61"/>
      <c r="UG242" s="61"/>
      <c r="UH242" s="61"/>
      <c r="UI242" s="61"/>
      <c r="UJ242" s="61"/>
      <c r="UK242" s="61"/>
      <c r="UL242" s="61"/>
      <c r="UM242" s="61"/>
      <c r="UN242" s="61"/>
      <c r="UO242" s="61"/>
      <c r="UP242" s="61"/>
      <c r="UQ242" s="61"/>
      <c r="UR242" s="61"/>
      <c r="US242" s="61"/>
      <c r="UT242" s="61"/>
      <c r="UU242" s="61"/>
      <c r="UV242" s="61"/>
      <c r="UW242" s="61"/>
      <c r="UX242" s="61"/>
      <c r="UY242" s="61"/>
      <c r="UZ242" s="61"/>
      <c r="VA242" s="61"/>
      <c r="VB242" s="61"/>
      <c r="VC242" s="61"/>
    </row>
    <row r="243" spans="1:575" s="72" customFormat="1" ht="33.75" customHeight="1" x14ac:dyDescent="0.2">
      <c r="A243" s="70" t="s">
        <v>45</v>
      </c>
      <c r="B243" s="111"/>
      <c r="C243" s="111"/>
      <c r="D243" s="71" t="s">
        <v>56</v>
      </c>
      <c r="E243" s="134">
        <f>E244</f>
        <v>5556200</v>
      </c>
      <c r="F243" s="134">
        <f t="shared" ref="F243:P244" si="42">F244</f>
        <v>5556200</v>
      </c>
      <c r="G243" s="134">
        <f t="shared" si="42"/>
        <v>4303200</v>
      </c>
      <c r="H243" s="134">
        <f t="shared" si="42"/>
        <v>105490</v>
      </c>
      <c r="I243" s="134">
        <f t="shared" si="42"/>
        <v>0</v>
      </c>
      <c r="J243" s="134">
        <f t="shared" si="42"/>
        <v>100000</v>
      </c>
      <c r="K243" s="134">
        <f t="shared" si="42"/>
        <v>100000</v>
      </c>
      <c r="L243" s="134">
        <f t="shared" si="42"/>
        <v>0</v>
      </c>
      <c r="M243" s="134">
        <f t="shared" si="42"/>
        <v>0</v>
      </c>
      <c r="N243" s="134">
        <f t="shared" si="42"/>
        <v>0</v>
      </c>
      <c r="O243" s="134">
        <f t="shared" si="42"/>
        <v>100000</v>
      </c>
      <c r="P243" s="134">
        <f t="shared" si="42"/>
        <v>5656200</v>
      </c>
      <c r="Q243" s="159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0"/>
      <c r="BN243" s="90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0"/>
      <c r="BZ243" s="90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90"/>
      <c r="CM243" s="90"/>
      <c r="CN243" s="90"/>
      <c r="CO243" s="90"/>
      <c r="CP243" s="90"/>
      <c r="CQ243" s="90"/>
      <c r="CR243" s="90"/>
      <c r="CS243" s="90"/>
      <c r="CT243" s="90"/>
      <c r="CU243" s="90"/>
      <c r="CV243" s="90"/>
      <c r="CW243" s="90"/>
      <c r="CX243" s="90"/>
      <c r="CY243" s="90"/>
      <c r="CZ243" s="90"/>
      <c r="DA243" s="90"/>
      <c r="DB243" s="90"/>
      <c r="DC243" s="90"/>
      <c r="DD243" s="90"/>
      <c r="DE243" s="90"/>
      <c r="DF243" s="90"/>
      <c r="DG243" s="90"/>
      <c r="DH243" s="90"/>
      <c r="DI243" s="90"/>
      <c r="DJ243" s="90"/>
      <c r="DK243" s="90"/>
      <c r="DL243" s="90"/>
      <c r="DM243" s="90"/>
      <c r="DN243" s="90"/>
      <c r="DO243" s="90"/>
      <c r="DP243" s="90"/>
      <c r="DQ243" s="90"/>
      <c r="DR243" s="90"/>
      <c r="DS243" s="90"/>
      <c r="DT243" s="90"/>
      <c r="DU243" s="90"/>
      <c r="DV243" s="90"/>
      <c r="DW243" s="90"/>
      <c r="DX243" s="90"/>
      <c r="DY243" s="90"/>
      <c r="DZ243" s="90"/>
      <c r="EA243" s="90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90"/>
      <c r="EN243" s="90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90"/>
      <c r="FA243" s="90"/>
      <c r="FB243" s="90"/>
      <c r="FC243" s="90"/>
      <c r="FD243" s="90"/>
      <c r="FE243" s="90"/>
      <c r="FF243" s="90"/>
      <c r="FG243" s="90"/>
      <c r="FH243" s="90"/>
      <c r="FI243" s="90"/>
      <c r="FJ243" s="90"/>
      <c r="FK243" s="90"/>
      <c r="FL243" s="90"/>
      <c r="FM243" s="90"/>
      <c r="FN243" s="90"/>
      <c r="FO243" s="90"/>
      <c r="FP243" s="90"/>
      <c r="FQ243" s="90"/>
      <c r="FR243" s="90"/>
      <c r="FS243" s="90"/>
      <c r="FT243" s="90"/>
      <c r="FU243" s="90"/>
      <c r="FV243" s="90"/>
      <c r="FW243" s="90"/>
      <c r="FX243" s="90"/>
      <c r="FY243" s="90"/>
      <c r="FZ243" s="90"/>
      <c r="GA243" s="90"/>
      <c r="GB243" s="90"/>
      <c r="GC243" s="90"/>
      <c r="GD243" s="90"/>
      <c r="GE243" s="90"/>
      <c r="GF243" s="90"/>
      <c r="GG243" s="90"/>
      <c r="GH243" s="90"/>
      <c r="GI243" s="90"/>
      <c r="GJ243" s="90"/>
      <c r="GK243" s="90"/>
      <c r="GL243" s="90"/>
      <c r="GM243" s="90"/>
      <c r="GN243" s="90"/>
      <c r="GO243" s="90"/>
      <c r="GP243" s="90"/>
      <c r="GQ243" s="90"/>
      <c r="GR243" s="90"/>
      <c r="GS243" s="90"/>
      <c r="GT243" s="90"/>
      <c r="GU243" s="90"/>
      <c r="GV243" s="90"/>
      <c r="GW243" s="90"/>
      <c r="GX243" s="90"/>
      <c r="GY243" s="90"/>
      <c r="GZ243" s="90"/>
      <c r="HA243" s="90"/>
      <c r="HB243" s="90"/>
      <c r="HC243" s="90"/>
      <c r="HD243" s="90"/>
      <c r="HE243" s="90"/>
      <c r="HF243" s="90"/>
      <c r="HG243" s="90"/>
      <c r="HH243" s="90"/>
      <c r="HI243" s="90"/>
      <c r="HJ243" s="90"/>
      <c r="HK243" s="90"/>
      <c r="HL243" s="90"/>
      <c r="HM243" s="90"/>
      <c r="HN243" s="90"/>
      <c r="HO243" s="90"/>
      <c r="HP243" s="90"/>
      <c r="HQ243" s="90"/>
      <c r="HR243" s="90"/>
      <c r="HS243" s="90"/>
      <c r="HT243" s="90"/>
      <c r="HU243" s="90"/>
      <c r="HV243" s="90"/>
      <c r="HW243" s="90"/>
      <c r="HX243" s="90"/>
      <c r="HY243" s="90"/>
      <c r="HZ243" s="90"/>
      <c r="IA243" s="90"/>
      <c r="IB243" s="90"/>
      <c r="IC243" s="90"/>
      <c r="ID243" s="90"/>
      <c r="IE243" s="90"/>
      <c r="IF243" s="90"/>
      <c r="IG243" s="90"/>
      <c r="IH243" s="90"/>
      <c r="II243" s="90"/>
      <c r="IJ243" s="90"/>
      <c r="IK243" s="90"/>
      <c r="IL243" s="90"/>
      <c r="IM243" s="90"/>
      <c r="IN243" s="90"/>
      <c r="IO243" s="90"/>
      <c r="IP243" s="90"/>
      <c r="IQ243" s="90"/>
      <c r="IR243" s="90"/>
      <c r="IS243" s="90"/>
      <c r="IT243" s="90"/>
      <c r="IU243" s="90"/>
      <c r="IV243" s="90"/>
      <c r="IW243" s="90"/>
      <c r="IX243" s="90"/>
      <c r="IY243" s="90"/>
      <c r="IZ243" s="90"/>
      <c r="JA243" s="90"/>
      <c r="JB243" s="90"/>
      <c r="JC243" s="90"/>
      <c r="JD243" s="90"/>
      <c r="JE243" s="90"/>
      <c r="JF243" s="90"/>
      <c r="JG243" s="90"/>
      <c r="JH243" s="90"/>
      <c r="JI243" s="90"/>
      <c r="JJ243" s="90"/>
      <c r="JK243" s="90"/>
      <c r="JL243" s="90"/>
      <c r="JM243" s="90"/>
      <c r="JN243" s="90"/>
      <c r="JO243" s="90"/>
      <c r="JP243" s="90"/>
      <c r="JQ243" s="90"/>
      <c r="JR243" s="90"/>
      <c r="JS243" s="90"/>
      <c r="JT243" s="90"/>
      <c r="JU243" s="90"/>
      <c r="JV243" s="90"/>
      <c r="JW243" s="90"/>
      <c r="JX243" s="90"/>
      <c r="JY243" s="90"/>
      <c r="JZ243" s="90"/>
      <c r="KA243" s="90"/>
      <c r="KB243" s="90"/>
      <c r="KC243" s="90"/>
      <c r="KD243" s="90"/>
      <c r="KE243" s="90"/>
      <c r="KF243" s="90"/>
      <c r="KG243" s="90"/>
      <c r="KH243" s="90"/>
      <c r="KI243" s="90"/>
      <c r="KJ243" s="90"/>
      <c r="KK243" s="90"/>
      <c r="KL243" s="90"/>
      <c r="KM243" s="90"/>
      <c r="KN243" s="90"/>
      <c r="KO243" s="90"/>
      <c r="KP243" s="90"/>
      <c r="KQ243" s="90"/>
      <c r="KR243" s="90"/>
      <c r="KS243" s="90"/>
      <c r="KT243" s="90"/>
      <c r="KU243" s="90"/>
      <c r="KV243" s="90"/>
      <c r="KW243" s="90"/>
      <c r="KX243" s="90"/>
      <c r="KY243" s="90"/>
      <c r="KZ243" s="90"/>
      <c r="LA243" s="90"/>
      <c r="LB243" s="90"/>
      <c r="LC243" s="90"/>
      <c r="LD243" s="90"/>
      <c r="LE243" s="90"/>
      <c r="LF243" s="90"/>
      <c r="LG243" s="90"/>
      <c r="LH243" s="90"/>
      <c r="LI243" s="90"/>
      <c r="LJ243" s="90"/>
      <c r="LK243" s="90"/>
      <c r="LL243" s="90"/>
      <c r="LM243" s="90"/>
      <c r="LN243" s="90"/>
      <c r="LO243" s="90"/>
      <c r="LP243" s="90"/>
      <c r="LQ243" s="90"/>
      <c r="LR243" s="90"/>
      <c r="LS243" s="90"/>
      <c r="LT243" s="90"/>
      <c r="LU243" s="90"/>
      <c r="LV243" s="90"/>
      <c r="LW243" s="90"/>
      <c r="LX243" s="90"/>
      <c r="LY243" s="90"/>
      <c r="LZ243" s="90"/>
      <c r="MA243" s="90"/>
      <c r="MB243" s="90"/>
      <c r="MC243" s="90"/>
      <c r="MD243" s="90"/>
      <c r="ME243" s="90"/>
      <c r="MF243" s="90"/>
      <c r="MG243" s="90"/>
      <c r="MH243" s="90"/>
      <c r="MI243" s="90"/>
      <c r="MJ243" s="90"/>
      <c r="MK243" s="90"/>
      <c r="ML243" s="90"/>
      <c r="MM243" s="90"/>
      <c r="MN243" s="90"/>
      <c r="MO243" s="90"/>
      <c r="MP243" s="90"/>
      <c r="MQ243" s="90"/>
      <c r="MR243" s="90"/>
      <c r="MS243" s="90"/>
      <c r="MT243" s="90"/>
      <c r="MU243" s="90"/>
      <c r="MV243" s="90"/>
      <c r="MW243" s="90"/>
      <c r="MX243" s="90"/>
      <c r="MY243" s="90"/>
      <c r="MZ243" s="90"/>
      <c r="NA243" s="90"/>
      <c r="NB243" s="90"/>
      <c r="NC243" s="90"/>
      <c r="ND243" s="90"/>
      <c r="NE243" s="90"/>
      <c r="NF243" s="90"/>
      <c r="NG243" s="90"/>
      <c r="NH243" s="90"/>
      <c r="NI243" s="90"/>
      <c r="NJ243" s="90"/>
      <c r="NK243" s="90"/>
      <c r="NL243" s="90"/>
      <c r="NM243" s="90"/>
      <c r="NN243" s="90"/>
      <c r="NO243" s="90"/>
      <c r="NP243" s="90"/>
      <c r="NQ243" s="90"/>
      <c r="NR243" s="90"/>
      <c r="NS243" s="90"/>
      <c r="NT243" s="90"/>
      <c r="NU243" s="90"/>
      <c r="NV243" s="90"/>
      <c r="NW243" s="90"/>
      <c r="NX243" s="90"/>
      <c r="NY243" s="90"/>
      <c r="NZ243" s="90"/>
      <c r="OA243" s="90"/>
      <c r="OB243" s="90"/>
      <c r="OC243" s="90"/>
      <c r="OD243" s="90"/>
      <c r="OE243" s="90"/>
      <c r="OF243" s="90"/>
      <c r="OG243" s="90"/>
      <c r="OH243" s="90"/>
      <c r="OI243" s="90"/>
      <c r="OJ243" s="90"/>
      <c r="OK243" s="90"/>
      <c r="OL243" s="90"/>
      <c r="OM243" s="90"/>
      <c r="ON243" s="90"/>
      <c r="OO243" s="90"/>
      <c r="OP243" s="90"/>
      <c r="OQ243" s="90"/>
      <c r="OR243" s="90"/>
      <c r="OS243" s="90"/>
      <c r="OT243" s="90"/>
      <c r="OU243" s="90"/>
      <c r="OV243" s="90"/>
      <c r="OW243" s="90"/>
      <c r="OX243" s="90"/>
      <c r="OY243" s="90"/>
      <c r="OZ243" s="90"/>
      <c r="PA243" s="90"/>
      <c r="PB243" s="90"/>
      <c r="PC243" s="90"/>
      <c r="PD243" s="90"/>
      <c r="PE243" s="90"/>
      <c r="PF243" s="90"/>
      <c r="PG243" s="90"/>
      <c r="PH243" s="90"/>
      <c r="PI243" s="90"/>
      <c r="PJ243" s="90"/>
      <c r="PK243" s="90"/>
      <c r="PL243" s="90"/>
      <c r="PM243" s="90"/>
      <c r="PN243" s="90"/>
      <c r="PO243" s="90"/>
      <c r="PP243" s="90"/>
      <c r="PQ243" s="90"/>
      <c r="PR243" s="90"/>
      <c r="PS243" s="90"/>
      <c r="PT243" s="90"/>
      <c r="PU243" s="90"/>
      <c r="PV243" s="90"/>
      <c r="PW243" s="90"/>
      <c r="PX243" s="90"/>
      <c r="PY243" s="90"/>
      <c r="PZ243" s="90"/>
      <c r="QA243" s="90"/>
      <c r="QB243" s="90"/>
      <c r="QC243" s="90"/>
      <c r="QD243" s="90"/>
      <c r="QE243" s="90"/>
      <c r="QF243" s="90"/>
      <c r="QG243" s="90"/>
      <c r="QH243" s="90"/>
      <c r="QI243" s="90"/>
      <c r="QJ243" s="90"/>
      <c r="QK243" s="90"/>
      <c r="QL243" s="90"/>
      <c r="QM243" s="90"/>
      <c r="QN243" s="90"/>
      <c r="QO243" s="90"/>
      <c r="QP243" s="90"/>
      <c r="QQ243" s="90"/>
      <c r="QR243" s="90"/>
      <c r="QS243" s="90"/>
      <c r="QT243" s="90"/>
      <c r="QU243" s="90"/>
      <c r="QV243" s="90"/>
      <c r="QW243" s="90"/>
      <c r="QX243" s="90"/>
      <c r="QY243" s="90"/>
      <c r="QZ243" s="90"/>
      <c r="RA243" s="90"/>
      <c r="RB243" s="90"/>
      <c r="RC243" s="90"/>
      <c r="RD243" s="90"/>
      <c r="RE243" s="90"/>
      <c r="RF243" s="90"/>
      <c r="RG243" s="90"/>
      <c r="RH243" s="90"/>
      <c r="RI243" s="90"/>
      <c r="RJ243" s="90"/>
      <c r="RK243" s="90"/>
      <c r="RL243" s="90"/>
      <c r="RM243" s="90"/>
      <c r="RN243" s="90"/>
      <c r="RO243" s="90"/>
      <c r="RP243" s="90"/>
      <c r="RQ243" s="90"/>
      <c r="RR243" s="90"/>
      <c r="RS243" s="90"/>
      <c r="RT243" s="90"/>
      <c r="RU243" s="90"/>
      <c r="RV243" s="90"/>
      <c r="RW243" s="90"/>
      <c r="RX243" s="90"/>
      <c r="RY243" s="90"/>
      <c r="RZ243" s="90"/>
      <c r="SA243" s="90"/>
      <c r="SB243" s="90"/>
      <c r="SC243" s="90"/>
      <c r="SD243" s="90"/>
      <c r="SE243" s="90"/>
      <c r="SF243" s="90"/>
      <c r="SG243" s="90"/>
      <c r="SH243" s="90"/>
      <c r="SI243" s="90"/>
      <c r="SJ243" s="90"/>
      <c r="SK243" s="90"/>
      <c r="SL243" s="90"/>
      <c r="SM243" s="90"/>
      <c r="SN243" s="90"/>
      <c r="SO243" s="90"/>
      <c r="SP243" s="90"/>
      <c r="SQ243" s="90"/>
      <c r="SR243" s="90"/>
      <c r="SS243" s="90"/>
      <c r="ST243" s="90"/>
      <c r="SU243" s="90"/>
      <c r="SV243" s="90"/>
      <c r="SW243" s="90"/>
      <c r="SX243" s="90"/>
      <c r="SY243" s="90"/>
      <c r="SZ243" s="90"/>
      <c r="TA243" s="90"/>
      <c r="TB243" s="90"/>
      <c r="TC243" s="90"/>
      <c r="TD243" s="90"/>
      <c r="TE243" s="90"/>
      <c r="TF243" s="90"/>
      <c r="TG243" s="90"/>
      <c r="TH243" s="90"/>
      <c r="TI243" s="90"/>
      <c r="TJ243" s="90"/>
      <c r="TK243" s="90"/>
      <c r="TL243" s="90"/>
      <c r="TM243" s="90"/>
      <c r="TN243" s="90"/>
      <c r="TO243" s="90"/>
      <c r="TP243" s="90"/>
      <c r="TQ243" s="90"/>
      <c r="TR243" s="90"/>
      <c r="TS243" s="90"/>
      <c r="TT243" s="90"/>
      <c r="TU243" s="90"/>
      <c r="TV243" s="90"/>
      <c r="TW243" s="90"/>
      <c r="TX243" s="90"/>
      <c r="TY243" s="90"/>
      <c r="TZ243" s="90"/>
      <c r="UA243" s="90"/>
      <c r="UB243" s="90"/>
      <c r="UC243" s="90"/>
      <c r="UD243" s="90"/>
      <c r="UE243" s="90"/>
      <c r="UF243" s="90"/>
      <c r="UG243" s="90"/>
      <c r="UH243" s="90"/>
      <c r="UI243" s="90"/>
      <c r="UJ243" s="90"/>
      <c r="UK243" s="90"/>
      <c r="UL243" s="90"/>
      <c r="UM243" s="90"/>
      <c r="UN243" s="90"/>
      <c r="UO243" s="90"/>
      <c r="UP243" s="90"/>
      <c r="UQ243" s="90"/>
      <c r="UR243" s="90"/>
      <c r="US243" s="90"/>
      <c r="UT243" s="90"/>
      <c r="UU243" s="90"/>
      <c r="UV243" s="90"/>
      <c r="UW243" s="90"/>
      <c r="UX243" s="90"/>
      <c r="UY243" s="90"/>
      <c r="UZ243" s="90"/>
      <c r="VA243" s="90"/>
      <c r="VB243" s="90"/>
      <c r="VC243" s="90"/>
    </row>
    <row r="244" spans="1:575" s="92" customFormat="1" ht="41.25" customHeight="1" x14ac:dyDescent="0.25">
      <c r="A244" s="75" t="s">
        <v>151</v>
      </c>
      <c r="B244" s="112"/>
      <c r="C244" s="112"/>
      <c r="D244" s="76" t="s">
        <v>56</v>
      </c>
      <c r="E244" s="131">
        <f>E245</f>
        <v>5556200</v>
      </c>
      <c r="F244" s="131">
        <f t="shared" si="42"/>
        <v>5556200</v>
      </c>
      <c r="G244" s="131">
        <f t="shared" si="42"/>
        <v>4303200</v>
      </c>
      <c r="H244" s="131">
        <f t="shared" si="42"/>
        <v>105490</v>
      </c>
      <c r="I244" s="131">
        <f t="shared" si="42"/>
        <v>0</v>
      </c>
      <c r="J244" s="131">
        <f t="shared" si="42"/>
        <v>100000</v>
      </c>
      <c r="K244" s="131">
        <f t="shared" si="42"/>
        <v>100000</v>
      </c>
      <c r="L244" s="131">
        <f t="shared" si="42"/>
        <v>0</v>
      </c>
      <c r="M244" s="131">
        <f t="shared" si="42"/>
        <v>0</v>
      </c>
      <c r="N244" s="131">
        <f t="shared" si="42"/>
        <v>0</v>
      </c>
      <c r="O244" s="131">
        <f t="shared" si="42"/>
        <v>100000</v>
      </c>
      <c r="P244" s="131">
        <f t="shared" si="42"/>
        <v>5656200</v>
      </c>
      <c r="Q244" s="159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  <c r="NN244" s="91"/>
      <c r="NO244" s="91"/>
      <c r="NP244" s="91"/>
      <c r="NQ244" s="91"/>
      <c r="NR244" s="91"/>
      <c r="NS244" s="91"/>
      <c r="NT244" s="91"/>
      <c r="NU244" s="91"/>
      <c r="NV244" s="91"/>
      <c r="NW244" s="91"/>
      <c r="NX244" s="91"/>
      <c r="NY244" s="91"/>
      <c r="NZ244" s="91"/>
      <c r="OA244" s="91"/>
      <c r="OB244" s="91"/>
      <c r="OC244" s="91"/>
      <c r="OD244" s="91"/>
      <c r="OE244" s="91"/>
      <c r="OF244" s="91"/>
      <c r="OG244" s="91"/>
      <c r="OH244" s="91"/>
      <c r="OI244" s="91"/>
      <c r="OJ244" s="91"/>
      <c r="OK244" s="91"/>
      <c r="OL244" s="91"/>
      <c r="OM244" s="91"/>
      <c r="ON244" s="91"/>
      <c r="OO244" s="91"/>
      <c r="OP244" s="91"/>
      <c r="OQ244" s="91"/>
      <c r="OR244" s="91"/>
      <c r="OS244" s="91"/>
      <c r="OT244" s="91"/>
      <c r="OU244" s="91"/>
      <c r="OV244" s="91"/>
      <c r="OW244" s="91"/>
      <c r="OX244" s="91"/>
      <c r="OY244" s="91"/>
      <c r="OZ244" s="91"/>
      <c r="PA244" s="91"/>
      <c r="PB244" s="91"/>
      <c r="PC244" s="91"/>
      <c r="PD244" s="91"/>
      <c r="PE244" s="91"/>
      <c r="PF244" s="91"/>
      <c r="PG244" s="91"/>
      <c r="PH244" s="91"/>
      <c r="PI244" s="91"/>
      <c r="PJ244" s="91"/>
      <c r="PK244" s="91"/>
      <c r="PL244" s="91"/>
      <c r="PM244" s="91"/>
      <c r="PN244" s="91"/>
      <c r="PO244" s="91"/>
      <c r="PP244" s="91"/>
      <c r="PQ244" s="91"/>
      <c r="PR244" s="91"/>
      <c r="PS244" s="91"/>
      <c r="PT244" s="91"/>
      <c r="PU244" s="91"/>
      <c r="PV244" s="91"/>
      <c r="PW244" s="91"/>
      <c r="PX244" s="91"/>
      <c r="PY244" s="91"/>
      <c r="PZ244" s="91"/>
      <c r="QA244" s="91"/>
      <c r="QB244" s="91"/>
      <c r="QC244" s="91"/>
      <c r="QD244" s="91"/>
      <c r="QE244" s="91"/>
      <c r="QF244" s="91"/>
      <c r="QG244" s="91"/>
      <c r="QH244" s="91"/>
      <c r="QI244" s="91"/>
      <c r="QJ244" s="91"/>
      <c r="QK244" s="91"/>
      <c r="QL244" s="91"/>
      <c r="QM244" s="91"/>
      <c r="QN244" s="91"/>
      <c r="QO244" s="91"/>
      <c r="QP244" s="91"/>
      <c r="QQ244" s="91"/>
      <c r="QR244" s="91"/>
      <c r="QS244" s="91"/>
      <c r="QT244" s="91"/>
      <c r="QU244" s="91"/>
      <c r="QV244" s="91"/>
      <c r="QW244" s="91"/>
      <c r="QX244" s="91"/>
      <c r="QY244" s="91"/>
      <c r="QZ244" s="91"/>
      <c r="RA244" s="91"/>
      <c r="RB244" s="91"/>
      <c r="RC244" s="91"/>
      <c r="RD244" s="91"/>
      <c r="RE244" s="91"/>
      <c r="RF244" s="91"/>
      <c r="RG244" s="91"/>
      <c r="RH244" s="91"/>
      <c r="RI244" s="91"/>
      <c r="RJ244" s="91"/>
      <c r="RK244" s="91"/>
      <c r="RL244" s="91"/>
      <c r="RM244" s="91"/>
      <c r="RN244" s="91"/>
      <c r="RO244" s="91"/>
      <c r="RP244" s="91"/>
      <c r="RQ244" s="91"/>
      <c r="RR244" s="91"/>
      <c r="RS244" s="91"/>
      <c r="RT244" s="91"/>
      <c r="RU244" s="91"/>
      <c r="RV244" s="91"/>
      <c r="RW244" s="91"/>
      <c r="RX244" s="91"/>
      <c r="RY244" s="91"/>
      <c r="RZ244" s="91"/>
      <c r="SA244" s="91"/>
      <c r="SB244" s="91"/>
      <c r="SC244" s="91"/>
      <c r="SD244" s="91"/>
      <c r="SE244" s="91"/>
      <c r="SF244" s="91"/>
      <c r="SG244" s="91"/>
      <c r="SH244" s="91"/>
      <c r="SI244" s="91"/>
      <c r="SJ244" s="91"/>
      <c r="SK244" s="91"/>
      <c r="SL244" s="91"/>
      <c r="SM244" s="91"/>
      <c r="SN244" s="91"/>
      <c r="SO244" s="91"/>
      <c r="SP244" s="91"/>
      <c r="SQ244" s="91"/>
      <c r="SR244" s="91"/>
      <c r="SS244" s="91"/>
      <c r="ST244" s="91"/>
      <c r="SU244" s="91"/>
      <c r="SV244" s="91"/>
      <c r="SW244" s="91"/>
      <c r="SX244" s="91"/>
      <c r="SY244" s="91"/>
      <c r="SZ244" s="91"/>
      <c r="TA244" s="91"/>
      <c r="TB244" s="91"/>
      <c r="TC244" s="91"/>
      <c r="TD244" s="91"/>
      <c r="TE244" s="91"/>
      <c r="TF244" s="91"/>
      <c r="TG244" s="91"/>
      <c r="TH244" s="91"/>
      <c r="TI244" s="91"/>
      <c r="TJ244" s="91"/>
      <c r="TK244" s="91"/>
      <c r="TL244" s="91"/>
      <c r="TM244" s="91"/>
      <c r="TN244" s="91"/>
      <c r="TO244" s="91"/>
      <c r="TP244" s="91"/>
      <c r="TQ244" s="91"/>
      <c r="TR244" s="91"/>
      <c r="TS244" s="91"/>
      <c r="TT244" s="91"/>
      <c r="TU244" s="91"/>
      <c r="TV244" s="91"/>
      <c r="TW244" s="91"/>
      <c r="TX244" s="91"/>
      <c r="TY244" s="91"/>
      <c r="TZ244" s="91"/>
      <c r="UA244" s="91"/>
      <c r="UB244" s="91"/>
      <c r="UC244" s="91"/>
      <c r="UD244" s="91"/>
      <c r="UE244" s="91"/>
      <c r="UF244" s="91"/>
      <c r="UG244" s="91"/>
      <c r="UH244" s="91"/>
      <c r="UI244" s="91"/>
      <c r="UJ244" s="91"/>
      <c r="UK244" s="91"/>
      <c r="UL244" s="91"/>
      <c r="UM244" s="91"/>
      <c r="UN244" s="91"/>
      <c r="UO244" s="91"/>
      <c r="UP244" s="91"/>
      <c r="UQ244" s="91"/>
      <c r="UR244" s="91"/>
      <c r="US244" s="91"/>
      <c r="UT244" s="91"/>
      <c r="UU244" s="91"/>
      <c r="UV244" s="91"/>
      <c r="UW244" s="91"/>
      <c r="UX244" s="91"/>
      <c r="UY244" s="91"/>
      <c r="UZ244" s="91"/>
      <c r="VA244" s="91"/>
      <c r="VB244" s="91"/>
      <c r="VC244" s="91"/>
    </row>
    <row r="245" spans="1:575" s="55" customFormat="1" ht="45" x14ac:dyDescent="0.25">
      <c r="A245" s="53" t="s">
        <v>0</v>
      </c>
      <c r="B245" s="102" t="str">
        <f>'дод 2'!A13</f>
        <v>0160</v>
      </c>
      <c r="C245" s="102" t="str">
        <f>'дод 2'!B13</f>
        <v>0111</v>
      </c>
      <c r="D24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45" s="132">
        <f>F245+I245</f>
        <v>5556200</v>
      </c>
      <c r="F245" s="132">
        <v>5556200</v>
      </c>
      <c r="G245" s="132">
        <f>4335700-32500</f>
        <v>4303200</v>
      </c>
      <c r="H245" s="132">
        <f>103690+1800</f>
        <v>105490</v>
      </c>
      <c r="I245" s="132"/>
      <c r="J245" s="132">
        <f t="shared" ref="J245:J310" si="43">L245+O245</f>
        <v>100000</v>
      </c>
      <c r="K245" s="132">
        <v>100000</v>
      </c>
      <c r="L245" s="132"/>
      <c r="M245" s="132"/>
      <c r="N245" s="132"/>
      <c r="O245" s="132">
        <f>100000</f>
        <v>100000</v>
      </c>
      <c r="P245" s="132">
        <f>E245+J245</f>
        <v>5656200</v>
      </c>
      <c r="Q245" s="159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  <c r="CJ245" s="61"/>
      <c r="CK245" s="61"/>
      <c r="CL245" s="61"/>
      <c r="CM245" s="61"/>
      <c r="CN245" s="61"/>
      <c r="CO245" s="61"/>
      <c r="CP245" s="61"/>
      <c r="CQ245" s="61"/>
      <c r="CR245" s="61"/>
      <c r="CS245" s="61"/>
      <c r="CT245" s="61"/>
      <c r="CU245" s="61"/>
      <c r="CV245" s="61"/>
      <c r="CW245" s="61"/>
      <c r="CX245" s="61"/>
      <c r="CY245" s="61"/>
      <c r="CZ245" s="61"/>
      <c r="DA245" s="61"/>
      <c r="DB245" s="61"/>
      <c r="DC245" s="61"/>
      <c r="DD245" s="61"/>
      <c r="DE245" s="61"/>
      <c r="DF245" s="61"/>
      <c r="DG245" s="61"/>
      <c r="DH245" s="61"/>
      <c r="DI245" s="61"/>
      <c r="DJ245" s="61"/>
      <c r="DK245" s="61"/>
      <c r="DL245" s="61"/>
      <c r="DM245" s="61"/>
      <c r="DN245" s="61"/>
      <c r="DO245" s="61"/>
      <c r="DP245" s="61"/>
      <c r="DQ245" s="61"/>
      <c r="DR245" s="61"/>
      <c r="DS245" s="61"/>
      <c r="DT245" s="61"/>
      <c r="DU245" s="61"/>
      <c r="DV245" s="61"/>
      <c r="DW245" s="61"/>
      <c r="DX245" s="61"/>
      <c r="DY245" s="61"/>
      <c r="DZ245" s="61"/>
      <c r="EA245" s="61"/>
      <c r="EB245" s="61"/>
      <c r="EC245" s="61"/>
      <c r="ED245" s="61"/>
      <c r="EE245" s="61"/>
      <c r="EF245" s="61"/>
      <c r="EG245" s="61"/>
      <c r="EH245" s="61"/>
      <c r="EI245" s="61"/>
      <c r="EJ245" s="61"/>
      <c r="EK245" s="61"/>
      <c r="EL245" s="61"/>
      <c r="EM245" s="61"/>
      <c r="EN245" s="61"/>
      <c r="EO245" s="61"/>
      <c r="EP245" s="61"/>
      <c r="EQ245" s="61"/>
      <c r="ER245" s="61"/>
      <c r="ES245" s="61"/>
      <c r="ET245" s="61"/>
      <c r="EU245" s="61"/>
      <c r="EV245" s="61"/>
      <c r="EW245" s="61"/>
      <c r="EX245" s="61"/>
      <c r="EY245" s="61"/>
      <c r="EZ245" s="61"/>
      <c r="FA245" s="61"/>
      <c r="FB245" s="61"/>
      <c r="FC245" s="61"/>
      <c r="FD245" s="61"/>
      <c r="FE245" s="61"/>
      <c r="FF245" s="61"/>
      <c r="FG245" s="61"/>
      <c r="FH245" s="61"/>
      <c r="FI245" s="61"/>
      <c r="FJ245" s="61"/>
      <c r="FK245" s="61"/>
      <c r="FL245" s="61"/>
      <c r="FM245" s="61"/>
      <c r="FN245" s="61"/>
      <c r="FO245" s="61"/>
      <c r="FP245" s="61"/>
      <c r="FQ245" s="61"/>
      <c r="FR245" s="61"/>
      <c r="FS245" s="61"/>
      <c r="FT245" s="61"/>
      <c r="FU245" s="61"/>
      <c r="FV245" s="61"/>
      <c r="FW245" s="61"/>
      <c r="FX245" s="61"/>
      <c r="FY245" s="61"/>
      <c r="FZ245" s="61"/>
      <c r="GA245" s="61"/>
      <c r="GB245" s="61"/>
      <c r="GC245" s="61"/>
      <c r="GD245" s="61"/>
      <c r="GE245" s="61"/>
      <c r="GF245" s="61"/>
      <c r="GG245" s="61"/>
      <c r="GH245" s="61"/>
      <c r="GI245" s="61"/>
      <c r="GJ245" s="61"/>
      <c r="GK245" s="61"/>
      <c r="GL245" s="61"/>
      <c r="GM245" s="61"/>
      <c r="GN245" s="61"/>
      <c r="GO245" s="61"/>
      <c r="GP245" s="61"/>
      <c r="GQ245" s="61"/>
      <c r="GR245" s="61"/>
      <c r="GS245" s="61"/>
      <c r="GT245" s="61"/>
      <c r="GU245" s="61"/>
      <c r="GV245" s="61"/>
      <c r="GW245" s="61"/>
      <c r="GX245" s="61"/>
      <c r="GY245" s="61"/>
      <c r="GZ245" s="61"/>
      <c r="HA245" s="61"/>
      <c r="HB245" s="61"/>
      <c r="HC245" s="61"/>
      <c r="HD245" s="61"/>
      <c r="HE245" s="61"/>
      <c r="HF245" s="61"/>
      <c r="HG245" s="61"/>
      <c r="HH245" s="61"/>
      <c r="HI245" s="61"/>
      <c r="HJ245" s="61"/>
      <c r="HK245" s="61"/>
      <c r="HL245" s="61"/>
      <c r="HM245" s="61"/>
      <c r="HN245" s="61"/>
      <c r="HO245" s="61"/>
      <c r="HP245" s="61"/>
      <c r="HQ245" s="61"/>
      <c r="HR245" s="61"/>
      <c r="HS245" s="61"/>
      <c r="HT245" s="61"/>
      <c r="HU245" s="61"/>
      <c r="HV245" s="61"/>
      <c r="HW245" s="61"/>
      <c r="HX245" s="61"/>
      <c r="HY245" s="61"/>
      <c r="HZ245" s="61"/>
      <c r="IA245" s="61"/>
      <c r="IB245" s="61"/>
      <c r="IC245" s="61"/>
      <c r="ID245" s="61"/>
      <c r="IE245" s="61"/>
      <c r="IF245" s="61"/>
      <c r="IG245" s="61"/>
      <c r="IH245" s="61"/>
      <c r="II245" s="61"/>
      <c r="IJ245" s="61"/>
      <c r="IK245" s="61"/>
      <c r="IL245" s="61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  <c r="IW245" s="61"/>
      <c r="IX245" s="61"/>
      <c r="IY245" s="61"/>
      <c r="IZ245" s="61"/>
      <c r="JA245" s="61"/>
      <c r="JB245" s="61"/>
      <c r="JC245" s="61"/>
      <c r="JD245" s="61"/>
      <c r="JE245" s="61"/>
      <c r="JF245" s="61"/>
      <c r="JG245" s="61"/>
      <c r="JH245" s="61"/>
      <c r="JI245" s="61"/>
      <c r="JJ245" s="61"/>
      <c r="JK245" s="61"/>
      <c r="JL245" s="61"/>
      <c r="JM245" s="61"/>
      <c r="JN245" s="61"/>
      <c r="JO245" s="61"/>
      <c r="JP245" s="61"/>
      <c r="JQ245" s="61"/>
      <c r="JR245" s="61"/>
      <c r="JS245" s="61"/>
      <c r="JT245" s="61"/>
      <c r="JU245" s="61"/>
      <c r="JV245" s="61"/>
      <c r="JW245" s="61"/>
      <c r="JX245" s="61"/>
      <c r="JY245" s="61"/>
      <c r="JZ245" s="61"/>
      <c r="KA245" s="61"/>
      <c r="KB245" s="61"/>
      <c r="KC245" s="61"/>
      <c r="KD245" s="61"/>
      <c r="KE245" s="61"/>
      <c r="KF245" s="61"/>
      <c r="KG245" s="61"/>
      <c r="KH245" s="61"/>
      <c r="KI245" s="61"/>
      <c r="KJ245" s="61"/>
      <c r="KK245" s="61"/>
      <c r="KL245" s="61"/>
      <c r="KM245" s="61"/>
      <c r="KN245" s="61"/>
      <c r="KO245" s="61"/>
      <c r="KP245" s="61"/>
      <c r="KQ245" s="61"/>
      <c r="KR245" s="61"/>
      <c r="KS245" s="61"/>
      <c r="KT245" s="61"/>
      <c r="KU245" s="61"/>
      <c r="KV245" s="61"/>
      <c r="KW245" s="61"/>
      <c r="KX245" s="61"/>
      <c r="KY245" s="61"/>
      <c r="KZ245" s="61"/>
      <c r="LA245" s="61"/>
      <c r="LB245" s="61"/>
      <c r="LC245" s="61"/>
      <c r="LD245" s="61"/>
      <c r="LE245" s="61"/>
      <c r="LF245" s="61"/>
      <c r="LG245" s="61"/>
      <c r="LH245" s="61"/>
      <c r="LI245" s="61"/>
      <c r="LJ245" s="61"/>
      <c r="LK245" s="61"/>
      <c r="LL245" s="61"/>
      <c r="LM245" s="61"/>
      <c r="LN245" s="61"/>
      <c r="LO245" s="61"/>
      <c r="LP245" s="61"/>
      <c r="LQ245" s="61"/>
      <c r="LR245" s="61"/>
      <c r="LS245" s="61"/>
      <c r="LT245" s="61"/>
      <c r="LU245" s="61"/>
      <c r="LV245" s="61"/>
      <c r="LW245" s="61"/>
      <c r="LX245" s="61"/>
      <c r="LY245" s="61"/>
      <c r="LZ245" s="61"/>
      <c r="MA245" s="61"/>
      <c r="MB245" s="61"/>
      <c r="MC245" s="61"/>
      <c r="MD245" s="61"/>
      <c r="ME245" s="61"/>
      <c r="MF245" s="61"/>
      <c r="MG245" s="61"/>
      <c r="MH245" s="61"/>
      <c r="MI245" s="61"/>
      <c r="MJ245" s="61"/>
      <c r="MK245" s="61"/>
      <c r="ML245" s="61"/>
      <c r="MM245" s="61"/>
      <c r="MN245" s="61"/>
      <c r="MO245" s="61"/>
      <c r="MP245" s="61"/>
      <c r="MQ245" s="61"/>
      <c r="MR245" s="61"/>
      <c r="MS245" s="61"/>
      <c r="MT245" s="61"/>
      <c r="MU245" s="61"/>
      <c r="MV245" s="61"/>
      <c r="MW245" s="61"/>
      <c r="MX245" s="61"/>
      <c r="MY245" s="61"/>
      <c r="MZ245" s="61"/>
      <c r="NA245" s="61"/>
      <c r="NB245" s="61"/>
      <c r="NC245" s="61"/>
      <c r="ND245" s="61"/>
      <c r="NE245" s="61"/>
      <c r="NF245" s="61"/>
      <c r="NG245" s="61"/>
      <c r="NH245" s="61"/>
      <c r="NI245" s="61"/>
      <c r="NJ245" s="61"/>
      <c r="NK245" s="61"/>
      <c r="NL245" s="61"/>
      <c r="NM245" s="61"/>
      <c r="NN245" s="61"/>
      <c r="NO245" s="61"/>
      <c r="NP245" s="61"/>
      <c r="NQ245" s="61"/>
      <c r="NR245" s="61"/>
      <c r="NS245" s="61"/>
      <c r="NT245" s="61"/>
      <c r="NU245" s="61"/>
      <c r="NV245" s="61"/>
      <c r="NW245" s="61"/>
      <c r="NX245" s="61"/>
      <c r="NY245" s="61"/>
      <c r="NZ245" s="61"/>
      <c r="OA245" s="61"/>
      <c r="OB245" s="61"/>
      <c r="OC245" s="61"/>
      <c r="OD245" s="61"/>
      <c r="OE245" s="61"/>
      <c r="OF245" s="61"/>
      <c r="OG245" s="61"/>
      <c r="OH245" s="61"/>
      <c r="OI245" s="61"/>
      <c r="OJ245" s="61"/>
      <c r="OK245" s="61"/>
      <c r="OL245" s="61"/>
      <c r="OM245" s="61"/>
      <c r="ON245" s="61"/>
      <c r="OO245" s="61"/>
      <c r="OP245" s="61"/>
      <c r="OQ245" s="61"/>
      <c r="OR245" s="61"/>
      <c r="OS245" s="61"/>
      <c r="OT245" s="61"/>
      <c r="OU245" s="61"/>
      <c r="OV245" s="61"/>
      <c r="OW245" s="61"/>
      <c r="OX245" s="61"/>
      <c r="OY245" s="61"/>
      <c r="OZ245" s="61"/>
      <c r="PA245" s="61"/>
      <c r="PB245" s="61"/>
      <c r="PC245" s="61"/>
      <c r="PD245" s="61"/>
      <c r="PE245" s="61"/>
      <c r="PF245" s="61"/>
      <c r="PG245" s="61"/>
      <c r="PH245" s="61"/>
      <c r="PI245" s="61"/>
      <c r="PJ245" s="61"/>
      <c r="PK245" s="61"/>
      <c r="PL245" s="61"/>
      <c r="PM245" s="61"/>
      <c r="PN245" s="61"/>
      <c r="PO245" s="61"/>
      <c r="PP245" s="61"/>
      <c r="PQ245" s="61"/>
      <c r="PR245" s="61"/>
      <c r="PS245" s="61"/>
      <c r="PT245" s="61"/>
      <c r="PU245" s="61"/>
      <c r="PV245" s="61"/>
      <c r="PW245" s="61"/>
      <c r="PX245" s="61"/>
      <c r="PY245" s="61"/>
      <c r="PZ245" s="61"/>
      <c r="QA245" s="61"/>
      <c r="QB245" s="61"/>
      <c r="QC245" s="61"/>
      <c r="QD245" s="61"/>
      <c r="QE245" s="61"/>
      <c r="QF245" s="61"/>
      <c r="QG245" s="61"/>
      <c r="QH245" s="61"/>
      <c r="QI245" s="61"/>
      <c r="QJ245" s="61"/>
      <c r="QK245" s="61"/>
      <c r="QL245" s="61"/>
      <c r="QM245" s="61"/>
      <c r="QN245" s="61"/>
      <c r="QO245" s="61"/>
      <c r="QP245" s="61"/>
      <c r="QQ245" s="61"/>
      <c r="QR245" s="61"/>
      <c r="QS245" s="61"/>
      <c r="QT245" s="61"/>
      <c r="QU245" s="61"/>
      <c r="QV245" s="61"/>
      <c r="QW245" s="61"/>
      <c r="QX245" s="61"/>
      <c r="QY245" s="61"/>
      <c r="QZ245" s="61"/>
      <c r="RA245" s="61"/>
      <c r="RB245" s="61"/>
      <c r="RC245" s="61"/>
      <c r="RD245" s="61"/>
      <c r="RE245" s="61"/>
      <c r="RF245" s="61"/>
      <c r="RG245" s="61"/>
      <c r="RH245" s="61"/>
      <c r="RI245" s="61"/>
      <c r="RJ245" s="61"/>
      <c r="RK245" s="61"/>
      <c r="RL245" s="61"/>
      <c r="RM245" s="61"/>
      <c r="RN245" s="61"/>
      <c r="RO245" s="61"/>
      <c r="RP245" s="61"/>
      <c r="RQ245" s="61"/>
      <c r="RR245" s="61"/>
      <c r="RS245" s="61"/>
      <c r="RT245" s="61"/>
      <c r="RU245" s="61"/>
      <c r="RV245" s="61"/>
      <c r="RW245" s="61"/>
      <c r="RX245" s="61"/>
      <c r="RY245" s="61"/>
      <c r="RZ245" s="61"/>
      <c r="SA245" s="61"/>
      <c r="SB245" s="61"/>
      <c r="SC245" s="61"/>
      <c r="SD245" s="61"/>
      <c r="SE245" s="61"/>
      <c r="SF245" s="61"/>
      <c r="SG245" s="61"/>
      <c r="SH245" s="61"/>
      <c r="SI245" s="61"/>
      <c r="SJ245" s="61"/>
      <c r="SK245" s="61"/>
      <c r="SL245" s="61"/>
      <c r="SM245" s="61"/>
      <c r="SN245" s="61"/>
      <c r="SO245" s="61"/>
      <c r="SP245" s="61"/>
      <c r="SQ245" s="61"/>
      <c r="SR245" s="61"/>
      <c r="SS245" s="61"/>
      <c r="ST245" s="61"/>
      <c r="SU245" s="61"/>
      <c r="SV245" s="61"/>
      <c r="SW245" s="61"/>
      <c r="SX245" s="61"/>
      <c r="SY245" s="61"/>
      <c r="SZ245" s="61"/>
      <c r="TA245" s="61"/>
      <c r="TB245" s="61"/>
      <c r="TC245" s="61"/>
      <c r="TD245" s="61"/>
      <c r="TE245" s="61"/>
      <c r="TF245" s="61"/>
      <c r="TG245" s="61"/>
      <c r="TH245" s="61"/>
      <c r="TI245" s="61"/>
      <c r="TJ245" s="61"/>
      <c r="TK245" s="61"/>
      <c r="TL245" s="61"/>
      <c r="TM245" s="61"/>
      <c r="TN245" s="61"/>
      <c r="TO245" s="61"/>
      <c r="TP245" s="61"/>
      <c r="TQ245" s="61"/>
      <c r="TR245" s="61"/>
      <c r="TS245" s="61"/>
      <c r="TT245" s="61"/>
      <c r="TU245" s="61"/>
      <c r="TV245" s="61"/>
      <c r="TW245" s="61"/>
      <c r="TX245" s="61"/>
      <c r="TY245" s="61"/>
      <c r="TZ245" s="61"/>
      <c r="UA245" s="61"/>
      <c r="UB245" s="61"/>
      <c r="UC245" s="61"/>
      <c r="UD245" s="61"/>
      <c r="UE245" s="61"/>
      <c r="UF245" s="61"/>
      <c r="UG245" s="61"/>
      <c r="UH245" s="61"/>
      <c r="UI245" s="61"/>
      <c r="UJ245" s="61"/>
      <c r="UK245" s="61"/>
      <c r="UL245" s="61"/>
      <c r="UM245" s="61"/>
      <c r="UN245" s="61"/>
      <c r="UO245" s="61"/>
      <c r="UP245" s="61"/>
      <c r="UQ245" s="61"/>
      <c r="UR245" s="61"/>
      <c r="US245" s="61"/>
      <c r="UT245" s="61"/>
      <c r="UU245" s="61"/>
      <c r="UV245" s="61"/>
      <c r="UW245" s="61"/>
      <c r="UX245" s="61"/>
      <c r="UY245" s="61"/>
      <c r="UZ245" s="61"/>
      <c r="VA245" s="61"/>
      <c r="VB245" s="61"/>
      <c r="VC245" s="61"/>
    </row>
    <row r="246" spans="1:575" s="55" customFormat="1" ht="37.5" hidden="1" customHeight="1" x14ac:dyDescent="0.25">
      <c r="A246" s="53" t="s">
        <v>334</v>
      </c>
      <c r="B246" s="102" t="str">
        <f>'дод 2'!A157</f>
        <v>6090</v>
      </c>
      <c r="C246" s="102" t="str">
        <f>'дод 2'!B157</f>
        <v>0640</v>
      </c>
      <c r="D246" s="56" t="str">
        <f>'дод 2'!C157</f>
        <v>Інша діяльність у сфері житлово-комунального господарства</v>
      </c>
      <c r="E246" s="132">
        <f>F246+I246</f>
        <v>0</v>
      </c>
      <c r="F246" s="132">
        <f>540000-140000-50000-93888-256112</f>
        <v>0</v>
      </c>
      <c r="G246" s="132"/>
      <c r="H246" s="132"/>
      <c r="I246" s="132"/>
      <c r="J246" s="132">
        <f t="shared" si="43"/>
        <v>0</v>
      </c>
      <c r="K246" s="132"/>
      <c r="L246" s="132"/>
      <c r="M246" s="132"/>
      <c r="N246" s="132"/>
      <c r="O246" s="132"/>
      <c r="P246" s="132">
        <f>E246+J246</f>
        <v>0</v>
      </c>
      <c r="Q246" s="159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  <c r="HM246" s="61"/>
      <c r="HN246" s="61"/>
      <c r="HO246" s="61"/>
      <c r="HP246" s="61"/>
      <c r="HQ246" s="61"/>
      <c r="HR246" s="61"/>
      <c r="HS246" s="61"/>
      <c r="HT246" s="61"/>
      <c r="HU246" s="61"/>
      <c r="HV246" s="61"/>
      <c r="HW246" s="61"/>
      <c r="HX246" s="61"/>
      <c r="HY246" s="61"/>
      <c r="HZ246" s="61"/>
      <c r="IA246" s="61"/>
      <c r="IB246" s="61"/>
      <c r="IC246" s="61"/>
      <c r="ID246" s="61"/>
      <c r="IE246" s="61"/>
      <c r="IF246" s="61"/>
      <c r="IG246" s="61"/>
      <c r="IH246" s="61"/>
      <c r="II246" s="61"/>
      <c r="IJ246" s="61"/>
      <c r="IK246" s="61"/>
      <c r="IL246" s="61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  <c r="IW246" s="61"/>
      <c r="IX246" s="61"/>
      <c r="IY246" s="61"/>
      <c r="IZ246" s="61"/>
      <c r="JA246" s="61"/>
      <c r="JB246" s="61"/>
      <c r="JC246" s="61"/>
      <c r="JD246" s="61"/>
      <c r="JE246" s="61"/>
      <c r="JF246" s="61"/>
      <c r="JG246" s="61"/>
      <c r="JH246" s="61"/>
      <c r="JI246" s="61"/>
      <c r="JJ246" s="61"/>
      <c r="JK246" s="61"/>
      <c r="JL246" s="61"/>
      <c r="JM246" s="61"/>
      <c r="JN246" s="61"/>
      <c r="JO246" s="61"/>
      <c r="JP246" s="61"/>
      <c r="JQ246" s="61"/>
      <c r="JR246" s="61"/>
      <c r="JS246" s="61"/>
      <c r="JT246" s="61"/>
      <c r="JU246" s="61"/>
      <c r="JV246" s="61"/>
      <c r="JW246" s="61"/>
      <c r="JX246" s="61"/>
      <c r="JY246" s="61"/>
      <c r="JZ246" s="61"/>
      <c r="KA246" s="61"/>
      <c r="KB246" s="61"/>
      <c r="KC246" s="61"/>
      <c r="KD246" s="61"/>
      <c r="KE246" s="61"/>
      <c r="KF246" s="61"/>
      <c r="KG246" s="61"/>
      <c r="KH246" s="61"/>
      <c r="KI246" s="61"/>
      <c r="KJ246" s="61"/>
      <c r="KK246" s="61"/>
      <c r="KL246" s="61"/>
      <c r="KM246" s="61"/>
      <c r="KN246" s="61"/>
      <c r="KO246" s="61"/>
      <c r="KP246" s="61"/>
      <c r="KQ246" s="61"/>
      <c r="KR246" s="61"/>
      <c r="KS246" s="61"/>
      <c r="KT246" s="61"/>
      <c r="KU246" s="61"/>
      <c r="KV246" s="61"/>
      <c r="KW246" s="61"/>
      <c r="KX246" s="61"/>
      <c r="KY246" s="61"/>
      <c r="KZ246" s="61"/>
      <c r="LA246" s="61"/>
      <c r="LB246" s="61"/>
      <c r="LC246" s="61"/>
      <c r="LD246" s="61"/>
      <c r="LE246" s="61"/>
      <c r="LF246" s="61"/>
      <c r="LG246" s="61"/>
      <c r="LH246" s="61"/>
      <c r="LI246" s="61"/>
      <c r="LJ246" s="61"/>
      <c r="LK246" s="61"/>
      <c r="LL246" s="61"/>
      <c r="LM246" s="61"/>
      <c r="LN246" s="61"/>
      <c r="LO246" s="61"/>
      <c r="LP246" s="61"/>
      <c r="LQ246" s="61"/>
      <c r="LR246" s="61"/>
      <c r="LS246" s="61"/>
      <c r="LT246" s="61"/>
      <c r="LU246" s="61"/>
      <c r="LV246" s="61"/>
      <c r="LW246" s="61"/>
      <c r="LX246" s="61"/>
      <c r="LY246" s="61"/>
      <c r="LZ246" s="61"/>
      <c r="MA246" s="61"/>
      <c r="MB246" s="61"/>
      <c r="MC246" s="61"/>
      <c r="MD246" s="61"/>
      <c r="ME246" s="61"/>
      <c r="MF246" s="61"/>
      <c r="MG246" s="61"/>
      <c r="MH246" s="61"/>
      <c r="MI246" s="61"/>
      <c r="MJ246" s="61"/>
      <c r="MK246" s="61"/>
      <c r="ML246" s="61"/>
      <c r="MM246" s="61"/>
      <c r="MN246" s="61"/>
      <c r="MO246" s="61"/>
      <c r="MP246" s="61"/>
      <c r="MQ246" s="61"/>
      <c r="MR246" s="61"/>
      <c r="MS246" s="61"/>
      <c r="MT246" s="61"/>
      <c r="MU246" s="61"/>
      <c r="MV246" s="61"/>
      <c r="MW246" s="61"/>
      <c r="MX246" s="61"/>
      <c r="MY246" s="61"/>
      <c r="MZ246" s="61"/>
      <c r="NA246" s="61"/>
      <c r="NB246" s="61"/>
      <c r="NC246" s="61"/>
      <c r="ND246" s="61"/>
      <c r="NE246" s="61"/>
      <c r="NF246" s="61"/>
      <c r="NG246" s="61"/>
      <c r="NH246" s="61"/>
      <c r="NI246" s="61"/>
      <c r="NJ246" s="61"/>
      <c r="NK246" s="61"/>
      <c r="NL246" s="61"/>
      <c r="NM246" s="61"/>
      <c r="NN246" s="61"/>
      <c r="NO246" s="61"/>
      <c r="NP246" s="61"/>
      <c r="NQ246" s="61"/>
      <c r="NR246" s="61"/>
      <c r="NS246" s="61"/>
      <c r="NT246" s="61"/>
      <c r="NU246" s="61"/>
      <c r="NV246" s="61"/>
      <c r="NW246" s="61"/>
      <c r="NX246" s="61"/>
      <c r="NY246" s="61"/>
      <c r="NZ246" s="61"/>
      <c r="OA246" s="61"/>
      <c r="OB246" s="61"/>
      <c r="OC246" s="61"/>
      <c r="OD246" s="61"/>
      <c r="OE246" s="61"/>
      <c r="OF246" s="61"/>
      <c r="OG246" s="61"/>
      <c r="OH246" s="61"/>
      <c r="OI246" s="61"/>
      <c r="OJ246" s="61"/>
      <c r="OK246" s="61"/>
      <c r="OL246" s="61"/>
      <c r="OM246" s="61"/>
      <c r="ON246" s="61"/>
      <c r="OO246" s="61"/>
      <c r="OP246" s="61"/>
      <c r="OQ246" s="61"/>
      <c r="OR246" s="61"/>
      <c r="OS246" s="61"/>
      <c r="OT246" s="61"/>
      <c r="OU246" s="61"/>
      <c r="OV246" s="61"/>
      <c r="OW246" s="61"/>
      <c r="OX246" s="61"/>
      <c r="OY246" s="61"/>
      <c r="OZ246" s="61"/>
      <c r="PA246" s="61"/>
      <c r="PB246" s="61"/>
      <c r="PC246" s="61"/>
      <c r="PD246" s="61"/>
      <c r="PE246" s="61"/>
      <c r="PF246" s="61"/>
      <c r="PG246" s="61"/>
      <c r="PH246" s="61"/>
      <c r="PI246" s="61"/>
      <c r="PJ246" s="61"/>
      <c r="PK246" s="61"/>
      <c r="PL246" s="61"/>
      <c r="PM246" s="61"/>
      <c r="PN246" s="61"/>
      <c r="PO246" s="61"/>
      <c r="PP246" s="61"/>
      <c r="PQ246" s="61"/>
      <c r="PR246" s="61"/>
      <c r="PS246" s="61"/>
      <c r="PT246" s="61"/>
      <c r="PU246" s="61"/>
      <c r="PV246" s="61"/>
      <c r="PW246" s="61"/>
      <c r="PX246" s="61"/>
      <c r="PY246" s="61"/>
      <c r="PZ246" s="61"/>
      <c r="QA246" s="61"/>
      <c r="QB246" s="61"/>
      <c r="QC246" s="61"/>
      <c r="QD246" s="61"/>
      <c r="QE246" s="61"/>
      <c r="QF246" s="61"/>
      <c r="QG246" s="61"/>
      <c r="QH246" s="61"/>
      <c r="QI246" s="61"/>
      <c r="QJ246" s="61"/>
      <c r="QK246" s="61"/>
      <c r="QL246" s="61"/>
      <c r="QM246" s="61"/>
      <c r="QN246" s="61"/>
      <c r="QO246" s="61"/>
      <c r="QP246" s="61"/>
      <c r="QQ246" s="61"/>
      <c r="QR246" s="61"/>
      <c r="QS246" s="61"/>
      <c r="QT246" s="61"/>
      <c r="QU246" s="61"/>
      <c r="QV246" s="61"/>
      <c r="QW246" s="61"/>
      <c r="QX246" s="61"/>
      <c r="QY246" s="61"/>
      <c r="QZ246" s="61"/>
      <c r="RA246" s="61"/>
      <c r="RB246" s="61"/>
      <c r="RC246" s="61"/>
      <c r="RD246" s="61"/>
      <c r="RE246" s="61"/>
      <c r="RF246" s="61"/>
      <c r="RG246" s="61"/>
      <c r="RH246" s="61"/>
      <c r="RI246" s="61"/>
      <c r="RJ246" s="61"/>
      <c r="RK246" s="61"/>
      <c r="RL246" s="61"/>
      <c r="RM246" s="61"/>
      <c r="RN246" s="61"/>
      <c r="RO246" s="61"/>
      <c r="RP246" s="61"/>
      <c r="RQ246" s="61"/>
      <c r="RR246" s="61"/>
      <c r="RS246" s="61"/>
      <c r="RT246" s="61"/>
      <c r="RU246" s="61"/>
      <c r="RV246" s="61"/>
      <c r="RW246" s="61"/>
      <c r="RX246" s="61"/>
      <c r="RY246" s="61"/>
      <c r="RZ246" s="61"/>
      <c r="SA246" s="61"/>
      <c r="SB246" s="61"/>
      <c r="SC246" s="61"/>
      <c r="SD246" s="61"/>
      <c r="SE246" s="61"/>
      <c r="SF246" s="61"/>
      <c r="SG246" s="61"/>
      <c r="SH246" s="61"/>
      <c r="SI246" s="61"/>
      <c r="SJ246" s="61"/>
      <c r="SK246" s="61"/>
      <c r="SL246" s="61"/>
      <c r="SM246" s="61"/>
      <c r="SN246" s="61"/>
      <c r="SO246" s="61"/>
      <c r="SP246" s="61"/>
      <c r="SQ246" s="61"/>
      <c r="SR246" s="61"/>
      <c r="SS246" s="61"/>
      <c r="ST246" s="61"/>
      <c r="SU246" s="61"/>
      <c r="SV246" s="61"/>
      <c r="SW246" s="61"/>
      <c r="SX246" s="61"/>
      <c r="SY246" s="61"/>
      <c r="SZ246" s="61"/>
      <c r="TA246" s="61"/>
      <c r="TB246" s="61"/>
      <c r="TC246" s="61"/>
      <c r="TD246" s="61"/>
      <c r="TE246" s="61"/>
      <c r="TF246" s="61"/>
      <c r="TG246" s="61"/>
      <c r="TH246" s="61"/>
      <c r="TI246" s="61"/>
      <c r="TJ246" s="61"/>
      <c r="TK246" s="61"/>
      <c r="TL246" s="61"/>
      <c r="TM246" s="61"/>
      <c r="TN246" s="61"/>
      <c r="TO246" s="61"/>
      <c r="TP246" s="61"/>
      <c r="TQ246" s="61"/>
      <c r="TR246" s="61"/>
      <c r="TS246" s="61"/>
      <c r="TT246" s="61"/>
      <c r="TU246" s="61"/>
      <c r="TV246" s="61"/>
      <c r="TW246" s="61"/>
      <c r="TX246" s="61"/>
      <c r="TY246" s="61"/>
      <c r="TZ246" s="61"/>
      <c r="UA246" s="61"/>
      <c r="UB246" s="61"/>
      <c r="UC246" s="61"/>
      <c r="UD246" s="61"/>
      <c r="UE246" s="61"/>
      <c r="UF246" s="61"/>
      <c r="UG246" s="61"/>
      <c r="UH246" s="61"/>
      <c r="UI246" s="61"/>
      <c r="UJ246" s="61"/>
      <c r="UK246" s="61"/>
      <c r="UL246" s="61"/>
      <c r="UM246" s="61"/>
      <c r="UN246" s="61"/>
      <c r="UO246" s="61"/>
      <c r="UP246" s="61"/>
      <c r="UQ246" s="61"/>
      <c r="UR246" s="61"/>
      <c r="US246" s="61"/>
      <c r="UT246" s="61"/>
      <c r="UU246" s="61"/>
      <c r="UV246" s="61"/>
      <c r="UW246" s="61"/>
      <c r="UX246" s="61"/>
      <c r="UY246" s="61"/>
      <c r="UZ246" s="61"/>
      <c r="VA246" s="61"/>
      <c r="VB246" s="61"/>
      <c r="VC246" s="61"/>
    </row>
    <row r="247" spans="1:575" s="72" customFormat="1" ht="34.5" customHeight="1" x14ac:dyDescent="0.2">
      <c r="A247" s="70" t="s">
        <v>47</v>
      </c>
      <c r="B247" s="111"/>
      <c r="C247" s="111"/>
      <c r="D247" s="71" t="s">
        <v>55</v>
      </c>
      <c r="E247" s="134">
        <f>E248</f>
        <v>1140940.2</v>
      </c>
      <c r="F247" s="134">
        <f t="shared" ref="F247:P247" si="44">F248</f>
        <v>906034.2</v>
      </c>
      <c r="G247" s="134">
        <f t="shared" si="44"/>
        <v>0</v>
      </c>
      <c r="H247" s="134">
        <f t="shared" si="44"/>
        <v>0</v>
      </c>
      <c r="I247" s="134">
        <f t="shared" si="44"/>
        <v>234906</v>
      </c>
      <c r="J247" s="134">
        <f t="shared" si="44"/>
        <v>230084748.78000003</v>
      </c>
      <c r="K247" s="134">
        <f t="shared" si="44"/>
        <v>195257494.85000002</v>
      </c>
      <c r="L247" s="134">
        <f t="shared" si="44"/>
        <v>3000000</v>
      </c>
      <c r="M247" s="134">
        <f t="shared" si="44"/>
        <v>2217000</v>
      </c>
      <c r="N247" s="134">
        <f t="shared" si="44"/>
        <v>90900</v>
      </c>
      <c r="O247" s="134">
        <f t="shared" si="44"/>
        <v>227084748.78000003</v>
      </c>
      <c r="P247" s="134">
        <f t="shared" si="44"/>
        <v>231225688.97999996</v>
      </c>
      <c r="Q247" s="159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0"/>
      <c r="BN247" s="90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0"/>
      <c r="BZ247" s="90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90"/>
      <c r="CM247" s="90"/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90"/>
      <c r="CZ247" s="90"/>
      <c r="DA247" s="90"/>
      <c r="DB247" s="90"/>
      <c r="DC247" s="90"/>
      <c r="DD247" s="90"/>
      <c r="DE247" s="90"/>
      <c r="DF247" s="90"/>
      <c r="DG247" s="90"/>
      <c r="DH247" s="90"/>
      <c r="DI247" s="90"/>
      <c r="DJ247" s="90"/>
      <c r="DK247" s="90"/>
      <c r="DL247" s="90"/>
      <c r="DM247" s="90"/>
      <c r="DN247" s="90"/>
      <c r="DO247" s="90"/>
      <c r="DP247" s="90"/>
      <c r="DQ247" s="90"/>
      <c r="DR247" s="90"/>
      <c r="DS247" s="90"/>
      <c r="DT247" s="90"/>
      <c r="DU247" s="90"/>
      <c r="DV247" s="90"/>
      <c r="DW247" s="90"/>
      <c r="DX247" s="90"/>
      <c r="DY247" s="90"/>
      <c r="DZ247" s="90"/>
      <c r="EA247" s="90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90"/>
      <c r="EN247" s="90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90"/>
      <c r="FA247" s="90"/>
      <c r="FB247" s="90"/>
      <c r="FC247" s="90"/>
      <c r="FD247" s="90"/>
      <c r="FE247" s="90"/>
      <c r="FF247" s="90"/>
      <c r="FG247" s="90"/>
      <c r="FH247" s="90"/>
      <c r="FI247" s="90"/>
      <c r="FJ247" s="90"/>
      <c r="FK247" s="90"/>
      <c r="FL247" s="90"/>
      <c r="FM247" s="90"/>
      <c r="FN247" s="90"/>
      <c r="FO247" s="90"/>
      <c r="FP247" s="90"/>
      <c r="FQ247" s="90"/>
      <c r="FR247" s="90"/>
      <c r="FS247" s="90"/>
      <c r="FT247" s="90"/>
      <c r="FU247" s="90"/>
      <c r="FV247" s="90"/>
      <c r="FW247" s="90"/>
      <c r="FX247" s="90"/>
      <c r="FY247" s="90"/>
      <c r="FZ247" s="90"/>
      <c r="GA247" s="90"/>
      <c r="GB247" s="90"/>
      <c r="GC247" s="90"/>
      <c r="GD247" s="90"/>
      <c r="GE247" s="90"/>
      <c r="GF247" s="90"/>
      <c r="GG247" s="90"/>
      <c r="GH247" s="90"/>
      <c r="GI247" s="90"/>
      <c r="GJ247" s="90"/>
      <c r="GK247" s="90"/>
      <c r="GL247" s="90"/>
      <c r="GM247" s="90"/>
      <c r="GN247" s="90"/>
      <c r="GO247" s="90"/>
      <c r="GP247" s="90"/>
      <c r="GQ247" s="90"/>
      <c r="GR247" s="90"/>
      <c r="GS247" s="90"/>
      <c r="GT247" s="90"/>
      <c r="GU247" s="90"/>
      <c r="GV247" s="90"/>
      <c r="GW247" s="90"/>
      <c r="GX247" s="90"/>
      <c r="GY247" s="90"/>
      <c r="GZ247" s="90"/>
      <c r="HA247" s="90"/>
      <c r="HB247" s="90"/>
      <c r="HC247" s="90"/>
      <c r="HD247" s="90"/>
      <c r="HE247" s="90"/>
      <c r="HF247" s="90"/>
      <c r="HG247" s="90"/>
      <c r="HH247" s="90"/>
      <c r="HI247" s="90"/>
      <c r="HJ247" s="90"/>
      <c r="HK247" s="90"/>
      <c r="HL247" s="90"/>
      <c r="HM247" s="90"/>
      <c r="HN247" s="90"/>
      <c r="HO247" s="90"/>
      <c r="HP247" s="90"/>
      <c r="HQ247" s="90"/>
      <c r="HR247" s="90"/>
      <c r="HS247" s="90"/>
      <c r="HT247" s="90"/>
      <c r="HU247" s="90"/>
      <c r="HV247" s="90"/>
      <c r="HW247" s="90"/>
      <c r="HX247" s="90"/>
      <c r="HY247" s="90"/>
      <c r="HZ247" s="90"/>
      <c r="IA247" s="90"/>
      <c r="IB247" s="90"/>
      <c r="IC247" s="90"/>
      <c r="ID247" s="90"/>
      <c r="IE247" s="90"/>
      <c r="IF247" s="90"/>
      <c r="IG247" s="90"/>
      <c r="IH247" s="90"/>
      <c r="II247" s="90"/>
      <c r="IJ247" s="90"/>
      <c r="IK247" s="90"/>
      <c r="IL247" s="90"/>
      <c r="IM247" s="90"/>
      <c r="IN247" s="90"/>
      <c r="IO247" s="90"/>
      <c r="IP247" s="90"/>
      <c r="IQ247" s="90"/>
      <c r="IR247" s="90"/>
      <c r="IS247" s="90"/>
      <c r="IT247" s="90"/>
      <c r="IU247" s="90"/>
      <c r="IV247" s="90"/>
      <c r="IW247" s="90"/>
      <c r="IX247" s="90"/>
      <c r="IY247" s="90"/>
      <c r="IZ247" s="90"/>
      <c r="JA247" s="90"/>
      <c r="JB247" s="90"/>
      <c r="JC247" s="90"/>
      <c r="JD247" s="90"/>
      <c r="JE247" s="90"/>
      <c r="JF247" s="90"/>
      <c r="JG247" s="90"/>
      <c r="JH247" s="90"/>
      <c r="JI247" s="90"/>
      <c r="JJ247" s="90"/>
      <c r="JK247" s="90"/>
      <c r="JL247" s="90"/>
      <c r="JM247" s="90"/>
      <c r="JN247" s="90"/>
      <c r="JO247" s="90"/>
      <c r="JP247" s="90"/>
      <c r="JQ247" s="90"/>
      <c r="JR247" s="90"/>
      <c r="JS247" s="90"/>
      <c r="JT247" s="90"/>
      <c r="JU247" s="90"/>
      <c r="JV247" s="90"/>
      <c r="JW247" s="90"/>
      <c r="JX247" s="90"/>
      <c r="JY247" s="90"/>
      <c r="JZ247" s="90"/>
      <c r="KA247" s="90"/>
      <c r="KB247" s="90"/>
      <c r="KC247" s="90"/>
      <c r="KD247" s="90"/>
      <c r="KE247" s="90"/>
      <c r="KF247" s="90"/>
      <c r="KG247" s="90"/>
      <c r="KH247" s="90"/>
      <c r="KI247" s="90"/>
      <c r="KJ247" s="90"/>
      <c r="KK247" s="90"/>
      <c r="KL247" s="90"/>
      <c r="KM247" s="90"/>
      <c r="KN247" s="90"/>
      <c r="KO247" s="90"/>
      <c r="KP247" s="90"/>
      <c r="KQ247" s="90"/>
      <c r="KR247" s="90"/>
      <c r="KS247" s="90"/>
      <c r="KT247" s="90"/>
      <c r="KU247" s="90"/>
      <c r="KV247" s="90"/>
      <c r="KW247" s="90"/>
      <c r="KX247" s="90"/>
      <c r="KY247" s="90"/>
      <c r="KZ247" s="90"/>
      <c r="LA247" s="90"/>
      <c r="LB247" s="90"/>
      <c r="LC247" s="90"/>
      <c r="LD247" s="90"/>
      <c r="LE247" s="90"/>
      <c r="LF247" s="90"/>
      <c r="LG247" s="90"/>
      <c r="LH247" s="90"/>
      <c r="LI247" s="90"/>
      <c r="LJ247" s="90"/>
      <c r="LK247" s="90"/>
      <c r="LL247" s="90"/>
      <c r="LM247" s="90"/>
      <c r="LN247" s="90"/>
      <c r="LO247" s="90"/>
      <c r="LP247" s="90"/>
      <c r="LQ247" s="90"/>
      <c r="LR247" s="90"/>
      <c r="LS247" s="90"/>
      <c r="LT247" s="90"/>
      <c r="LU247" s="90"/>
      <c r="LV247" s="90"/>
      <c r="LW247" s="90"/>
      <c r="LX247" s="90"/>
      <c r="LY247" s="90"/>
      <c r="LZ247" s="90"/>
      <c r="MA247" s="90"/>
      <c r="MB247" s="90"/>
      <c r="MC247" s="90"/>
      <c r="MD247" s="90"/>
      <c r="ME247" s="90"/>
      <c r="MF247" s="90"/>
      <c r="MG247" s="90"/>
      <c r="MH247" s="90"/>
      <c r="MI247" s="90"/>
      <c r="MJ247" s="90"/>
      <c r="MK247" s="90"/>
      <c r="ML247" s="90"/>
      <c r="MM247" s="90"/>
      <c r="MN247" s="90"/>
      <c r="MO247" s="90"/>
      <c r="MP247" s="90"/>
      <c r="MQ247" s="90"/>
      <c r="MR247" s="90"/>
      <c r="MS247" s="90"/>
      <c r="MT247" s="90"/>
      <c r="MU247" s="90"/>
      <c r="MV247" s="90"/>
      <c r="MW247" s="90"/>
      <c r="MX247" s="90"/>
      <c r="MY247" s="90"/>
      <c r="MZ247" s="90"/>
      <c r="NA247" s="90"/>
      <c r="NB247" s="90"/>
      <c r="NC247" s="90"/>
      <c r="ND247" s="90"/>
      <c r="NE247" s="90"/>
      <c r="NF247" s="90"/>
      <c r="NG247" s="90"/>
      <c r="NH247" s="90"/>
      <c r="NI247" s="90"/>
      <c r="NJ247" s="90"/>
      <c r="NK247" s="90"/>
      <c r="NL247" s="90"/>
      <c r="NM247" s="90"/>
      <c r="NN247" s="90"/>
      <c r="NO247" s="90"/>
      <c r="NP247" s="90"/>
      <c r="NQ247" s="90"/>
      <c r="NR247" s="90"/>
      <c r="NS247" s="90"/>
      <c r="NT247" s="90"/>
      <c r="NU247" s="90"/>
      <c r="NV247" s="90"/>
      <c r="NW247" s="90"/>
      <c r="NX247" s="90"/>
      <c r="NY247" s="90"/>
      <c r="NZ247" s="90"/>
      <c r="OA247" s="90"/>
      <c r="OB247" s="90"/>
      <c r="OC247" s="90"/>
      <c r="OD247" s="90"/>
      <c r="OE247" s="90"/>
      <c r="OF247" s="90"/>
      <c r="OG247" s="90"/>
      <c r="OH247" s="90"/>
      <c r="OI247" s="90"/>
      <c r="OJ247" s="90"/>
      <c r="OK247" s="90"/>
      <c r="OL247" s="90"/>
      <c r="OM247" s="90"/>
      <c r="ON247" s="90"/>
      <c r="OO247" s="90"/>
      <c r="OP247" s="90"/>
      <c r="OQ247" s="90"/>
      <c r="OR247" s="90"/>
      <c r="OS247" s="90"/>
      <c r="OT247" s="90"/>
      <c r="OU247" s="90"/>
      <c r="OV247" s="90"/>
      <c r="OW247" s="90"/>
      <c r="OX247" s="90"/>
      <c r="OY247" s="90"/>
      <c r="OZ247" s="90"/>
      <c r="PA247" s="90"/>
      <c r="PB247" s="90"/>
      <c r="PC247" s="90"/>
      <c r="PD247" s="90"/>
      <c r="PE247" s="90"/>
      <c r="PF247" s="90"/>
      <c r="PG247" s="90"/>
      <c r="PH247" s="90"/>
      <c r="PI247" s="90"/>
      <c r="PJ247" s="90"/>
      <c r="PK247" s="90"/>
      <c r="PL247" s="90"/>
      <c r="PM247" s="90"/>
      <c r="PN247" s="90"/>
      <c r="PO247" s="90"/>
      <c r="PP247" s="90"/>
      <c r="PQ247" s="90"/>
      <c r="PR247" s="90"/>
      <c r="PS247" s="90"/>
      <c r="PT247" s="90"/>
      <c r="PU247" s="90"/>
      <c r="PV247" s="90"/>
      <c r="PW247" s="90"/>
      <c r="PX247" s="90"/>
      <c r="PY247" s="90"/>
      <c r="PZ247" s="90"/>
      <c r="QA247" s="90"/>
      <c r="QB247" s="90"/>
      <c r="QC247" s="90"/>
      <c r="QD247" s="90"/>
      <c r="QE247" s="90"/>
      <c r="QF247" s="90"/>
      <c r="QG247" s="90"/>
      <c r="QH247" s="90"/>
      <c r="QI247" s="90"/>
      <c r="QJ247" s="90"/>
      <c r="QK247" s="90"/>
      <c r="QL247" s="90"/>
      <c r="QM247" s="90"/>
      <c r="QN247" s="90"/>
      <c r="QO247" s="90"/>
      <c r="QP247" s="90"/>
      <c r="QQ247" s="90"/>
      <c r="QR247" s="90"/>
      <c r="QS247" s="90"/>
      <c r="QT247" s="90"/>
      <c r="QU247" s="90"/>
      <c r="QV247" s="90"/>
      <c r="QW247" s="90"/>
      <c r="QX247" s="90"/>
      <c r="QY247" s="90"/>
      <c r="QZ247" s="90"/>
      <c r="RA247" s="90"/>
      <c r="RB247" s="90"/>
      <c r="RC247" s="90"/>
      <c r="RD247" s="90"/>
      <c r="RE247" s="90"/>
      <c r="RF247" s="90"/>
      <c r="RG247" s="90"/>
      <c r="RH247" s="90"/>
      <c r="RI247" s="90"/>
      <c r="RJ247" s="90"/>
      <c r="RK247" s="90"/>
      <c r="RL247" s="90"/>
      <c r="RM247" s="90"/>
      <c r="RN247" s="90"/>
      <c r="RO247" s="90"/>
      <c r="RP247" s="90"/>
      <c r="RQ247" s="90"/>
      <c r="RR247" s="90"/>
      <c r="RS247" s="90"/>
      <c r="RT247" s="90"/>
      <c r="RU247" s="90"/>
      <c r="RV247" s="90"/>
      <c r="RW247" s="90"/>
      <c r="RX247" s="90"/>
      <c r="RY247" s="90"/>
      <c r="RZ247" s="90"/>
      <c r="SA247" s="90"/>
      <c r="SB247" s="90"/>
      <c r="SC247" s="90"/>
      <c r="SD247" s="90"/>
      <c r="SE247" s="90"/>
      <c r="SF247" s="90"/>
      <c r="SG247" s="90"/>
      <c r="SH247" s="90"/>
      <c r="SI247" s="90"/>
      <c r="SJ247" s="90"/>
      <c r="SK247" s="90"/>
      <c r="SL247" s="90"/>
      <c r="SM247" s="90"/>
      <c r="SN247" s="90"/>
      <c r="SO247" s="90"/>
      <c r="SP247" s="90"/>
      <c r="SQ247" s="90"/>
      <c r="SR247" s="90"/>
      <c r="SS247" s="90"/>
      <c r="ST247" s="90"/>
      <c r="SU247" s="90"/>
      <c r="SV247" s="90"/>
      <c r="SW247" s="90"/>
      <c r="SX247" s="90"/>
      <c r="SY247" s="90"/>
      <c r="SZ247" s="90"/>
      <c r="TA247" s="90"/>
      <c r="TB247" s="90"/>
      <c r="TC247" s="90"/>
      <c r="TD247" s="90"/>
      <c r="TE247" s="90"/>
      <c r="TF247" s="90"/>
      <c r="TG247" s="90"/>
      <c r="TH247" s="90"/>
      <c r="TI247" s="90"/>
      <c r="TJ247" s="90"/>
      <c r="TK247" s="90"/>
      <c r="TL247" s="90"/>
      <c r="TM247" s="90"/>
      <c r="TN247" s="90"/>
      <c r="TO247" s="90"/>
      <c r="TP247" s="90"/>
      <c r="TQ247" s="90"/>
      <c r="TR247" s="90"/>
      <c r="TS247" s="90"/>
      <c r="TT247" s="90"/>
      <c r="TU247" s="90"/>
      <c r="TV247" s="90"/>
      <c r="TW247" s="90"/>
      <c r="TX247" s="90"/>
      <c r="TY247" s="90"/>
      <c r="TZ247" s="90"/>
      <c r="UA247" s="90"/>
      <c r="UB247" s="90"/>
      <c r="UC247" s="90"/>
      <c r="UD247" s="90"/>
      <c r="UE247" s="90"/>
      <c r="UF247" s="90"/>
      <c r="UG247" s="90"/>
      <c r="UH247" s="90"/>
      <c r="UI247" s="90"/>
      <c r="UJ247" s="90"/>
      <c r="UK247" s="90"/>
      <c r="UL247" s="90"/>
      <c r="UM247" s="90"/>
      <c r="UN247" s="90"/>
      <c r="UO247" s="90"/>
      <c r="UP247" s="90"/>
      <c r="UQ247" s="90"/>
      <c r="UR247" s="90"/>
      <c r="US247" s="90"/>
      <c r="UT247" s="90"/>
      <c r="UU247" s="90"/>
      <c r="UV247" s="90"/>
      <c r="UW247" s="90"/>
      <c r="UX247" s="90"/>
      <c r="UY247" s="90"/>
      <c r="UZ247" s="90"/>
      <c r="VA247" s="90"/>
      <c r="VB247" s="90"/>
      <c r="VC247" s="90"/>
    </row>
    <row r="248" spans="1:575" s="92" customFormat="1" ht="38.25" customHeight="1" x14ac:dyDescent="0.25">
      <c r="A248" s="75" t="s">
        <v>48</v>
      </c>
      <c r="B248" s="112"/>
      <c r="C248" s="112"/>
      <c r="D248" s="76" t="s">
        <v>55</v>
      </c>
      <c r="E248" s="131">
        <f>SUM(E250+E251+E253+E254+E255+E256+E257+E258+E259+E260+E261+E266+E267+E269+E270+E271+E273+E274+E275)</f>
        <v>1140940.2</v>
      </c>
      <c r="F248" s="131">
        <f t="shared" ref="F248:O248" si="45">SUM(F250+F251+F253+F254+F255+F256+F257+F258+F259+F260+F261+F266+F267+F269+F270+F271+F273+F274+F275)</f>
        <v>906034.2</v>
      </c>
      <c r="G248" s="131">
        <f t="shared" si="45"/>
        <v>0</v>
      </c>
      <c r="H248" s="131">
        <f t="shared" si="45"/>
        <v>0</v>
      </c>
      <c r="I248" s="131">
        <f t="shared" si="45"/>
        <v>234906</v>
      </c>
      <c r="J248" s="131">
        <f t="shared" si="45"/>
        <v>230084748.78000003</v>
      </c>
      <c r="K248" s="131">
        <f t="shared" si="45"/>
        <v>195257494.85000002</v>
      </c>
      <c r="L248" s="131">
        <f t="shared" si="45"/>
        <v>3000000</v>
      </c>
      <c r="M248" s="131">
        <f t="shared" si="45"/>
        <v>2217000</v>
      </c>
      <c r="N248" s="131">
        <f t="shared" si="45"/>
        <v>90900</v>
      </c>
      <c r="O248" s="131">
        <f t="shared" si="45"/>
        <v>227084748.78000003</v>
      </c>
      <c r="P248" s="131">
        <f>SUM(P250+P251+P253+P254+P255+P256+P257+P258+P259+P260+P261+P266+P267+P269+P270+P271+P273+P274+P275)</f>
        <v>231225688.97999996</v>
      </c>
      <c r="Q248" s="159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  <c r="CV248" s="91"/>
      <c r="CW248" s="91"/>
      <c r="CX248" s="91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1"/>
      <c r="HT248" s="91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  <c r="IT248" s="91"/>
      <c r="IU248" s="91"/>
      <c r="IV248" s="91"/>
      <c r="IW248" s="91"/>
      <c r="IX248" s="91"/>
      <c r="IY248" s="91"/>
      <c r="IZ248" s="91"/>
      <c r="JA248" s="91"/>
      <c r="JB248" s="91"/>
      <c r="JC248" s="91"/>
      <c r="JD248" s="91"/>
      <c r="JE248" s="91"/>
      <c r="JF248" s="91"/>
      <c r="JG248" s="91"/>
      <c r="JH248" s="91"/>
      <c r="JI248" s="91"/>
      <c r="JJ248" s="91"/>
      <c r="JK248" s="91"/>
      <c r="JL248" s="91"/>
      <c r="JM248" s="91"/>
      <c r="JN248" s="91"/>
      <c r="JO248" s="91"/>
      <c r="JP248" s="91"/>
      <c r="JQ248" s="91"/>
      <c r="JR248" s="91"/>
      <c r="JS248" s="91"/>
      <c r="JT248" s="91"/>
      <c r="JU248" s="91"/>
      <c r="JV248" s="91"/>
      <c r="JW248" s="91"/>
      <c r="JX248" s="91"/>
      <c r="JY248" s="91"/>
      <c r="JZ248" s="91"/>
      <c r="KA248" s="91"/>
      <c r="KB248" s="91"/>
      <c r="KC248" s="91"/>
      <c r="KD248" s="91"/>
      <c r="KE248" s="91"/>
      <c r="KF248" s="91"/>
      <c r="KG248" s="91"/>
      <c r="KH248" s="91"/>
      <c r="KI248" s="91"/>
      <c r="KJ248" s="91"/>
      <c r="KK248" s="91"/>
      <c r="KL248" s="91"/>
      <c r="KM248" s="91"/>
      <c r="KN248" s="91"/>
      <c r="KO248" s="91"/>
      <c r="KP248" s="91"/>
      <c r="KQ248" s="91"/>
      <c r="KR248" s="91"/>
      <c r="KS248" s="91"/>
      <c r="KT248" s="91"/>
      <c r="KU248" s="91"/>
      <c r="KV248" s="91"/>
      <c r="KW248" s="91"/>
      <c r="KX248" s="91"/>
      <c r="KY248" s="91"/>
      <c r="KZ248" s="91"/>
      <c r="LA248" s="91"/>
      <c r="LB248" s="91"/>
      <c r="LC248" s="91"/>
      <c r="LD248" s="91"/>
      <c r="LE248" s="91"/>
      <c r="LF248" s="91"/>
      <c r="LG248" s="91"/>
      <c r="LH248" s="91"/>
      <c r="LI248" s="91"/>
      <c r="LJ248" s="91"/>
      <c r="LK248" s="91"/>
      <c r="LL248" s="91"/>
      <c r="LM248" s="91"/>
      <c r="LN248" s="91"/>
      <c r="LO248" s="91"/>
      <c r="LP248" s="91"/>
      <c r="LQ248" s="91"/>
      <c r="LR248" s="91"/>
      <c r="LS248" s="91"/>
      <c r="LT248" s="91"/>
      <c r="LU248" s="91"/>
      <c r="LV248" s="91"/>
      <c r="LW248" s="91"/>
      <c r="LX248" s="91"/>
      <c r="LY248" s="91"/>
      <c r="LZ248" s="91"/>
      <c r="MA248" s="91"/>
      <c r="MB248" s="91"/>
      <c r="MC248" s="91"/>
      <c r="MD248" s="91"/>
      <c r="ME248" s="91"/>
      <c r="MF248" s="91"/>
      <c r="MG248" s="91"/>
      <c r="MH248" s="91"/>
      <c r="MI248" s="91"/>
      <c r="MJ248" s="91"/>
      <c r="MK248" s="91"/>
      <c r="ML248" s="91"/>
      <c r="MM248" s="91"/>
      <c r="MN248" s="91"/>
      <c r="MO248" s="91"/>
      <c r="MP248" s="91"/>
      <c r="MQ248" s="91"/>
      <c r="MR248" s="91"/>
      <c r="MS248" s="91"/>
      <c r="MT248" s="91"/>
      <c r="MU248" s="91"/>
      <c r="MV248" s="91"/>
      <c r="MW248" s="91"/>
      <c r="MX248" s="91"/>
      <c r="MY248" s="91"/>
      <c r="MZ248" s="91"/>
      <c r="NA248" s="91"/>
      <c r="NB248" s="91"/>
      <c r="NC248" s="91"/>
      <c r="ND248" s="91"/>
      <c r="NE248" s="91"/>
      <c r="NF248" s="91"/>
      <c r="NG248" s="91"/>
      <c r="NH248" s="91"/>
      <c r="NI248" s="91"/>
      <c r="NJ248" s="91"/>
      <c r="NK248" s="91"/>
      <c r="NL248" s="91"/>
      <c r="NM248" s="91"/>
      <c r="NN248" s="91"/>
      <c r="NO248" s="91"/>
      <c r="NP248" s="91"/>
      <c r="NQ248" s="91"/>
      <c r="NR248" s="91"/>
      <c r="NS248" s="91"/>
      <c r="NT248" s="91"/>
      <c r="NU248" s="91"/>
      <c r="NV248" s="91"/>
      <c r="NW248" s="91"/>
      <c r="NX248" s="91"/>
      <c r="NY248" s="91"/>
      <c r="NZ248" s="91"/>
      <c r="OA248" s="91"/>
      <c r="OB248" s="91"/>
      <c r="OC248" s="91"/>
      <c r="OD248" s="91"/>
      <c r="OE248" s="91"/>
      <c r="OF248" s="91"/>
      <c r="OG248" s="91"/>
      <c r="OH248" s="91"/>
      <c r="OI248" s="91"/>
      <c r="OJ248" s="91"/>
      <c r="OK248" s="91"/>
      <c r="OL248" s="91"/>
      <c r="OM248" s="91"/>
      <c r="ON248" s="91"/>
      <c r="OO248" s="91"/>
      <c r="OP248" s="91"/>
      <c r="OQ248" s="91"/>
      <c r="OR248" s="91"/>
      <c r="OS248" s="91"/>
      <c r="OT248" s="91"/>
      <c r="OU248" s="91"/>
      <c r="OV248" s="91"/>
      <c r="OW248" s="91"/>
      <c r="OX248" s="91"/>
      <c r="OY248" s="91"/>
      <c r="OZ248" s="91"/>
      <c r="PA248" s="91"/>
      <c r="PB248" s="91"/>
      <c r="PC248" s="91"/>
      <c r="PD248" s="91"/>
      <c r="PE248" s="91"/>
      <c r="PF248" s="91"/>
      <c r="PG248" s="91"/>
      <c r="PH248" s="91"/>
      <c r="PI248" s="91"/>
      <c r="PJ248" s="91"/>
      <c r="PK248" s="91"/>
      <c r="PL248" s="91"/>
      <c r="PM248" s="91"/>
      <c r="PN248" s="91"/>
      <c r="PO248" s="91"/>
      <c r="PP248" s="91"/>
      <c r="PQ248" s="91"/>
      <c r="PR248" s="91"/>
      <c r="PS248" s="91"/>
      <c r="PT248" s="91"/>
      <c r="PU248" s="91"/>
      <c r="PV248" s="91"/>
      <c r="PW248" s="91"/>
      <c r="PX248" s="91"/>
      <c r="PY248" s="91"/>
      <c r="PZ248" s="91"/>
      <c r="QA248" s="91"/>
      <c r="QB248" s="91"/>
      <c r="QC248" s="91"/>
      <c r="QD248" s="91"/>
      <c r="QE248" s="91"/>
      <c r="QF248" s="91"/>
      <c r="QG248" s="91"/>
      <c r="QH248" s="91"/>
      <c r="QI248" s="91"/>
      <c r="QJ248" s="91"/>
      <c r="QK248" s="91"/>
      <c r="QL248" s="91"/>
      <c r="QM248" s="91"/>
      <c r="QN248" s="91"/>
      <c r="QO248" s="91"/>
      <c r="QP248" s="91"/>
      <c r="QQ248" s="91"/>
      <c r="QR248" s="91"/>
      <c r="QS248" s="91"/>
      <c r="QT248" s="91"/>
      <c r="QU248" s="91"/>
      <c r="QV248" s="91"/>
      <c r="QW248" s="91"/>
      <c r="QX248" s="91"/>
      <c r="QY248" s="91"/>
      <c r="QZ248" s="91"/>
      <c r="RA248" s="91"/>
      <c r="RB248" s="91"/>
      <c r="RC248" s="91"/>
      <c r="RD248" s="91"/>
      <c r="RE248" s="91"/>
      <c r="RF248" s="91"/>
      <c r="RG248" s="91"/>
      <c r="RH248" s="91"/>
      <c r="RI248" s="91"/>
      <c r="RJ248" s="91"/>
      <c r="RK248" s="91"/>
      <c r="RL248" s="91"/>
      <c r="RM248" s="91"/>
      <c r="RN248" s="91"/>
      <c r="RO248" s="91"/>
      <c r="RP248" s="91"/>
      <c r="RQ248" s="91"/>
      <c r="RR248" s="91"/>
      <c r="RS248" s="91"/>
      <c r="RT248" s="91"/>
      <c r="RU248" s="91"/>
      <c r="RV248" s="91"/>
      <c r="RW248" s="91"/>
      <c r="RX248" s="91"/>
      <c r="RY248" s="91"/>
      <c r="RZ248" s="91"/>
      <c r="SA248" s="91"/>
      <c r="SB248" s="91"/>
      <c r="SC248" s="91"/>
      <c r="SD248" s="91"/>
      <c r="SE248" s="91"/>
      <c r="SF248" s="91"/>
      <c r="SG248" s="91"/>
      <c r="SH248" s="91"/>
      <c r="SI248" s="91"/>
      <c r="SJ248" s="91"/>
      <c r="SK248" s="91"/>
      <c r="SL248" s="91"/>
      <c r="SM248" s="91"/>
      <c r="SN248" s="91"/>
      <c r="SO248" s="91"/>
      <c r="SP248" s="91"/>
      <c r="SQ248" s="91"/>
      <c r="SR248" s="91"/>
      <c r="SS248" s="91"/>
      <c r="ST248" s="91"/>
      <c r="SU248" s="91"/>
      <c r="SV248" s="91"/>
      <c r="SW248" s="91"/>
      <c r="SX248" s="91"/>
      <c r="SY248" s="91"/>
      <c r="SZ248" s="91"/>
      <c r="TA248" s="91"/>
      <c r="TB248" s="91"/>
      <c r="TC248" s="91"/>
      <c r="TD248" s="91"/>
      <c r="TE248" s="91"/>
      <c r="TF248" s="91"/>
      <c r="TG248" s="91"/>
      <c r="TH248" s="91"/>
      <c r="TI248" s="91"/>
      <c r="TJ248" s="91"/>
      <c r="TK248" s="91"/>
      <c r="TL248" s="91"/>
      <c r="TM248" s="91"/>
      <c r="TN248" s="91"/>
      <c r="TO248" s="91"/>
      <c r="TP248" s="91"/>
      <c r="TQ248" s="91"/>
      <c r="TR248" s="91"/>
      <c r="TS248" s="91"/>
      <c r="TT248" s="91"/>
      <c r="TU248" s="91"/>
      <c r="TV248" s="91"/>
      <c r="TW248" s="91"/>
      <c r="TX248" s="91"/>
      <c r="TY248" s="91"/>
      <c r="TZ248" s="91"/>
      <c r="UA248" s="91"/>
      <c r="UB248" s="91"/>
      <c r="UC248" s="91"/>
      <c r="UD248" s="91"/>
      <c r="UE248" s="91"/>
      <c r="UF248" s="91"/>
      <c r="UG248" s="91"/>
      <c r="UH248" s="91"/>
      <c r="UI248" s="91"/>
      <c r="UJ248" s="91"/>
      <c r="UK248" s="91"/>
      <c r="UL248" s="91"/>
      <c r="UM248" s="91"/>
      <c r="UN248" s="91"/>
      <c r="UO248" s="91"/>
      <c r="UP248" s="91"/>
      <c r="UQ248" s="91"/>
      <c r="UR248" s="91"/>
      <c r="US248" s="91"/>
      <c r="UT248" s="91"/>
      <c r="UU248" s="91"/>
      <c r="UV248" s="91"/>
      <c r="UW248" s="91"/>
      <c r="UX248" s="91"/>
      <c r="UY248" s="91"/>
      <c r="UZ248" s="91"/>
      <c r="VA248" s="91"/>
      <c r="VB248" s="91"/>
      <c r="VC248" s="91"/>
    </row>
    <row r="249" spans="1:575" s="92" customFormat="1" ht="15" x14ac:dyDescent="0.2">
      <c r="A249" s="70"/>
      <c r="B249" s="111"/>
      <c r="C249" s="111"/>
      <c r="D249" s="71" t="s">
        <v>344</v>
      </c>
      <c r="E249" s="134">
        <f>SUM(E268+E272)</f>
        <v>0</v>
      </c>
      <c r="F249" s="134">
        <f t="shared" ref="F249:P249" si="46">SUM(F268+F272)</f>
        <v>0</v>
      </c>
      <c r="G249" s="134">
        <f t="shared" si="46"/>
        <v>0</v>
      </c>
      <c r="H249" s="134">
        <f t="shared" si="46"/>
        <v>0</v>
      </c>
      <c r="I249" s="134">
        <f t="shared" si="46"/>
        <v>0</v>
      </c>
      <c r="J249" s="134">
        <f t="shared" si="46"/>
        <v>60000</v>
      </c>
      <c r="K249" s="134">
        <f t="shared" si="46"/>
        <v>60000</v>
      </c>
      <c r="L249" s="134">
        <f t="shared" si="46"/>
        <v>0</v>
      </c>
      <c r="M249" s="134">
        <f t="shared" si="46"/>
        <v>0</v>
      </c>
      <c r="N249" s="134">
        <f t="shared" si="46"/>
        <v>0</v>
      </c>
      <c r="O249" s="134">
        <f t="shared" si="46"/>
        <v>60000</v>
      </c>
      <c r="P249" s="134">
        <f t="shared" si="46"/>
        <v>60000</v>
      </c>
      <c r="Q249" s="159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  <c r="IU249" s="91"/>
      <c r="IV249" s="91"/>
      <c r="IW249" s="91"/>
      <c r="IX249" s="91"/>
      <c r="IY249" s="91"/>
      <c r="IZ249" s="91"/>
      <c r="JA249" s="91"/>
      <c r="JB249" s="91"/>
      <c r="JC249" s="91"/>
      <c r="JD249" s="91"/>
      <c r="JE249" s="91"/>
      <c r="JF249" s="91"/>
      <c r="JG249" s="91"/>
      <c r="JH249" s="91"/>
      <c r="JI249" s="91"/>
      <c r="JJ249" s="91"/>
      <c r="JK249" s="91"/>
      <c r="JL249" s="91"/>
      <c r="JM249" s="91"/>
      <c r="JN249" s="91"/>
      <c r="JO249" s="91"/>
      <c r="JP249" s="91"/>
      <c r="JQ249" s="91"/>
      <c r="JR249" s="91"/>
      <c r="JS249" s="91"/>
      <c r="JT249" s="91"/>
      <c r="JU249" s="91"/>
      <c r="JV249" s="91"/>
      <c r="JW249" s="91"/>
      <c r="JX249" s="91"/>
      <c r="JY249" s="91"/>
      <c r="JZ249" s="91"/>
      <c r="KA249" s="91"/>
      <c r="KB249" s="91"/>
      <c r="KC249" s="91"/>
      <c r="KD249" s="91"/>
      <c r="KE249" s="91"/>
      <c r="KF249" s="91"/>
      <c r="KG249" s="91"/>
      <c r="KH249" s="91"/>
      <c r="KI249" s="91"/>
      <c r="KJ249" s="91"/>
      <c r="KK249" s="91"/>
      <c r="KL249" s="91"/>
      <c r="KM249" s="91"/>
      <c r="KN249" s="91"/>
      <c r="KO249" s="91"/>
      <c r="KP249" s="91"/>
      <c r="KQ249" s="91"/>
      <c r="KR249" s="91"/>
      <c r="KS249" s="91"/>
      <c r="KT249" s="91"/>
      <c r="KU249" s="91"/>
      <c r="KV249" s="91"/>
      <c r="KW249" s="91"/>
      <c r="KX249" s="91"/>
      <c r="KY249" s="91"/>
      <c r="KZ249" s="91"/>
      <c r="LA249" s="91"/>
      <c r="LB249" s="91"/>
      <c r="LC249" s="91"/>
      <c r="LD249" s="91"/>
      <c r="LE249" s="91"/>
      <c r="LF249" s="91"/>
      <c r="LG249" s="91"/>
      <c r="LH249" s="91"/>
      <c r="LI249" s="91"/>
      <c r="LJ249" s="91"/>
      <c r="LK249" s="91"/>
      <c r="LL249" s="91"/>
      <c r="LM249" s="91"/>
      <c r="LN249" s="91"/>
      <c r="LO249" s="91"/>
      <c r="LP249" s="91"/>
      <c r="LQ249" s="91"/>
      <c r="LR249" s="91"/>
      <c r="LS249" s="91"/>
      <c r="LT249" s="91"/>
      <c r="LU249" s="91"/>
      <c r="LV249" s="91"/>
      <c r="LW249" s="91"/>
      <c r="LX249" s="91"/>
      <c r="LY249" s="91"/>
      <c r="LZ249" s="91"/>
      <c r="MA249" s="91"/>
      <c r="MB249" s="91"/>
      <c r="MC249" s="91"/>
      <c r="MD249" s="91"/>
      <c r="ME249" s="91"/>
      <c r="MF249" s="91"/>
      <c r="MG249" s="91"/>
      <c r="MH249" s="91"/>
      <c r="MI249" s="91"/>
      <c r="MJ249" s="91"/>
      <c r="MK249" s="91"/>
      <c r="ML249" s="91"/>
      <c r="MM249" s="91"/>
      <c r="MN249" s="91"/>
      <c r="MO249" s="91"/>
      <c r="MP249" s="91"/>
      <c r="MQ249" s="91"/>
      <c r="MR249" s="91"/>
      <c r="MS249" s="91"/>
      <c r="MT249" s="91"/>
      <c r="MU249" s="91"/>
      <c r="MV249" s="91"/>
      <c r="MW249" s="91"/>
      <c r="MX249" s="91"/>
      <c r="MY249" s="91"/>
      <c r="MZ249" s="91"/>
      <c r="NA249" s="91"/>
      <c r="NB249" s="91"/>
      <c r="NC249" s="91"/>
      <c r="ND249" s="91"/>
      <c r="NE249" s="91"/>
      <c r="NF249" s="91"/>
      <c r="NG249" s="91"/>
      <c r="NH249" s="91"/>
      <c r="NI249" s="91"/>
      <c r="NJ249" s="91"/>
      <c r="NK249" s="91"/>
      <c r="NL249" s="91"/>
      <c r="NM249" s="91"/>
      <c r="NN249" s="91"/>
      <c r="NO249" s="91"/>
      <c r="NP249" s="91"/>
      <c r="NQ249" s="91"/>
      <c r="NR249" s="91"/>
      <c r="NS249" s="91"/>
      <c r="NT249" s="91"/>
      <c r="NU249" s="91"/>
      <c r="NV249" s="91"/>
      <c r="NW249" s="91"/>
      <c r="NX249" s="91"/>
      <c r="NY249" s="91"/>
      <c r="NZ249" s="91"/>
      <c r="OA249" s="91"/>
      <c r="OB249" s="91"/>
      <c r="OC249" s="91"/>
      <c r="OD249" s="91"/>
      <c r="OE249" s="91"/>
      <c r="OF249" s="91"/>
      <c r="OG249" s="91"/>
      <c r="OH249" s="91"/>
      <c r="OI249" s="91"/>
      <c r="OJ249" s="91"/>
      <c r="OK249" s="91"/>
      <c r="OL249" s="91"/>
      <c r="OM249" s="91"/>
      <c r="ON249" s="91"/>
      <c r="OO249" s="91"/>
      <c r="OP249" s="91"/>
      <c r="OQ249" s="91"/>
      <c r="OR249" s="91"/>
      <c r="OS249" s="91"/>
      <c r="OT249" s="91"/>
      <c r="OU249" s="91"/>
      <c r="OV249" s="91"/>
      <c r="OW249" s="91"/>
      <c r="OX249" s="91"/>
      <c r="OY249" s="91"/>
      <c r="OZ249" s="91"/>
      <c r="PA249" s="91"/>
      <c r="PB249" s="91"/>
      <c r="PC249" s="91"/>
      <c r="PD249" s="91"/>
      <c r="PE249" s="91"/>
      <c r="PF249" s="91"/>
      <c r="PG249" s="91"/>
      <c r="PH249" s="91"/>
      <c r="PI249" s="91"/>
      <c r="PJ249" s="91"/>
      <c r="PK249" s="91"/>
      <c r="PL249" s="91"/>
      <c r="PM249" s="91"/>
      <c r="PN249" s="91"/>
      <c r="PO249" s="91"/>
      <c r="PP249" s="91"/>
      <c r="PQ249" s="91"/>
      <c r="PR249" s="91"/>
      <c r="PS249" s="91"/>
      <c r="PT249" s="91"/>
      <c r="PU249" s="91"/>
      <c r="PV249" s="91"/>
      <c r="PW249" s="91"/>
      <c r="PX249" s="91"/>
      <c r="PY249" s="91"/>
      <c r="PZ249" s="91"/>
      <c r="QA249" s="91"/>
      <c r="QB249" s="91"/>
      <c r="QC249" s="91"/>
      <c r="QD249" s="91"/>
      <c r="QE249" s="91"/>
      <c r="QF249" s="91"/>
      <c r="QG249" s="91"/>
      <c r="QH249" s="91"/>
      <c r="QI249" s="91"/>
      <c r="QJ249" s="91"/>
      <c r="QK249" s="91"/>
      <c r="QL249" s="91"/>
      <c r="QM249" s="91"/>
      <c r="QN249" s="91"/>
      <c r="QO249" s="91"/>
      <c r="QP249" s="91"/>
      <c r="QQ249" s="91"/>
      <c r="QR249" s="91"/>
      <c r="QS249" s="91"/>
      <c r="QT249" s="91"/>
      <c r="QU249" s="91"/>
      <c r="QV249" s="91"/>
      <c r="QW249" s="91"/>
      <c r="QX249" s="91"/>
      <c r="QY249" s="91"/>
      <c r="QZ249" s="91"/>
      <c r="RA249" s="91"/>
      <c r="RB249" s="91"/>
      <c r="RC249" s="91"/>
      <c r="RD249" s="91"/>
      <c r="RE249" s="91"/>
      <c r="RF249" s="91"/>
      <c r="RG249" s="91"/>
      <c r="RH249" s="91"/>
      <c r="RI249" s="91"/>
      <c r="RJ249" s="91"/>
      <c r="RK249" s="91"/>
      <c r="RL249" s="91"/>
      <c r="RM249" s="91"/>
      <c r="RN249" s="91"/>
      <c r="RO249" s="91"/>
      <c r="RP249" s="91"/>
      <c r="RQ249" s="91"/>
      <c r="RR249" s="91"/>
      <c r="RS249" s="91"/>
      <c r="RT249" s="91"/>
      <c r="RU249" s="91"/>
      <c r="RV249" s="91"/>
      <c r="RW249" s="91"/>
      <c r="RX249" s="91"/>
      <c r="RY249" s="91"/>
      <c r="RZ249" s="91"/>
      <c r="SA249" s="91"/>
      <c r="SB249" s="91"/>
      <c r="SC249" s="91"/>
      <c r="SD249" s="91"/>
      <c r="SE249" s="91"/>
      <c r="SF249" s="91"/>
      <c r="SG249" s="91"/>
      <c r="SH249" s="91"/>
      <c r="SI249" s="91"/>
      <c r="SJ249" s="91"/>
      <c r="SK249" s="91"/>
      <c r="SL249" s="91"/>
      <c r="SM249" s="91"/>
      <c r="SN249" s="91"/>
      <c r="SO249" s="91"/>
      <c r="SP249" s="91"/>
      <c r="SQ249" s="91"/>
      <c r="SR249" s="91"/>
      <c r="SS249" s="91"/>
      <c r="ST249" s="91"/>
      <c r="SU249" s="91"/>
      <c r="SV249" s="91"/>
      <c r="SW249" s="91"/>
      <c r="SX249" s="91"/>
      <c r="SY249" s="91"/>
      <c r="SZ249" s="91"/>
      <c r="TA249" s="91"/>
      <c r="TB249" s="91"/>
      <c r="TC249" s="91"/>
      <c r="TD249" s="91"/>
      <c r="TE249" s="91"/>
      <c r="TF249" s="91"/>
      <c r="TG249" s="91"/>
      <c r="TH249" s="91"/>
      <c r="TI249" s="91"/>
      <c r="TJ249" s="91"/>
      <c r="TK249" s="91"/>
      <c r="TL249" s="91"/>
      <c r="TM249" s="91"/>
      <c r="TN249" s="91"/>
      <c r="TO249" s="91"/>
      <c r="TP249" s="91"/>
      <c r="TQ249" s="91"/>
      <c r="TR249" s="91"/>
      <c r="TS249" s="91"/>
      <c r="TT249" s="91"/>
      <c r="TU249" s="91"/>
      <c r="TV249" s="91"/>
      <c r="TW249" s="91"/>
      <c r="TX249" s="91"/>
      <c r="TY249" s="91"/>
      <c r="TZ249" s="91"/>
      <c r="UA249" s="91"/>
      <c r="UB249" s="91"/>
      <c r="UC249" s="91"/>
      <c r="UD249" s="91"/>
      <c r="UE249" s="91"/>
      <c r="UF249" s="91"/>
      <c r="UG249" s="91"/>
      <c r="UH249" s="91"/>
      <c r="UI249" s="91"/>
      <c r="UJ249" s="91"/>
      <c r="UK249" s="91"/>
      <c r="UL249" s="91"/>
      <c r="UM249" s="91"/>
      <c r="UN249" s="91"/>
      <c r="UO249" s="91"/>
      <c r="UP249" s="91"/>
      <c r="UQ249" s="91"/>
      <c r="UR249" s="91"/>
      <c r="US249" s="91"/>
      <c r="UT249" s="91"/>
      <c r="UU249" s="91"/>
      <c r="UV249" s="91"/>
      <c r="UW249" s="91"/>
      <c r="UX249" s="91"/>
      <c r="UY249" s="91"/>
      <c r="UZ249" s="91"/>
      <c r="VA249" s="91"/>
      <c r="VB249" s="91"/>
      <c r="VC249" s="91"/>
    </row>
    <row r="250" spans="1:575" s="55" customFormat="1" ht="44.25" customHeight="1" x14ac:dyDescent="0.25">
      <c r="A250" s="53" t="s">
        <v>187</v>
      </c>
      <c r="B250" s="102" t="str">
        <f>'дод 2'!A13</f>
        <v>0160</v>
      </c>
      <c r="C250" s="102" t="str">
        <f>'дод 2'!B13</f>
        <v>0111</v>
      </c>
      <c r="D250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50" s="132">
        <f t="shared" ref="E250:E275" si="47">F250+I250</f>
        <v>0</v>
      </c>
      <c r="F250" s="132"/>
      <c r="G250" s="132"/>
      <c r="H250" s="132"/>
      <c r="I250" s="132"/>
      <c r="J250" s="132">
        <f t="shared" si="43"/>
        <v>3000000</v>
      </c>
      <c r="K250" s="132"/>
      <c r="L250" s="132">
        <v>3000000</v>
      </c>
      <c r="M250" s="132">
        <v>2217000</v>
      </c>
      <c r="N250" s="132">
        <v>90900</v>
      </c>
      <c r="O250" s="132"/>
      <c r="P250" s="132">
        <f t="shared" ref="P250:P275" si="48">E250+J250</f>
        <v>3000000</v>
      </c>
      <c r="Q250" s="159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  <c r="SP250" s="61"/>
      <c r="SQ250" s="61"/>
      <c r="SR250" s="61"/>
      <c r="SS250" s="61"/>
      <c r="ST250" s="61"/>
      <c r="SU250" s="61"/>
      <c r="SV250" s="61"/>
      <c r="SW250" s="61"/>
      <c r="SX250" s="61"/>
      <c r="SY250" s="61"/>
      <c r="SZ250" s="61"/>
      <c r="TA250" s="61"/>
      <c r="TB250" s="61"/>
      <c r="TC250" s="61"/>
      <c r="TD250" s="61"/>
      <c r="TE250" s="61"/>
      <c r="TF250" s="61"/>
      <c r="TG250" s="61"/>
      <c r="TH250" s="61"/>
      <c r="TI250" s="61"/>
      <c r="TJ250" s="61"/>
      <c r="TK250" s="61"/>
      <c r="TL250" s="61"/>
      <c r="TM250" s="61"/>
      <c r="TN250" s="61"/>
      <c r="TO250" s="61"/>
      <c r="TP250" s="61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</row>
    <row r="251" spans="1:575" s="55" customFormat="1" ht="22.5" customHeight="1" x14ac:dyDescent="0.25">
      <c r="A251" s="53" t="s">
        <v>271</v>
      </c>
      <c r="B251" s="102" t="str">
        <f>'дод 2'!A150</f>
        <v>6030</v>
      </c>
      <c r="C251" s="102" t="str">
        <f>'дод 2'!B150</f>
        <v>0620</v>
      </c>
      <c r="D251" s="56" t="str">
        <f>'дод 2'!C150</f>
        <v>Організація благоустрою населених пунктів</v>
      </c>
      <c r="E251" s="132">
        <f t="shared" si="47"/>
        <v>0</v>
      </c>
      <c r="F251" s="132">
        <f>106000000+3000000-109000000</f>
        <v>0</v>
      </c>
      <c r="G251" s="132"/>
      <c r="H251" s="132"/>
      <c r="I251" s="132"/>
      <c r="J251" s="132">
        <f t="shared" si="43"/>
        <v>84635111</v>
      </c>
      <c r="K251" s="132">
        <f>80000000+40000+700000+1100000+635000+2160111+532923-532923</f>
        <v>84635111</v>
      </c>
      <c r="L251" s="132"/>
      <c r="M251" s="132"/>
      <c r="N251" s="132"/>
      <c r="O251" s="132">
        <f>80000000+40000+700000+1100000+635000+2160111+532923-532923</f>
        <v>84635111</v>
      </c>
      <c r="P251" s="132">
        <f t="shared" si="48"/>
        <v>84635111</v>
      </c>
      <c r="Q251" s="159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  <c r="SP251" s="61"/>
      <c r="SQ251" s="61"/>
      <c r="SR251" s="61"/>
      <c r="SS251" s="61"/>
      <c r="ST251" s="61"/>
      <c r="SU251" s="61"/>
      <c r="SV251" s="61"/>
      <c r="SW251" s="61"/>
      <c r="SX251" s="61"/>
      <c r="SY251" s="61"/>
      <c r="SZ251" s="61"/>
      <c r="TA251" s="61"/>
      <c r="TB251" s="61"/>
      <c r="TC251" s="61"/>
      <c r="TD251" s="61"/>
      <c r="TE251" s="61"/>
      <c r="TF251" s="61"/>
      <c r="TG251" s="61"/>
      <c r="TH251" s="61"/>
      <c r="TI251" s="61"/>
      <c r="TJ251" s="61"/>
      <c r="TK251" s="61"/>
      <c r="TL251" s="61"/>
      <c r="TM251" s="61"/>
      <c r="TN251" s="61"/>
      <c r="TO251" s="61"/>
      <c r="TP251" s="61"/>
      <c r="TQ251" s="61"/>
      <c r="TR251" s="61"/>
      <c r="TS251" s="61"/>
      <c r="TT251" s="61"/>
      <c r="TU251" s="61"/>
      <c r="TV251" s="61"/>
      <c r="TW251" s="61"/>
      <c r="TX251" s="61"/>
      <c r="TY251" s="61"/>
      <c r="TZ251" s="61"/>
      <c r="UA251" s="61"/>
      <c r="UB251" s="61"/>
      <c r="UC251" s="61"/>
      <c r="UD251" s="61"/>
      <c r="UE251" s="61"/>
      <c r="UF251" s="61"/>
      <c r="UG251" s="61"/>
      <c r="UH251" s="61"/>
      <c r="UI251" s="61"/>
      <c r="UJ251" s="61"/>
      <c r="UK251" s="61"/>
      <c r="UL251" s="61"/>
      <c r="UM251" s="61"/>
      <c r="UN251" s="61"/>
      <c r="UO251" s="61"/>
      <c r="UP251" s="61"/>
      <c r="UQ251" s="61"/>
      <c r="UR251" s="61"/>
      <c r="US251" s="61"/>
      <c r="UT251" s="61"/>
      <c r="UU251" s="61"/>
      <c r="UV251" s="61"/>
      <c r="UW251" s="61"/>
      <c r="UX251" s="61"/>
      <c r="UY251" s="61"/>
      <c r="UZ251" s="61"/>
      <c r="VA251" s="61"/>
      <c r="VB251" s="61"/>
      <c r="VC251" s="61"/>
    </row>
    <row r="252" spans="1:575" s="55" customFormat="1" ht="33" hidden="1" customHeight="1" x14ac:dyDescent="0.25">
      <c r="A252" s="53" t="s">
        <v>518</v>
      </c>
      <c r="B252" s="102" t="str">
        <f>'дод 2'!A153</f>
        <v>6082</v>
      </c>
      <c r="C252" s="102" t="str">
        <f>'дод 2'!B153</f>
        <v>0610</v>
      </c>
      <c r="D252" s="56" t="str">
        <f>'дод 2'!C153</f>
        <v>Придбання житла для окремих категорій населення відповідно до законодавства</v>
      </c>
      <c r="E252" s="132">
        <f t="shared" si="47"/>
        <v>0</v>
      </c>
      <c r="F252" s="132"/>
      <c r="G252" s="132"/>
      <c r="H252" s="132"/>
      <c r="I252" s="132"/>
      <c r="J252" s="132">
        <f t="shared" si="43"/>
        <v>0</v>
      </c>
      <c r="K252" s="132"/>
      <c r="L252" s="132"/>
      <c r="M252" s="132"/>
      <c r="N252" s="132"/>
      <c r="O252" s="132"/>
      <c r="P252" s="132">
        <f t="shared" si="48"/>
        <v>0</v>
      </c>
      <c r="Q252" s="159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  <c r="SP252" s="61"/>
      <c r="SQ252" s="61"/>
      <c r="SR252" s="61"/>
      <c r="SS252" s="61"/>
      <c r="ST252" s="61"/>
      <c r="SU252" s="61"/>
      <c r="SV252" s="61"/>
      <c r="SW252" s="61"/>
      <c r="SX252" s="61"/>
      <c r="SY252" s="61"/>
      <c r="SZ252" s="61"/>
      <c r="TA252" s="61"/>
      <c r="TB252" s="61"/>
      <c r="TC252" s="61"/>
      <c r="TD252" s="61"/>
      <c r="TE252" s="61"/>
      <c r="TF252" s="61"/>
      <c r="TG252" s="61"/>
      <c r="TH252" s="61"/>
      <c r="TI252" s="61"/>
      <c r="TJ252" s="61"/>
      <c r="TK252" s="61"/>
      <c r="TL252" s="61"/>
      <c r="TM252" s="61"/>
      <c r="TN252" s="61"/>
      <c r="TO252" s="61"/>
      <c r="TP252" s="61"/>
      <c r="TQ252" s="61"/>
      <c r="TR252" s="61"/>
      <c r="TS252" s="61"/>
      <c r="TT252" s="61"/>
      <c r="TU252" s="61"/>
      <c r="TV252" s="61"/>
      <c r="TW252" s="61"/>
      <c r="TX252" s="61"/>
      <c r="TY252" s="61"/>
      <c r="TZ252" s="61"/>
      <c r="UA252" s="61"/>
      <c r="UB252" s="61"/>
      <c r="UC252" s="61"/>
      <c r="UD252" s="61"/>
      <c r="UE252" s="61"/>
      <c r="UF252" s="61"/>
      <c r="UG252" s="61"/>
      <c r="UH252" s="61"/>
      <c r="UI252" s="61"/>
      <c r="UJ252" s="61"/>
      <c r="UK252" s="61"/>
      <c r="UL252" s="61"/>
      <c r="UM252" s="61"/>
      <c r="UN252" s="61"/>
      <c r="UO252" s="61"/>
      <c r="UP252" s="61"/>
      <c r="UQ252" s="61"/>
      <c r="UR252" s="61"/>
      <c r="US252" s="61"/>
      <c r="UT252" s="61"/>
      <c r="UU252" s="61"/>
      <c r="UV252" s="61"/>
      <c r="UW252" s="61"/>
      <c r="UX252" s="61"/>
      <c r="UY252" s="61"/>
      <c r="UZ252" s="61"/>
      <c r="VA252" s="61"/>
      <c r="VB252" s="61"/>
      <c r="VC252" s="61"/>
    </row>
    <row r="253" spans="1:575" s="55" customFormat="1" ht="60" x14ac:dyDescent="0.25">
      <c r="A253" s="53" t="s">
        <v>551</v>
      </c>
      <c r="B253" s="102" t="s">
        <v>549</v>
      </c>
      <c r="C253" s="102" t="s">
        <v>97</v>
      </c>
      <c r="D253" s="56" t="s">
        <v>548</v>
      </c>
      <c r="E253" s="132">
        <f t="shared" si="47"/>
        <v>0</v>
      </c>
      <c r="F253" s="132"/>
      <c r="G253" s="132"/>
      <c r="H253" s="132"/>
      <c r="I253" s="132"/>
      <c r="J253" s="132">
        <f t="shared" si="43"/>
        <v>291150</v>
      </c>
      <c r="K253" s="132">
        <f>300000-818-8032</f>
        <v>291150</v>
      </c>
      <c r="L253" s="132"/>
      <c r="M253" s="132"/>
      <c r="N253" s="132"/>
      <c r="O253" s="132">
        <f>300000-818-8032</f>
        <v>291150</v>
      </c>
      <c r="P253" s="132">
        <f t="shared" si="48"/>
        <v>291150</v>
      </c>
      <c r="Q253" s="159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  <c r="KO253" s="61"/>
      <c r="KP253" s="61"/>
      <c r="KQ253" s="61"/>
      <c r="KR253" s="61"/>
      <c r="KS253" s="61"/>
      <c r="KT253" s="61"/>
      <c r="KU253" s="61"/>
      <c r="KV253" s="61"/>
      <c r="KW253" s="61"/>
      <c r="KX253" s="61"/>
      <c r="KY253" s="61"/>
      <c r="KZ253" s="61"/>
      <c r="LA253" s="61"/>
      <c r="LB253" s="61"/>
      <c r="LC253" s="61"/>
      <c r="LD253" s="61"/>
      <c r="LE253" s="61"/>
      <c r="LF253" s="61"/>
      <c r="LG253" s="61"/>
      <c r="LH253" s="61"/>
      <c r="LI253" s="61"/>
      <c r="LJ253" s="61"/>
      <c r="LK253" s="61"/>
      <c r="LL253" s="61"/>
      <c r="LM253" s="61"/>
      <c r="LN253" s="61"/>
      <c r="LO253" s="61"/>
      <c r="LP253" s="61"/>
      <c r="LQ253" s="61"/>
      <c r="LR253" s="61"/>
      <c r="LS253" s="61"/>
      <c r="LT253" s="61"/>
      <c r="LU253" s="61"/>
      <c r="LV253" s="61"/>
      <c r="LW253" s="61"/>
      <c r="LX253" s="61"/>
      <c r="LY253" s="61"/>
      <c r="LZ253" s="61"/>
      <c r="MA253" s="61"/>
      <c r="MB253" s="61"/>
      <c r="MC253" s="61"/>
      <c r="MD253" s="61"/>
      <c r="ME253" s="61"/>
      <c r="MF253" s="61"/>
      <c r="MG253" s="61"/>
      <c r="MH253" s="61"/>
      <c r="MI253" s="61"/>
      <c r="MJ253" s="61"/>
      <c r="MK253" s="61"/>
      <c r="ML253" s="61"/>
      <c r="MM253" s="61"/>
      <c r="MN253" s="61"/>
      <c r="MO253" s="61"/>
      <c r="MP253" s="61"/>
      <c r="MQ253" s="61"/>
      <c r="MR253" s="61"/>
      <c r="MS253" s="61"/>
      <c r="MT253" s="61"/>
      <c r="MU253" s="61"/>
      <c r="MV253" s="61"/>
      <c r="MW253" s="61"/>
      <c r="MX253" s="61"/>
      <c r="MY253" s="61"/>
      <c r="MZ253" s="61"/>
      <c r="NA253" s="61"/>
      <c r="NB253" s="61"/>
      <c r="NC253" s="61"/>
      <c r="ND253" s="61"/>
      <c r="NE253" s="61"/>
      <c r="NF253" s="61"/>
      <c r="NG253" s="61"/>
      <c r="NH253" s="61"/>
      <c r="NI253" s="61"/>
      <c r="NJ253" s="61"/>
      <c r="NK253" s="61"/>
      <c r="NL253" s="61"/>
      <c r="NM253" s="61"/>
      <c r="NN253" s="61"/>
      <c r="NO253" s="61"/>
      <c r="NP253" s="61"/>
      <c r="NQ253" s="61"/>
      <c r="NR253" s="61"/>
      <c r="NS253" s="61"/>
      <c r="NT253" s="61"/>
      <c r="NU253" s="61"/>
      <c r="NV253" s="61"/>
      <c r="NW253" s="61"/>
      <c r="NX253" s="61"/>
      <c r="NY253" s="61"/>
      <c r="NZ253" s="61"/>
      <c r="OA253" s="61"/>
      <c r="OB253" s="61"/>
      <c r="OC253" s="61"/>
      <c r="OD253" s="61"/>
      <c r="OE253" s="61"/>
      <c r="OF253" s="61"/>
      <c r="OG253" s="61"/>
      <c r="OH253" s="61"/>
      <c r="OI253" s="61"/>
      <c r="OJ253" s="61"/>
      <c r="OK253" s="61"/>
      <c r="OL253" s="61"/>
      <c r="OM253" s="61"/>
      <c r="ON253" s="61"/>
      <c r="OO253" s="61"/>
      <c r="OP253" s="61"/>
      <c r="OQ253" s="61"/>
      <c r="OR253" s="61"/>
      <c r="OS253" s="61"/>
      <c r="OT253" s="61"/>
      <c r="OU253" s="61"/>
      <c r="OV253" s="61"/>
      <c r="OW253" s="61"/>
      <c r="OX253" s="61"/>
      <c r="OY253" s="61"/>
      <c r="OZ253" s="61"/>
      <c r="PA253" s="61"/>
      <c r="PB253" s="61"/>
      <c r="PC253" s="61"/>
      <c r="PD253" s="61"/>
      <c r="PE253" s="61"/>
      <c r="PF253" s="61"/>
      <c r="PG253" s="61"/>
      <c r="PH253" s="61"/>
      <c r="PI253" s="61"/>
      <c r="PJ253" s="61"/>
      <c r="PK253" s="61"/>
      <c r="PL253" s="61"/>
      <c r="PM253" s="61"/>
      <c r="PN253" s="61"/>
      <c r="PO253" s="61"/>
      <c r="PP253" s="61"/>
      <c r="PQ253" s="61"/>
      <c r="PR253" s="61"/>
      <c r="PS253" s="61"/>
      <c r="PT253" s="61"/>
      <c r="PU253" s="61"/>
      <c r="PV253" s="61"/>
      <c r="PW253" s="61"/>
      <c r="PX253" s="61"/>
      <c r="PY253" s="61"/>
      <c r="PZ253" s="61"/>
      <c r="QA253" s="61"/>
      <c r="QB253" s="61"/>
      <c r="QC253" s="61"/>
      <c r="QD253" s="61"/>
      <c r="QE253" s="61"/>
      <c r="QF253" s="61"/>
      <c r="QG253" s="61"/>
      <c r="QH253" s="61"/>
      <c r="QI253" s="61"/>
      <c r="QJ253" s="61"/>
      <c r="QK253" s="61"/>
      <c r="QL253" s="61"/>
      <c r="QM253" s="61"/>
      <c r="QN253" s="61"/>
      <c r="QO253" s="61"/>
      <c r="QP253" s="61"/>
      <c r="QQ253" s="61"/>
      <c r="QR253" s="61"/>
      <c r="QS253" s="61"/>
      <c r="QT253" s="61"/>
      <c r="QU253" s="61"/>
      <c r="QV253" s="61"/>
      <c r="QW253" s="61"/>
      <c r="QX253" s="61"/>
      <c r="QY253" s="61"/>
      <c r="QZ253" s="61"/>
      <c r="RA253" s="61"/>
      <c r="RB253" s="61"/>
      <c r="RC253" s="61"/>
      <c r="RD253" s="61"/>
      <c r="RE253" s="61"/>
      <c r="RF253" s="61"/>
      <c r="RG253" s="61"/>
      <c r="RH253" s="61"/>
      <c r="RI253" s="61"/>
      <c r="RJ253" s="61"/>
      <c r="RK253" s="61"/>
      <c r="RL253" s="61"/>
      <c r="RM253" s="61"/>
      <c r="RN253" s="61"/>
      <c r="RO253" s="61"/>
      <c r="RP253" s="61"/>
      <c r="RQ253" s="61"/>
      <c r="RR253" s="61"/>
      <c r="RS253" s="61"/>
      <c r="RT253" s="61"/>
      <c r="RU253" s="61"/>
      <c r="RV253" s="61"/>
      <c r="RW253" s="61"/>
      <c r="RX253" s="61"/>
      <c r="RY253" s="61"/>
      <c r="RZ253" s="61"/>
      <c r="SA253" s="61"/>
      <c r="SB253" s="61"/>
      <c r="SC253" s="61"/>
      <c r="SD253" s="61"/>
      <c r="SE253" s="61"/>
      <c r="SF253" s="61"/>
      <c r="SG253" s="61"/>
      <c r="SH253" s="61"/>
      <c r="SI253" s="61"/>
      <c r="SJ253" s="61"/>
      <c r="SK253" s="61"/>
      <c r="SL253" s="61"/>
      <c r="SM253" s="61"/>
      <c r="SN253" s="61"/>
      <c r="SO253" s="61"/>
      <c r="SP253" s="61"/>
      <c r="SQ253" s="61"/>
      <c r="SR253" s="61"/>
      <c r="SS253" s="61"/>
      <c r="ST253" s="61"/>
      <c r="SU253" s="61"/>
      <c r="SV253" s="61"/>
      <c r="SW253" s="61"/>
      <c r="SX253" s="61"/>
      <c r="SY253" s="61"/>
      <c r="SZ253" s="61"/>
      <c r="TA253" s="61"/>
      <c r="TB253" s="61"/>
      <c r="TC253" s="61"/>
      <c r="TD253" s="61"/>
      <c r="TE253" s="61"/>
      <c r="TF253" s="61"/>
      <c r="TG253" s="61"/>
      <c r="TH253" s="61"/>
      <c r="TI253" s="61"/>
      <c r="TJ253" s="61"/>
      <c r="TK253" s="61"/>
      <c r="TL253" s="61"/>
      <c r="TM253" s="61"/>
      <c r="TN253" s="61"/>
      <c r="TO253" s="61"/>
      <c r="TP253" s="61"/>
      <c r="TQ253" s="61"/>
      <c r="TR253" s="61"/>
      <c r="TS253" s="61"/>
      <c r="TT253" s="61"/>
      <c r="TU253" s="61"/>
      <c r="TV253" s="61"/>
      <c r="TW253" s="61"/>
      <c r="TX253" s="61"/>
      <c r="TY253" s="61"/>
      <c r="TZ253" s="61"/>
      <c r="UA253" s="61"/>
      <c r="UB253" s="61"/>
      <c r="UC253" s="61"/>
      <c r="UD253" s="61"/>
      <c r="UE253" s="61"/>
      <c r="UF253" s="61"/>
      <c r="UG253" s="61"/>
      <c r="UH253" s="61"/>
      <c r="UI253" s="61"/>
      <c r="UJ253" s="61"/>
      <c r="UK253" s="61"/>
      <c r="UL253" s="61"/>
      <c r="UM253" s="61"/>
      <c r="UN253" s="61"/>
      <c r="UO253" s="61"/>
      <c r="UP253" s="61"/>
      <c r="UQ253" s="61"/>
      <c r="UR253" s="61"/>
      <c r="US253" s="61"/>
      <c r="UT253" s="61"/>
      <c r="UU253" s="61"/>
      <c r="UV253" s="61"/>
      <c r="UW253" s="61"/>
      <c r="UX253" s="61"/>
      <c r="UY253" s="61"/>
      <c r="UZ253" s="61"/>
      <c r="VA253" s="61"/>
      <c r="VB253" s="61"/>
      <c r="VC253" s="61"/>
    </row>
    <row r="254" spans="1:575" s="55" customFormat="1" ht="60" x14ac:dyDescent="0.25">
      <c r="A254" s="53" t="s">
        <v>272</v>
      </c>
      <c r="B254" s="102" t="str">
        <f>'дод 2'!A156</f>
        <v>6084</v>
      </c>
      <c r="C254" s="102" t="str">
        <f>'дод 2'!B156</f>
        <v>0610</v>
      </c>
      <c r="D254" s="56" t="str">
        <f>'дод 2'!C156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4" s="132">
        <f t="shared" si="47"/>
        <v>84906</v>
      </c>
      <c r="F254" s="132">
        <f>84906-84906</f>
        <v>0</v>
      </c>
      <c r="G254" s="132"/>
      <c r="H254" s="132"/>
      <c r="I254" s="132">
        <v>84906</v>
      </c>
      <c r="J254" s="132">
        <f t="shared" si="43"/>
        <v>50683.81</v>
      </c>
      <c r="K254" s="132"/>
      <c r="L254" s="132">
        <f>42126-42126</f>
        <v>0</v>
      </c>
      <c r="M254" s="132"/>
      <c r="N254" s="132"/>
      <c r="O254" s="132">
        <f>8557.81+42126</f>
        <v>50683.81</v>
      </c>
      <c r="P254" s="132">
        <f t="shared" si="48"/>
        <v>135589.81</v>
      </c>
      <c r="Q254" s="159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  <c r="KO254" s="61"/>
      <c r="KP254" s="61"/>
      <c r="KQ254" s="61"/>
      <c r="KR254" s="61"/>
      <c r="KS254" s="61"/>
      <c r="KT254" s="61"/>
      <c r="KU254" s="61"/>
      <c r="KV254" s="61"/>
      <c r="KW254" s="61"/>
      <c r="KX254" s="61"/>
      <c r="KY254" s="61"/>
      <c r="KZ254" s="61"/>
      <c r="LA254" s="61"/>
      <c r="LB254" s="61"/>
      <c r="LC254" s="61"/>
      <c r="LD254" s="61"/>
      <c r="LE254" s="61"/>
      <c r="LF254" s="61"/>
      <c r="LG254" s="61"/>
      <c r="LH254" s="61"/>
      <c r="LI254" s="61"/>
      <c r="LJ254" s="61"/>
      <c r="LK254" s="61"/>
      <c r="LL254" s="61"/>
      <c r="LM254" s="61"/>
      <c r="LN254" s="61"/>
      <c r="LO254" s="61"/>
      <c r="LP254" s="61"/>
      <c r="LQ254" s="61"/>
      <c r="LR254" s="61"/>
      <c r="LS254" s="61"/>
      <c r="LT254" s="61"/>
      <c r="LU254" s="61"/>
      <c r="LV254" s="61"/>
      <c r="LW254" s="61"/>
      <c r="LX254" s="61"/>
      <c r="LY254" s="61"/>
      <c r="LZ254" s="61"/>
      <c r="MA254" s="61"/>
      <c r="MB254" s="61"/>
      <c r="MC254" s="61"/>
      <c r="MD254" s="61"/>
      <c r="ME254" s="61"/>
      <c r="MF254" s="61"/>
      <c r="MG254" s="61"/>
      <c r="MH254" s="61"/>
      <c r="MI254" s="61"/>
      <c r="MJ254" s="61"/>
      <c r="MK254" s="61"/>
      <c r="ML254" s="61"/>
      <c r="MM254" s="61"/>
      <c r="MN254" s="61"/>
      <c r="MO254" s="61"/>
      <c r="MP254" s="61"/>
      <c r="MQ254" s="61"/>
      <c r="MR254" s="61"/>
      <c r="MS254" s="61"/>
      <c r="MT254" s="61"/>
      <c r="MU254" s="61"/>
      <c r="MV254" s="61"/>
      <c r="MW254" s="61"/>
      <c r="MX254" s="61"/>
      <c r="MY254" s="61"/>
      <c r="MZ254" s="61"/>
      <c r="NA254" s="61"/>
      <c r="NB254" s="61"/>
      <c r="NC254" s="61"/>
      <c r="ND254" s="61"/>
      <c r="NE254" s="61"/>
      <c r="NF254" s="61"/>
      <c r="NG254" s="61"/>
      <c r="NH254" s="61"/>
      <c r="NI254" s="61"/>
      <c r="NJ254" s="61"/>
      <c r="NK254" s="61"/>
      <c r="NL254" s="61"/>
      <c r="NM254" s="61"/>
      <c r="NN254" s="61"/>
      <c r="NO254" s="61"/>
      <c r="NP254" s="61"/>
      <c r="NQ254" s="61"/>
      <c r="NR254" s="61"/>
      <c r="NS254" s="61"/>
      <c r="NT254" s="61"/>
      <c r="NU254" s="61"/>
      <c r="NV254" s="61"/>
      <c r="NW254" s="61"/>
      <c r="NX254" s="61"/>
      <c r="NY254" s="61"/>
      <c r="NZ254" s="61"/>
      <c r="OA254" s="61"/>
      <c r="OB254" s="61"/>
      <c r="OC254" s="61"/>
      <c r="OD254" s="61"/>
      <c r="OE254" s="61"/>
      <c r="OF254" s="61"/>
      <c r="OG254" s="61"/>
      <c r="OH254" s="61"/>
      <c r="OI254" s="61"/>
      <c r="OJ254" s="61"/>
      <c r="OK254" s="61"/>
      <c r="OL254" s="61"/>
      <c r="OM254" s="61"/>
      <c r="ON254" s="61"/>
      <c r="OO254" s="61"/>
      <c r="OP254" s="61"/>
      <c r="OQ254" s="61"/>
      <c r="OR254" s="61"/>
      <c r="OS254" s="61"/>
      <c r="OT254" s="61"/>
      <c r="OU254" s="61"/>
      <c r="OV254" s="61"/>
      <c r="OW254" s="61"/>
      <c r="OX254" s="61"/>
      <c r="OY254" s="61"/>
      <c r="OZ254" s="61"/>
      <c r="PA254" s="61"/>
      <c r="PB254" s="61"/>
      <c r="PC254" s="61"/>
      <c r="PD254" s="61"/>
      <c r="PE254" s="61"/>
      <c r="PF254" s="61"/>
      <c r="PG254" s="61"/>
      <c r="PH254" s="61"/>
      <c r="PI254" s="61"/>
      <c r="PJ254" s="61"/>
      <c r="PK254" s="61"/>
      <c r="PL254" s="61"/>
      <c r="PM254" s="61"/>
      <c r="PN254" s="61"/>
      <c r="PO254" s="61"/>
      <c r="PP254" s="61"/>
      <c r="PQ254" s="61"/>
      <c r="PR254" s="61"/>
      <c r="PS254" s="61"/>
      <c r="PT254" s="61"/>
      <c r="PU254" s="61"/>
      <c r="PV254" s="61"/>
      <c r="PW254" s="61"/>
      <c r="PX254" s="61"/>
      <c r="PY254" s="61"/>
      <c r="PZ254" s="61"/>
      <c r="QA254" s="61"/>
      <c r="QB254" s="61"/>
      <c r="QC254" s="61"/>
      <c r="QD254" s="61"/>
      <c r="QE254" s="61"/>
      <c r="QF254" s="61"/>
      <c r="QG254" s="61"/>
      <c r="QH254" s="61"/>
      <c r="QI254" s="61"/>
      <c r="QJ254" s="61"/>
      <c r="QK254" s="61"/>
      <c r="QL254" s="61"/>
      <c r="QM254" s="61"/>
      <c r="QN254" s="61"/>
      <c r="QO254" s="61"/>
      <c r="QP254" s="61"/>
      <c r="QQ254" s="61"/>
      <c r="QR254" s="61"/>
      <c r="QS254" s="61"/>
      <c r="QT254" s="61"/>
      <c r="QU254" s="61"/>
      <c r="QV254" s="61"/>
      <c r="QW254" s="61"/>
      <c r="QX254" s="61"/>
      <c r="QY254" s="61"/>
      <c r="QZ254" s="61"/>
      <c r="RA254" s="61"/>
      <c r="RB254" s="61"/>
      <c r="RC254" s="61"/>
      <c r="RD254" s="61"/>
      <c r="RE254" s="61"/>
      <c r="RF254" s="61"/>
      <c r="RG254" s="61"/>
      <c r="RH254" s="61"/>
      <c r="RI254" s="61"/>
      <c r="RJ254" s="61"/>
      <c r="RK254" s="61"/>
      <c r="RL254" s="61"/>
      <c r="RM254" s="61"/>
      <c r="RN254" s="61"/>
      <c r="RO254" s="61"/>
      <c r="RP254" s="61"/>
      <c r="RQ254" s="61"/>
      <c r="RR254" s="61"/>
      <c r="RS254" s="61"/>
      <c r="RT254" s="61"/>
      <c r="RU254" s="61"/>
      <c r="RV254" s="61"/>
      <c r="RW254" s="61"/>
      <c r="RX254" s="61"/>
      <c r="RY254" s="61"/>
      <c r="RZ254" s="61"/>
      <c r="SA254" s="61"/>
      <c r="SB254" s="61"/>
      <c r="SC254" s="61"/>
      <c r="SD254" s="61"/>
      <c r="SE254" s="61"/>
      <c r="SF254" s="61"/>
      <c r="SG254" s="61"/>
      <c r="SH254" s="61"/>
      <c r="SI254" s="61"/>
      <c r="SJ254" s="61"/>
      <c r="SK254" s="61"/>
      <c r="SL254" s="61"/>
      <c r="SM254" s="61"/>
      <c r="SN254" s="61"/>
      <c r="SO254" s="61"/>
      <c r="SP254" s="61"/>
      <c r="SQ254" s="61"/>
      <c r="SR254" s="61"/>
      <c r="SS254" s="61"/>
      <c r="ST254" s="61"/>
      <c r="SU254" s="61"/>
      <c r="SV254" s="61"/>
      <c r="SW254" s="61"/>
      <c r="SX254" s="61"/>
      <c r="SY254" s="61"/>
      <c r="SZ254" s="61"/>
      <c r="TA254" s="61"/>
      <c r="TB254" s="61"/>
      <c r="TC254" s="61"/>
      <c r="TD254" s="61"/>
      <c r="TE254" s="61"/>
      <c r="TF254" s="61"/>
      <c r="TG254" s="61"/>
      <c r="TH254" s="61"/>
      <c r="TI254" s="61"/>
      <c r="TJ254" s="61"/>
      <c r="TK254" s="61"/>
      <c r="TL254" s="61"/>
      <c r="TM254" s="61"/>
      <c r="TN254" s="61"/>
      <c r="TO254" s="61"/>
      <c r="TP254" s="61"/>
      <c r="TQ254" s="61"/>
      <c r="TR254" s="61"/>
      <c r="TS254" s="61"/>
      <c r="TT254" s="61"/>
      <c r="TU254" s="61"/>
      <c r="TV254" s="61"/>
      <c r="TW254" s="61"/>
      <c r="TX254" s="61"/>
      <c r="TY254" s="61"/>
      <c r="TZ254" s="61"/>
      <c r="UA254" s="61"/>
      <c r="UB254" s="61"/>
      <c r="UC254" s="61"/>
      <c r="UD254" s="61"/>
      <c r="UE254" s="61"/>
      <c r="UF254" s="61"/>
      <c r="UG254" s="61"/>
      <c r="UH254" s="61"/>
      <c r="UI254" s="61"/>
      <c r="UJ254" s="61"/>
      <c r="UK254" s="61"/>
      <c r="UL254" s="61"/>
      <c r="UM254" s="61"/>
      <c r="UN254" s="61"/>
      <c r="UO254" s="61"/>
      <c r="UP254" s="61"/>
      <c r="UQ254" s="61"/>
      <c r="UR254" s="61"/>
      <c r="US254" s="61"/>
      <c r="UT254" s="61"/>
      <c r="UU254" s="61"/>
      <c r="UV254" s="61"/>
      <c r="UW254" s="61"/>
      <c r="UX254" s="61"/>
      <c r="UY254" s="61"/>
      <c r="UZ254" s="61"/>
      <c r="VA254" s="61"/>
      <c r="VB254" s="61"/>
      <c r="VC254" s="61"/>
    </row>
    <row r="255" spans="1:575" s="55" customFormat="1" ht="23.25" customHeight="1" x14ac:dyDescent="0.25">
      <c r="A255" s="102">
        <v>1516090</v>
      </c>
      <c r="B255" s="102">
        <v>6090</v>
      </c>
      <c r="C255" s="102" t="s">
        <v>407</v>
      </c>
      <c r="D255" s="56" t="s">
        <v>590</v>
      </c>
      <c r="E255" s="132">
        <f t="shared" si="47"/>
        <v>404689.6</v>
      </c>
      <c r="F255" s="132">
        <v>404689.6</v>
      </c>
      <c r="G255" s="132"/>
      <c r="H255" s="132"/>
      <c r="I255" s="132"/>
      <c r="J255" s="132">
        <f t="shared" si="43"/>
        <v>0</v>
      </c>
      <c r="K255" s="132"/>
      <c r="L255" s="132"/>
      <c r="M255" s="132"/>
      <c r="N255" s="132"/>
      <c r="O255" s="132"/>
      <c r="P255" s="132">
        <f t="shared" si="48"/>
        <v>404689.6</v>
      </c>
      <c r="Q255" s="159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  <c r="KO255" s="61"/>
      <c r="KP255" s="61"/>
      <c r="KQ255" s="61"/>
      <c r="KR255" s="61"/>
      <c r="KS255" s="61"/>
      <c r="KT255" s="61"/>
      <c r="KU255" s="61"/>
      <c r="KV255" s="61"/>
      <c r="KW255" s="61"/>
      <c r="KX255" s="61"/>
      <c r="KY255" s="61"/>
      <c r="KZ255" s="61"/>
      <c r="LA255" s="61"/>
      <c r="LB255" s="61"/>
      <c r="LC255" s="61"/>
      <c r="LD255" s="61"/>
      <c r="LE255" s="61"/>
      <c r="LF255" s="61"/>
      <c r="LG255" s="61"/>
      <c r="LH255" s="61"/>
      <c r="LI255" s="61"/>
      <c r="LJ255" s="61"/>
      <c r="LK255" s="61"/>
      <c r="LL255" s="61"/>
      <c r="LM255" s="61"/>
      <c r="LN255" s="61"/>
      <c r="LO255" s="61"/>
      <c r="LP255" s="61"/>
      <c r="LQ255" s="61"/>
      <c r="LR255" s="61"/>
      <c r="LS255" s="61"/>
      <c r="LT255" s="61"/>
      <c r="LU255" s="61"/>
      <c r="LV255" s="61"/>
      <c r="LW255" s="61"/>
      <c r="LX255" s="61"/>
      <c r="LY255" s="61"/>
      <c r="LZ255" s="61"/>
      <c r="MA255" s="61"/>
      <c r="MB255" s="61"/>
      <c r="MC255" s="61"/>
      <c r="MD255" s="61"/>
      <c r="ME255" s="61"/>
      <c r="MF255" s="61"/>
      <c r="MG255" s="61"/>
      <c r="MH255" s="61"/>
      <c r="MI255" s="61"/>
      <c r="MJ255" s="61"/>
      <c r="MK255" s="61"/>
      <c r="ML255" s="61"/>
      <c r="MM255" s="61"/>
      <c r="MN255" s="61"/>
      <c r="MO255" s="61"/>
      <c r="MP255" s="61"/>
      <c r="MQ255" s="61"/>
      <c r="MR255" s="61"/>
      <c r="MS255" s="61"/>
      <c r="MT255" s="61"/>
      <c r="MU255" s="61"/>
      <c r="MV255" s="61"/>
      <c r="MW255" s="61"/>
      <c r="MX255" s="61"/>
      <c r="MY255" s="61"/>
      <c r="MZ255" s="61"/>
      <c r="NA255" s="61"/>
      <c r="NB255" s="61"/>
      <c r="NC255" s="61"/>
      <c r="ND255" s="61"/>
      <c r="NE255" s="61"/>
      <c r="NF255" s="61"/>
      <c r="NG255" s="61"/>
      <c r="NH255" s="61"/>
      <c r="NI255" s="61"/>
      <c r="NJ255" s="61"/>
      <c r="NK255" s="61"/>
      <c r="NL255" s="61"/>
      <c r="NM255" s="61"/>
      <c r="NN255" s="61"/>
      <c r="NO255" s="61"/>
      <c r="NP255" s="61"/>
      <c r="NQ255" s="61"/>
      <c r="NR255" s="61"/>
      <c r="NS255" s="61"/>
      <c r="NT255" s="61"/>
      <c r="NU255" s="61"/>
      <c r="NV255" s="61"/>
      <c r="NW255" s="61"/>
      <c r="NX255" s="61"/>
      <c r="NY255" s="61"/>
      <c r="NZ255" s="61"/>
      <c r="OA255" s="61"/>
      <c r="OB255" s="61"/>
      <c r="OC255" s="61"/>
      <c r="OD255" s="61"/>
      <c r="OE255" s="61"/>
      <c r="OF255" s="61"/>
      <c r="OG255" s="61"/>
      <c r="OH255" s="61"/>
      <c r="OI255" s="61"/>
      <c r="OJ255" s="61"/>
      <c r="OK255" s="61"/>
      <c r="OL255" s="61"/>
      <c r="OM255" s="61"/>
      <c r="ON255" s="61"/>
      <c r="OO255" s="61"/>
      <c r="OP255" s="61"/>
      <c r="OQ255" s="61"/>
      <c r="OR255" s="61"/>
      <c r="OS255" s="61"/>
      <c r="OT255" s="61"/>
      <c r="OU255" s="61"/>
      <c r="OV255" s="61"/>
      <c r="OW255" s="61"/>
      <c r="OX255" s="61"/>
      <c r="OY255" s="61"/>
      <c r="OZ255" s="61"/>
      <c r="PA255" s="61"/>
      <c r="PB255" s="61"/>
      <c r="PC255" s="61"/>
      <c r="PD255" s="61"/>
      <c r="PE255" s="61"/>
      <c r="PF255" s="61"/>
      <c r="PG255" s="61"/>
      <c r="PH255" s="61"/>
      <c r="PI255" s="61"/>
      <c r="PJ255" s="61"/>
      <c r="PK255" s="61"/>
      <c r="PL255" s="61"/>
      <c r="PM255" s="61"/>
      <c r="PN255" s="61"/>
      <c r="PO255" s="61"/>
      <c r="PP255" s="61"/>
      <c r="PQ255" s="61"/>
      <c r="PR255" s="61"/>
      <c r="PS255" s="61"/>
      <c r="PT255" s="61"/>
      <c r="PU255" s="61"/>
      <c r="PV255" s="61"/>
      <c r="PW255" s="61"/>
      <c r="PX255" s="61"/>
      <c r="PY255" s="61"/>
      <c r="PZ255" s="61"/>
      <c r="QA255" s="61"/>
      <c r="QB255" s="61"/>
      <c r="QC255" s="61"/>
      <c r="QD255" s="61"/>
      <c r="QE255" s="61"/>
      <c r="QF255" s="61"/>
      <c r="QG255" s="61"/>
      <c r="QH255" s="61"/>
      <c r="QI255" s="61"/>
      <c r="QJ255" s="61"/>
      <c r="QK255" s="61"/>
      <c r="QL255" s="61"/>
      <c r="QM255" s="61"/>
      <c r="QN255" s="61"/>
      <c r="QO255" s="61"/>
      <c r="QP255" s="61"/>
      <c r="QQ255" s="61"/>
      <c r="QR255" s="61"/>
      <c r="QS255" s="61"/>
      <c r="QT255" s="61"/>
      <c r="QU255" s="61"/>
      <c r="QV255" s="61"/>
      <c r="QW255" s="61"/>
      <c r="QX255" s="61"/>
      <c r="QY255" s="61"/>
      <c r="QZ255" s="61"/>
      <c r="RA255" s="61"/>
      <c r="RB255" s="61"/>
      <c r="RC255" s="61"/>
      <c r="RD255" s="61"/>
      <c r="RE255" s="61"/>
      <c r="RF255" s="61"/>
      <c r="RG255" s="61"/>
      <c r="RH255" s="61"/>
      <c r="RI255" s="61"/>
      <c r="RJ255" s="61"/>
      <c r="RK255" s="61"/>
      <c r="RL255" s="61"/>
      <c r="RM255" s="61"/>
      <c r="RN255" s="61"/>
      <c r="RO255" s="61"/>
      <c r="RP255" s="61"/>
      <c r="RQ255" s="61"/>
      <c r="RR255" s="61"/>
      <c r="RS255" s="61"/>
      <c r="RT255" s="61"/>
      <c r="RU255" s="61"/>
      <c r="RV255" s="61"/>
      <c r="RW255" s="61"/>
      <c r="RX255" s="61"/>
      <c r="RY255" s="61"/>
      <c r="RZ255" s="61"/>
      <c r="SA255" s="61"/>
      <c r="SB255" s="61"/>
      <c r="SC255" s="61"/>
      <c r="SD255" s="61"/>
      <c r="SE255" s="61"/>
      <c r="SF255" s="61"/>
      <c r="SG255" s="61"/>
      <c r="SH255" s="61"/>
      <c r="SI255" s="61"/>
      <c r="SJ255" s="61"/>
      <c r="SK255" s="61"/>
      <c r="SL255" s="61"/>
      <c r="SM255" s="61"/>
      <c r="SN255" s="61"/>
      <c r="SO255" s="61"/>
      <c r="SP255" s="61"/>
      <c r="SQ255" s="61"/>
      <c r="SR255" s="61"/>
      <c r="SS255" s="61"/>
      <c r="ST255" s="61"/>
      <c r="SU255" s="61"/>
      <c r="SV255" s="61"/>
      <c r="SW255" s="61"/>
      <c r="SX255" s="61"/>
      <c r="SY255" s="61"/>
      <c r="SZ255" s="61"/>
      <c r="TA255" s="61"/>
      <c r="TB255" s="61"/>
      <c r="TC255" s="61"/>
      <c r="TD255" s="61"/>
      <c r="TE255" s="61"/>
      <c r="TF255" s="61"/>
      <c r="TG255" s="61"/>
      <c r="TH255" s="61"/>
      <c r="TI255" s="61"/>
      <c r="TJ255" s="61"/>
      <c r="TK255" s="61"/>
      <c r="TL255" s="61"/>
      <c r="TM255" s="61"/>
      <c r="TN255" s="61"/>
      <c r="TO255" s="61"/>
      <c r="TP255" s="61"/>
      <c r="TQ255" s="61"/>
      <c r="TR255" s="61"/>
      <c r="TS255" s="61"/>
      <c r="TT255" s="61"/>
      <c r="TU255" s="61"/>
      <c r="TV255" s="61"/>
      <c r="TW255" s="61"/>
      <c r="TX255" s="61"/>
      <c r="TY255" s="61"/>
      <c r="TZ255" s="61"/>
      <c r="UA255" s="61"/>
      <c r="UB255" s="61"/>
      <c r="UC255" s="61"/>
      <c r="UD255" s="61"/>
      <c r="UE255" s="61"/>
      <c r="UF255" s="61"/>
      <c r="UG255" s="61"/>
      <c r="UH255" s="61"/>
      <c r="UI255" s="61"/>
      <c r="UJ255" s="61"/>
      <c r="UK255" s="61"/>
      <c r="UL255" s="61"/>
      <c r="UM255" s="61"/>
      <c r="UN255" s="61"/>
      <c r="UO255" s="61"/>
      <c r="UP255" s="61"/>
      <c r="UQ255" s="61"/>
      <c r="UR255" s="61"/>
      <c r="US255" s="61"/>
      <c r="UT255" s="61"/>
      <c r="UU255" s="61"/>
      <c r="UV255" s="61"/>
      <c r="UW255" s="61"/>
      <c r="UX255" s="61"/>
      <c r="UY255" s="61"/>
      <c r="UZ255" s="61"/>
      <c r="VA255" s="61"/>
      <c r="VB255" s="61"/>
      <c r="VC255" s="61"/>
    </row>
    <row r="256" spans="1:575" s="55" customFormat="1" ht="24" customHeight="1" x14ac:dyDescent="0.25">
      <c r="A256" s="53" t="s">
        <v>356</v>
      </c>
      <c r="B256" s="102" t="str">
        <f>'дод 2'!A163</f>
        <v>7310</v>
      </c>
      <c r="C256" s="102" t="str">
        <f>'дод 2'!B163</f>
        <v>0443</v>
      </c>
      <c r="D256" s="56" t="str">
        <f>'дод 2'!C163</f>
        <v>Будівництво об'єктів житлово-комунального господарства</v>
      </c>
      <c r="E256" s="132">
        <f t="shared" si="47"/>
        <v>0</v>
      </c>
      <c r="F256" s="132"/>
      <c r="G256" s="132"/>
      <c r="H256" s="132"/>
      <c r="I256" s="132"/>
      <c r="J256" s="132">
        <f t="shared" si="43"/>
        <v>5958955.7999999998</v>
      </c>
      <c r="K256" s="132">
        <f>7800000-489034.2+1000000-2507000-180000-1000000+1464000-200000+200000-369-128641</f>
        <v>5958955.7999999998</v>
      </c>
      <c r="L256" s="132"/>
      <c r="M256" s="132"/>
      <c r="N256" s="132"/>
      <c r="O256" s="132">
        <f>7800000-489034.2+1000000-2507000-180000-1000000+1464000-200000+200000-369-128641</f>
        <v>5958955.7999999998</v>
      </c>
      <c r="P256" s="132">
        <f t="shared" si="48"/>
        <v>5958955.7999999998</v>
      </c>
      <c r="Q256" s="159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  <c r="SP256" s="61"/>
      <c r="SQ256" s="61"/>
      <c r="SR256" s="61"/>
      <c r="SS256" s="61"/>
      <c r="ST256" s="61"/>
      <c r="SU256" s="61"/>
      <c r="SV256" s="61"/>
      <c r="SW256" s="61"/>
      <c r="SX256" s="61"/>
      <c r="SY256" s="61"/>
      <c r="SZ256" s="61"/>
      <c r="TA256" s="61"/>
      <c r="TB256" s="61"/>
      <c r="TC256" s="61"/>
      <c r="TD256" s="61"/>
      <c r="TE256" s="61"/>
      <c r="TF256" s="61"/>
      <c r="TG256" s="61"/>
      <c r="TH256" s="61"/>
      <c r="TI256" s="61"/>
      <c r="TJ256" s="61"/>
      <c r="TK256" s="61"/>
      <c r="TL256" s="61"/>
      <c r="TM256" s="61"/>
      <c r="TN256" s="61"/>
      <c r="TO256" s="61"/>
      <c r="TP256" s="61"/>
      <c r="TQ256" s="61"/>
      <c r="TR256" s="61"/>
      <c r="TS256" s="61"/>
      <c r="TT256" s="61"/>
      <c r="TU256" s="61"/>
      <c r="TV256" s="61"/>
      <c r="TW256" s="61"/>
      <c r="TX256" s="61"/>
      <c r="TY256" s="61"/>
      <c r="TZ256" s="61"/>
      <c r="UA256" s="61"/>
      <c r="UB256" s="61"/>
      <c r="UC256" s="61"/>
      <c r="UD256" s="61"/>
      <c r="UE256" s="61"/>
      <c r="UF256" s="61"/>
      <c r="UG256" s="61"/>
      <c r="UH256" s="61"/>
      <c r="UI256" s="61"/>
      <c r="UJ256" s="61"/>
      <c r="UK256" s="61"/>
      <c r="UL256" s="61"/>
      <c r="UM256" s="61"/>
      <c r="UN256" s="61"/>
      <c r="UO256" s="61"/>
      <c r="UP256" s="61"/>
      <c r="UQ256" s="61"/>
      <c r="UR256" s="61"/>
      <c r="US256" s="61"/>
      <c r="UT256" s="61"/>
      <c r="UU256" s="61"/>
      <c r="UV256" s="61"/>
      <c r="UW256" s="61"/>
      <c r="UX256" s="61"/>
      <c r="UY256" s="61"/>
      <c r="UZ256" s="61"/>
      <c r="VA256" s="61"/>
      <c r="VB256" s="61"/>
      <c r="VC256" s="61"/>
    </row>
    <row r="257" spans="1:575" s="55" customFormat="1" ht="21.75" customHeight="1" x14ac:dyDescent="0.25">
      <c r="A257" s="53" t="s">
        <v>357</v>
      </c>
      <c r="B257" s="102" t="str">
        <f>'дод 2'!A164</f>
        <v>7321</v>
      </c>
      <c r="C257" s="102" t="str">
        <f>'дод 2'!B164</f>
        <v>0443</v>
      </c>
      <c r="D257" s="56" t="str">
        <f>'дод 2'!C164</f>
        <v>Будівництво освітніх установ та закладів</v>
      </c>
      <c r="E257" s="132">
        <f t="shared" si="47"/>
        <v>0</v>
      </c>
      <c r="F257" s="132"/>
      <c r="G257" s="132"/>
      <c r="H257" s="132"/>
      <c r="I257" s="132"/>
      <c r="J257" s="132">
        <f t="shared" si="43"/>
        <v>4649908</v>
      </c>
      <c r="K257" s="132">
        <f>10600000+100000+1500000+100000-390-599610-864060+150000+500000-44680-3457-1000000-100000-4500000-1100000-50000-37895</f>
        <v>4649908</v>
      </c>
      <c r="L257" s="132"/>
      <c r="M257" s="132"/>
      <c r="N257" s="132"/>
      <c r="O257" s="132">
        <f>10600000+100000+1500000+100000-390-599610-864060+150000+500000-44680-3457-1000000-100000-4500000-1100000-50000-37895</f>
        <v>4649908</v>
      </c>
      <c r="P257" s="132">
        <f t="shared" si="48"/>
        <v>4649908</v>
      </c>
      <c r="Q257" s="159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  <c r="KO257" s="61"/>
      <c r="KP257" s="61"/>
      <c r="KQ257" s="61"/>
      <c r="KR257" s="61"/>
      <c r="KS257" s="61"/>
      <c r="KT257" s="61"/>
      <c r="KU257" s="61"/>
      <c r="KV257" s="61"/>
      <c r="KW257" s="61"/>
      <c r="KX257" s="61"/>
      <c r="KY257" s="61"/>
      <c r="KZ257" s="61"/>
      <c r="LA257" s="61"/>
      <c r="LB257" s="61"/>
      <c r="LC257" s="61"/>
      <c r="LD257" s="61"/>
      <c r="LE257" s="61"/>
      <c r="LF257" s="61"/>
      <c r="LG257" s="61"/>
      <c r="LH257" s="61"/>
      <c r="LI257" s="61"/>
      <c r="LJ257" s="61"/>
      <c r="LK257" s="61"/>
      <c r="LL257" s="61"/>
      <c r="LM257" s="61"/>
      <c r="LN257" s="61"/>
      <c r="LO257" s="61"/>
      <c r="LP257" s="61"/>
      <c r="LQ257" s="61"/>
      <c r="LR257" s="61"/>
      <c r="LS257" s="61"/>
      <c r="LT257" s="61"/>
      <c r="LU257" s="61"/>
      <c r="LV257" s="61"/>
      <c r="LW257" s="61"/>
      <c r="LX257" s="61"/>
      <c r="LY257" s="61"/>
      <c r="LZ257" s="61"/>
      <c r="MA257" s="61"/>
      <c r="MB257" s="61"/>
      <c r="MC257" s="61"/>
      <c r="MD257" s="61"/>
      <c r="ME257" s="61"/>
      <c r="MF257" s="61"/>
      <c r="MG257" s="61"/>
      <c r="MH257" s="61"/>
      <c r="MI257" s="61"/>
      <c r="MJ257" s="61"/>
      <c r="MK257" s="61"/>
      <c r="ML257" s="61"/>
      <c r="MM257" s="61"/>
      <c r="MN257" s="61"/>
      <c r="MO257" s="61"/>
      <c r="MP257" s="61"/>
      <c r="MQ257" s="61"/>
      <c r="MR257" s="61"/>
      <c r="MS257" s="61"/>
      <c r="MT257" s="61"/>
      <c r="MU257" s="61"/>
      <c r="MV257" s="61"/>
      <c r="MW257" s="61"/>
      <c r="MX257" s="61"/>
      <c r="MY257" s="61"/>
      <c r="MZ257" s="61"/>
      <c r="NA257" s="61"/>
      <c r="NB257" s="61"/>
      <c r="NC257" s="61"/>
      <c r="ND257" s="61"/>
      <c r="NE257" s="61"/>
      <c r="NF257" s="61"/>
      <c r="NG257" s="61"/>
      <c r="NH257" s="61"/>
      <c r="NI257" s="61"/>
      <c r="NJ257" s="61"/>
      <c r="NK257" s="61"/>
      <c r="NL257" s="61"/>
      <c r="NM257" s="61"/>
      <c r="NN257" s="61"/>
      <c r="NO257" s="61"/>
      <c r="NP257" s="61"/>
      <c r="NQ257" s="61"/>
      <c r="NR257" s="61"/>
      <c r="NS257" s="61"/>
      <c r="NT257" s="61"/>
      <c r="NU257" s="61"/>
      <c r="NV257" s="61"/>
      <c r="NW257" s="61"/>
      <c r="NX257" s="61"/>
      <c r="NY257" s="61"/>
      <c r="NZ257" s="61"/>
      <c r="OA257" s="61"/>
      <c r="OB257" s="61"/>
      <c r="OC257" s="61"/>
      <c r="OD257" s="61"/>
      <c r="OE257" s="61"/>
      <c r="OF257" s="61"/>
      <c r="OG257" s="61"/>
      <c r="OH257" s="61"/>
      <c r="OI257" s="61"/>
      <c r="OJ257" s="61"/>
      <c r="OK257" s="61"/>
      <c r="OL257" s="61"/>
      <c r="OM257" s="61"/>
      <c r="ON257" s="61"/>
      <c r="OO257" s="61"/>
      <c r="OP257" s="61"/>
      <c r="OQ257" s="61"/>
      <c r="OR257" s="61"/>
      <c r="OS257" s="61"/>
      <c r="OT257" s="61"/>
      <c r="OU257" s="61"/>
      <c r="OV257" s="61"/>
      <c r="OW257" s="61"/>
      <c r="OX257" s="61"/>
      <c r="OY257" s="61"/>
      <c r="OZ257" s="61"/>
      <c r="PA257" s="61"/>
      <c r="PB257" s="61"/>
      <c r="PC257" s="61"/>
      <c r="PD257" s="61"/>
      <c r="PE257" s="61"/>
      <c r="PF257" s="61"/>
      <c r="PG257" s="61"/>
      <c r="PH257" s="61"/>
      <c r="PI257" s="61"/>
      <c r="PJ257" s="61"/>
      <c r="PK257" s="61"/>
      <c r="PL257" s="61"/>
      <c r="PM257" s="61"/>
      <c r="PN257" s="61"/>
      <c r="PO257" s="61"/>
      <c r="PP257" s="61"/>
      <c r="PQ257" s="61"/>
      <c r="PR257" s="61"/>
      <c r="PS257" s="61"/>
      <c r="PT257" s="61"/>
      <c r="PU257" s="61"/>
      <c r="PV257" s="61"/>
      <c r="PW257" s="61"/>
      <c r="PX257" s="61"/>
      <c r="PY257" s="61"/>
      <c r="PZ257" s="61"/>
      <c r="QA257" s="61"/>
      <c r="QB257" s="61"/>
      <c r="QC257" s="61"/>
      <c r="QD257" s="61"/>
      <c r="QE257" s="61"/>
      <c r="QF257" s="61"/>
      <c r="QG257" s="61"/>
      <c r="QH257" s="61"/>
      <c r="QI257" s="61"/>
      <c r="QJ257" s="61"/>
      <c r="QK257" s="61"/>
      <c r="QL257" s="61"/>
      <c r="QM257" s="61"/>
      <c r="QN257" s="61"/>
      <c r="QO257" s="61"/>
      <c r="QP257" s="61"/>
      <c r="QQ257" s="61"/>
      <c r="QR257" s="61"/>
      <c r="QS257" s="61"/>
      <c r="QT257" s="61"/>
      <c r="QU257" s="61"/>
      <c r="QV257" s="61"/>
      <c r="QW257" s="61"/>
      <c r="QX257" s="61"/>
      <c r="QY257" s="61"/>
      <c r="QZ257" s="61"/>
      <c r="RA257" s="61"/>
      <c r="RB257" s="61"/>
      <c r="RC257" s="61"/>
      <c r="RD257" s="61"/>
      <c r="RE257" s="61"/>
      <c r="RF257" s="61"/>
      <c r="RG257" s="61"/>
      <c r="RH257" s="61"/>
      <c r="RI257" s="61"/>
      <c r="RJ257" s="61"/>
      <c r="RK257" s="61"/>
      <c r="RL257" s="61"/>
      <c r="RM257" s="61"/>
      <c r="RN257" s="61"/>
      <c r="RO257" s="61"/>
      <c r="RP257" s="61"/>
      <c r="RQ257" s="61"/>
      <c r="RR257" s="61"/>
      <c r="RS257" s="61"/>
      <c r="RT257" s="61"/>
      <c r="RU257" s="61"/>
      <c r="RV257" s="61"/>
      <c r="RW257" s="61"/>
      <c r="RX257" s="61"/>
      <c r="RY257" s="61"/>
      <c r="RZ257" s="61"/>
      <c r="SA257" s="61"/>
      <c r="SB257" s="61"/>
      <c r="SC257" s="61"/>
      <c r="SD257" s="61"/>
      <c r="SE257" s="61"/>
      <c r="SF257" s="61"/>
      <c r="SG257" s="61"/>
      <c r="SH257" s="61"/>
      <c r="SI257" s="61"/>
      <c r="SJ257" s="61"/>
      <c r="SK257" s="61"/>
      <c r="SL257" s="61"/>
      <c r="SM257" s="61"/>
      <c r="SN257" s="61"/>
      <c r="SO257" s="61"/>
      <c r="SP257" s="61"/>
      <c r="SQ257" s="61"/>
      <c r="SR257" s="61"/>
      <c r="SS257" s="61"/>
      <c r="ST257" s="61"/>
      <c r="SU257" s="61"/>
      <c r="SV257" s="61"/>
      <c r="SW257" s="61"/>
      <c r="SX257" s="61"/>
      <c r="SY257" s="61"/>
      <c r="SZ257" s="61"/>
      <c r="TA257" s="61"/>
      <c r="TB257" s="61"/>
      <c r="TC257" s="61"/>
      <c r="TD257" s="61"/>
      <c r="TE257" s="61"/>
      <c r="TF257" s="61"/>
      <c r="TG257" s="61"/>
      <c r="TH257" s="61"/>
      <c r="TI257" s="61"/>
      <c r="TJ257" s="61"/>
      <c r="TK257" s="61"/>
      <c r="TL257" s="61"/>
      <c r="TM257" s="61"/>
      <c r="TN257" s="61"/>
      <c r="TO257" s="61"/>
      <c r="TP257" s="61"/>
      <c r="TQ257" s="61"/>
      <c r="TR257" s="61"/>
      <c r="TS257" s="61"/>
      <c r="TT257" s="61"/>
      <c r="TU257" s="61"/>
      <c r="TV257" s="61"/>
      <c r="TW257" s="61"/>
      <c r="TX257" s="61"/>
      <c r="TY257" s="61"/>
      <c r="TZ257" s="61"/>
      <c r="UA257" s="61"/>
      <c r="UB257" s="61"/>
      <c r="UC257" s="61"/>
      <c r="UD257" s="61"/>
      <c r="UE257" s="61"/>
      <c r="UF257" s="61"/>
      <c r="UG257" s="61"/>
      <c r="UH257" s="61"/>
      <c r="UI257" s="61"/>
      <c r="UJ257" s="61"/>
      <c r="UK257" s="61"/>
      <c r="UL257" s="61"/>
      <c r="UM257" s="61"/>
      <c r="UN257" s="61"/>
      <c r="UO257" s="61"/>
      <c r="UP257" s="61"/>
      <c r="UQ257" s="61"/>
      <c r="UR257" s="61"/>
      <c r="US257" s="61"/>
      <c r="UT257" s="61"/>
      <c r="UU257" s="61"/>
      <c r="UV257" s="61"/>
      <c r="UW257" s="61"/>
      <c r="UX257" s="61"/>
      <c r="UY257" s="61"/>
      <c r="UZ257" s="61"/>
      <c r="VA257" s="61"/>
      <c r="VB257" s="61"/>
      <c r="VC257" s="61"/>
    </row>
    <row r="258" spans="1:575" s="55" customFormat="1" ht="18" customHeight="1" x14ac:dyDescent="0.25">
      <c r="A258" s="53" t="s">
        <v>359</v>
      </c>
      <c r="B258" s="102" t="str">
        <f>'дод 2'!A165</f>
        <v>7322</v>
      </c>
      <c r="C258" s="102" t="str">
        <f>'дод 2'!B165</f>
        <v>0443</v>
      </c>
      <c r="D258" s="56" t="str">
        <f>'дод 2'!C165</f>
        <v>Будівництво медичних установ та закладів</v>
      </c>
      <c r="E258" s="132">
        <f t="shared" si="47"/>
        <v>0</v>
      </c>
      <c r="F258" s="132"/>
      <c r="G258" s="132"/>
      <c r="H258" s="132"/>
      <c r="I258" s="132"/>
      <c r="J258" s="132">
        <f t="shared" si="43"/>
        <v>7316671</v>
      </c>
      <c r="K258" s="132">
        <f>4000000+100000+100000+3300000+900000+764000+700000-700000+400000-1464000-500000-215000+35000-103329</f>
        <v>7316671</v>
      </c>
      <c r="L258" s="132"/>
      <c r="M258" s="132"/>
      <c r="N258" s="132"/>
      <c r="O258" s="132">
        <f>4000000+100000+100000+3300000+900000+764000+700000-700000+400000-1464000-500000-215000+35000-103329</f>
        <v>7316671</v>
      </c>
      <c r="P258" s="132">
        <f t="shared" si="48"/>
        <v>7316671</v>
      </c>
      <c r="Q258" s="159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  <c r="KO258" s="61"/>
      <c r="KP258" s="61"/>
      <c r="KQ258" s="61"/>
      <c r="KR258" s="61"/>
      <c r="KS258" s="61"/>
      <c r="KT258" s="61"/>
      <c r="KU258" s="61"/>
      <c r="KV258" s="61"/>
      <c r="KW258" s="61"/>
      <c r="KX258" s="61"/>
      <c r="KY258" s="61"/>
      <c r="KZ258" s="61"/>
      <c r="LA258" s="61"/>
      <c r="LB258" s="61"/>
      <c r="LC258" s="61"/>
      <c r="LD258" s="61"/>
      <c r="LE258" s="61"/>
      <c r="LF258" s="61"/>
      <c r="LG258" s="61"/>
      <c r="LH258" s="61"/>
      <c r="LI258" s="61"/>
      <c r="LJ258" s="61"/>
      <c r="LK258" s="61"/>
      <c r="LL258" s="61"/>
      <c r="LM258" s="61"/>
      <c r="LN258" s="61"/>
      <c r="LO258" s="61"/>
      <c r="LP258" s="61"/>
      <c r="LQ258" s="61"/>
      <c r="LR258" s="61"/>
      <c r="LS258" s="61"/>
      <c r="LT258" s="61"/>
      <c r="LU258" s="61"/>
      <c r="LV258" s="61"/>
      <c r="LW258" s="61"/>
      <c r="LX258" s="61"/>
      <c r="LY258" s="61"/>
      <c r="LZ258" s="61"/>
      <c r="MA258" s="61"/>
      <c r="MB258" s="61"/>
      <c r="MC258" s="61"/>
      <c r="MD258" s="61"/>
      <c r="ME258" s="61"/>
      <c r="MF258" s="61"/>
      <c r="MG258" s="61"/>
      <c r="MH258" s="61"/>
      <c r="MI258" s="61"/>
      <c r="MJ258" s="61"/>
      <c r="MK258" s="61"/>
      <c r="ML258" s="61"/>
      <c r="MM258" s="61"/>
      <c r="MN258" s="61"/>
      <c r="MO258" s="61"/>
      <c r="MP258" s="61"/>
      <c r="MQ258" s="61"/>
      <c r="MR258" s="61"/>
      <c r="MS258" s="61"/>
      <c r="MT258" s="61"/>
      <c r="MU258" s="61"/>
      <c r="MV258" s="61"/>
      <c r="MW258" s="61"/>
      <c r="MX258" s="61"/>
      <c r="MY258" s="61"/>
      <c r="MZ258" s="61"/>
      <c r="NA258" s="61"/>
      <c r="NB258" s="61"/>
      <c r="NC258" s="61"/>
      <c r="ND258" s="61"/>
      <c r="NE258" s="61"/>
      <c r="NF258" s="61"/>
      <c r="NG258" s="61"/>
      <c r="NH258" s="61"/>
      <c r="NI258" s="61"/>
      <c r="NJ258" s="61"/>
      <c r="NK258" s="61"/>
      <c r="NL258" s="61"/>
      <c r="NM258" s="61"/>
      <c r="NN258" s="61"/>
      <c r="NO258" s="61"/>
      <c r="NP258" s="61"/>
      <c r="NQ258" s="61"/>
      <c r="NR258" s="61"/>
      <c r="NS258" s="61"/>
      <c r="NT258" s="61"/>
      <c r="NU258" s="61"/>
      <c r="NV258" s="61"/>
      <c r="NW258" s="61"/>
      <c r="NX258" s="61"/>
      <c r="NY258" s="61"/>
      <c r="NZ258" s="61"/>
      <c r="OA258" s="61"/>
      <c r="OB258" s="61"/>
      <c r="OC258" s="61"/>
      <c r="OD258" s="61"/>
      <c r="OE258" s="61"/>
      <c r="OF258" s="61"/>
      <c r="OG258" s="61"/>
      <c r="OH258" s="61"/>
      <c r="OI258" s="61"/>
      <c r="OJ258" s="61"/>
      <c r="OK258" s="61"/>
      <c r="OL258" s="61"/>
      <c r="OM258" s="61"/>
      <c r="ON258" s="61"/>
      <c r="OO258" s="61"/>
      <c r="OP258" s="61"/>
      <c r="OQ258" s="61"/>
      <c r="OR258" s="61"/>
      <c r="OS258" s="61"/>
      <c r="OT258" s="61"/>
      <c r="OU258" s="61"/>
      <c r="OV258" s="61"/>
      <c r="OW258" s="61"/>
      <c r="OX258" s="61"/>
      <c r="OY258" s="61"/>
      <c r="OZ258" s="61"/>
      <c r="PA258" s="61"/>
      <c r="PB258" s="61"/>
      <c r="PC258" s="61"/>
      <c r="PD258" s="61"/>
      <c r="PE258" s="61"/>
      <c r="PF258" s="61"/>
      <c r="PG258" s="61"/>
      <c r="PH258" s="61"/>
      <c r="PI258" s="61"/>
      <c r="PJ258" s="61"/>
      <c r="PK258" s="61"/>
      <c r="PL258" s="61"/>
      <c r="PM258" s="61"/>
      <c r="PN258" s="61"/>
      <c r="PO258" s="61"/>
      <c r="PP258" s="61"/>
      <c r="PQ258" s="61"/>
      <c r="PR258" s="61"/>
      <c r="PS258" s="61"/>
      <c r="PT258" s="61"/>
      <c r="PU258" s="61"/>
      <c r="PV258" s="61"/>
      <c r="PW258" s="61"/>
      <c r="PX258" s="61"/>
      <c r="PY258" s="61"/>
      <c r="PZ258" s="61"/>
      <c r="QA258" s="61"/>
      <c r="QB258" s="61"/>
      <c r="QC258" s="61"/>
      <c r="QD258" s="61"/>
      <c r="QE258" s="61"/>
      <c r="QF258" s="61"/>
      <c r="QG258" s="61"/>
      <c r="QH258" s="61"/>
      <c r="QI258" s="61"/>
      <c r="QJ258" s="61"/>
      <c r="QK258" s="61"/>
      <c r="QL258" s="61"/>
      <c r="QM258" s="61"/>
      <c r="QN258" s="61"/>
      <c r="QO258" s="61"/>
      <c r="QP258" s="61"/>
      <c r="QQ258" s="61"/>
      <c r="QR258" s="61"/>
      <c r="QS258" s="61"/>
      <c r="QT258" s="61"/>
      <c r="QU258" s="61"/>
      <c r="QV258" s="61"/>
      <c r="QW258" s="61"/>
      <c r="QX258" s="61"/>
      <c r="QY258" s="61"/>
      <c r="QZ258" s="61"/>
      <c r="RA258" s="61"/>
      <c r="RB258" s="61"/>
      <c r="RC258" s="61"/>
      <c r="RD258" s="61"/>
      <c r="RE258" s="61"/>
      <c r="RF258" s="61"/>
      <c r="RG258" s="61"/>
      <c r="RH258" s="61"/>
      <c r="RI258" s="61"/>
      <c r="RJ258" s="61"/>
      <c r="RK258" s="61"/>
      <c r="RL258" s="61"/>
      <c r="RM258" s="61"/>
      <c r="RN258" s="61"/>
      <c r="RO258" s="61"/>
      <c r="RP258" s="61"/>
      <c r="RQ258" s="61"/>
      <c r="RR258" s="61"/>
      <c r="RS258" s="61"/>
      <c r="RT258" s="61"/>
      <c r="RU258" s="61"/>
      <c r="RV258" s="61"/>
      <c r="RW258" s="61"/>
      <c r="RX258" s="61"/>
      <c r="RY258" s="61"/>
      <c r="RZ258" s="61"/>
      <c r="SA258" s="61"/>
      <c r="SB258" s="61"/>
      <c r="SC258" s="61"/>
      <c r="SD258" s="61"/>
      <c r="SE258" s="61"/>
      <c r="SF258" s="61"/>
      <c r="SG258" s="61"/>
      <c r="SH258" s="61"/>
      <c r="SI258" s="61"/>
      <c r="SJ258" s="61"/>
      <c r="SK258" s="61"/>
      <c r="SL258" s="61"/>
      <c r="SM258" s="61"/>
      <c r="SN258" s="61"/>
      <c r="SO258" s="61"/>
      <c r="SP258" s="61"/>
      <c r="SQ258" s="61"/>
      <c r="SR258" s="61"/>
      <c r="SS258" s="61"/>
      <c r="ST258" s="61"/>
      <c r="SU258" s="61"/>
      <c r="SV258" s="61"/>
      <c r="SW258" s="61"/>
      <c r="SX258" s="61"/>
      <c r="SY258" s="61"/>
      <c r="SZ258" s="61"/>
      <c r="TA258" s="61"/>
      <c r="TB258" s="61"/>
      <c r="TC258" s="61"/>
      <c r="TD258" s="61"/>
      <c r="TE258" s="61"/>
      <c r="TF258" s="61"/>
      <c r="TG258" s="61"/>
      <c r="TH258" s="61"/>
      <c r="TI258" s="61"/>
      <c r="TJ258" s="61"/>
      <c r="TK258" s="61"/>
      <c r="TL258" s="61"/>
      <c r="TM258" s="61"/>
      <c r="TN258" s="61"/>
      <c r="TO258" s="61"/>
      <c r="TP258" s="61"/>
      <c r="TQ258" s="61"/>
      <c r="TR258" s="61"/>
      <c r="TS258" s="61"/>
      <c r="TT258" s="61"/>
      <c r="TU258" s="61"/>
      <c r="TV258" s="61"/>
      <c r="TW258" s="61"/>
      <c r="TX258" s="61"/>
      <c r="TY258" s="61"/>
      <c r="TZ258" s="61"/>
      <c r="UA258" s="61"/>
      <c r="UB258" s="61"/>
      <c r="UC258" s="61"/>
      <c r="UD258" s="61"/>
      <c r="UE258" s="61"/>
      <c r="UF258" s="61"/>
      <c r="UG258" s="61"/>
      <c r="UH258" s="61"/>
      <c r="UI258" s="61"/>
      <c r="UJ258" s="61"/>
      <c r="UK258" s="61"/>
      <c r="UL258" s="61"/>
      <c r="UM258" s="61"/>
      <c r="UN258" s="61"/>
      <c r="UO258" s="61"/>
      <c r="UP258" s="61"/>
      <c r="UQ258" s="61"/>
      <c r="UR258" s="61"/>
      <c r="US258" s="61"/>
      <c r="UT258" s="61"/>
      <c r="UU258" s="61"/>
      <c r="UV258" s="61"/>
      <c r="UW258" s="61"/>
      <c r="UX258" s="61"/>
      <c r="UY258" s="61"/>
      <c r="UZ258" s="61"/>
      <c r="VA258" s="61"/>
      <c r="VB258" s="61"/>
      <c r="VC258" s="61"/>
    </row>
    <row r="259" spans="1:575" s="55" customFormat="1" ht="36" hidden="1" customHeight="1" x14ac:dyDescent="0.25">
      <c r="A259" s="53" t="s">
        <v>361</v>
      </c>
      <c r="B259" s="102" t="str">
        <f>'дод 2'!A166</f>
        <v>7325</v>
      </c>
      <c r="C259" s="102" t="str">
        <f>'дод 2'!B166</f>
        <v>0443</v>
      </c>
      <c r="D259" s="56" t="str">
        <f>'дод 2'!C166</f>
        <v>Будівництво споруд, установ та закладів фізичної культури і спорту</v>
      </c>
      <c r="E259" s="132">
        <f t="shared" si="47"/>
        <v>0</v>
      </c>
      <c r="F259" s="132"/>
      <c r="G259" s="132"/>
      <c r="H259" s="132"/>
      <c r="I259" s="132"/>
      <c r="J259" s="132">
        <f t="shared" si="43"/>
        <v>0</v>
      </c>
      <c r="K259" s="132">
        <f>10000000-2000000+1181651-1000-150000-7000000-2000000-30651</f>
        <v>0</v>
      </c>
      <c r="L259" s="132"/>
      <c r="M259" s="132"/>
      <c r="N259" s="132"/>
      <c r="O259" s="132">
        <f>10000000-2000000+1181651-1000-150000-7000000-2000000-30651</f>
        <v>0</v>
      </c>
      <c r="P259" s="132">
        <f t="shared" si="48"/>
        <v>0</v>
      </c>
      <c r="Q259" s="159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  <c r="SP259" s="61"/>
      <c r="SQ259" s="61"/>
      <c r="SR259" s="61"/>
      <c r="SS259" s="61"/>
      <c r="ST259" s="61"/>
      <c r="SU259" s="61"/>
      <c r="SV259" s="61"/>
      <c r="SW259" s="61"/>
      <c r="SX259" s="61"/>
      <c r="SY259" s="61"/>
      <c r="SZ259" s="61"/>
      <c r="TA259" s="61"/>
      <c r="TB259" s="61"/>
      <c r="TC259" s="61"/>
      <c r="TD259" s="61"/>
      <c r="TE259" s="61"/>
      <c r="TF259" s="61"/>
      <c r="TG259" s="61"/>
      <c r="TH259" s="61"/>
      <c r="TI259" s="61"/>
      <c r="TJ259" s="61"/>
      <c r="TK259" s="61"/>
      <c r="TL259" s="61"/>
      <c r="TM259" s="61"/>
      <c r="TN259" s="61"/>
      <c r="TO259" s="61"/>
      <c r="TP259" s="61"/>
      <c r="TQ259" s="61"/>
      <c r="TR259" s="61"/>
      <c r="TS259" s="61"/>
      <c r="TT259" s="61"/>
      <c r="TU259" s="61"/>
      <c r="TV259" s="61"/>
      <c r="TW259" s="61"/>
      <c r="TX259" s="61"/>
      <c r="TY259" s="61"/>
      <c r="TZ259" s="61"/>
      <c r="UA259" s="61"/>
      <c r="UB259" s="61"/>
      <c r="UC259" s="61"/>
      <c r="UD259" s="61"/>
      <c r="UE259" s="61"/>
      <c r="UF259" s="61"/>
      <c r="UG259" s="61"/>
      <c r="UH259" s="61"/>
      <c r="UI259" s="61"/>
      <c r="UJ259" s="61"/>
      <c r="UK259" s="61"/>
      <c r="UL259" s="61"/>
      <c r="UM259" s="61"/>
      <c r="UN259" s="61"/>
      <c r="UO259" s="61"/>
      <c r="UP259" s="61"/>
      <c r="UQ259" s="61"/>
      <c r="UR259" s="61"/>
      <c r="US259" s="61"/>
      <c r="UT259" s="61"/>
      <c r="UU259" s="61"/>
      <c r="UV259" s="61"/>
      <c r="UW259" s="61"/>
      <c r="UX259" s="61"/>
      <c r="UY259" s="61"/>
      <c r="UZ259" s="61"/>
      <c r="VA259" s="61"/>
      <c r="VB259" s="61"/>
      <c r="VC259" s="61"/>
    </row>
    <row r="260" spans="1:575" s="55" customFormat="1" ht="23.25" customHeight="1" x14ac:dyDescent="0.25">
      <c r="A260" s="53" t="s">
        <v>363</v>
      </c>
      <c r="B260" s="102" t="str">
        <f>'дод 2'!A167</f>
        <v>7330</v>
      </c>
      <c r="C260" s="102" t="str">
        <f>'дод 2'!B167</f>
        <v>0443</v>
      </c>
      <c r="D260" s="56" t="str">
        <f>'дод 2'!C167</f>
        <v>Будівництво інших об'єктів комунальної власності</v>
      </c>
      <c r="E260" s="132">
        <f t="shared" si="47"/>
        <v>0</v>
      </c>
      <c r="F260" s="132"/>
      <c r="G260" s="132"/>
      <c r="H260" s="132"/>
      <c r="I260" s="132"/>
      <c r="J260" s="132">
        <f t="shared" si="43"/>
        <v>36319262</v>
      </c>
      <c r="K260" s="132">
        <f>44100000-6900000-3000000+180000-8562214+3761733-1000000-2000000+175500+1058000-50000-896543+80000+30000-2300000+1000000+1100000-1850000+7000000+1850000+500000+4680000-300000-35000-300000+50000-170000-1882214</f>
        <v>36319262</v>
      </c>
      <c r="L260" s="132"/>
      <c r="M260" s="132"/>
      <c r="N260" s="132"/>
      <c r="O260" s="132">
        <f>44100000-6900000-3000000-8562214+3761733-1000000-2000000+175500+1058000-50000-896543+80000+30000-2300000+1000000+1100000-1850000+7000000+1850000+180000+500000+4680000-300000-35000-300000+50000-170000-1882214</f>
        <v>36319262</v>
      </c>
      <c r="P260" s="132">
        <f t="shared" si="48"/>
        <v>36319262</v>
      </c>
      <c r="Q260" s="159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  <c r="KO260" s="61"/>
      <c r="KP260" s="61"/>
      <c r="KQ260" s="61"/>
      <c r="KR260" s="61"/>
      <c r="KS260" s="61"/>
      <c r="KT260" s="61"/>
      <c r="KU260" s="61"/>
      <c r="KV260" s="61"/>
      <c r="KW260" s="61"/>
      <c r="KX260" s="61"/>
      <c r="KY260" s="61"/>
      <c r="KZ260" s="61"/>
      <c r="LA260" s="61"/>
      <c r="LB260" s="61"/>
      <c r="LC260" s="61"/>
      <c r="LD260" s="61"/>
      <c r="LE260" s="61"/>
      <c r="LF260" s="61"/>
      <c r="LG260" s="61"/>
      <c r="LH260" s="61"/>
      <c r="LI260" s="61"/>
      <c r="LJ260" s="61"/>
      <c r="LK260" s="61"/>
      <c r="LL260" s="61"/>
      <c r="LM260" s="61"/>
      <c r="LN260" s="61"/>
      <c r="LO260" s="61"/>
      <c r="LP260" s="61"/>
      <c r="LQ260" s="61"/>
      <c r="LR260" s="61"/>
      <c r="LS260" s="61"/>
      <c r="LT260" s="61"/>
      <c r="LU260" s="61"/>
      <c r="LV260" s="61"/>
      <c r="LW260" s="61"/>
      <c r="LX260" s="61"/>
      <c r="LY260" s="61"/>
      <c r="LZ260" s="61"/>
      <c r="MA260" s="61"/>
      <c r="MB260" s="61"/>
      <c r="MC260" s="61"/>
      <c r="MD260" s="61"/>
      <c r="ME260" s="61"/>
      <c r="MF260" s="61"/>
      <c r="MG260" s="61"/>
      <c r="MH260" s="61"/>
      <c r="MI260" s="61"/>
      <c r="MJ260" s="61"/>
      <c r="MK260" s="61"/>
      <c r="ML260" s="61"/>
      <c r="MM260" s="61"/>
      <c r="MN260" s="61"/>
      <c r="MO260" s="61"/>
      <c r="MP260" s="61"/>
      <c r="MQ260" s="61"/>
      <c r="MR260" s="61"/>
      <c r="MS260" s="61"/>
      <c r="MT260" s="61"/>
      <c r="MU260" s="61"/>
      <c r="MV260" s="61"/>
      <c r="MW260" s="61"/>
      <c r="MX260" s="61"/>
      <c r="MY260" s="61"/>
      <c r="MZ260" s="61"/>
      <c r="NA260" s="61"/>
      <c r="NB260" s="61"/>
      <c r="NC260" s="61"/>
      <c r="ND260" s="61"/>
      <c r="NE260" s="61"/>
      <c r="NF260" s="61"/>
      <c r="NG260" s="61"/>
      <c r="NH260" s="61"/>
      <c r="NI260" s="61"/>
      <c r="NJ260" s="61"/>
      <c r="NK260" s="61"/>
      <c r="NL260" s="61"/>
      <c r="NM260" s="61"/>
      <c r="NN260" s="61"/>
      <c r="NO260" s="61"/>
      <c r="NP260" s="61"/>
      <c r="NQ260" s="61"/>
      <c r="NR260" s="61"/>
      <c r="NS260" s="61"/>
      <c r="NT260" s="61"/>
      <c r="NU260" s="61"/>
      <c r="NV260" s="61"/>
      <c r="NW260" s="61"/>
      <c r="NX260" s="61"/>
      <c r="NY260" s="61"/>
      <c r="NZ260" s="61"/>
      <c r="OA260" s="61"/>
      <c r="OB260" s="61"/>
      <c r="OC260" s="61"/>
      <c r="OD260" s="61"/>
      <c r="OE260" s="61"/>
      <c r="OF260" s="61"/>
      <c r="OG260" s="61"/>
      <c r="OH260" s="61"/>
      <c r="OI260" s="61"/>
      <c r="OJ260" s="61"/>
      <c r="OK260" s="61"/>
      <c r="OL260" s="61"/>
      <c r="OM260" s="61"/>
      <c r="ON260" s="61"/>
      <c r="OO260" s="61"/>
      <c r="OP260" s="61"/>
      <c r="OQ260" s="61"/>
      <c r="OR260" s="61"/>
      <c r="OS260" s="61"/>
      <c r="OT260" s="61"/>
      <c r="OU260" s="61"/>
      <c r="OV260" s="61"/>
      <c r="OW260" s="61"/>
      <c r="OX260" s="61"/>
      <c r="OY260" s="61"/>
      <c r="OZ260" s="61"/>
      <c r="PA260" s="61"/>
      <c r="PB260" s="61"/>
      <c r="PC260" s="61"/>
      <c r="PD260" s="61"/>
      <c r="PE260" s="61"/>
      <c r="PF260" s="61"/>
      <c r="PG260" s="61"/>
      <c r="PH260" s="61"/>
      <c r="PI260" s="61"/>
      <c r="PJ260" s="61"/>
      <c r="PK260" s="61"/>
      <c r="PL260" s="61"/>
      <c r="PM260" s="61"/>
      <c r="PN260" s="61"/>
      <c r="PO260" s="61"/>
      <c r="PP260" s="61"/>
      <c r="PQ260" s="61"/>
      <c r="PR260" s="61"/>
      <c r="PS260" s="61"/>
      <c r="PT260" s="61"/>
      <c r="PU260" s="61"/>
      <c r="PV260" s="61"/>
      <c r="PW260" s="61"/>
      <c r="PX260" s="61"/>
      <c r="PY260" s="61"/>
      <c r="PZ260" s="61"/>
      <c r="QA260" s="61"/>
      <c r="QB260" s="61"/>
      <c r="QC260" s="61"/>
      <c r="QD260" s="61"/>
      <c r="QE260" s="61"/>
      <c r="QF260" s="61"/>
      <c r="QG260" s="61"/>
      <c r="QH260" s="61"/>
      <c r="QI260" s="61"/>
      <c r="QJ260" s="61"/>
      <c r="QK260" s="61"/>
      <c r="QL260" s="61"/>
      <c r="QM260" s="61"/>
      <c r="QN260" s="61"/>
      <c r="QO260" s="61"/>
      <c r="QP260" s="61"/>
      <c r="QQ260" s="61"/>
      <c r="QR260" s="61"/>
      <c r="QS260" s="61"/>
      <c r="QT260" s="61"/>
      <c r="QU260" s="61"/>
      <c r="QV260" s="61"/>
      <c r="QW260" s="61"/>
      <c r="QX260" s="61"/>
      <c r="QY260" s="61"/>
      <c r="QZ260" s="61"/>
      <c r="RA260" s="61"/>
      <c r="RB260" s="61"/>
      <c r="RC260" s="61"/>
      <c r="RD260" s="61"/>
      <c r="RE260" s="61"/>
      <c r="RF260" s="61"/>
      <c r="RG260" s="61"/>
      <c r="RH260" s="61"/>
      <c r="RI260" s="61"/>
      <c r="RJ260" s="61"/>
      <c r="RK260" s="61"/>
      <c r="RL260" s="61"/>
      <c r="RM260" s="61"/>
      <c r="RN260" s="61"/>
      <c r="RO260" s="61"/>
      <c r="RP260" s="61"/>
      <c r="RQ260" s="61"/>
      <c r="RR260" s="61"/>
      <c r="RS260" s="61"/>
      <c r="RT260" s="61"/>
      <c r="RU260" s="61"/>
      <c r="RV260" s="61"/>
      <c r="RW260" s="61"/>
      <c r="RX260" s="61"/>
      <c r="RY260" s="61"/>
      <c r="RZ260" s="61"/>
      <c r="SA260" s="61"/>
      <c r="SB260" s="61"/>
      <c r="SC260" s="61"/>
      <c r="SD260" s="61"/>
      <c r="SE260" s="61"/>
      <c r="SF260" s="61"/>
      <c r="SG260" s="61"/>
      <c r="SH260" s="61"/>
      <c r="SI260" s="61"/>
      <c r="SJ260" s="61"/>
      <c r="SK260" s="61"/>
      <c r="SL260" s="61"/>
      <c r="SM260" s="61"/>
      <c r="SN260" s="61"/>
      <c r="SO260" s="61"/>
      <c r="SP260" s="61"/>
      <c r="SQ260" s="61"/>
      <c r="SR260" s="61"/>
      <c r="SS260" s="61"/>
      <c r="ST260" s="61"/>
      <c r="SU260" s="61"/>
      <c r="SV260" s="61"/>
      <c r="SW260" s="61"/>
      <c r="SX260" s="61"/>
      <c r="SY260" s="61"/>
      <c r="SZ260" s="61"/>
      <c r="TA260" s="61"/>
      <c r="TB260" s="61"/>
      <c r="TC260" s="61"/>
      <c r="TD260" s="61"/>
      <c r="TE260" s="61"/>
      <c r="TF260" s="61"/>
      <c r="TG260" s="61"/>
      <c r="TH260" s="61"/>
      <c r="TI260" s="61"/>
      <c r="TJ260" s="61"/>
      <c r="TK260" s="61"/>
      <c r="TL260" s="61"/>
      <c r="TM260" s="61"/>
      <c r="TN260" s="61"/>
      <c r="TO260" s="61"/>
      <c r="TP260" s="61"/>
      <c r="TQ260" s="61"/>
      <c r="TR260" s="61"/>
      <c r="TS260" s="61"/>
      <c r="TT260" s="61"/>
      <c r="TU260" s="61"/>
      <c r="TV260" s="61"/>
      <c r="TW260" s="61"/>
      <c r="TX260" s="61"/>
      <c r="TY260" s="61"/>
      <c r="TZ260" s="61"/>
      <c r="UA260" s="61"/>
      <c r="UB260" s="61"/>
      <c r="UC260" s="61"/>
      <c r="UD260" s="61"/>
      <c r="UE260" s="61"/>
      <c r="UF260" s="61"/>
      <c r="UG260" s="61"/>
      <c r="UH260" s="61"/>
      <c r="UI260" s="61"/>
      <c r="UJ260" s="61"/>
      <c r="UK260" s="61"/>
      <c r="UL260" s="61"/>
      <c r="UM260" s="61"/>
      <c r="UN260" s="61"/>
      <c r="UO260" s="61"/>
      <c r="UP260" s="61"/>
      <c r="UQ260" s="61"/>
      <c r="UR260" s="61"/>
      <c r="US260" s="61"/>
      <c r="UT260" s="61"/>
      <c r="UU260" s="61"/>
      <c r="UV260" s="61"/>
      <c r="UW260" s="61"/>
      <c r="UX260" s="61"/>
      <c r="UY260" s="61"/>
      <c r="UZ260" s="61"/>
      <c r="VA260" s="61"/>
      <c r="VB260" s="61"/>
      <c r="VC260" s="61"/>
    </row>
    <row r="261" spans="1:575" s="55" customFormat="1" ht="23.25" hidden="1" customHeight="1" x14ac:dyDescent="0.25">
      <c r="A261" s="53" t="s">
        <v>484</v>
      </c>
      <c r="B261" s="102" t="str">
        <f>'дод 2'!A168</f>
        <v>7340</v>
      </c>
      <c r="C261" s="102" t="str">
        <f>'дод 2'!B168</f>
        <v>0443</v>
      </c>
      <c r="D261" s="56" t="str">
        <f>'дод 2'!C168</f>
        <v>Проектування, реставрація та охорона пам'яток архітектури</v>
      </c>
      <c r="E261" s="132">
        <f t="shared" si="47"/>
        <v>0</v>
      </c>
      <c r="F261" s="132"/>
      <c r="G261" s="132"/>
      <c r="H261" s="132"/>
      <c r="I261" s="132"/>
      <c r="J261" s="132">
        <f t="shared" si="43"/>
        <v>0</v>
      </c>
      <c r="K261" s="132">
        <f>500000-500000</f>
        <v>0</v>
      </c>
      <c r="L261" s="132"/>
      <c r="M261" s="132"/>
      <c r="N261" s="132"/>
      <c r="O261" s="132">
        <f>500000-500000</f>
        <v>0</v>
      </c>
      <c r="P261" s="132">
        <f t="shared" si="48"/>
        <v>0</v>
      </c>
      <c r="Q261" s="159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  <c r="KO261" s="61"/>
      <c r="KP261" s="61"/>
      <c r="KQ261" s="61"/>
      <c r="KR261" s="61"/>
      <c r="KS261" s="61"/>
      <c r="KT261" s="61"/>
      <c r="KU261" s="61"/>
      <c r="KV261" s="61"/>
      <c r="KW261" s="61"/>
      <c r="KX261" s="61"/>
      <c r="KY261" s="61"/>
      <c r="KZ261" s="61"/>
      <c r="LA261" s="61"/>
      <c r="LB261" s="61"/>
      <c r="LC261" s="61"/>
      <c r="LD261" s="61"/>
      <c r="LE261" s="61"/>
      <c r="LF261" s="61"/>
      <c r="LG261" s="61"/>
      <c r="LH261" s="61"/>
      <c r="LI261" s="61"/>
      <c r="LJ261" s="61"/>
      <c r="LK261" s="61"/>
      <c r="LL261" s="61"/>
      <c r="LM261" s="61"/>
      <c r="LN261" s="61"/>
      <c r="LO261" s="61"/>
      <c r="LP261" s="61"/>
      <c r="LQ261" s="61"/>
      <c r="LR261" s="61"/>
      <c r="LS261" s="61"/>
      <c r="LT261" s="61"/>
      <c r="LU261" s="61"/>
      <c r="LV261" s="61"/>
      <c r="LW261" s="61"/>
      <c r="LX261" s="61"/>
      <c r="LY261" s="61"/>
      <c r="LZ261" s="61"/>
      <c r="MA261" s="61"/>
      <c r="MB261" s="61"/>
      <c r="MC261" s="61"/>
      <c r="MD261" s="61"/>
      <c r="ME261" s="61"/>
      <c r="MF261" s="61"/>
      <c r="MG261" s="61"/>
      <c r="MH261" s="61"/>
      <c r="MI261" s="61"/>
      <c r="MJ261" s="61"/>
      <c r="MK261" s="61"/>
      <c r="ML261" s="61"/>
      <c r="MM261" s="61"/>
      <c r="MN261" s="61"/>
      <c r="MO261" s="61"/>
      <c r="MP261" s="61"/>
      <c r="MQ261" s="61"/>
      <c r="MR261" s="61"/>
      <c r="MS261" s="61"/>
      <c r="MT261" s="61"/>
      <c r="MU261" s="61"/>
      <c r="MV261" s="61"/>
      <c r="MW261" s="61"/>
      <c r="MX261" s="61"/>
      <c r="MY261" s="61"/>
      <c r="MZ261" s="61"/>
      <c r="NA261" s="61"/>
      <c r="NB261" s="61"/>
      <c r="NC261" s="61"/>
      <c r="ND261" s="61"/>
      <c r="NE261" s="61"/>
      <c r="NF261" s="61"/>
      <c r="NG261" s="61"/>
      <c r="NH261" s="61"/>
      <c r="NI261" s="61"/>
      <c r="NJ261" s="61"/>
      <c r="NK261" s="61"/>
      <c r="NL261" s="61"/>
      <c r="NM261" s="61"/>
      <c r="NN261" s="61"/>
      <c r="NO261" s="61"/>
      <c r="NP261" s="61"/>
      <c r="NQ261" s="61"/>
      <c r="NR261" s="61"/>
      <c r="NS261" s="61"/>
      <c r="NT261" s="61"/>
      <c r="NU261" s="61"/>
      <c r="NV261" s="61"/>
      <c r="NW261" s="61"/>
      <c r="NX261" s="61"/>
      <c r="NY261" s="61"/>
      <c r="NZ261" s="61"/>
      <c r="OA261" s="61"/>
      <c r="OB261" s="61"/>
      <c r="OC261" s="61"/>
      <c r="OD261" s="61"/>
      <c r="OE261" s="61"/>
      <c r="OF261" s="61"/>
      <c r="OG261" s="61"/>
      <c r="OH261" s="61"/>
      <c r="OI261" s="61"/>
      <c r="OJ261" s="61"/>
      <c r="OK261" s="61"/>
      <c r="OL261" s="61"/>
      <c r="OM261" s="61"/>
      <c r="ON261" s="61"/>
      <c r="OO261" s="61"/>
      <c r="OP261" s="61"/>
      <c r="OQ261" s="61"/>
      <c r="OR261" s="61"/>
      <c r="OS261" s="61"/>
      <c r="OT261" s="61"/>
      <c r="OU261" s="61"/>
      <c r="OV261" s="61"/>
      <c r="OW261" s="61"/>
      <c r="OX261" s="61"/>
      <c r="OY261" s="61"/>
      <c r="OZ261" s="61"/>
      <c r="PA261" s="61"/>
      <c r="PB261" s="61"/>
      <c r="PC261" s="61"/>
      <c r="PD261" s="61"/>
      <c r="PE261" s="61"/>
      <c r="PF261" s="61"/>
      <c r="PG261" s="61"/>
      <c r="PH261" s="61"/>
      <c r="PI261" s="61"/>
      <c r="PJ261" s="61"/>
      <c r="PK261" s="61"/>
      <c r="PL261" s="61"/>
      <c r="PM261" s="61"/>
      <c r="PN261" s="61"/>
      <c r="PO261" s="61"/>
      <c r="PP261" s="61"/>
      <c r="PQ261" s="61"/>
      <c r="PR261" s="61"/>
      <c r="PS261" s="61"/>
      <c r="PT261" s="61"/>
      <c r="PU261" s="61"/>
      <c r="PV261" s="61"/>
      <c r="PW261" s="61"/>
      <c r="PX261" s="61"/>
      <c r="PY261" s="61"/>
      <c r="PZ261" s="61"/>
      <c r="QA261" s="61"/>
      <c r="QB261" s="61"/>
      <c r="QC261" s="61"/>
      <c r="QD261" s="61"/>
      <c r="QE261" s="61"/>
      <c r="QF261" s="61"/>
      <c r="QG261" s="61"/>
      <c r="QH261" s="61"/>
      <c r="QI261" s="61"/>
      <c r="QJ261" s="61"/>
      <c r="QK261" s="61"/>
      <c r="QL261" s="61"/>
      <c r="QM261" s="61"/>
      <c r="QN261" s="61"/>
      <c r="QO261" s="61"/>
      <c r="QP261" s="61"/>
      <c r="QQ261" s="61"/>
      <c r="QR261" s="61"/>
      <c r="QS261" s="61"/>
      <c r="QT261" s="61"/>
      <c r="QU261" s="61"/>
      <c r="QV261" s="61"/>
      <c r="QW261" s="61"/>
      <c r="QX261" s="61"/>
      <c r="QY261" s="61"/>
      <c r="QZ261" s="61"/>
      <c r="RA261" s="61"/>
      <c r="RB261" s="61"/>
      <c r="RC261" s="61"/>
      <c r="RD261" s="61"/>
      <c r="RE261" s="61"/>
      <c r="RF261" s="61"/>
      <c r="RG261" s="61"/>
      <c r="RH261" s="61"/>
      <c r="RI261" s="61"/>
      <c r="RJ261" s="61"/>
      <c r="RK261" s="61"/>
      <c r="RL261" s="61"/>
      <c r="RM261" s="61"/>
      <c r="RN261" s="61"/>
      <c r="RO261" s="61"/>
      <c r="RP261" s="61"/>
      <c r="RQ261" s="61"/>
      <c r="RR261" s="61"/>
      <c r="RS261" s="61"/>
      <c r="RT261" s="61"/>
      <c r="RU261" s="61"/>
      <c r="RV261" s="61"/>
      <c r="RW261" s="61"/>
      <c r="RX261" s="61"/>
      <c r="RY261" s="61"/>
      <c r="RZ261" s="61"/>
      <c r="SA261" s="61"/>
      <c r="SB261" s="61"/>
      <c r="SC261" s="61"/>
      <c r="SD261" s="61"/>
      <c r="SE261" s="61"/>
      <c r="SF261" s="61"/>
      <c r="SG261" s="61"/>
      <c r="SH261" s="61"/>
      <c r="SI261" s="61"/>
      <c r="SJ261" s="61"/>
      <c r="SK261" s="61"/>
      <c r="SL261" s="61"/>
      <c r="SM261" s="61"/>
      <c r="SN261" s="61"/>
      <c r="SO261" s="61"/>
      <c r="SP261" s="61"/>
      <c r="SQ261" s="61"/>
      <c r="SR261" s="61"/>
      <c r="SS261" s="61"/>
      <c r="ST261" s="61"/>
      <c r="SU261" s="61"/>
      <c r="SV261" s="61"/>
      <c r="SW261" s="61"/>
      <c r="SX261" s="61"/>
      <c r="SY261" s="61"/>
      <c r="SZ261" s="61"/>
      <c r="TA261" s="61"/>
      <c r="TB261" s="61"/>
      <c r="TC261" s="61"/>
      <c r="TD261" s="61"/>
      <c r="TE261" s="61"/>
      <c r="TF261" s="61"/>
      <c r="TG261" s="61"/>
      <c r="TH261" s="61"/>
      <c r="TI261" s="61"/>
      <c r="TJ261" s="61"/>
      <c r="TK261" s="61"/>
      <c r="TL261" s="61"/>
      <c r="TM261" s="61"/>
      <c r="TN261" s="61"/>
      <c r="TO261" s="61"/>
      <c r="TP261" s="61"/>
      <c r="TQ261" s="61"/>
      <c r="TR261" s="61"/>
      <c r="TS261" s="61"/>
      <c r="TT261" s="61"/>
      <c r="TU261" s="61"/>
      <c r="TV261" s="61"/>
      <c r="TW261" s="61"/>
      <c r="TX261" s="61"/>
      <c r="TY261" s="61"/>
      <c r="TZ261" s="61"/>
      <c r="UA261" s="61"/>
      <c r="UB261" s="61"/>
      <c r="UC261" s="61"/>
      <c r="UD261" s="61"/>
      <c r="UE261" s="61"/>
      <c r="UF261" s="61"/>
      <c r="UG261" s="61"/>
      <c r="UH261" s="61"/>
      <c r="UI261" s="61"/>
      <c r="UJ261" s="61"/>
      <c r="UK261" s="61"/>
      <c r="UL261" s="61"/>
      <c r="UM261" s="61"/>
      <c r="UN261" s="61"/>
      <c r="UO261" s="61"/>
      <c r="UP261" s="61"/>
      <c r="UQ261" s="61"/>
      <c r="UR261" s="61"/>
      <c r="US261" s="61"/>
      <c r="UT261" s="61"/>
      <c r="UU261" s="61"/>
      <c r="UV261" s="61"/>
      <c r="UW261" s="61"/>
      <c r="UX261" s="61"/>
      <c r="UY261" s="61"/>
      <c r="UZ261" s="61"/>
      <c r="VA261" s="61"/>
      <c r="VB261" s="61"/>
      <c r="VC261" s="61"/>
    </row>
    <row r="262" spans="1:575" s="55" customFormat="1" ht="39" hidden="1" customHeight="1" x14ac:dyDescent="0.25">
      <c r="A262" s="53" t="s">
        <v>552</v>
      </c>
      <c r="B262" s="102" t="s">
        <v>514</v>
      </c>
      <c r="C262" s="102" t="s">
        <v>112</v>
      </c>
      <c r="D262" s="56" t="s">
        <v>515</v>
      </c>
      <c r="E262" s="132">
        <f t="shared" si="47"/>
        <v>0</v>
      </c>
      <c r="F262" s="132"/>
      <c r="G262" s="132"/>
      <c r="H262" s="132"/>
      <c r="I262" s="132"/>
      <c r="J262" s="132">
        <f t="shared" si="43"/>
        <v>0</v>
      </c>
      <c r="K262" s="132"/>
      <c r="L262" s="132"/>
      <c r="M262" s="132"/>
      <c r="N262" s="132"/>
      <c r="O262" s="132"/>
      <c r="P262" s="132">
        <f t="shared" si="48"/>
        <v>0</v>
      </c>
      <c r="Q262" s="159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61"/>
      <c r="NA262" s="61"/>
      <c r="NB262" s="61"/>
      <c r="NC262" s="61"/>
      <c r="ND262" s="61"/>
      <c r="NE262" s="61"/>
      <c r="NF262" s="61"/>
      <c r="NG262" s="61"/>
      <c r="NH262" s="61"/>
      <c r="NI262" s="61"/>
      <c r="NJ262" s="61"/>
      <c r="NK262" s="61"/>
      <c r="NL262" s="61"/>
      <c r="NM262" s="61"/>
      <c r="NN262" s="61"/>
      <c r="NO262" s="61"/>
      <c r="NP262" s="61"/>
      <c r="NQ262" s="61"/>
      <c r="NR262" s="61"/>
      <c r="NS262" s="61"/>
      <c r="NT262" s="61"/>
      <c r="NU262" s="61"/>
      <c r="NV262" s="61"/>
      <c r="NW262" s="61"/>
      <c r="NX262" s="61"/>
      <c r="NY262" s="61"/>
      <c r="NZ262" s="61"/>
      <c r="OA262" s="61"/>
      <c r="OB262" s="61"/>
      <c r="OC262" s="61"/>
      <c r="OD262" s="61"/>
      <c r="OE262" s="61"/>
      <c r="OF262" s="61"/>
      <c r="OG262" s="61"/>
      <c r="OH262" s="61"/>
      <c r="OI262" s="61"/>
      <c r="OJ262" s="61"/>
      <c r="OK262" s="61"/>
      <c r="OL262" s="61"/>
      <c r="OM262" s="61"/>
      <c r="ON262" s="61"/>
      <c r="OO262" s="61"/>
      <c r="OP262" s="61"/>
      <c r="OQ262" s="61"/>
      <c r="OR262" s="61"/>
      <c r="OS262" s="61"/>
      <c r="OT262" s="61"/>
      <c r="OU262" s="61"/>
      <c r="OV262" s="61"/>
      <c r="OW262" s="61"/>
      <c r="OX262" s="61"/>
      <c r="OY262" s="61"/>
      <c r="OZ262" s="61"/>
      <c r="PA262" s="61"/>
      <c r="PB262" s="61"/>
      <c r="PC262" s="61"/>
      <c r="PD262" s="61"/>
      <c r="PE262" s="61"/>
      <c r="PF262" s="61"/>
      <c r="PG262" s="61"/>
      <c r="PH262" s="61"/>
      <c r="PI262" s="61"/>
      <c r="PJ262" s="61"/>
      <c r="PK262" s="61"/>
      <c r="PL262" s="61"/>
      <c r="PM262" s="61"/>
      <c r="PN262" s="61"/>
      <c r="PO262" s="61"/>
      <c r="PP262" s="61"/>
      <c r="PQ262" s="61"/>
      <c r="PR262" s="61"/>
      <c r="PS262" s="61"/>
      <c r="PT262" s="61"/>
      <c r="PU262" s="61"/>
      <c r="PV262" s="61"/>
      <c r="PW262" s="61"/>
      <c r="PX262" s="61"/>
      <c r="PY262" s="61"/>
      <c r="PZ262" s="61"/>
      <c r="QA262" s="61"/>
      <c r="QB262" s="61"/>
      <c r="QC262" s="61"/>
      <c r="QD262" s="61"/>
      <c r="QE262" s="61"/>
      <c r="QF262" s="61"/>
      <c r="QG262" s="61"/>
      <c r="QH262" s="61"/>
      <c r="QI262" s="61"/>
      <c r="QJ262" s="61"/>
      <c r="QK262" s="61"/>
      <c r="QL262" s="61"/>
      <c r="QM262" s="61"/>
      <c r="QN262" s="61"/>
      <c r="QO262" s="61"/>
      <c r="QP262" s="61"/>
      <c r="QQ262" s="61"/>
      <c r="QR262" s="61"/>
      <c r="QS262" s="61"/>
      <c r="QT262" s="61"/>
      <c r="QU262" s="61"/>
      <c r="QV262" s="61"/>
      <c r="QW262" s="61"/>
      <c r="QX262" s="61"/>
      <c r="QY262" s="61"/>
      <c r="QZ262" s="61"/>
      <c r="RA262" s="61"/>
      <c r="RB262" s="61"/>
      <c r="RC262" s="61"/>
      <c r="RD262" s="61"/>
      <c r="RE262" s="61"/>
      <c r="RF262" s="61"/>
      <c r="RG262" s="61"/>
      <c r="RH262" s="61"/>
      <c r="RI262" s="61"/>
      <c r="RJ262" s="61"/>
      <c r="RK262" s="61"/>
      <c r="RL262" s="61"/>
      <c r="RM262" s="61"/>
      <c r="RN262" s="61"/>
      <c r="RO262" s="61"/>
      <c r="RP262" s="61"/>
      <c r="RQ262" s="61"/>
      <c r="RR262" s="61"/>
      <c r="RS262" s="61"/>
      <c r="RT262" s="61"/>
      <c r="RU262" s="61"/>
      <c r="RV262" s="61"/>
      <c r="RW262" s="61"/>
      <c r="RX262" s="61"/>
      <c r="RY262" s="61"/>
      <c r="RZ262" s="61"/>
      <c r="SA262" s="61"/>
      <c r="SB262" s="61"/>
      <c r="SC262" s="61"/>
      <c r="SD262" s="61"/>
      <c r="SE262" s="61"/>
      <c r="SF262" s="61"/>
      <c r="SG262" s="61"/>
      <c r="SH262" s="61"/>
      <c r="SI262" s="61"/>
      <c r="SJ262" s="61"/>
      <c r="SK262" s="61"/>
      <c r="SL262" s="61"/>
      <c r="SM262" s="61"/>
      <c r="SN262" s="61"/>
      <c r="SO262" s="61"/>
      <c r="SP262" s="61"/>
      <c r="SQ262" s="61"/>
      <c r="SR262" s="61"/>
      <c r="SS262" s="61"/>
      <c r="ST262" s="61"/>
      <c r="SU262" s="61"/>
      <c r="SV262" s="61"/>
      <c r="SW262" s="61"/>
      <c r="SX262" s="61"/>
      <c r="SY262" s="61"/>
      <c r="SZ262" s="61"/>
      <c r="TA262" s="61"/>
      <c r="TB262" s="61"/>
      <c r="TC262" s="61"/>
      <c r="TD262" s="61"/>
      <c r="TE262" s="61"/>
      <c r="TF262" s="61"/>
      <c r="TG262" s="61"/>
      <c r="TH262" s="61"/>
      <c r="TI262" s="61"/>
      <c r="TJ262" s="61"/>
      <c r="TK262" s="61"/>
      <c r="TL262" s="61"/>
      <c r="TM262" s="61"/>
      <c r="TN262" s="61"/>
      <c r="TO262" s="61"/>
      <c r="TP262" s="61"/>
      <c r="TQ262" s="61"/>
      <c r="TR262" s="61"/>
      <c r="TS262" s="61"/>
      <c r="TT262" s="61"/>
      <c r="TU262" s="61"/>
      <c r="TV262" s="61"/>
      <c r="TW262" s="61"/>
      <c r="TX262" s="61"/>
      <c r="TY262" s="61"/>
      <c r="TZ262" s="61"/>
      <c r="UA262" s="61"/>
      <c r="UB262" s="61"/>
      <c r="UC262" s="61"/>
      <c r="UD262" s="61"/>
      <c r="UE262" s="61"/>
      <c r="UF262" s="61"/>
      <c r="UG262" s="61"/>
      <c r="UH262" s="61"/>
      <c r="UI262" s="61"/>
      <c r="UJ262" s="61"/>
      <c r="UK262" s="61"/>
      <c r="UL262" s="61"/>
      <c r="UM262" s="61"/>
      <c r="UN262" s="61"/>
      <c r="UO262" s="61"/>
      <c r="UP262" s="61"/>
      <c r="UQ262" s="61"/>
      <c r="UR262" s="61"/>
      <c r="US262" s="61"/>
      <c r="UT262" s="61"/>
      <c r="UU262" s="61"/>
      <c r="UV262" s="61"/>
      <c r="UW262" s="61"/>
      <c r="UX262" s="61"/>
      <c r="UY262" s="61"/>
      <c r="UZ262" s="61"/>
      <c r="VA262" s="61"/>
      <c r="VB262" s="61"/>
      <c r="VC262" s="61"/>
    </row>
    <row r="263" spans="1:575" s="55" customFormat="1" ht="35.25" hidden="1" customHeight="1" x14ac:dyDescent="0.25">
      <c r="A263" s="53" t="s">
        <v>507</v>
      </c>
      <c r="B263" s="102" t="str">
        <f>'дод 2'!A171</f>
        <v>7363</v>
      </c>
      <c r="C263" s="102" t="str">
        <f>'дод 2'!B171</f>
        <v>0490</v>
      </c>
      <c r="D263" s="56" t="str">
        <f>'дод 2'!C171</f>
        <v>Виконання інвестиційних проектів в рамках здійснення заходів щодо соціально-економічного розвитку окремих територій</v>
      </c>
      <c r="E263" s="132">
        <f t="shared" si="47"/>
        <v>0</v>
      </c>
      <c r="F263" s="132"/>
      <c r="G263" s="132"/>
      <c r="H263" s="132"/>
      <c r="I263" s="132"/>
      <c r="J263" s="132">
        <f t="shared" si="43"/>
        <v>0</v>
      </c>
      <c r="K263" s="132"/>
      <c r="L263" s="132"/>
      <c r="M263" s="132"/>
      <c r="N263" s="132"/>
      <c r="O263" s="132"/>
      <c r="P263" s="132">
        <f t="shared" si="48"/>
        <v>0</v>
      </c>
      <c r="Q263" s="159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  <c r="KO263" s="61"/>
      <c r="KP263" s="61"/>
      <c r="KQ263" s="61"/>
      <c r="KR263" s="61"/>
      <c r="KS263" s="61"/>
      <c r="KT263" s="61"/>
      <c r="KU263" s="61"/>
      <c r="KV263" s="61"/>
      <c r="KW263" s="61"/>
      <c r="KX263" s="61"/>
      <c r="KY263" s="61"/>
      <c r="KZ263" s="61"/>
      <c r="LA263" s="61"/>
      <c r="LB263" s="61"/>
      <c r="LC263" s="61"/>
      <c r="LD263" s="61"/>
      <c r="LE263" s="61"/>
      <c r="LF263" s="61"/>
      <c r="LG263" s="61"/>
      <c r="LH263" s="61"/>
      <c r="LI263" s="61"/>
      <c r="LJ263" s="61"/>
      <c r="LK263" s="61"/>
      <c r="LL263" s="61"/>
      <c r="LM263" s="61"/>
      <c r="LN263" s="61"/>
      <c r="LO263" s="61"/>
      <c r="LP263" s="61"/>
      <c r="LQ263" s="61"/>
      <c r="LR263" s="61"/>
      <c r="LS263" s="61"/>
      <c r="LT263" s="61"/>
      <c r="LU263" s="61"/>
      <c r="LV263" s="61"/>
      <c r="LW263" s="61"/>
      <c r="LX263" s="61"/>
      <c r="LY263" s="61"/>
      <c r="LZ263" s="61"/>
      <c r="MA263" s="61"/>
      <c r="MB263" s="61"/>
      <c r="MC263" s="61"/>
      <c r="MD263" s="61"/>
      <c r="ME263" s="61"/>
      <c r="MF263" s="61"/>
      <c r="MG263" s="61"/>
      <c r="MH263" s="61"/>
      <c r="MI263" s="61"/>
      <c r="MJ263" s="61"/>
      <c r="MK263" s="61"/>
      <c r="ML263" s="61"/>
      <c r="MM263" s="61"/>
      <c r="MN263" s="61"/>
      <c r="MO263" s="61"/>
      <c r="MP263" s="61"/>
      <c r="MQ263" s="61"/>
      <c r="MR263" s="61"/>
      <c r="MS263" s="61"/>
      <c r="MT263" s="61"/>
      <c r="MU263" s="61"/>
      <c r="MV263" s="61"/>
      <c r="MW263" s="61"/>
      <c r="MX263" s="61"/>
      <c r="MY263" s="61"/>
      <c r="MZ263" s="61"/>
      <c r="NA263" s="61"/>
      <c r="NB263" s="61"/>
      <c r="NC263" s="61"/>
      <c r="ND263" s="61"/>
      <c r="NE263" s="61"/>
      <c r="NF263" s="61"/>
      <c r="NG263" s="61"/>
      <c r="NH263" s="61"/>
      <c r="NI263" s="61"/>
      <c r="NJ263" s="61"/>
      <c r="NK263" s="61"/>
      <c r="NL263" s="61"/>
      <c r="NM263" s="61"/>
      <c r="NN263" s="61"/>
      <c r="NO263" s="61"/>
      <c r="NP263" s="61"/>
      <c r="NQ263" s="61"/>
      <c r="NR263" s="61"/>
      <c r="NS263" s="61"/>
      <c r="NT263" s="61"/>
      <c r="NU263" s="61"/>
      <c r="NV263" s="61"/>
      <c r="NW263" s="61"/>
      <c r="NX263" s="61"/>
      <c r="NY263" s="61"/>
      <c r="NZ263" s="61"/>
      <c r="OA263" s="61"/>
      <c r="OB263" s="61"/>
      <c r="OC263" s="61"/>
      <c r="OD263" s="61"/>
      <c r="OE263" s="61"/>
      <c r="OF263" s="61"/>
      <c r="OG263" s="61"/>
      <c r="OH263" s="61"/>
      <c r="OI263" s="61"/>
      <c r="OJ263" s="61"/>
      <c r="OK263" s="61"/>
      <c r="OL263" s="61"/>
      <c r="OM263" s="61"/>
      <c r="ON263" s="61"/>
      <c r="OO263" s="61"/>
      <c r="OP263" s="61"/>
      <c r="OQ263" s="61"/>
      <c r="OR263" s="61"/>
      <c r="OS263" s="61"/>
      <c r="OT263" s="61"/>
      <c r="OU263" s="61"/>
      <c r="OV263" s="61"/>
      <c r="OW263" s="61"/>
      <c r="OX263" s="61"/>
      <c r="OY263" s="61"/>
      <c r="OZ263" s="61"/>
      <c r="PA263" s="61"/>
      <c r="PB263" s="61"/>
      <c r="PC263" s="61"/>
      <c r="PD263" s="61"/>
      <c r="PE263" s="61"/>
      <c r="PF263" s="61"/>
      <c r="PG263" s="61"/>
      <c r="PH263" s="61"/>
      <c r="PI263" s="61"/>
      <c r="PJ263" s="61"/>
      <c r="PK263" s="61"/>
      <c r="PL263" s="61"/>
      <c r="PM263" s="61"/>
      <c r="PN263" s="61"/>
      <c r="PO263" s="61"/>
      <c r="PP263" s="61"/>
      <c r="PQ263" s="61"/>
      <c r="PR263" s="61"/>
      <c r="PS263" s="61"/>
      <c r="PT263" s="61"/>
      <c r="PU263" s="61"/>
      <c r="PV263" s="61"/>
      <c r="PW263" s="61"/>
      <c r="PX263" s="61"/>
      <c r="PY263" s="61"/>
      <c r="PZ263" s="61"/>
      <c r="QA263" s="61"/>
      <c r="QB263" s="61"/>
      <c r="QC263" s="61"/>
      <c r="QD263" s="61"/>
      <c r="QE263" s="61"/>
      <c r="QF263" s="61"/>
      <c r="QG263" s="61"/>
      <c r="QH263" s="61"/>
      <c r="QI263" s="61"/>
      <c r="QJ263" s="61"/>
      <c r="QK263" s="61"/>
      <c r="QL263" s="61"/>
      <c r="QM263" s="61"/>
      <c r="QN263" s="61"/>
      <c r="QO263" s="61"/>
      <c r="QP263" s="61"/>
      <c r="QQ263" s="61"/>
      <c r="QR263" s="61"/>
      <c r="QS263" s="61"/>
      <c r="QT263" s="61"/>
      <c r="QU263" s="61"/>
      <c r="QV263" s="61"/>
      <c r="QW263" s="61"/>
      <c r="QX263" s="61"/>
      <c r="QY263" s="61"/>
      <c r="QZ263" s="61"/>
      <c r="RA263" s="61"/>
      <c r="RB263" s="61"/>
      <c r="RC263" s="61"/>
      <c r="RD263" s="61"/>
      <c r="RE263" s="61"/>
      <c r="RF263" s="61"/>
      <c r="RG263" s="61"/>
      <c r="RH263" s="61"/>
      <c r="RI263" s="61"/>
      <c r="RJ263" s="61"/>
      <c r="RK263" s="61"/>
      <c r="RL263" s="61"/>
      <c r="RM263" s="61"/>
      <c r="RN263" s="61"/>
      <c r="RO263" s="61"/>
      <c r="RP263" s="61"/>
      <c r="RQ263" s="61"/>
      <c r="RR263" s="61"/>
      <c r="RS263" s="61"/>
      <c r="RT263" s="61"/>
      <c r="RU263" s="61"/>
      <c r="RV263" s="61"/>
      <c r="RW263" s="61"/>
      <c r="RX263" s="61"/>
      <c r="RY263" s="61"/>
      <c r="RZ263" s="61"/>
      <c r="SA263" s="61"/>
      <c r="SB263" s="61"/>
      <c r="SC263" s="61"/>
      <c r="SD263" s="61"/>
      <c r="SE263" s="61"/>
      <c r="SF263" s="61"/>
      <c r="SG263" s="61"/>
      <c r="SH263" s="61"/>
      <c r="SI263" s="61"/>
      <c r="SJ263" s="61"/>
      <c r="SK263" s="61"/>
      <c r="SL263" s="61"/>
      <c r="SM263" s="61"/>
      <c r="SN263" s="61"/>
      <c r="SO263" s="61"/>
      <c r="SP263" s="61"/>
      <c r="SQ263" s="61"/>
      <c r="SR263" s="61"/>
      <c r="SS263" s="61"/>
      <c r="ST263" s="61"/>
      <c r="SU263" s="61"/>
      <c r="SV263" s="61"/>
      <c r="SW263" s="61"/>
      <c r="SX263" s="61"/>
      <c r="SY263" s="61"/>
      <c r="SZ263" s="61"/>
      <c r="TA263" s="61"/>
      <c r="TB263" s="61"/>
      <c r="TC263" s="61"/>
      <c r="TD263" s="61"/>
      <c r="TE263" s="61"/>
      <c r="TF263" s="61"/>
      <c r="TG263" s="61"/>
      <c r="TH263" s="61"/>
      <c r="TI263" s="61"/>
      <c r="TJ263" s="61"/>
      <c r="TK263" s="61"/>
      <c r="TL263" s="61"/>
      <c r="TM263" s="61"/>
      <c r="TN263" s="61"/>
      <c r="TO263" s="61"/>
      <c r="TP263" s="61"/>
      <c r="TQ263" s="61"/>
      <c r="TR263" s="61"/>
      <c r="TS263" s="61"/>
      <c r="TT263" s="61"/>
      <c r="TU263" s="61"/>
      <c r="TV263" s="61"/>
      <c r="TW263" s="61"/>
      <c r="TX263" s="61"/>
      <c r="TY263" s="61"/>
      <c r="TZ263" s="61"/>
      <c r="UA263" s="61"/>
      <c r="UB263" s="61"/>
      <c r="UC263" s="61"/>
      <c r="UD263" s="61"/>
      <c r="UE263" s="61"/>
      <c r="UF263" s="61"/>
      <c r="UG263" s="61"/>
      <c r="UH263" s="61"/>
      <c r="UI263" s="61"/>
      <c r="UJ263" s="61"/>
      <c r="UK263" s="61"/>
      <c r="UL263" s="61"/>
      <c r="UM263" s="61"/>
      <c r="UN263" s="61"/>
      <c r="UO263" s="61"/>
      <c r="UP263" s="61"/>
      <c r="UQ263" s="61"/>
      <c r="UR263" s="61"/>
      <c r="US263" s="61"/>
      <c r="UT263" s="61"/>
      <c r="UU263" s="61"/>
      <c r="UV263" s="61"/>
      <c r="UW263" s="61"/>
      <c r="UX263" s="61"/>
      <c r="UY263" s="61"/>
      <c r="UZ263" s="61"/>
      <c r="VA263" s="61"/>
      <c r="VB263" s="61"/>
      <c r="VC263" s="61"/>
    </row>
    <row r="264" spans="1:575" s="55" customFormat="1" ht="15" hidden="1" customHeight="1" x14ac:dyDescent="0.25">
      <c r="A264" s="53"/>
      <c r="B264" s="102"/>
      <c r="C264" s="102"/>
      <c r="D264" s="54" t="s">
        <v>344</v>
      </c>
      <c r="E264" s="132">
        <f t="shared" si="47"/>
        <v>0</v>
      </c>
      <c r="F264" s="132"/>
      <c r="G264" s="132"/>
      <c r="H264" s="132"/>
      <c r="I264" s="132"/>
      <c r="J264" s="132">
        <f t="shared" si="43"/>
        <v>0</v>
      </c>
      <c r="K264" s="132"/>
      <c r="L264" s="132"/>
      <c r="M264" s="132"/>
      <c r="N264" s="132"/>
      <c r="O264" s="132"/>
      <c r="P264" s="132">
        <f t="shared" si="48"/>
        <v>0</v>
      </c>
      <c r="Q264" s="159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  <c r="KO264" s="61"/>
      <c r="KP264" s="61"/>
      <c r="KQ264" s="61"/>
      <c r="KR264" s="61"/>
      <c r="KS264" s="61"/>
      <c r="KT264" s="61"/>
      <c r="KU264" s="61"/>
      <c r="KV264" s="61"/>
      <c r="KW264" s="61"/>
      <c r="KX264" s="61"/>
      <c r="KY264" s="61"/>
      <c r="KZ264" s="61"/>
      <c r="LA264" s="61"/>
      <c r="LB264" s="61"/>
      <c r="LC264" s="61"/>
      <c r="LD264" s="61"/>
      <c r="LE264" s="61"/>
      <c r="LF264" s="61"/>
      <c r="LG264" s="61"/>
      <c r="LH264" s="61"/>
      <c r="LI264" s="61"/>
      <c r="LJ264" s="61"/>
      <c r="LK264" s="61"/>
      <c r="LL264" s="61"/>
      <c r="LM264" s="61"/>
      <c r="LN264" s="61"/>
      <c r="LO264" s="61"/>
      <c r="LP264" s="61"/>
      <c r="LQ264" s="61"/>
      <c r="LR264" s="61"/>
      <c r="LS264" s="61"/>
      <c r="LT264" s="61"/>
      <c r="LU264" s="61"/>
      <c r="LV264" s="61"/>
      <c r="LW264" s="61"/>
      <c r="LX264" s="61"/>
      <c r="LY264" s="61"/>
      <c r="LZ264" s="61"/>
      <c r="MA264" s="61"/>
      <c r="MB264" s="61"/>
      <c r="MC264" s="61"/>
      <c r="MD264" s="61"/>
      <c r="ME264" s="61"/>
      <c r="MF264" s="61"/>
      <c r="MG264" s="61"/>
      <c r="MH264" s="61"/>
      <c r="MI264" s="61"/>
      <c r="MJ264" s="61"/>
      <c r="MK264" s="61"/>
      <c r="ML264" s="61"/>
      <c r="MM264" s="61"/>
      <c r="MN264" s="61"/>
      <c r="MO264" s="61"/>
      <c r="MP264" s="61"/>
      <c r="MQ264" s="61"/>
      <c r="MR264" s="61"/>
      <c r="MS264" s="61"/>
      <c r="MT264" s="61"/>
      <c r="MU264" s="61"/>
      <c r="MV264" s="61"/>
      <c r="MW264" s="61"/>
      <c r="MX264" s="61"/>
      <c r="MY264" s="61"/>
      <c r="MZ264" s="61"/>
      <c r="NA264" s="61"/>
      <c r="NB264" s="61"/>
      <c r="NC264" s="61"/>
      <c r="ND264" s="61"/>
      <c r="NE264" s="61"/>
      <c r="NF264" s="61"/>
      <c r="NG264" s="61"/>
      <c r="NH264" s="61"/>
      <c r="NI264" s="61"/>
      <c r="NJ264" s="61"/>
      <c r="NK264" s="61"/>
      <c r="NL264" s="61"/>
      <c r="NM264" s="61"/>
      <c r="NN264" s="61"/>
      <c r="NO264" s="61"/>
      <c r="NP264" s="61"/>
      <c r="NQ264" s="61"/>
      <c r="NR264" s="61"/>
      <c r="NS264" s="61"/>
      <c r="NT264" s="61"/>
      <c r="NU264" s="61"/>
      <c r="NV264" s="61"/>
      <c r="NW264" s="61"/>
      <c r="NX264" s="61"/>
      <c r="NY264" s="61"/>
      <c r="NZ264" s="61"/>
      <c r="OA264" s="61"/>
      <c r="OB264" s="61"/>
      <c r="OC264" s="61"/>
      <c r="OD264" s="61"/>
      <c r="OE264" s="61"/>
      <c r="OF264" s="61"/>
      <c r="OG264" s="61"/>
      <c r="OH264" s="61"/>
      <c r="OI264" s="61"/>
      <c r="OJ264" s="61"/>
      <c r="OK264" s="61"/>
      <c r="OL264" s="61"/>
      <c r="OM264" s="61"/>
      <c r="ON264" s="61"/>
      <c r="OO264" s="61"/>
      <c r="OP264" s="61"/>
      <c r="OQ264" s="61"/>
      <c r="OR264" s="61"/>
      <c r="OS264" s="61"/>
      <c r="OT264" s="61"/>
      <c r="OU264" s="61"/>
      <c r="OV264" s="61"/>
      <c r="OW264" s="61"/>
      <c r="OX264" s="61"/>
      <c r="OY264" s="61"/>
      <c r="OZ264" s="61"/>
      <c r="PA264" s="61"/>
      <c r="PB264" s="61"/>
      <c r="PC264" s="61"/>
      <c r="PD264" s="61"/>
      <c r="PE264" s="61"/>
      <c r="PF264" s="61"/>
      <c r="PG264" s="61"/>
      <c r="PH264" s="61"/>
      <c r="PI264" s="61"/>
      <c r="PJ264" s="61"/>
      <c r="PK264" s="61"/>
      <c r="PL264" s="61"/>
      <c r="PM264" s="61"/>
      <c r="PN264" s="61"/>
      <c r="PO264" s="61"/>
      <c r="PP264" s="61"/>
      <c r="PQ264" s="61"/>
      <c r="PR264" s="61"/>
      <c r="PS264" s="61"/>
      <c r="PT264" s="61"/>
      <c r="PU264" s="61"/>
      <c r="PV264" s="61"/>
      <c r="PW264" s="61"/>
      <c r="PX264" s="61"/>
      <c r="PY264" s="61"/>
      <c r="PZ264" s="61"/>
      <c r="QA264" s="61"/>
      <c r="QB264" s="61"/>
      <c r="QC264" s="61"/>
      <c r="QD264" s="61"/>
      <c r="QE264" s="61"/>
      <c r="QF264" s="61"/>
      <c r="QG264" s="61"/>
      <c r="QH264" s="61"/>
      <c r="QI264" s="61"/>
      <c r="QJ264" s="61"/>
      <c r="QK264" s="61"/>
      <c r="QL264" s="61"/>
      <c r="QM264" s="61"/>
      <c r="QN264" s="61"/>
      <c r="QO264" s="61"/>
      <c r="QP264" s="61"/>
      <c r="QQ264" s="61"/>
      <c r="QR264" s="61"/>
      <c r="QS264" s="61"/>
      <c r="QT264" s="61"/>
      <c r="QU264" s="61"/>
      <c r="QV264" s="61"/>
      <c r="QW264" s="61"/>
      <c r="QX264" s="61"/>
      <c r="QY264" s="61"/>
      <c r="QZ264" s="61"/>
      <c r="RA264" s="61"/>
      <c r="RB264" s="61"/>
      <c r="RC264" s="61"/>
      <c r="RD264" s="61"/>
      <c r="RE264" s="61"/>
      <c r="RF264" s="61"/>
      <c r="RG264" s="61"/>
      <c r="RH264" s="61"/>
      <c r="RI264" s="61"/>
      <c r="RJ264" s="61"/>
      <c r="RK264" s="61"/>
      <c r="RL264" s="61"/>
      <c r="RM264" s="61"/>
      <c r="RN264" s="61"/>
      <c r="RO264" s="61"/>
      <c r="RP264" s="61"/>
      <c r="RQ264" s="61"/>
      <c r="RR264" s="61"/>
      <c r="RS264" s="61"/>
      <c r="RT264" s="61"/>
      <c r="RU264" s="61"/>
      <c r="RV264" s="61"/>
      <c r="RW264" s="61"/>
      <c r="RX264" s="61"/>
      <c r="RY264" s="61"/>
      <c r="RZ264" s="61"/>
      <c r="SA264" s="61"/>
      <c r="SB264" s="61"/>
      <c r="SC264" s="61"/>
      <c r="SD264" s="61"/>
      <c r="SE264" s="61"/>
      <c r="SF264" s="61"/>
      <c r="SG264" s="61"/>
      <c r="SH264" s="61"/>
      <c r="SI264" s="61"/>
      <c r="SJ264" s="61"/>
      <c r="SK264" s="61"/>
      <c r="SL264" s="61"/>
      <c r="SM264" s="61"/>
      <c r="SN264" s="61"/>
      <c r="SO264" s="61"/>
      <c r="SP264" s="61"/>
      <c r="SQ264" s="61"/>
      <c r="SR264" s="61"/>
      <c r="SS264" s="61"/>
      <c r="ST264" s="61"/>
      <c r="SU264" s="61"/>
      <c r="SV264" s="61"/>
      <c r="SW264" s="61"/>
      <c r="SX264" s="61"/>
      <c r="SY264" s="61"/>
      <c r="SZ264" s="61"/>
      <c r="TA264" s="61"/>
      <c r="TB264" s="61"/>
      <c r="TC264" s="61"/>
      <c r="TD264" s="61"/>
      <c r="TE264" s="61"/>
      <c r="TF264" s="61"/>
      <c r="TG264" s="61"/>
      <c r="TH264" s="61"/>
      <c r="TI264" s="61"/>
      <c r="TJ264" s="61"/>
      <c r="TK264" s="61"/>
      <c r="TL264" s="61"/>
      <c r="TM264" s="61"/>
      <c r="TN264" s="61"/>
      <c r="TO264" s="61"/>
      <c r="TP264" s="61"/>
      <c r="TQ264" s="61"/>
      <c r="TR264" s="61"/>
      <c r="TS264" s="61"/>
      <c r="TT264" s="61"/>
      <c r="TU264" s="61"/>
      <c r="TV264" s="61"/>
      <c r="TW264" s="61"/>
      <c r="TX264" s="61"/>
      <c r="TY264" s="61"/>
      <c r="TZ264" s="61"/>
      <c r="UA264" s="61"/>
      <c r="UB264" s="61"/>
      <c r="UC264" s="61"/>
      <c r="UD264" s="61"/>
      <c r="UE264" s="61"/>
      <c r="UF264" s="61"/>
      <c r="UG264" s="61"/>
      <c r="UH264" s="61"/>
      <c r="UI264" s="61"/>
      <c r="UJ264" s="61"/>
      <c r="UK264" s="61"/>
      <c r="UL264" s="61"/>
      <c r="UM264" s="61"/>
      <c r="UN264" s="61"/>
      <c r="UO264" s="61"/>
      <c r="UP264" s="61"/>
      <c r="UQ264" s="61"/>
      <c r="UR264" s="61"/>
      <c r="US264" s="61"/>
      <c r="UT264" s="61"/>
      <c r="UU264" s="61"/>
      <c r="UV264" s="61"/>
      <c r="UW264" s="61"/>
      <c r="UX264" s="61"/>
      <c r="UY264" s="61"/>
      <c r="UZ264" s="61"/>
      <c r="VA264" s="61"/>
      <c r="VB264" s="61"/>
      <c r="VC264" s="61"/>
    </row>
    <row r="265" spans="1:575" s="55" customFormat="1" ht="30" hidden="1" customHeight="1" x14ac:dyDescent="0.25">
      <c r="A265" s="53" t="s">
        <v>511</v>
      </c>
      <c r="B265" s="102" t="str">
        <f>'дод 2'!A179</f>
        <v>7442</v>
      </c>
      <c r="C265" s="102" t="str">
        <f>'дод 2'!B179</f>
        <v>0456</v>
      </c>
      <c r="D265" s="56" t="str">
        <f>'дод 2'!C179</f>
        <v>Утримання та розвиток інших об’єктів транспортної інфраструктури</v>
      </c>
      <c r="E265" s="132">
        <f t="shared" si="47"/>
        <v>0</v>
      </c>
      <c r="F265" s="132"/>
      <c r="G265" s="132"/>
      <c r="H265" s="132"/>
      <c r="I265" s="132"/>
      <c r="J265" s="132">
        <f t="shared" si="43"/>
        <v>0</v>
      </c>
      <c r="K265" s="132"/>
      <c r="L265" s="132"/>
      <c r="M265" s="132"/>
      <c r="N265" s="132"/>
      <c r="O265" s="132"/>
      <c r="P265" s="132">
        <f t="shared" si="48"/>
        <v>0</v>
      </c>
      <c r="Q265" s="159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  <c r="KO265" s="61"/>
      <c r="KP265" s="61"/>
      <c r="KQ265" s="61"/>
      <c r="KR265" s="61"/>
      <c r="KS265" s="61"/>
      <c r="KT265" s="61"/>
      <c r="KU265" s="61"/>
      <c r="KV265" s="61"/>
      <c r="KW265" s="61"/>
      <c r="KX265" s="61"/>
      <c r="KY265" s="61"/>
      <c r="KZ265" s="61"/>
      <c r="LA265" s="61"/>
      <c r="LB265" s="61"/>
      <c r="LC265" s="61"/>
      <c r="LD265" s="61"/>
      <c r="LE265" s="61"/>
      <c r="LF265" s="61"/>
      <c r="LG265" s="61"/>
      <c r="LH265" s="61"/>
      <c r="LI265" s="61"/>
      <c r="LJ265" s="61"/>
      <c r="LK265" s="61"/>
      <c r="LL265" s="61"/>
      <c r="LM265" s="61"/>
      <c r="LN265" s="61"/>
      <c r="LO265" s="61"/>
      <c r="LP265" s="61"/>
      <c r="LQ265" s="61"/>
      <c r="LR265" s="61"/>
      <c r="LS265" s="61"/>
      <c r="LT265" s="61"/>
      <c r="LU265" s="61"/>
      <c r="LV265" s="61"/>
      <c r="LW265" s="61"/>
      <c r="LX265" s="61"/>
      <c r="LY265" s="61"/>
      <c r="LZ265" s="61"/>
      <c r="MA265" s="61"/>
      <c r="MB265" s="61"/>
      <c r="MC265" s="61"/>
      <c r="MD265" s="61"/>
      <c r="ME265" s="61"/>
      <c r="MF265" s="61"/>
      <c r="MG265" s="61"/>
      <c r="MH265" s="61"/>
      <c r="MI265" s="61"/>
      <c r="MJ265" s="61"/>
      <c r="MK265" s="61"/>
      <c r="ML265" s="61"/>
      <c r="MM265" s="61"/>
      <c r="MN265" s="61"/>
      <c r="MO265" s="61"/>
      <c r="MP265" s="61"/>
      <c r="MQ265" s="61"/>
      <c r="MR265" s="61"/>
      <c r="MS265" s="61"/>
      <c r="MT265" s="61"/>
      <c r="MU265" s="61"/>
      <c r="MV265" s="61"/>
      <c r="MW265" s="61"/>
      <c r="MX265" s="61"/>
      <c r="MY265" s="61"/>
      <c r="MZ265" s="61"/>
      <c r="NA265" s="61"/>
      <c r="NB265" s="61"/>
      <c r="NC265" s="61"/>
      <c r="ND265" s="61"/>
      <c r="NE265" s="61"/>
      <c r="NF265" s="61"/>
      <c r="NG265" s="61"/>
      <c r="NH265" s="61"/>
      <c r="NI265" s="61"/>
      <c r="NJ265" s="61"/>
      <c r="NK265" s="61"/>
      <c r="NL265" s="61"/>
      <c r="NM265" s="61"/>
      <c r="NN265" s="61"/>
      <c r="NO265" s="61"/>
      <c r="NP265" s="61"/>
      <c r="NQ265" s="61"/>
      <c r="NR265" s="61"/>
      <c r="NS265" s="61"/>
      <c r="NT265" s="61"/>
      <c r="NU265" s="61"/>
      <c r="NV265" s="61"/>
      <c r="NW265" s="61"/>
      <c r="NX265" s="61"/>
      <c r="NY265" s="61"/>
      <c r="NZ265" s="61"/>
      <c r="OA265" s="61"/>
      <c r="OB265" s="61"/>
      <c r="OC265" s="61"/>
      <c r="OD265" s="61"/>
      <c r="OE265" s="61"/>
      <c r="OF265" s="61"/>
      <c r="OG265" s="61"/>
      <c r="OH265" s="61"/>
      <c r="OI265" s="61"/>
      <c r="OJ265" s="61"/>
      <c r="OK265" s="61"/>
      <c r="OL265" s="61"/>
      <c r="OM265" s="61"/>
      <c r="ON265" s="61"/>
      <c r="OO265" s="61"/>
      <c r="OP265" s="61"/>
      <c r="OQ265" s="61"/>
      <c r="OR265" s="61"/>
      <c r="OS265" s="61"/>
      <c r="OT265" s="61"/>
      <c r="OU265" s="61"/>
      <c r="OV265" s="61"/>
      <c r="OW265" s="61"/>
      <c r="OX265" s="61"/>
      <c r="OY265" s="61"/>
      <c r="OZ265" s="61"/>
      <c r="PA265" s="61"/>
      <c r="PB265" s="61"/>
      <c r="PC265" s="61"/>
      <c r="PD265" s="61"/>
      <c r="PE265" s="61"/>
      <c r="PF265" s="61"/>
      <c r="PG265" s="61"/>
      <c r="PH265" s="61"/>
      <c r="PI265" s="61"/>
      <c r="PJ265" s="61"/>
      <c r="PK265" s="61"/>
      <c r="PL265" s="61"/>
      <c r="PM265" s="61"/>
      <c r="PN265" s="61"/>
      <c r="PO265" s="61"/>
      <c r="PP265" s="61"/>
      <c r="PQ265" s="61"/>
      <c r="PR265" s="61"/>
      <c r="PS265" s="61"/>
      <c r="PT265" s="61"/>
      <c r="PU265" s="61"/>
      <c r="PV265" s="61"/>
      <c r="PW265" s="61"/>
      <c r="PX265" s="61"/>
      <c r="PY265" s="61"/>
      <c r="PZ265" s="61"/>
      <c r="QA265" s="61"/>
      <c r="QB265" s="61"/>
      <c r="QC265" s="61"/>
      <c r="QD265" s="61"/>
      <c r="QE265" s="61"/>
      <c r="QF265" s="61"/>
      <c r="QG265" s="61"/>
      <c r="QH265" s="61"/>
      <c r="QI265" s="61"/>
      <c r="QJ265" s="61"/>
      <c r="QK265" s="61"/>
      <c r="QL265" s="61"/>
      <c r="QM265" s="61"/>
      <c r="QN265" s="61"/>
      <c r="QO265" s="61"/>
      <c r="QP265" s="61"/>
      <c r="QQ265" s="61"/>
      <c r="QR265" s="61"/>
      <c r="QS265" s="61"/>
      <c r="QT265" s="61"/>
      <c r="QU265" s="61"/>
      <c r="QV265" s="61"/>
      <c r="QW265" s="61"/>
      <c r="QX265" s="61"/>
      <c r="QY265" s="61"/>
      <c r="QZ265" s="61"/>
      <c r="RA265" s="61"/>
      <c r="RB265" s="61"/>
      <c r="RC265" s="61"/>
      <c r="RD265" s="61"/>
      <c r="RE265" s="61"/>
      <c r="RF265" s="61"/>
      <c r="RG265" s="61"/>
      <c r="RH265" s="61"/>
      <c r="RI265" s="61"/>
      <c r="RJ265" s="61"/>
      <c r="RK265" s="61"/>
      <c r="RL265" s="61"/>
      <c r="RM265" s="61"/>
      <c r="RN265" s="61"/>
      <c r="RO265" s="61"/>
      <c r="RP265" s="61"/>
      <c r="RQ265" s="61"/>
      <c r="RR265" s="61"/>
      <c r="RS265" s="61"/>
      <c r="RT265" s="61"/>
      <c r="RU265" s="61"/>
      <c r="RV265" s="61"/>
      <c r="RW265" s="61"/>
      <c r="RX265" s="61"/>
      <c r="RY265" s="61"/>
      <c r="RZ265" s="61"/>
      <c r="SA265" s="61"/>
      <c r="SB265" s="61"/>
      <c r="SC265" s="61"/>
      <c r="SD265" s="61"/>
      <c r="SE265" s="61"/>
      <c r="SF265" s="61"/>
      <c r="SG265" s="61"/>
      <c r="SH265" s="61"/>
      <c r="SI265" s="61"/>
      <c r="SJ265" s="61"/>
      <c r="SK265" s="61"/>
      <c r="SL265" s="61"/>
      <c r="SM265" s="61"/>
      <c r="SN265" s="61"/>
      <c r="SO265" s="61"/>
      <c r="SP265" s="61"/>
      <c r="SQ265" s="61"/>
      <c r="SR265" s="61"/>
      <c r="SS265" s="61"/>
      <c r="ST265" s="61"/>
      <c r="SU265" s="61"/>
      <c r="SV265" s="61"/>
      <c r="SW265" s="61"/>
      <c r="SX265" s="61"/>
      <c r="SY265" s="61"/>
      <c r="SZ265" s="61"/>
      <c r="TA265" s="61"/>
      <c r="TB265" s="61"/>
      <c r="TC265" s="61"/>
      <c r="TD265" s="61"/>
      <c r="TE265" s="61"/>
      <c r="TF265" s="61"/>
      <c r="TG265" s="61"/>
      <c r="TH265" s="61"/>
      <c r="TI265" s="61"/>
      <c r="TJ265" s="61"/>
      <c r="TK265" s="61"/>
      <c r="TL265" s="61"/>
      <c r="TM265" s="61"/>
      <c r="TN265" s="61"/>
      <c r="TO265" s="61"/>
      <c r="TP265" s="61"/>
      <c r="TQ265" s="61"/>
      <c r="TR265" s="61"/>
      <c r="TS265" s="61"/>
      <c r="TT265" s="61"/>
      <c r="TU265" s="61"/>
      <c r="TV265" s="61"/>
      <c r="TW265" s="61"/>
      <c r="TX265" s="61"/>
      <c r="TY265" s="61"/>
      <c r="TZ265" s="61"/>
      <c r="UA265" s="61"/>
      <c r="UB265" s="61"/>
      <c r="UC265" s="61"/>
      <c r="UD265" s="61"/>
      <c r="UE265" s="61"/>
      <c r="UF265" s="61"/>
      <c r="UG265" s="61"/>
      <c r="UH265" s="61"/>
      <c r="UI265" s="61"/>
      <c r="UJ265" s="61"/>
      <c r="UK265" s="61"/>
      <c r="UL265" s="61"/>
      <c r="UM265" s="61"/>
      <c r="UN265" s="61"/>
      <c r="UO265" s="61"/>
      <c r="UP265" s="61"/>
      <c r="UQ265" s="61"/>
      <c r="UR265" s="61"/>
      <c r="US265" s="61"/>
      <c r="UT265" s="61"/>
      <c r="UU265" s="61"/>
      <c r="UV265" s="61"/>
      <c r="UW265" s="61"/>
      <c r="UX265" s="61"/>
      <c r="UY265" s="61"/>
      <c r="UZ265" s="61"/>
      <c r="VA265" s="61"/>
      <c r="VB265" s="61"/>
      <c r="VC265" s="61"/>
    </row>
    <row r="266" spans="1:575" s="55" customFormat="1" ht="51.75" customHeight="1" x14ac:dyDescent="0.25">
      <c r="A266" s="102">
        <v>1517361</v>
      </c>
      <c r="B266" s="102">
        <v>7361</v>
      </c>
      <c r="C266" s="102" t="s">
        <v>112</v>
      </c>
      <c r="D266" s="56" t="s">
        <v>515</v>
      </c>
      <c r="E266" s="132">
        <f t="shared" si="47"/>
        <v>0</v>
      </c>
      <c r="F266" s="132"/>
      <c r="G266" s="132"/>
      <c r="H266" s="132"/>
      <c r="I266" s="132"/>
      <c r="J266" s="132">
        <f t="shared" si="43"/>
        <v>28000</v>
      </c>
      <c r="K266" s="132">
        <v>28000</v>
      </c>
      <c r="L266" s="132"/>
      <c r="M266" s="132"/>
      <c r="N266" s="132"/>
      <c r="O266" s="132">
        <v>28000</v>
      </c>
      <c r="P266" s="132">
        <f t="shared" si="48"/>
        <v>28000</v>
      </c>
      <c r="Q266" s="159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  <c r="KO266" s="61"/>
      <c r="KP266" s="61"/>
      <c r="KQ266" s="61"/>
      <c r="KR266" s="61"/>
      <c r="KS266" s="61"/>
      <c r="KT266" s="61"/>
      <c r="KU266" s="61"/>
      <c r="KV266" s="61"/>
      <c r="KW266" s="61"/>
      <c r="KX266" s="61"/>
      <c r="KY266" s="61"/>
      <c r="KZ266" s="61"/>
      <c r="LA266" s="61"/>
      <c r="LB266" s="61"/>
      <c r="LC266" s="61"/>
      <c r="LD266" s="61"/>
      <c r="LE266" s="61"/>
      <c r="LF266" s="61"/>
      <c r="LG266" s="61"/>
      <c r="LH266" s="61"/>
      <c r="LI266" s="61"/>
      <c r="LJ266" s="61"/>
      <c r="LK266" s="61"/>
      <c r="LL266" s="61"/>
      <c r="LM266" s="61"/>
      <c r="LN266" s="61"/>
      <c r="LO266" s="61"/>
      <c r="LP266" s="61"/>
      <c r="LQ266" s="61"/>
      <c r="LR266" s="61"/>
      <c r="LS266" s="61"/>
      <c r="LT266" s="61"/>
      <c r="LU266" s="61"/>
      <c r="LV266" s="61"/>
      <c r="LW266" s="61"/>
      <c r="LX266" s="61"/>
      <c r="LY266" s="61"/>
      <c r="LZ266" s="61"/>
      <c r="MA266" s="61"/>
      <c r="MB266" s="61"/>
      <c r="MC266" s="61"/>
      <c r="MD266" s="61"/>
      <c r="ME266" s="61"/>
      <c r="MF266" s="61"/>
      <c r="MG266" s="61"/>
      <c r="MH266" s="61"/>
      <c r="MI266" s="61"/>
      <c r="MJ266" s="61"/>
      <c r="MK266" s="61"/>
      <c r="ML266" s="61"/>
      <c r="MM266" s="61"/>
      <c r="MN266" s="61"/>
      <c r="MO266" s="61"/>
      <c r="MP266" s="61"/>
      <c r="MQ266" s="61"/>
      <c r="MR266" s="61"/>
      <c r="MS266" s="61"/>
      <c r="MT266" s="61"/>
      <c r="MU266" s="61"/>
      <c r="MV266" s="61"/>
      <c r="MW266" s="61"/>
      <c r="MX266" s="61"/>
      <c r="MY266" s="61"/>
      <c r="MZ266" s="61"/>
      <c r="NA266" s="61"/>
      <c r="NB266" s="61"/>
      <c r="NC266" s="61"/>
      <c r="ND266" s="61"/>
      <c r="NE266" s="61"/>
      <c r="NF266" s="61"/>
      <c r="NG266" s="61"/>
      <c r="NH266" s="61"/>
      <c r="NI266" s="61"/>
      <c r="NJ266" s="61"/>
      <c r="NK266" s="61"/>
      <c r="NL266" s="61"/>
      <c r="NM266" s="61"/>
      <c r="NN266" s="61"/>
      <c r="NO266" s="61"/>
      <c r="NP266" s="61"/>
      <c r="NQ266" s="61"/>
      <c r="NR266" s="61"/>
      <c r="NS266" s="61"/>
      <c r="NT266" s="61"/>
      <c r="NU266" s="61"/>
      <c r="NV266" s="61"/>
      <c r="NW266" s="61"/>
      <c r="NX266" s="61"/>
      <c r="NY266" s="61"/>
      <c r="NZ266" s="61"/>
      <c r="OA266" s="61"/>
      <c r="OB266" s="61"/>
      <c r="OC266" s="61"/>
      <c r="OD266" s="61"/>
      <c r="OE266" s="61"/>
      <c r="OF266" s="61"/>
      <c r="OG266" s="61"/>
      <c r="OH266" s="61"/>
      <c r="OI266" s="61"/>
      <c r="OJ266" s="61"/>
      <c r="OK266" s="61"/>
      <c r="OL266" s="61"/>
      <c r="OM266" s="61"/>
      <c r="ON266" s="61"/>
      <c r="OO266" s="61"/>
      <c r="OP266" s="61"/>
      <c r="OQ266" s="61"/>
      <c r="OR266" s="61"/>
      <c r="OS266" s="61"/>
      <c r="OT266" s="61"/>
      <c r="OU266" s="61"/>
      <c r="OV266" s="61"/>
      <c r="OW266" s="61"/>
      <c r="OX266" s="61"/>
      <c r="OY266" s="61"/>
      <c r="OZ266" s="61"/>
      <c r="PA266" s="61"/>
      <c r="PB266" s="61"/>
      <c r="PC266" s="61"/>
      <c r="PD266" s="61"/>
      <c r="PE266" s="61"/>
      <c r="PF266" s="61"/>
      <c r="PG266" s="61"/>
      <c r="PH266" s="61"/>
      <c r="PI266" s="61"/>
      <c r="PJ266" s="61"/>
      <c r="PK266" s="61"/>
      <c r="PL266" s="61"/>
      <c r="PM266" s="61"/>
      <c r="PN266" s="61"/>
      <c r="PO266" s="61"/>
      <c r="PP266" s="61"/>
      <c r="PQ266" s="61"/>
      <c r="PR266" s="61"/>
      <c r="PS266" s="61"/>
      <c r="PT266" s="61"/>
      <c r="PU266" s="61"/>
      <c r="PV266" s="61"/>
      <c r="PW266" s="61"/>
      <c r="PX266" s="61"/>
      <c r="PY266" s="61"/>
      <c r="PZ266" s="61"/>
      <c r="QA266" s="61"/>
      <c r="QB266" s="61"/>
      <c r="QC266" s="61"/>
      <c r="QD266" s="61"/>
      <c r="QE266" s="61"/>
      <c r="QF266" s="61"/>
      <c r="QG266" s="61"/>
      <c r="QH266" s="61"/>
      <c r="QI266" s="61"/>
      <c r="QJ266" s="61"/>
      <c r="QK266" s="61"/>
      <c r="QL266" s="61"/>
      <c r="QM266" s="61"/>
      <c r="QN266" s="61"/>
      <c r="QO266" s="61"/>
      <c r="QP266" s="61"/>
      <c r="QQ266" s="61"/>
      <c r="QR266" s="61"/>
      <c r="QS266" s="61"/>
      <c r="QT266" s="61"/>
      <c r="QU266" s="61"/>
      <c r="QV266" s="61"/>
      <c r="QW266" s="61"/>
      <c r="QX266" s="61"/>
      <c r="QY266" s="61"/>
      <c r="QZ266" s="61"/>
      <c r="RA266" s="61"/>
      <c r="RB266" s="61"/>
      <c r="RC266" s="61"/>
      <c r="RD266" s="61"/>
      <c r="RE266" s="61"/>
      <c r="RF266" s="61"/>
      <c r="RG266" s="61"/>
      <c r="RH266" s="61"/>
      <c r="RI266" s="61"/>
      <c r="RJ266" s="61"/>
      <c r="RK266" s="61"/>
      <c r="RL266" s="61"/>
      <c r="RM266" s="61"/>
      <c r="RN266" s="61"/>
      <c r="RO266" s="61"/>
      <c r="RP266" s="61"/>
      <c r="RQ266" s="61"/>
      <c r="RR266" s="61"/>
      <c r="RS266" s="61"/>
      <c r="RT266" s="61"/>
      <c r="RU266" s="61"/>
      <c r="RV266" s="61"/>
      <c r="RW266" s="61"/>
      <c r="RX266" s="61"/>
      <c r="RY266" s="61"/>
      <c r="RZ266" s="61"/>
      <c r="SA266" s="61"/>
      <c r="SB266" s="61"/>
      <c r="SC266" s="61"/>
      <c r="SD266" s="61"/>
      <c r="SE266" s="61"/>
      <c r="SF266" s="61"/>
      <c r="SG266" s="61"/>
      <c r="SH266" s="61"/>
      <c r="SI266" s="61"/>
      <c r="SJ266" s="61"/>
      <c r="SK266" s="61"/>
      <c r="SL266" s="61"/>
      <c r="SM266" s="61"/>
      <c r="SN266" s="61"/>
      <c r="SO266" s="61"/>
      <c r="SP266" s="61"/>
      <c r="SQ266" s="61"/>
      <c r="SR266" s="61"/>
      <c r="SS266" s="61"/>
      <c r="ST266" s="61"/>
      <c r="SU266" s="61"/>
      <c r="SV266" s="61"/>
      <c r="SW266" s="61"/>
      <c r="SX266" s="61"/>
      <c r="SY266" s="61"/>
      <c r="SZ266" s="61"/>
      <c r="TA266" s="61"/>
      <c r="TB266" s="61"/>
      <c r="TC266" s="61"/>
      <c r="TD266" s="61"/>
      <c r="TE266" s="61"/>
      <c r="TF266" s="61"/>
      <c r="TG266" s="61"/>
      <c r="TH266" s="61"/>
      <c r="TI266" s="61"/>
      <c r="TJ266" s="61"/>
      <c r="TK266" s="61"/>
      <c r="TL266" s="61"/>
      <c r="TM266" s="61"/>
      <c r="TN266" s="61"/>
      <c r="TO266" s="61"/>
      <c r="TP266" s="61"/>
      <c r="TQ266" s="61"/>
      <c r="TR266" s="61"/>
      <c r="TS266" s="61"/>
      <c r="TT266" s="61"/>
      <c r="TU266" s="61"/>
      <c r="TV266" s="61"/>
      <c r="TW266" s="61"/>
      <c r="TX266" s="61"/>
      <c r="TY266" s="61"/>
      <c r="TZ266" s="61"/>
      <c r="UA266" s="61"/>
      <c r="UB266" s="61"/>
      <c r="UC266" s="61"/>
      <c r="UD266" s="61"/>
      <c r="UE266" s="61"/>
      <c r="UF266" s="61"/>
      <c r="UG266" s="61"/>
      <c r="UH266" s="61"/>
      <c r="UI266" s="61"/>
      <c r="UJ266" s="61"/>
      <c r="UK266" s="61"/>
      <c r="UL266" s="61"/>
      <c r="UM266" s="61"/>
      <c r="UN266" s="61"/>
      <c r="UO266" s="61"/>
      <c r="UP266" s="61"/>
      <c r="UQ266" s="61"/>
      <c r="UR266" s="61"/>
      <c r="US266" s="61"/>
      <c r="UT266" s="61"/>
      <c r="UU266" s="61"/>
      <c r="UV266" s="61"/>
      <c r="UW266" s="61"/>
      <c r="UX266" s="61"/>
      <c r="UY266" s="61"/>
      <c r="UZ266" s="61"/>
      <c r="VA266" s="61"/>
      <c r="VB266" s="61"/>
      <c r="VC266" s="61"/>
    </row>
    <row r="267" spans="1:575" s="55" customFormat="1" ht="53.25" customHeight="1" x14ac:dyDescent="0.25">
      <c r="A267" s="102">
        <v>1517363</v>
      </c>
      <c r="B267" s="102">
        <v>7363</v>
      </c>
      <c r="C267" s="107" t="s">
        <v>112</v>
      </c>
      <c r="D267" s="54" t="s">
        <v>498</v>
      </c>
      <c r="E267" s="132">
        <f t="shared" ref="E267:E269" si="49">F267+I267</f>
        <v>0</v>
      </c>
      <c r="F267" s="132"/>
      <c r="G267" s="132"/>
      <c r="H267" s="132"/>
      <c r="I267" s="132"/>
      <c r="J267" s="132">
        <f t="shared" ref="J267:J269" si="50">L267+O267</f>
        <v>310390</v>
      </c>
      <c r="K267" s="132">
        <f>35000+13000+390+250000+12000</f>
        <v>310390</v>
      </c>
      <c r="L267" s="132"/>
      <c r="M267" s="132"/>
      <c r="N267" s="132"/>
      <c r="O267" s="132">
        <f>35000+13000+390+250000+12000</f>
        <v>310390</v>
      </c>
      <c r="P267" s="132">
        <f t="shared" ref="P267:P269" si="51">E267+J267</f>
        <v>310390</v>
      </c>
      <c r="Q267" s="159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  <c r="SP267" s="61"/>
      <c r="SQ267" s="61"/>
      <c r="SR267" s="61"/>
      <c r="SS267" s="61"/>
      <c r="ST267" s="61"/>
      <c r="SU267" s="61"/>
      <c r="SV267" s="61"/>
      <c r="SW267" s="61"/>
      <c r="SX267" s="61"/>
      <c r="SY267" s="61"/>
      <c r="SZ267" s="61"/>
      <c r="TA267" s="61"/>
      <c r="TB267" s="61"/>
      <c r="TC267" s="61"/>
      <c r="TD267" s="61"/>
      <c r="TE267" s="61"/>
      <c r="TF267" s="61"/>
      <c r="TG267" s="61"/>
      <c r="TH267" s="61"/>
      <c r="TI267" s="61"/>
      <c r="TJ267" s="61"/>
      <c r="TK267" s="61"/>
      <c r="TL267" s="61"/>
      <c r="TM267" s="61"/>
      <c r="TN267" s="61"/>
      <c r="TO267" s="61"/>
      <c r="TP267" s="61"/>
      <c r="TQ267" s="61"/>
      <c r="TR267" s="61"/>
      <c r="TS267" s="61"/>
      <c r="TT267" s="61"/>
      <c r="TU267" s="61"/>
      <c r="TV267" s="61"/>
      <c r="TW267" s="61"/>
      <c r="TX267" s="61"/>
      <c r="TY267" s="61"/>
      <c r="TZ267" s="61"/>
      <c r="UA267" s="61"/>
      <c r="UB267" s="61"/>
      <c r="UC267" s="61"/>
      <c r="UD267" s="61"/>
      <c r="UE267" s="61"/>
      <c r="UF267" s="61"/>
      <c r="UG267" s="61"/>
      <c r="UH267" s="61"/>
      <c r="UI267" s="61"/>
      <c r="UJ267" s="61"/>
      <c r="UK267" s="61"/>
      <c r="UL267" s="61"/>
      <c r="UM267" s="61"/>
      <c r="UN267" s="61"/>
      <c r="UO267" s="61"/>
      <c r="UP267" s="61"/>
      <c r="UQ267" s="61"/>
      <c r="UR267" s="61"/>
      <c r="US267" s="61"/>
      <c r="UT267" s="61"/>
      <c r="UU267" s="61"/>
      <c r="UV267" s="61"/>
      <c r="UW267" s="61"/>
      <c r="UX267" s="61"/>
      <c r="UY267" s="61"/>
      <c r="UZ267" s="61"/>
      <c r="VA267" s="61"/>
      <c r="VB267" s="61"/>
      <c r="VC267" s="61"/>
    </row>
    <row r="268" spans="1:575" s="55" customFormat="1" ht="21.75" customHeight="1" x14ac:dyDescent="0.25">
      <c r="A268" s="102"/>
      <c r="B268" s="102"/>
      <c r="C268" s="107"/>
      <c r="D268" s="54" t="s">
        <v>586</v>
      </c>
      <c r="E268" s="132">
        <f t="shared" si="49"/>
        <v>0</v>
      </c>
      <c r="F268" s="132"/>
      <c r="G268" s="132"/>
      <c r="H268" s="132"/>
      <c r="I268" s="132"/>
      <c r="J268" s="132">
        <f t="shared" si="50"/>
        <v>60000</v>
      </c>
      <c r="K268" s="132">
        <f>35000+13000+12000</f>
        <v>60000</v>
      </c>
      <c r="L268" s="132"/>
      <c r="M268" s="132"/>
      <c r="N268" s="132"/>
      <c r="O268" s="132">
        <f>35000+13000+12000</f>
        <v>60000</v>
      </c>
      <c r="P268" s="132">
        <f t="shared" si="51"/>
        <v>60000</v>
      </c>
      <c r="Q268" s="159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  <c r="SP268" s="61"/>
      <c r="SQ268" s="61"/>
      <c r="SR268" s="61"/>
      <c r="SS268" s="61"/>
      <c r="ST268" s="61"/>
      <c r="SU268" s="61"/>
      <c r="SV268" s="61"/>
      <c r="SW268" s="61"/>
      <c r="SX268" s="61"/>
      <c r="SY268" s="61"/>
      <c r="SZ268" s="61"/>
      <c r="TA268" s="61"/>
      <c r="TB268" s="61"/>
      <c r="TC268" s="61"/>
      <c r="TD268" s="61"/>
      <c r="TE268" s="61"/>
      <c r="TF268" s="61"/>
      <c r="TG268" s="61"/>
      <c r="TH268" s="61"/>
      <c r="TI268" s="61"/>
      <c r="TJ268" s="61"/>
      <c r="TK268" s="61"/>
      <c r="TL268" s="61"/>
      <c r="TM268" s="61"/>
      <c r="TN268" s="61"/>
      <c r="TO268" s="61"/>
      <c r="TP268" s="61"/>
      <c r="TQ268" s="61"/>
      <c r="TR268" s="61"/>
      <c r="TS268" s="61"/>
      <c r="TT268" s="61"/>
      <c r="TU268" s="61"/>
      <c r="TV268" s="61"/>
      <c r="TW268" s="61"/>
      <c r="TX268" s="61"/>
      <c r="TY268" s="61"/>
      <c r="TZ268" s="61"/>
      <c r="UA268" s="61"/>
      <c r="UB268" s="61"/>
      <c r="UC268" s="61"/>
      <c r="UD268" s="61"/>
      <c r="UE268" s="61"/>
      <c r="UF268" s="61"/>
      <c r="UG268" s="61"/>
      <c r="UH268" s="61"/>
      <c r="UI268" s="61"/>
      <c r="UJ268" s="61"/>
      <c r="UK268" s="61"/>
      <c r="UL268" s="61"/>
      <c r="UM268" s="61"/>
      <c r="UN268" s="61"/>
      <c r="UO268" s="61"/>
      <c r="UP268" s="61"/>
      <c r="UQ268" s="61"/>
      <c r="UR268" s="61"/>
      <c r="US268" s="61"/>
      <c r="UT268" s="61"/>
      <c r="UU268" s="61"/>
      <c r="UV268" s="61"/>
      <c r="UW268" s="61"/>
      <c r="UX268" s="61"/>
      <c r="UY268" s="61"/>
      <c r="UZ268" s="61"/>
      <c r="VA268" s="61"/>
      <c r="VB268" s="61"/>
      <c r="VC268" s="61"/>
    </row>
    <row r="269" spans="1:575" s="55" customFormat="1" ht="36.75" customHeight="1" x14ac:dyDescent="0.25">
      <c r="A269" s="102">
        <v>1517370</v>
      </c>
      <c r="B269" s="102">
        <v>7370</v>
      </c>
      <c r="C269" s="107" t="s">
        <v>112</v>
      </c>
      <c r="D269" s="54" t="s">
        <v>566</v>
      </c>
      <c r="E269" s="132">
        <f t="shared" si="49"/>
        <v>84344.6</v>
      </c>
      <c r="F269" s="132">
        <f>84344.6</f>
        <v>84344.6</v>
      </c>
      <c r="G269" s="132"/>
      <c r="H269" s="132"/>
      <c r="I269" s="132"/>
      <c r="J269" s="132">
        <f t="shared" si="50"/>
        <v>0</v>
      </c>
      <c r="K269" s="132"/>
      <c r="L269" s="132"/>
      <c r="M269" s="132"/>
      <c r="N269" s="132"/>
      <c r="O269" s="132"/>
      <c r="P269" s="132">
        <f t="shared" si="51"/>
        <v>84344.6</v>
      </c>
      <c r="Q269" s="159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  <c r="SP269" s="61"/>
      <c r="SQ269" s="61"/>
      <c r="SR269" s="61"/>
      <c r="SS269" s="61"/>
      <c r="ST269" s="61"/>
      <c r="SU269" s="61"/>
      <c r="SV269" s="61"/>
      <c r="SW269" s="61"/>
      <c r="SX269" s="61"/>
      <c r="SY269" s="61"/>
      <c r="SZ269" s="61"/>
      <c r="TA269" s="61"/>
      <c r="TB269" s="61"/>
      <c r="TC269" s="61"/>
      <c r="TD269" s="61"/>
      <c r="TE269" s="61"/>
      <c r="TF269" s="61"/>
      <c r="TG269" s="61"/>
      <c r="TH269" s="61"/>
      <c r="TI269" s="61"/>
      <c r="TJ269" s="61"/>
      <c r="TK269" s="61"/>
      <c r="TL269" s="61"/>
      <c r="TM269" s="61"/>
      <c r="TN269" s="61"/>
      <c r="TO269" s="61"/>
      <c r="TP269" s="61"/>
      <c r="TQ269" s="61"/>
      <c r="TR269" s="61"/>
      <c r="TS269" s="61"/>
      <c r="TT269" s="61"/>
      <c r="TU269" s="61"/>
      <c r="TV269" s="61"/>
      <c r="TW269" s="61"/>
      <c r="TX269" s="61"/>
      <c r="TY269" s="61"/>
      <c r="TZ269" s="61"/>
      <c r="UA269" s="61"/>
      <c r="UB269" s="61"/>
      <c r="UC269" s="61"/>
      <c r="UD269" s="61"/>
      <c r="UE269" s="61"/>
      <c r="UF269" s="61"/>
      <c r="UG269" s="61"/>
      <c r="UH269" s="61"/>
      <c r="UI269" s="61"/>
      <c r="UJ269" s="61"/>
      <c r="UK269" s="61"/>
      <c r="UL269" s="61"/>
      <c r="UM269" s="61"/>
      <c r="UN269" s="61"/>
      <c r="UO269" s="61"/>
      <c r="UP269" s="61"/>
      <c r="UQ269" s="61"/>
      <c r="UR269" s="61"/>
      <c r="US269" s="61"/>
      <c r="UT269" s="61"/>
      <c r="UU269" s="61"/>
      <c r="UV269" s="61"/>
      <c r="UW269" s="61"/>
      <c r="UX269" s="61"/>
      <c r="UY269" s="61"/>
      <c r="UZ269" s="61"/>
      <c r="VA269" s="61"/>
      <c r="VB269" s="61"/>
      <c r="VC269" s="61"/>
    </row>
    <row r="270" spans="1:575" s="55" customFormat="1" ht="35.25" hidden="1" customHeight="1" x14ac:dyDescent="0.25">
      <c r="A270" s="102">
        <v>1517442</v>
      </c>
      <c r="B270" s="102">
        <v>7442</v>
      </c>
      <c r="C270" s="102" t="s">
        <v>410</v>
      </c>
      <c r="D270" s="56" t="s">
        <v>510</v>
      </c>
      <c r="E270" s="132">
        <f t="shared" si="47"/>
        <v>0</v>
      </c>
      <c r="F270" s="132"/>
      <c r="G270" s="132"/>
      <c r="H270" s="132"/>
      <c r="I270" s="132"/>
      <c r="J270" s="132">
        <f t="shared" si="43"/>
        <v>0</v>
      </c>
      <c r="K270" s="132"/>
      <c r="L270" s="132"/>
      <c r="M270" s="132"/>
      <c r="N270" s="132"/>
      <c r="O270" s="132">
        <f>70472.47-70472.47</f>
        <v>0</v>
      </c>
      <c r="P270" s="132">
        <f t="shared" si="48"/>
        <v>0</v>
      </c>
      <c r="Q270" s="159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61"/>
      <c r="KU270" s="61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61"/>
      <c r="LN270" s="61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61"/>
      <c r="MG270" s="61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61"/>
      <c r="NA270" s="61"/>
      <c r="NB270" s="61"/>
      <c r="NC270" s="61"/>
      <c r="ND270" s="61"/>
      <c r="NE270" s="61"/>
      <c r="NF270" s="61"/>
      <c r="NG270" s="61"/>
      <c r="NH270" s="61"/>
      <c r="NI270" s="61"/>
      <c r="NJ270" s="61"/>
      <c r="NK270" s="61"/>
      <c r="NL270" s="61"/>
      <c r="NM270" s="61"/>
      <c r="NN270" s="61"/>
      <c r="NO270" s="61"/>
      <c r="NP270" s="61"/>
      <c r="NQ270" s="61"/>
      <c r="NR270" s="61"/>
      <c r="NS270" s="61"/>
      <c r="NT270" s="61"/>
      <c r="NU270" s="61"/>
      <c r="NV270" s="61"/>
      <c r="NW270" s="61"/>
      <c r="NX270" s="61"/>
      <c r="NY270" s="61"/>
      <c r="NZ270" s="61"/>
      <c r="OA270" s="61"/>
      <c r="OB270" s="61"/>
      <c r="OC270" s="61"/>
      <c r="OD270" s="61"/>
      <c r="OE270" s="61"/>
      <c r="OF270" s="61"/>
      <c r="OG270" s="61"/>
      <c r="OH270" s="61"/>
      <c r="OI270" s="61"/>
      <c r="OJ270" s="61"/>
      <c r="OK270" s="61"/>
      <c r="OL270" s="61"/>
      <c r="OM270" s="61"/>
      <c r="ON270" s="61"/>
      <c r="OO270" s="61"/>
      <c r="OP270" s="61"/>
      <c r="OQ270" s="61"/>
      <c r="OR270" s="61"/>
      <c r="OS270" s="61"/>
      <c r="OT270" s="61"/>
      <c r="OU270" s="61"/>
      <c r="OV270" s="61"/>
      <c r="OW270" s="61"/>
      <c r="OX270" s="61"/>
      <c r="OY270" s="61"/>
      <c r="OZ270" s="61"/>
      <c r="PA270" s="61"/>
      <c r="PB270" s="61"/>
      <c r="PC270" s="61"/>
      <c r="PD270" s="61"/>
      <c r="PE270" s="61"/>
      <c r="PF270" s="61"/>
      <c r="PG270" s="61"/>
      <c r="PH270" s="61"/>
      <c r="PI270" s="61"/>
      <c r="PJ270" s="61"/>
      <c r="PK270" s="61"/>
      <c r="PL270" s="61"/>
      <c r="PM270" s="61"/>
      <c r="PN270" s="61"/>
      <c r="PO270" s="61"/>
      <c r="PP270" s="61"/>
      <c r="PQ270" s="61"/>
      <c r="PR270" s="61"/>
      <c r="PS270" s="61"/>
      <c r="PT270" s="61"/>
      <c r="PU270" s="61"/>
      <c r="PV270" s="61"/>
      <c r="PW270" s="61"/>
      <c r="PX270" s="61"/>
      <c r="PY270" s="61"/>
      <c r="PZ270" s="61"/>
      <c r="QA270" s="61"/>
      <c r="QB270" s="61"/>
      <c r="QC270" s="61"/>
      <c r="QD270" s="61"/>
      <c r="QE270" s="61"/>
      <c r="QF270" s="61"/>
      <c r="QG270" s="61"/>
      <c r="QH270" s="61"/>
      <c r="QI270" s="61"/>
      <c r="QJ270" s="61"/>
      <c r="QK270" s="61"/>
      <c r="QL270" s="61"/>
      <c r="QM270" s="61"/>
      <c r="QN270" s="61"/>
      <c r="QO270" s="61"/>
      <c r="QP270" s="61"/>
      <c r="QQ270" s="61"/>
      <c r="QR270" s="61"/>
      <c r="QS270" s="61"/>
      <c r="QT270" s="61"/>
      <c r="QU270" s="61"/>
      <c r="QV270" s="61"/>
      <c r="QW270" s="61"/>
      <c r="QX270" s="61"/>
      <c r="QY270" s="61"/>
      <c r="QZ270" s="61"/>
      <c r="RA270" s="61"/>
      <c r="RB270" s="61"/>
      <c r="RC270" s="61"/>
      <c r="RD270" s="61"/>
      <c r="RE270" s="61"/>
      <c r="RF270" s="61"/>
      <c r="RG270" s="61"/>
      <c r="RH270" s="61"/>
      <c r="RI270" s="61"/>
      <c r="RJ270" s="61"/>
      <c r="RK270" s="61"/>
      <c r="RL270" s="61"/>
      <c r="RM270" s="61"/>
      <c r="RN270" s="61"/>
      <c r="RO270" s="61"/>
      <c r="RP270" s="61"/>
      <c r="RQ270" s="61"/>
      <c r="RR270" s="61"/>
      <c r="RS270" s="61"/>
      <c r="RT270" s="61"/>
      <c r="RU270" s="61"/>
      <c r="RV270" s="61"/>
      <c r="RW270" s="61"/>
      <c r="RX270" s="61"/>
      <c r="RY270" s="61"/>
      <c r="RZ270" s="61"/>
      <c r="SA270" s="61"/>
      <c r="SB270" s="61"/>
      <c r="SC270" s="61"/>
      <c r="SD270" s="61"/>
      <c r="SE270" s="61"/>
      <c r="SF270" s="61"/>
      <c r="SG270" s="61"/>
      <c r="SH270" s="61"/>
      <c r="SI270" s="61"/>
      <c r="SJ270" s="61"/>
      <c r="SK270" s="61"/>
      <c r="SL270" s="61"/>
      <c r="SM270" s="61"/>
      <c r="SN270" s="61"/>
      <c r="SO270" s="61"/>
      <c r="SP270" s="61"/>
      <c r="SQ270" s="61"/>
      <c r="SR270" s="61"/>
      <c r="SS270" s="61"/>
      <c r="ST270" s="61"/>
      <c r="SU270" s="61"/>
      <c r="SV270" s="61"/>
      <c r="SW270" s="61"/>
      <c r="SX270" s="61"/>
      <c r="SY270" s="61"/>
      <c r="SZ270" s="61"/>
      <c r="TA270" s="61"/>
      <c r="TB270" s="61"/>
      <c r="TC270" s="61"/>
      <c r="TD270" s="61"/>
      <c r="TE270" s="61"/>
      <c r="TF270" s="61"/>
      <c r="TG270" s="61"/>
      <c r="TH270" s="61"/>
      <c r="TI270" s="61"/>
      <c r="TJ270" s="61"/>
      <c r="TK270" s="61"/>
      <c r="TL270" s="61"/>
      <c r="TM270" s="61"/>
      <c r="TN270" s="61"/>
      <c r="TO270" s="61"/>
      <c r="TP270" s="61"/>
      <c r="TQ270" s="61"/>
      <c r="TR270" s="61"/>
      <c r="TS270" s="61"/>
      <c r="TT270" s="61"/>
      <c r="TU270" s="61"/>
      <c r="TV270" s="61"/>
      <c r="TW270" s="61"/>
      <c r="TX270" s="61"/>
      <c r="TY270" s="61"/>
      <c r="TZ270" s="61"/>
      <c r="UA270" s="61"/>
      <c r="UB270" s="61"/>
      <c r="UC270" s="61"/>
      <c r="UD270" s="61"/>
      <c r="UE270" s="61"/>
      <c r="UF270" s="61"/>
      <c r="UG270" s="61"/>
      <c r="UH270" s="61"/>
      <c r="UI270" s="61"/>
      <c r="UJ270" s="61"/>
      <c r="UK270" s="61"/>
      <c r="UL270" s="61"/>
      <c r="UM270" s="61"/>
      <c r="UN270" s="61"/>
      <c r="UO270" s="61"/>
      <c r="UP270" s="61"/>
      <c r="UQ270" s="61"/>
      <c r="UR270" s="61"/>
      <c r="US270" s="61"/>
      <c r="UT270" s="61"/>
      <c r="UU270" s="61"/>
      <c r="UV270" s="61"/>
      <c r="UW270" s="61"/>
      <c r="UX270" s="61"/>
      <c r="UY270" s="61"/>
      <c r="UZ270" s="61"/>
      <c r="VA270" s="61"/>
      <c r="VB270" s="61"/>
      <c r="VC270" s="61"/>
    </row>
    <row r="271" spans="1:575" s="55" customFormat="1" ht="45" hidden="1" customHeight="1" x14ac:dyDescent="0.25">
      <c r="A271" s="53" t="s">
        <v>527</v>
      </c>
      <c r="B271" s="102" t="s">
        <v>528</v>
      </c>
      <c r="C271" s="107" t="s">
        <v>410</v>
      </c>
      <c r="D271" s="65" t="s">
        <v>529</v>
      </c>
      <c r="E271" s="132">
        <f t="shared" si="47"/>
        <v>0</v>
      </c>
      <c r="F271" s="132"/>
      <c r="G271" s="132"/>
      <c r="H271" s="132"/>
      <c r="I271" s="132"/>
      <c r="J271" s="132">
        <f t="shared" si="43"/>
        <v>0</v>
      </c>
      <c r="K271" s="132"/>
      <c r="L271" s="132"/>
      <c r="M271" s="132"/>
      <c r="N271" s="132"/>
      <c r="O271" s="132">
        <f>30000000-30000000</f>
        <v>0</v>
      </c>
      <c r="P271" s="132">
        <f t="shared" si="48"/>
        <v>0</v>
      </c>
      <c r="Q271" s="159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  <c r="KO271" s="61"/>
      <c r="KP271" s="61"/>
      <c r="KQ271" s="61"/>
      <c r="KR271" s="61"/>
      <c r="KS271" s="61"/>
      <c r="KT271" s="61"/>
      <c r="KU271" s="61"/>
      <c r="KV271" s="61"/>
      <c r="KW271" s="61"/>
      <c r="KX271" s="61"/>
      <c r="KY271" s="61"/>
      <c r="KZ271" s="61"/>
      <c r="LA271" s="61"/>
      <c r="LB271" s="61"/>
      <c r="LC271" s="61"/>
      <c r="LD271" s="61"/>
      <c r="LE271" s="61"/>
      <c r="LF271" s="61"/>
      <c r="LG271" s="61"/>
      <c r="LH271" s="61"/>
      <c r="LI271" s="61"/>
      <c r="LJ271" s="61"/>
      <c r="LK271" s="61"/>
      <c r="LL271" s="61"/>
      <c r="LM271" s="61"/>
      <c r="LN271" s="61"/>
      <c r="LO271" s="61"/>
      <c r="LP271" s="61"/>
      <c r="LQ271" s="61"/>
      <c r="LR271" s="61"/>
      <c r="LS271" s="61"/>
      <c r="LT271" s="61"/>
      <c r="LU271" s="61"/>
      <c r="LV271" s="61"/>
      <c r="LW271" s="61"/>
      <c r="LX271" s="61"/>
      <c r="LY271" s="61"/>
      <c r="LZ271" s="61"/>
      <c r="MA271" s="61"/>
      <c r="MB271" s="61"/>
      <c r="MC271" s="61"/>
      <c r="MD271" s="61"/>
      <c r="ME271" s="61"/>
      <c r="MF271" s="61"/>
      <c r="MG271" s="61"/>
      <c r="MH271" s="61"/>
      <c r="MI271" s="61"/>
      <c r="MJ271" s="61"/>
      <c r="MK271" s="61"/>
      <c r="ML271" s="61"/>
      <c r="MM271" s="61"/>
      <c r="MN271" s="61"/>
      <c r="MO271" s="61"/>
      <c r="MP271" s="61"/>
      <c r="MQ271" s="61"/>
      <c r="MR271" s="61"/>
      <c r="MS271" s="61"/>
      <c r="MT271" s="61"/>
      <c r="MU271" s="61"/>
      <c r="MV271" s="61"/>
      <c r="MW271" s="61"/>
      <c r="MX271" s="61"/>
      <c r="MY271" s="61"/>
      <c r="MZ271" s="61"/>
      <c r="NA271" s="61"/>
      <c r="NB271" s="61"/>
      <c r="NC271" s="61"/>
      <c r="ND271" s="61"/>
      <c r="NE271" s="61"/>
      <c r="NF271" s="61"/>
      <c r="NG271" s="61"/>
      <c r="NH271" s="61"/>
      <c r="NI271" s="61"/>
      <c r="NJ271" s="61"/>
      <c r="NK271" s="61"/>
      <c r="NL271" s="61"/>
      <c r="NM271" s="61"/>
      <c r="NN271" s="61"/>
      <c r="NO271" s="61"/>
      <c r="NP271" s="61"/>
      <c r="NQ271" s="61"/>
      <c r="NR271" s="61"/>
      <c r="NS271" s="61"/>
      <c r="NT271" s="61"/>
      <c r="NU271" s="61"/>
      <c r="NV271" s="61"/>
      <c r="NW271" s="61"/>
      <c r="NX271" s="61"/>
      <c r="NY271" s="61"/>
      <c r="NZ271" s="61"/>
      <c r="OA271" s="61"/>
      <c r="OB271" s="61"/>
      <c r="OC271" s="61"/>
      <c r="OD271" s="61"/>
      <c r="OE271" s="61"/>
      <c r="OF271" s="61"/>
      <c r="OG271" s="61"/>
      <c r="OH271" s="61"/>
      <c r="OI271" s="61"/>
      <c r="OJ271" s="61"/>
      <c r="OK271" s="61"/>
      <c r="OL271" s="61"/>
      <c r="OM271" s="61"/>
      <c r="ON271" s="61"/>
      <c r="OO271" s="61"/>
      <c r="OP271" s="61"/>
      <c r="OQ271" s="61"/>
      <c r="OR271" s="61"/>
      <c r="OS271" s="61"/>
      <c r="OT271" s="61"/>
      <c r="OU271" s="61"/>
      <c r="OV271" s="61"/>
      <c r="OW271" s="61"/>
      <c r="OX271" s="61"/>
      <c r="OY271" s="61"/>
      <c r="OZ271" s="61"/>
      <c r="PA271" s="61"/>
      <c r="PB271" s="61"/>
      <c r="PC271" s="61"/>
      <c r="PD271" s="61"/>
      <c r="PE271" s="61"/>
      <c r="PF271" s="61"/>
      <c r="PG271" s="61"/>
      <c r="PH271" s="61"/>
      <c r="PI271" s="61"/>
      <c r="PJ271" s="61"/>
      <c r="PK271" s="61"/>
      <c r="PL271" s="61"/>
      <c r="PM271" s="61"/>
      <c r="PN271" s="61"/>
      <c r="PO271" s="61"/>
      <c r="PP271" s="61"/>
      <c r="PQ271" s="61"/>
      <c r="PR271" s="61"/>
      <c r="PS271" s="61"/>
      <c r="PT271" s="61"/>
      <c r="PU271" s="61"/>
      <c r="PV271" s="61"/>
      <c r="PW271" s="61"/>
      <c r="PX271" s="61"/>
      <c r="PY271" s="61"/>
      <c r="PZ271" s="61"/>
      <c r="QA271" s="61"/>
      <c r="QB271" s="61"/>
      <c r="QC271" s="61"/>
      <c r="QD271" s="61"/>
      <c r="QE271" s="61"/>
      <c r="QF271" s="61"/>
      <c r="QG271" s="61"/>
      <c r="QH271" s="61"/>
      <c r="QI271" s="61"/>
      <c r="QJ271" s="61"/>
      <c r="QK271" s="61"/>
      <c r="QL271" s="61"/>
      <c r="QM271" s="61"/>
      <c r="QN271" s="61"/>
      <c r="QO271" s="61"/>
      <c r="QP271" s="61"/>
      <c r="QQ271" s="61"/>
      <c r="QR271" s="61"/>
      <c r="QS271" s="61"/>
      <c r="QT271" s="61"/>
      <c r="QU271" s="61"/>
      <c r="QV271" s="61"/>
      <c r="QW271" s="61"/>
      <c r="QX271" s="61"/>
      <c r="QY271" s="61"/>
      <c r="QZ271" s="61"/>
      <c r="RA271" s="61"/>
      <c r="RB271" s="61"/>
      <c r="RC271" s="61"/>
      <c r="RD271" s="61"/>
      <c r="RE271" s="61"/>
      <c r="RF271" s="61"/>
      <c r="RG271" s="61"/>
      <c r="RH271" s="61"/>
      <c r="RI271" s="61"/>
      <c r="RJ271" s="61"/>
      <c r="RK271" s="61"/>
      <c r="RL271" s="61"/>
      <c r="RM271" s="61"/>
      <c r="RN271" s="61"/>
      <c r="RO271" s="61"/>
      <c r="RP271" s="61"/>
      <c r="RQ271" s="61"/>
      <c r="RR271" s="61"/>
      <c r="RS271" s="61"/>
      <c r="RT271" s="61"/>
      <c r="RU271" s="61"/>
      <c r="RV271" s="61"/>
      <c r="RW271" s="61"/>
      <c r="RX271" s="61"/>
      <c r="RY271" s="61"/>
      <c r="RZ271" s="61"/>
      <c r="SA271" s="61"/>
      <c r="SB271" s="61"/>
      <c r="SC271" s="61"/>
      <c r="SD271" s="61"/>
      <c r="SE271" s="61"/>
      <c r="SF271" s="61"/>
      <c r="SG271" s="61"/>
      <c r="SH271" s="61"/>
      <c r="SI271" s="61"/>
      <c r="SJ271" s="61"/>
      <c r="SK271" s="61"/>
      <c r="SL271" s="61"/>
      <c r="SM271" s="61"/>
      <c r="SN271" s="61"/>
      <c r="SO271" s="61"/>
      <c r="SP271" s="61"/>
      <c r="SQ271" s="61"/>
      <c r="SR271" s="61"/>
      <c r="SS271" s="61"/>
      <c r="ST271" s="61"/>
      <c r="SU271" s="61"/>
      <c r="SV271" s="61"/>
      <c r="SW271" s="61"/>
      <c r="SX271" s="61"/>
      <c r="SY271" s="61"/>
      <c r="SZ271" s="61"/>
      <c r="TA271" s="61"/>
      <c r="TB271" s="61"/>
      <c r="TC271" s="61"/>
      <c r="TD271" s="61"/>
      <c r="TE271" s="61"/>
      <c r="TF271" s="61"/>
      <c r="TG271" s="61"/>
      <c r="TH271" s="61"/>
      <c r="TI271" s="61"/>
      <c r="TJ271" s="61"/>
      <c r="TK271" s="61"/>
      <c r="TL271" s="61"/>
      <c r="TM271" s="61"/>
      <c r="TN271" s="61"/>
      <c r="TO271" s="61"/>
      <c r="TP271" s="61"/>
      <c r="TQ271" s="61"/>
      <c r="TR271" s="61"/>
      <c r="TS271" s="61"/>
      <c r="TT271" s="61"/>
      <c r="TU271" s="61"/>
      <c r="TV271" s="61"/>
      <c r="TW271" s="61"/>
      <c r="TX271" s="61"/>
      <c r="TY271" s="61"/>
      <c r="TZ271" s="61"/>
      <c r="UA271" s="61"/>
      <c r="UB271" s="61"/>
      <c r="UC271" s="61"/>
      <c r="UD271" s="61"/>
      <c r="UE271" s="61"/>
      <c r="UF271" s="61"/>
      <c r="UG271" s="61"/>
      <c r="UH271" s="61"/>
      <c r="UI271" s="61"/>
      <c r="UJ271" s="61"/>
      <c r="UK271" s="61"/>
      <c r="UL271" s="61"/>
      <c r="UM271" s="61"/>
      <c r="UN271" s="61"/>
      <c r="UO271" s="61"/>
      <c r="UP271" s="61"/>
      <c r="UQ271" s="61"/>
      <c r="UR271" s="61"/>
      <c r="US271" s="61"/>
      <c r="UT271" s="61"/>
      <c r="UU271" s="61"/>
      <c r="UV271" s="61"/>
      <c r="UW271" s="61"/>
      <c r="UX271" s="61"/>
      <c r="UY271" s="61"/>
      <c r="UZ271" s="61"/>
      <c r="VA271" s="61"/>
      <c r="VB271" s="61"/>
      <c r="VC271" s="61"/>
    </row>
    <row r="272" spans="1:575" s="55" customFormat="1" ht="15" hidden="1" customHeight="1" x14ac:dyDescent="0.25">
      <c r="A272" s="53"/>
      <c r="B272" s="102"/>
      <c r="C272" s="107"/>
      <c r="D272" s="54" t="s">
        <v>344</v>
      </c>
      <c r="E272" s="132">
        <f t="shared" si="47"/>
        <v>0</v>
      </c>
      <c r="F272" s="132"/>
      <c r="G272" s="132"/>
      <c r="H272" s="132"/>
      <c r="I272" s="132"/>
      <c r="J272" s="132">
        <f t="shared" si="43"/>
        <v>0</v>
      </c>
      <c r="K272" s="132"/>
      <c r="L272" s="132"/>
      <c r="M272" s="132"/>
      <c r="N272" s="132"/>
      <c r="O272" s="132">
        <f>30000000-30000000</f>
        <v>0</v>
      </c>
      <c r="P272" s="132">
        <f t="shared" si="48"/>
        <v>0</v>
      </c>
      <c r="Q272" s="159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61"/>
      <c r="KU272" s="61"/>
      <c r="KV272" s="61"/>
      <c r="KW272" s="61"/>
      <c r="KX272" s="61"/>
      <c r="KY272" s="61"/>
      <c r="KZ272" s="61"/>
      <c r="LA272" s="61"/>
      <c r="LB272" s="61"/>
      <c r="LC272" s="61"/>
      <c r="LD272" s="61"/>
      <c r="LE272" s="61"/>
      <c r="LF272" s="61"/>
      <c r="LG272" s="61"/>
      <c r="LH272" s="61"/>
      <c r="LI272" s="61"/>
      <c r="LJ272" s="61"/>
      <c r="LK272" s="61"/>
      <c r="LL272" s="61"/>
      <c r="LM272" s="61"/>
      <c r="LN272" s="61"/>
      <c r="LO272" s="61"/>
      <c r="LP272" s="61"/>
      <c r="LQ272" s="61"/>
      <c r="LR272" s="61"/>
      <c r="LS272" s="61"/>
      <c r="LT272" s="61"/>
      <c r="LU272" s="61"/>
      <c r="LV272" s="61"/>
      <c r="LW272" s="61"/>
      <c r="LX272" s="61"/>
      <c r="LY272" s="61"/>
      <c r="LZ272" s="61"/>
      <c r="MA272" s="61"/>
      <c r="MB272" s="61"/>
      <c r="MC272" s="61"/>
      <c r="MD272" s="61"/>
      <c r="ME272" s="61"/>
      <c r="MF272" s="61"/>
      <c r="MG272" s="61"/>
      <c r="MH272" s="61"/>
      <c r="MI272" s="61"/>
      <c r="MJ272" s="61"/>
      <c r="MK272" s="61"/>
      <c r="ML272" s="61"/>
      <c r="MM272" s="61"/>
      <c r="MN272" s="61"/>
      <c r="MO272" s="61"/>
      <c r="MP272" s="61"/>
      <c r="MQ272" s="61"/>
      <c r="MR272" s="61"/>
      <c r="MS272" s="61"/>
      <c r="MT272" s="61"/>
      <c r="MU272" s="61"/>
      <c r="MV272" s="61"/>
      <c r="MW272" s="61"/>
      <c r="MX272" s="61"/>
      <c r="MY272" s="61"/>
      <c r="MZ272" s="61"/>
      <c r="NA272" s="61"/>
      <c r="NB272" s="61"/>
      <c r="NC272" s="61"/>
      <c r="ND272" s="61"/>
      <c r="NE272" s="61"/>
      <c r="NF272" s="61"/>
      <c r="NG272" s="61"/>
      <c r="NH272" s="61"/>
      <c r="NI272" s="61"/>
      <c r="NJ272" s="61"/>
      <c r="NK272" s="61"/>
      <c r="NL272" s="61"/>
      <c r="NM272" s="61"/>
      <c r="NN272" s="61"/>
      <c r="NO272" s="61"/>
      <c r="NP272" s="61"/>
      <c r="NQ272" s="61"/>
      <c r="NR272" s="61"/>
      <c r="NS272" s="61"/>
      <c r="NT272" s="61"/>
      <c r="NU272" s="61"/>
      <c r="NV272" s="61"/>
      <c r="NW272" s="61"/>
      <c r="NX272" s="61"/>
      <c r="NY272" s="61"/>
      <c r="NZ272" s="61"/>
      <c r="OA272" s="61"/>
      <c r="OB272" s="61"/>
      <c r="OC272" s="61"/>
      <c r="OD272" s="61"/>
      <c r="OE272" s="61"/>
      <c r="OF272" s="61"/>
      <c r="OG272" s="61"/>
      <c r="OH272" s="61"/>
      <c r="OI272" s="61"/>
      <c r="OJ272" s="61"/>
      <c r="OK272" s="61"/>
      <c r="OL272" s="61"/>
      <c r="OM272" s="61"/>
      <c r="ON272" s="61"/>
      <c r="OO272" s="61"/>
      <c r="OP272" s="61"/>
      <c r="OQ272" s="61"/>
      <c r="OR272" s="61"/>
      <c r="OS272" s="61"/>
      <c r="OT272" s="61"/>
      <c r="OU272" s="61"/>
      <c r="OV272" s="61"/>
      <c r="OW272" s="61"/>
      <c r="OX272" s="61"/>
      <c r="OY272" s="61"/>
      <c r="OZ272" s="61"/>
      <c r="PA272" s="61"/>
      <c r="PB272" s="61"/>
      <c r="PC272" s="61"/>
      <c r="PD272" s="61"/>
      <c r="PE272" s="61"/>
      <c r="PF272" s="61"/>
      <c r="PG272" s="61"/>
      <c r="PH272" s="61"/>
      <c r="PI272" s="61"/>
      <c r="PJ272" s="61"/>
      <c r="PK272" s="61"/>
      <c r="PL272" s="61"/>
      <c r="PM272" s="61"/>
      <c r="PN272" s="61"/>
      <c r="PO272" s="61"/>
      <c r="PP272" s="61"/>
      <c r="PQ272" s="61"/>
      <c r="PR272" s="61"/>
      <c r="PS272" s="61"/>
      <c r="PT272" s="61"/>
      <c r="PU272" s="61"/>
      <c r="PV272" s="61"/>
      <c r="PW272" s="61"/>
      <c r="PX272" s="61"/>
      <c r="PY272" s="61"/>
      <c r="PZ272" s="61"/>
      <c r="QA272" s="61"/>
      <c r="QB272" s="61"/>
      <c r="QC272" s="61"/>
      <c r="QD272" s="61"/>
      <c r="QE272" s="61"/>
      <c r="QF272" s="61"/>
      <c r="QG272" s="61"/>
      <c r="QH272" s="61"/>
      <c r="QI272" s="61"/>
      <c r="QJ272" s="61"/>
      <c r="QK272" s="61"/>
      <c r="QL272" s="61"/>
      <c r="QM272" s="61"/>
      <c r="QN272" s="61"/>
      <c r="QO272" s="61"/>
      <c r="QP272" s="61"/>
      <c r="QQ272" s="61"/>
      <c r="QR272" s="61"/>
      <c r="QS272" s="61"/>
      <c r="QT272" s="61"/>
      <c r="QU272" s="61"/>
      <c r="QV272" s="61"/>
      <c r="QW272" s="61"/>
      <c r="QX272" s="61"/>
      <c r="QY272" s="61"/>
      <c r="QZ272" s="61"/>
      <c r="RA272" s="61"/>
      <c r="RB272" s="61"/>
      <c r="RC272" s="61"/>
      <c r="RD272" s="61"/>
      <c r="RE272" s="61"/>
      <c r="RF272" s="61"/>
      <c r="RG272" s="61"/>
      <c r="RH272" s="61"/>
      <c r="RI272" s="61"/>
      <c r="RJ272" s="61"/>
      <c r="RK272" s="61"/>
      <c r="RL272" s="61"/>
      <c r="RM272" s="61"/>
      <c r="RN272" s="61"/>
      <c r="RO272" s="61"/>
      <c r="RP272" s="61"/>
      <c r="RQ272" s="61"/>
      <c r="RR272" s="61"/>
      <c r="RS272" s="61"/>
      <c r="RT272" s="61"/>
      <c r="RU272" s="61"/>
      <c r="RV272" s="61"/>
      <c r="RW272" s="61"/>
      <c r="RX272" s="61"/>
      <c r="RY272" s="61"/>
      <c r="RZ272" s="61"/>
      <c r="SA272" s="61"/>
      <c r="SB272" s="61"/>
      <c r="SC272" s="61"/>
      <c r="SD272" s="61"/>
      <c r="SE272" s="61"/>
      <c r="SF272" s="61"/>
      <c r="SG272" s="61"/>
      <c r="SH272" s="61"/>
      <c r="SI272" s="61"/>
      <c r="SJ272" s="61"/>
      <c r="SK272" s="61"/>
      <c r="SL272" s="61"/>
      <c r="SM272" s="61"/>
      <c r="SN272" s="61"/>
      <c r="SO272" s="61"/>
      <c r="SP272" s="61"/>
      <c r="SQ272" s="61"/>
      <c r="SR272" s="61"/>
      <c r="SS272" s="61"/>
      <c r="ST272" s="61"/>
      <c r="SU272" s="61"/>
      <c r="SV272" s="61"/>
      <c r="SW272" s="61"/>
      <c r="SX272" s="61"/>
      <c r="SY272" s="61"/>
      <c r="SZ272" s="61"/>
      <c r="TA272" s="61"/>
      <c r="TB272" s="61"/>
      <c r="TC272" s="61"/>
      <c r="TD272" s="61"/>
      <c r="TE272" s="61"/>
      <c r="TF272" s="61"/>
      <c r="TG272" s="61"/>
      <c r="TH272" s="61"/>
      <c r="TI272" s="61"/>
      <c r="TJ272" s="61"/>
      <c r="TK272" s="61"/>
      <c r="TL272" s="61"/>
      <c r="TM272" s="61"/>
      <c r="TN272" s="61"/>
      <c r="TO272" s="61"/>
      <c r="TP272" s="61"/>
      <c r="TQ272" s="61"/>
      <c r="TR272" s="61"/>
      <c r="TS272" s="61"/>
      <c r="TT272" s="61"/>
      <c r="TU272" s="61"/>
      <c r="TV272" s="61"/>
      <c r="TW272" s="61"/>
      <c r="TX272" s="61"/>
      <c r="TY272" s="61"/>
      <c r="TZ272" s="61"/>
      <c r="UA272" s="61"/>
      <c r="UB272" s="61"/>
      <c r="UC272" s="61"/>
      <c r="UD272" s="61"/>
      <c r="UE272" s="61"/>
      <c r="UF272" s="61"/>
      <c r="UG272" s="61"/>
      <c r="UH272" s="61"/>
      <c r="UI272" s="61"/>
      <c r="UJ272" s="61"/>
      <c r="UK272" s="61"/>
      <c r="UL272" s="61"/>
      <c r="UM272" s="61"/>
      <c r="UN272" s="61"/>
      <c r="UO272" s="61"/>
      <c r="UP272" s="61"/>
      <c r="UQ272" s="61"/>
      <c r="UR272" s="61"/>
      <c r="US272" s="61"/>
      <c r="UT272" s="61"/>
      <c r="UU272" s="61"/>
      <c r="UV272" s="61"/>
      <c r="UW272" s="61"/>
      <c r="UX272" s="61"/>
      <c r="UY272" s="61"/>
      <c r="UZ272" s="61"/>
      <c r="VA272" s="61"/>
      <c r="VB272" s="61"/>
      <c r="VC272" s="61"/>
    </row>
    <row r="273" spans="1:575" s="55" customFormat="1" ht="21.75" customHeight="1" x14ac:dyDescent="0.25">
      <c r="A273" s="53" t="s">
        <v>198</v>
      </c>
      <c r="B273" s="102" t="str">
        <f>'дод 2'!A188</f>
        <v>7640</v>
      </c>
      <c r="C273" s="102" t="str">
        <f>'дод 2'!B188</f>
        <v>0470</v>
      </c>
      <c r="D273" s="56" t="str">
        <f>'дод 2'!C188</f>
        <v>Заходи з енергозбереження</v>
      </c>
      <c r="E273" s="132">
        <f t="shared" si="47"/>
        <v>417000</v>
      </c>
      <c r="F273" s="132">
        <f>520000+195000-95000-174000-29000</f>
        <v>417000</v>
      </c>
      <c r="G273" s="132"/>
      <c r="H273" s="132"/>
      <c r="I273" s="132"/>
      <c r="J273" s="132">
        <f t="shared" si="43"/>
        <v>86691500.049999997</v>
      </c>
      <c r="K273" s="132">
        <f>6550020+22810180+48093527-2000000+154500-3232000+500000-7800000+2000000+2000000-9106470.95-500000-500000-1000000-512229-1349480-360000</f>
        <v>55748047.049999997</v>
      </c>
      <c r="L273" s="132"/>
      <c r="M273" s="132"/>
      <c r="N273" s="132"/>
      <c r="O273" s="132">
        <f>6550020+22810180+48093527+30943453-2000000+154500-3232000+500000-7800000+2000000+2000000-9106470.95-500000-500000-1000000-512229-1349480-360000</f>
        <v>86691500.049999997</v>
      </c>
      <c r="P273" s="132">
        <f t="shared" si="48"/>
        <v>87108500.049999997</v>
      </c>
      <c r="Q273" s="159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  <c r="SP273" s="61"/>
      <c r="SQ273" s="61"/>
      <c r="SR273" s="61"/>
      <c r="SS273" s="61"/>
      <c r="ST273" s="61"/>
      <c r="SU273" s="61"/>
      <c r="SV273" s="61"/>
      <c r="SW273" s="61"/>
      <c r="SX273" s="61"/>
      <c r="SY273" s="61"/>
      <c r="SZ273" s="61"/>
      <c r="TA273" s="61"/>
      <c r="TB273" s="61"/>
      <c r="TC273" s="61"/>
      <c r="TD273" s="61"/>
      <c r="TE273" s="61"/>
      <c r="TF273" s="61"/>
      <c r="TG273" s="61"/>
      <c r="TH273" s="61"/>
      <c r="TI273" s="61"/>
      <c r="TJ273" s="61"/>
      <c r="TK273" s="61"/>
      <c r="TL273" s="61"/>
      <c r="TM273" s="61"/>
      <c r="TN273" s="61"/>
      <c r="TO273" s="61"/>
      <c r="TP273" s="61"/>
      <c r="TQ273" s="61"/>
      <c r="TR273" s="61"/>
      <c r="TS273" s="61"/>
      <c r="TT273" s="61"/>
      <c r="TU273" s="61"/>
      <c r="TV273" s="61"/>
      <c r="TW273" s="61"/>
      <c r="TX273" s="61"/>
      <c r="TY273" s="61"/>
      <c r="TZ273" s="61"/>
      <c r="UA273" s="61"/>
      <c r="UB273" s="61"/>
      <c r="UC273" s="61"/>
      <c r="UD273" s="61"/>
      <c r="UE273" s="61"/>
      <c r="UF273" s="61"/>
      <c r="UG273" s="61"/>
      <c r="UH273" s="61"/>
      <c r="UI273" s="61"/>
      <c r="UJ273" s="61"/>
      <c r="UK273" s="61"/>
      <c r="UL273" s="61"/>
      <c r="UM273" s="61"/>
      <c r="UN273" s="61"/>
      <c r="UO273" s="61"/>
      <c r="UP273" s="61"/>
      <c r="UQ273" s="61"/>
      <c r="UR273" s="61"/>
      <c r="US273" s="61"/>
      <c r="UT273" s="61"/>
      <c r="UU273" s="61"/>
      <c r="UV273" s="61"/>
      <c r="UW273" s="61"/>
      <c r="UX273" s="61"/>
      <c r="UY273" s="61"/>
      <c r="UZ273" s="61"/>
      <c r="VA273" s="61"/>
      <c r="VB273" s="61"/>
      <c r="VC273" s="61"/>
    </row>
    <row r="274" spans="1:575" s="55" customFormat="1" ht="105" x14ac:dyDescent="0.25">
      <c r="A274" s="53" t="s">
        <v>508</v>
      </c>
      <c r="B274" s="102" t="str">
        <f>'дод 2'!A193</f>
        <v>7691</v>
      </c>
      <c r="C274" s="102" t="str">
        <f>'дод 2'!B193</f>
        <v>0490</v>
      </c>
      <c r="D274" s="54" t="s">
        <v>415</v>
      </c>
      <c r="E274" s="132">
        <f t="shared" si="47"/>
        <v>0</v>
      </c>
      <c r="F274" s="132"/>
      <c r="G274" s="132"/>
      <c r="H274" s="132"/>
      <c r="I274" s="132"/>
      <c r="J274" s="132">
        <f t="shared" si="43"/>
        <v>833117.12</v>
      </c>
      <c r="K274" s="132"/>
      <c r="L274" s="132"/>
      <c r="M274" s="132"/>
      <c r="N274" s="132"/>
      <c r="O274" s="132">
        <v>833117.12</v>
      </c>
      <c r="P274" s="132">
        <f t="shared" si="48"/>
        <v>833117.12</v>
      </c>
      <c r="Q274" s="159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  <c r="CJ274" s="61"/>
      <c r="CK274" s="61"/>
      <c r="CL274" s="61"/>
      <c r="CM274" s="61"/>
      <c r="CN274" s="61"/>
      <c r="CO274" s="61"/>
      <c r="CP274" s="61"/>
      <c r="CQ274" s="61"/>
      <c r="CR274" s="61"/>
      <c r="CS274" s="61"/>
      <c r="CT274" s="61"/>
      <c r="CU274" s="61"/>
      <c r="CV274" s="61"/>
      <c r="CW274" s="61"/>
      <c r="CX274" s="61"/>
      <c r="CY274" s="61"/>
      <c r="CZ274" s="61"/>
      <c r="DA274" s="61"/>
      <c r="DB274" s="61"/>
      <c r="DC274" s="61"/>
      <c r="DD274" s="61"/>
      <c r="DE274" s="61"/>
      <c r="DF274" s="61"/>
      <c r="DG274" s="61"/>
      <c r="DH274" s="61"/>
      <c r="DI274" s="61"/>
      <c r="DJ274" s="61"/>
      <c r="DK274" s="61"/>
      <c r="DL274" s="61"/>
      <c r="DM274" s="61"/>
      <c r="DN274" s="61"/>
      <c r="DO274" s="61"/>
      <c r="DP274" s="61"/>
      <c r="DQ274" s="61"/>
      <c r="DR274" s="61"/>
      <c r="DS274" s="61"/>
      <c r="DT274" s="61"/>
      <c r="DU274" s="61"/>
      <c r="DV274" s="61"/>
      <c r="DW274" s="61"/>
      <c r="DX274" s="61"/>
      <c r="DY274" s="61"/>
      <c r="DZ274" s="61"/>
      <c r="EA274" s="61"/>
      <c r="EB274" s="61"/>
      <c r="EC274" s="61"/>
      <c r="ED274" s="61"/>
      <c r="EE274" s="61"/>
      <c r="EF274" s="61"/>
      <c r="EG274" s="61"/>
      <c r="EH274" s="61"/>
      <c r="EI274" s="61"/>
      <c r="EJ274" s="61"/>
      <c r="EK274" s="61"/>
      <c r="EL274" s="61"/>
      <c r="EM274" s="61"/>
      <c r="EN274" s="61"/>
      <c r="EO274" s="61"/>
      <c r="EP274" s="61"/>
      <c r="EQ274" s="61"/>
      <c r="ER274" s="61"/>
      <c r="ES274" s="61"/>
      <c r="ET274" s="61"/>
      <c r="EU274" s="61"/>
      <c r="EV274" s="61"/>
      <c r="EW274" s="61"/>
      <c r="EX274" s="61"/>
      <c r="EY274" s="61"/>
      <c r="EZ274" s="61"/>
      <c r="FA274" s="61"/>
      <c r="FB274" s="61"/>
      <c r="FC274" s="61"/>
      <c r="FD274" s="61"/>
      <c r="FE274" s="61"/>
      <c r="FF274" s="61"/>
      <c r="FG274" s="61"/>
      <c r="FH274" s="61"/>
      <c r="FI274" s="61"/>
      <c r="FJ274" s="61"/>
      <c r="FK274" s="61"/>
      <c r="FL274" s="61"/>
      <c r="FM274" s="61"/>
      <c r="FN274" s="61"/>
      <c r="FO274" s="61"/>
      <c r="FP274" s="61"/>
      <c r="FQ274" s="61"/>
      <c r="FR274" s="61"/>
      <c r="FS274" s="61"/>
      <c r="FT274" s="61"/>
      <c r="FU274" s="61"/>
      <c r="FV274" s="61"/>
      <c r="FW274" s="61"/>
      <c r="FX274" s="61"/>
      <c r="FY274" s="61"/>
      <c r="FZ274" s="61"/>
      <c r="GA274" s="61"/>
      <c r="GB274" s="61"/>
      <c r="GC274" s="61"/>
      <c r="GD274" s="61"/>
      <c r="GE274" s="61"/>
      <c r="GF274" s="61"/>
      <c r="GG274" s="61"/>
      <c r="GH274" s="61"/>
      <c r="GI274" s="61"/>
      <c r="GJ274" s="61"/>
      <c r="GK274" s="61"/>
      <c r="GL274" s="61"/>
      <c r="GM274" s="61"/>
      <c r="GN274" s="61"/>
      <c r="GO274" s="61"/>
      <c r="GP274" s="61"/>
      <c r="GQ274" s="61"/>
      <c r="GR274" s="61"/>
      <c r="GS274" s="61"/>
      <c r="GT274" s="61"/>
      <c r="GU274" s="61"/>
      <c r="GV274" s="61"/>
      <c r="GW274" s="61"/>
      <c r="GX274" s="61"/>
      <c r="GY274" s="61"/>
      <c r="GZ274" s="61"/>
      <c r="HA274" s="61"/>
      <c r="HB274" s="61"/>
      <c r="HC274" s="61"/>
      <c r="HD274" s="61"/>
      <c r="HE274" s="61"/>
      <c r="HF274" s="61"/>
      <c r="HG274" s="61"/>
      <c r="HH274" s="61"/>
      <c r="HI274" s="61"/>
      <c r="HJ274" s="61"/>
      <c r="HK274" s="61"/>
      <c r="HL274" s="61"/>
      <c r="HM274" s="61"/>
      <c r="HN274" s="61"/>
      <c r="HO274" s="61"/>
      <c r="HP274" s="61"/>
      <c r="HQ274" s="61"/>
      <c r="HR274" s="61"/>
      <c r="HS274" s="61"/>
      <c r="HT274" s="61"/>
      <c r="HU274" s="61"/>
      <c r="HV274" s="61"/>
      <c r="HW274" s="61"/>
      <c r="HX274" s="61"/>
      <c r="HY274" s="61"/>
      <c r="HZ274" s="61"/>
      <c r="IA274" s="61"/>
      <c r="IB274" s="61"/>
      <c r="IC274" s="61"/>
      <c r="ID274" s="61"/>
      <c r="IE274" s="61"/>
      <c r="IF274" s="61"/>
      <c r="IG274" s="61"/>
      <c r="IH274" s="61"/>
      <c r="II274" s="61"/>
      <c r="IJ274" s="61"/>
      <c r="IK274" s="61"/>
      <c r="IL274" s="61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  <c r="IW274" s="61"/>
      <c r="IX274" s="61"/>
      <c r="IY274" s="61"/>
      <c r="IZ274" s="61"/>
      <c r="JA274" s="61"/>
      <c r="JB274" s="61"/>
      <c r="JC274" s="61"/>
      <c r="JD274" s="61"/>
      <c r="JE274" s="61"/>
      <c r="JF274" s="61"/>
      <c r="JG274" s="61"/>
      <c r="JH274" s="61"/>
      <c r="JI274" s="61"/>
      <c r="JJ274" s="61"/>
      <c r="JK274" s="61"/>
      <c r="JL274" s="61"/>
      <c r="JM274" s="61"/>
      <c r="JN274" s="61"/>
      <c r="JO274" s="61"/>
      <c r="JP274" s="61"/>
      <c r="JQ274" s="61"/>
      <c r="JR274" s="61"/>
      <c r="JS274" s="61"/>
      <c r="JT274" s="61"/>
      <c r="JU274" s="61"/>
      <c r="JV274" s="61"/>
      <c r="JW274" s="61"/>
      <c r="JX274" s="61"/>
      <c r="JY274" s="61"/>
      <c r="JZ274" s="61"/>
      <c r="KA274" s="61"/>
      <c r="KB274" s="61"/>
      <c r="KC274" s="61"/>
      <c r="KD274" s="61"/>
      <c r="KE274" s="61"/>
      <c r="KF274" s="61"/>
      <c r="KG274" s="61"/>
      <c r="KH274" s="61"/>
      <c r="KI274" s="61"/>
      <c r="KJ274" s="61"/>
      <c r="KK274" s="61"/>
      <c r="KL274" s="61"/>
      <c r="KM274" s="61"/>
      <c r="KN274" s="61"/>
      <c r="KO274" s="61"/>
      <c r="KP274" s="61"/>
      <c r="KQ274" s="61"/>
      <c r="KR274" s="61"/>
      <c r="KS274" s="61"/>
      <c r="KT274" s="61"/>
      <c r="KU274" s="61"/>
      <c r="KV274" s="61"/>
      <c r="KW274" s="61"/>
      <c r="KX274" s="61"/>
      <c r="KY274" s="61"/>
      <c r="KZ274" s="61"/>
      <c r="LA274" s="61"/>
      <c r="LB274" s="61"/>
      <c r="LC274" s="61"/>
      <c r="LD274" s="61"/>
      <c r="LE274" s="61"/>
      <c r="LF274" s="61"/>
      <c r="LG274" s="61"/>
      <c r="LH274" s="61"/>
      <c r="LI274" s="61"/>
      <c r="LJ274" s="61"/>
      <c r="LK274" s="61"/>
      <c r="LL274" s="61"/>
      <c r="LM274" s="61"/>
      <c r="LN274" s="61"/>
      <c r="LO274" s="61"/>
      <c r="LP274" s="61"/>
      <c r="LQ274" s="61"/>
      <c r="LR274" s="61"/>
      <c r="LS274" s="61"/>
      <c r="LT274" s="61"/>
      <c r="LU274" s="61"/>
      <c r="LV274" s="61"/>
      <c r="LW274" s="61"/>
      <c r="LX274" s="61"/>
      <c r="LY274" s="61"/>
      <c r="LZ274" s="61"/>
      <c r="MA274" s="61"/>
      <c r="MB274" s="61"/>
      <c r="MC274" s="61"/>
      <c r="MD274" s="61"/>
      <c r="ME274" s="61"/>
      <c r="MF274" s="61"/>
      <c r="MG274" s="61"/>
      <c r="MH274" s="61"/>
      <c r="MI274" s="61"/>
      <c r="MJ274" s="61"/>
      <c r="MK274" s="61"/>
      <c r="ML274" s="61"/>
      <c r="MM274" s="61"/>
      <c r="MN274" s="61"/>
      <c r="MO274" s="61"/>
      <c r="MP274" s="61"/>
      <c r="MQ274" s="61"/>
      <c r="MR274" s="61"/>
      <c r="MS274" s="61"/>
      <c r="MT274" s="61"/>
      <c r="MU274" s="61"/>
      <c r="MV274" s="61"/>
      <c r="MW274" s="61"/>
      <c r="MX274" s="61"/>
      <c r="MY274" s="61"/>
      <c r="MZ274" s="61"/>
      <c r="NA274" s="61"/>
      <c r="NB274" s="61"/>
      <c r="NC274" s="61"/>
      <c r="ND274" s="61"/>
      <c r="NE274" s="61"/>
      <c r="NF274" s="61"/>
      <c r="NG274" s="61"/>
      <c r="NH274" s="61"/>
      <c r="NI274" s="61"/>
      <c r="NJ274" s="61"/>
      <c r="NK274" s="61"/>
      <c r="NL274" s="61"/>
      <c r="NM274" s="61"/>
      <c r="NN274" s="61"/>
      <c r="NO274" s="61"/>
      <c r="NP274" s="61"/>
      <c r="NQ274" s="61"/>
      <c r="NR274" s="61"/>
      <c r="NS274" s="61"/>
      <c r="NT274" s="61"/>
      <c r="NU274" s="61"/>
      <c r="NV274" s="61"/>
      <c r="NW274" s="61"/>
      <c r="NX274" s="61"/>
      <c r="NY274" s="61"/>
      <c r="NZ274" s="61"/>
      <c r="OA274" s="61"/>
      <c r="OB274" s="61"/>
      <c r="OC274" s="61"/>
      <c r="OD274" s="61"/>
      <c r="OE274" s="61"/>
      <c r="OF274" s="61"/>
      <c r="OG274" s="61"/>
      <c r="OH274" s="61"/>
      <c r="OI274" s="61"/>
      <c r="OJ274" s="61"/>
      <c r="OK274" s="61"/>
      <c r="OL274" s="61"/>
      <c r="OM274" s="61"/>
      <c r="ON274" s="61"/>
      <c r="OO274" s="61"/>
      <c r="OP274" s="61"/>
      <c r="OQ274" s="61"/>
      <c r="OR274" s="61"/>
      <c r="OS274" s="61"/>
      <c r="OT274" s="61"/>
      <c r="OU274" s="61"/>
      <c r="OV274" s="61"/>
      <c r="OW274" s="61"/>
      <c r="OX274" s="61"/>
      <c r="OY274" s="61"/>
      <c r="OZ274" s="61"/>
      <c r="PA274" s="61"/>
      <c r="PB274" s="61"/>
      <c r="PC274" s="61"/>
      <c r="PD274" s="61"/>
      <c r="PE274" s="61"/>
      <c r="PF274" s="61"/>
      <c r="PG274" s="61"/>
      <c r="PH274" s="61"/>
      <c r="PI274" s="61"/>
      <c r="PJ274" s="61"/>
      <c r="PK274" s="61"/>
      <c r="PL274" s="61"/>
      <c r="PM274" s="61"/>
      <c r="PN274" s="61"/>
      <c r="PO274" s="61"/>
      <c r="PP274" s="61"/>
      <c r="PQ274" s="61"/>
      <c r="PR274" s="61"/>
      <c r="PS274" s="61"/>
      <c r="PT274" s="61"/>
      <c r="PU274" s="61"/>
      <c r="PV274" s="61"/>
      <c r="PW274" s="61"/>
      <c r="PX274" s="61"/>
      <c r="PY274" s="61"/>
      <c r="PZ274" s="61"/>
      <c r="QA274" s="61"/>
      <c r="QB274" s="61"/>
      <c r="QC274" s="61"/>
      <c r="QD274" s="61"/>
      <c r="QE274" s="61"/>
      <c r="QF274" s="61"/>
      <c r="QG274" s="61"/>
      <c r="QH274" s="61"/>
      <c r="QI274" s="61"/>
      <c r="QJ274" s="61"/>
      <c r="QK274" s="61"/>
      <c r="QL274" s="61"/>
      <c r="QM274" s="61"/>
      <c r="QN274" s="61"/>
      <c r="QO274" s="61"/>
      <c r="QP274" s="61"/>
      <c r="QQ274" s="61"/>
      <c r="QR274" s="61"/>
      <c r="QS274" s="61"/>
      <c r="QT274" s="61"/>
      <c r="QU274" s="61"/>
      <c r="QV274" s="61"/>
      <c r="QW274" s="61"/>
      <c r="QX274" s="61"/>
      <c r="QY274" s="61"/>
      <c r="QZ274" s="61"/>
      <c r="RA274" s="61"/>
      <c r="RB274" s="61"/>
      <c r="RC274" s="61"/>
      <c r="RD274" s="61"/>
      <c r="RE274" s="61"/>
      <c r="RF274" s="61"/>
      <c r="RG274" s="61"/>
      <c r="RH274" s="61"/>
      <c r="RI274" s="61"/>
      <c r="RJ274" s="61"/>
      <c r="RK274" s="61"/>
      <c r="RL274" s="61"/>
      <c r="RM274" s="61"/>
      <c r="RN274" s="61"/>
      <c r="RO274" s="61"/>
      <c r="RP274" s="61"/>
      <c r="RQ274" s="61"/>
      <c r="RR274" s="61"/>
      <c r="RS274" s="61"/>
      <c r="RT274" s="61"/>
      <c r="RU274" s="61"/>
      <c r="RV274" s="61"/>
      <c r="RW274" s="61"/>
      <c r="RX274" s="61"/>
      <c r="RY274" s="61"/>
      <c r="RZ274" s="61"/>
      <c r="SA274" s="61"/>
      <c r="SB274" s="61"/>
      <c r="SC274" s="61"/>
      <c r="SD274" s="61"/>
      <c r="SE274" s="61"/>
      <c r="SF274" s="61"/>
      <c r="SG274" s="61"/>
      <c r="SH274" s="61"/>
      <c r="SI274" s="61"/>
      <c r="SJ274" s="61"/>
      <c r="SK274" s="61"/>
      <c r="SL274" s="61"/>
      <c r="SM274" s="61"/>
      <c r="SN274" s="61"/>
      <c r="SO274" s="61"/>
      <c r="SP274" s="61"/>
      <c r="SQ274" s="61"/>
      <c r="SR274" s="61"/>
      <c r="SS274" s="61"/>
      <c r="ST274" s="61"/>
      <c r="SU274" s="61"/>
      <c r="SV274" s="61"/>
      <c r="SW274" s="61"/>
      <c r="SX274" s="61"/>
      <c r="SY274" s="61"/>
      <c r="SZ274" s="61"/>
      <c r="TA274" s="61"/>
      <c r="TB274" s="61"/>
      <c r="TC274" s="61"/>
      <c r="TD274" s="61"/>
      <c r="TE274" s="61"/>
      <c r="TF274" s="61"/>
      <c r="TG274" s="61"/>
      <c r="TH274" s="61"/>
      <c r="TI274" s="61"/>
      <c r="TJ274" s="61"/>
      <c r="TK274" s="61"/>
      <c r="TL274" s="61"/>
      <c r="TM274" s="61"/>
      <c r="TN274" s="61"/>
      <c r="TO274" s="61"/>
      <c r="TP274" s="61"/>
      <c r="TQ274" s="61"/>
      <c r="TR274" s="61"/>
      <c r="TS274" s="61"/>
      <c r="TT274" s="61"/>
      <c r="TU274" s="61"/>
      <c r="TV274" s="61"/>
      <c r="TW274" s="61"/>
      <c r="TX274" s="61"/>
      <c r="TY274" s="61"/>
      <c r="TZ274" s="61"/>
      <c r="UA274" s="61"/>
      <c r="UB274" s="61"/>
      <c r="UC274" s="61"/>
      <c r="UD274" s="61"/>
      <c r="UE274" s="61"/>
      <c r="UF274" s="61"/>
      <c r="UG274" s="61"/>
      <c r="UH274" s="61"/>
      <c r="UI274" s="61"/>
      <c r="UJ274" s="61"/>
      <c r="UK274" s="61"/>
      <c r="UL274" s="61"/>
      <c r="UM274" s="61"/>
      <c r="UN274" s="61"/>
      <c r="UO274" s="61"/>
      <c r="UP274" s="61"/>
      <c r="UQ274" s="61"/>
      <c r="UR274" s="61"/>
      <c r="US274" s="61"/>
      <c r="UT274" s="61"/>
      <c r="UU274" s="61"/>
      <c r="UV274" s="61"/>
      <c r="UW274" s="61"/>
      <c r="UX274" s="61"/>
      <c r="UY274" s="61"/>
      <c r="UZ274" s="61"/>
      <c r="VA274" s="61"/>
      <c r="VB274" s="61"/>
      <c r="VC274" s="61"/>
    </row>
    <row r="275" spans="1:575" s="55" customFormat="1" ht="15.75" x14ac:dyDescent="0.25">
      <c r="A275" s="102">
        <v>1517693</v>
      </c>
      <c r="B275" s="102">
        <v>7693</v>
      </c>
      <c r="C275" s="79" t="s">
        <v>112</v>
      </c>
      <c r="D275" s="7" t="s">
        <v>29</v>
      </c>
      <c r="E275" s="132">
        <f t="shared" si="47"/>
        <v>150000</v>
      </c>
      <c r="F275" s="132"/>
      <c r="G275" s="132"/>
      <c r="H275" s="132"/>
      <c r="I275" s="132">
        <v>150000</v>
      </c>
      <c r="J275" s="132">
        <f t="shared" si="43"/>
        <v>0</v>
      </c>
      <c r="K275" s="132"/>
      <c r="L275" s="132"/>
      <c r="M275" s="132"/>
      <c r="N275" s="132"/>
      <c r="O275" s="132"/>
      <c r="P275" s="132">
        <f t="shared" si="48"/>
        <v>150000</v>
      </c>
      <c r="Q275" s="159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  <c r="HM275" s="61"/>
      <c r="HN275" s="61"/>
      <c r="HO275" s="61"/>
      <c r="HP275" s="61"/>
      <c r="HQ275" s="61"/>
      <c r="HR275" s="61"/>
      <c r="HS275" s="61"/>
      <c r="HT275" s="61"/>
      <c r="HU275" s="61"/>
      <c r="HV275" s="61"/>
      <c r="HW275" s="61"/>
      <c r="HX275" s="61"/>
      <c r="HY275" s="61"/>
      <c r="HZ275" s="61"/>
      <c r="IA275" s="61"/>
      <c r="IB275" s="61"/>
      <c r="IC275" s="61"/>
      <c r="ID275" s="61"/>
      <c r="IE275" s="61"/>
      <c r="IF275" s="61"/>
      <c r="IG275" s="61"/>
      <c r="IH275" s="61"/>
      <c r="II275" s="61"/>
      <c r="IJ275" s="61"/>
      <c r="IK275" s="61"/>
      <c r="IL275" s="61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  <c r="IW275" s="61"/>
      <c r="IX275" s="61"/>
      <c r="IY275" s="61"/>
      <c r="IZ275" s="61"/>
      <c r="JA275" s="61"/>
      <c r="JB275" s="61"/>
      <c r="JC275" s="61"/>
      <c r="JD275" s="61"/>
      <c r="JE275" s="61"/>
      <c r="JF275" s="61"/>
      <c r="JG275" s="61"/>
      <c r="JH275" s="61"/>
      <c r="JI275" s="61"/>
      <c r="JJ275" s="61"/>
      <c r="JK275" s="61"/>
      <c r="JL275" s="61"/>
      <c r="JM275" s="61"/>
      <c r="JN275" s="61"/>
      <c r="JO275" s="61"/>
      <c r="JP275" s="61"/>
      <c r="JQ275" s="61"/>
      <c r="JR275" s="61"/>
      <c r="JS275" s="61"/>
      <c r="JT275" s="61"/>
      <c r="JU275" s="61"/>
      <c r="JV275" s="61"/>
      <c r="JW275" s="61"/>
      <c r="JX275" s="61"/>
      <c r="JY275" s="61"/>
      <c r="JZ275" s="61"/>
      <c r="KA275" s="61"/>
      <c r="KB275" s="61"/>
      <c r="KC275" s="61"/>
      <c r="KD275" s="61"/>
      <c r="KE275" s="61"/>
      <c r="KF275" s="61"/>
      <c r="KG275" s="61"/>
      <c r="KH275" s="61"/>
      <c r="KI275" s="61"/>
      <c r="KJ275" s="61"/>
      <c r="KK275" s="61"/>
      <c r="KL275" s="61"/>
      <c r="KM275" s="61"/>
      <c r="KN275" s="61"/>
      <c r="KO275" s="61"/>
      <c r="KP275" s="61"/>
      <c r="KQ275" s="61"/>
      <c r="KR275" s="61"/>
      <c r="KS275" s="61"/>
      <c r="KT275" s="61"/>
      <c r="KU275" s="61"/>
      <c r="KV275" s="61"/>
      <c r="KW275" s="61"/>
      <c r="KX275" s="61"/>
      <c r="KY275" s="61"/>
      <c r="KZ275" s="61"/>
      <c r="LA275" s="61"/>
      <c r="LB275" s="61"/>
      <c r="LC275" s="61"/>
      <c r="LD275" s="61"/>
      <c r="LE275" s="61"/>
      <c r="LF275" s="61"/>
      <c r="LG275" s="61"/>
      <c r="LH275" s="61"/>
      <c r="LI275" s="61"/>
      <c r="LJ275" s="61"/>
      <c r="LK275" s="61"/>
      <c r="LL275" s="61"/>
      <c r="LM275" s="61"/>
      <c r="LN275" s="61"/>
      <c r="LO275" s="61"/>
      <c r="LP275" s="61"/>
      <c r="LQ275" s="61"/>
      <c r="LR275" s="61"/>
      <c r="LS275" s="61"/>
      <c r="LT275" s="61"/>
      <c r="LU275" s="61"/>
      <c r="LV275" s="61"/>
      <c r="LW275" s="61"/>
      <c r="LX275" s="61"/>
      <c r="LY275" s="61"/>
      <c r="LZ275" s="61"/>
      <c r="MA275" s="61"/>
      <c r="MB275" s="61"/>
      <c r="MC275" s="61"/>
      <c r="MD275" s="61"/>
      <c r="ME275" s="61"/>
      <c r="MF275" s="61"/>
      <c r="MG275" s="61"/>
      <c r="MH275" s="61"/>
      <c r="MI275" s="61"/>
      <c r="MJ275" s="61"/>
      <c r="MK275" s="61"/>
      <c r="ML275" s="61"/>
      <c r="MM275" s="61"/>
      <c r="MN275" s="61"/>
      <c r="MO275" s="61"/>
      <c r="MP275" s="61"/>
      <c r="MQ275" s="61"/>
      <c r="MR275" s="61"/>
      <c r="MS275" s="61"/>
      <c r="MT275" s="61"/>
      <c r="MU275" s="61"/>
      <c r="MV275" s="61"/>
      <c r="MW275" s="61"/>
      <c r="MX275" s="61"/>
      <c r="MY275" s="61"/>
      <c r="MZ275" s="61"/>
      <c r="NA275" s="61"/>
      <c r="NB275" s="61"/>
      <c r="NC275" s="61"/>
      <c r="ND275" s="61"/>
      <c r="NE275" s="61"/>
      <c r="NF275" s="61"/>
      <c r="NG275" s="61"/>
      <c r="NH275" s="61"/>
      <c r="NI275" s="61"/>
      <c r="NJ275" s="61"/>
      <c r="NK275" s="61"/>
      <c r="NL275" s="61"/>
      <c r="NM275" s="61"/>
      <c r="NN275" s="61"/>
      <c r="NO275" s="61"/>
      <c r="NP275" s="61"/>
      <c r="NQ275" s="61"/>
      <c r="NR275" s="61"/>
      <c r="NS275" s="61"/>
      <c r="NT275" s="61"/>
      <c r="NU275" s="61"/>
      <c r="NV275" s="61"/>
      <c r="NW275" s="61"/>
      <c r="NX275" s="61"/>
      <c r="NY275" s="61"/>
      <c r="NZ275" s="61"/>
      <c r="OA275" s="61"/>
      <c r="OB275" s="61"/>
      <c r="OC275" s="61"/>
      <c r="OD275" s="61"/>
      <c r="OE275" s="61"/>
      <c r="OF275" s="61"/>
      <c r="OG275" s="61"/>
      <c r="OH275" s="61"/>
      <c r="OI275" s="61"/>
      <c r="OJ275" s="61"/>
      <c r="OK275" s="61"/>
      <c r="OL275" s="61"/>
      <c r="OM275" s="61"/>
      <c r="ON275" s="61"/>
      <c r="OO275" s="61"/>
      <c r="OP275" s="61"/>
      <c r="OQ275" s="61"/>
      <c r="OR275" s="61"/>
      <c r="OS275" s="61"/>
      <c r="OT275" s="61"/>
      <c r="OU275" s="61"/>
      <c r="OV275" s="61"/>
      <c r="OW275" s="61"/>
      <c r="OX275" s="61"/>
      <c r="OY275" s="61"/>
      <c r="OZ275" s="61"/>
      <c r="PA275" s="61"/>
      <c r="PB275" s="61"/>
      <c r="PC275" s="61"/>
      <c r="PD275" s="61"/>
      <c r="PE275" s="61"/>
      <c r="PF275" s="61"/>
      <c r="PG275" s="61"/>
      <c r="PH275" s="61"/>
      <c r="PI275" s="61"/>
      <c r="PJ275" s="61"/>
      <c r="PK275" s="61"/>
      <c r="PL275" s="61"/>
      <c r="PM275" s="61"/>
      <c r="PN275" s="61"/>
      <c r="PO275" s="61"/>
      <c r="PP275" s="61"/>
      <c r="PQ275" s="61"/>
      <c r="PR275" s="61"/>
      <c r="PS275" s="61"/>
      <c r="PT275" s="61"/>
      <c r="PU275" s="61"/>
      <c r="PV275" s="61"/>
      <c r="PW275" s="61"/>
      <c r="PX275" s="61"/>
      <c r="PY275" s="61"/>
      <c r="PZ275" s="61"/>
      <c r="QA275" s="61"/>
      <c r="QB275" s="61"/>
      <c r="QC275" s="61"/>
      <c r="QD275" s="61"/>
      <c r="QE275" s="61"/>
      <c r="QF275" s="61"/>
      <c r="QG275" s="61"/>
      <c r="QH275" s="61"/>
      <c r="QI275" s="61"/>
      <c r="QJ275" s="61"/>
      <c r="QK275" s="61"/>
      <c r="QL275" s="61"/>
      <c r="QM275" s="61"/>
      <c r="QN275" s="61"/>
      <c r="QO275" s="61"/>
      <c r="QP275" s="61"/>
      <c r="QQ275" s="61"/>
      <c r="QR275" s="61"/>
      <c r="QS275" s="61"/>
      <c r="QT275" s="61"/>
      <c r="QU275" s="61"/>
      <c r="QV275" s="61"/>
      <c r="QW275" s="61"/>
      <c r="QX275" s="61"/>
      <c r="QY275" s="61"/>
      <c r="QZ275" s="61"/>
      <c r="RA275" s="61"/>
      <c r="RB275" s="61"/>
      <c r="RC275" s="61"/>
      <c r="RD275" s="61"/>
      <c r="RE275" s="61"/>
      <c r="RF275" s="61"/>
      <c r="RG275" s="61"/>
      <c r="RH275" s="61"/>
      <c r="RI275" s="61"/>
      <c r="RJ275" s="61"/>
      <c r="RK275" s="61"/>
      <c r="RL275" s="61"/>
      <c r="RM275" s="61"/>
      <c r="RN275" s="61"/>
      <c r="RO275" s="61"/>
      <c r="RP275" s="61"/>
      <c r="RQ275" s="61"/>
      <c r="RR275" s="61"/>
      <c r="RS275" s="61"/>
      <c r="RT275" s="61"/>
      <c r="RU275" s="61"/>
      <c r="RV275" s="61"/>
      <c r="RW275" s="61"/>
      <c r="RX275" s="61"/>
      <c r="RY275" s="61"/>
      <c r="RZ275" s="61"/>
      <c r="SA275" s="61"/>
      <c r="SB275" s="61"/>
      <c r="SC275" s="61"/>
      <c r="SD275" s="61"/>
      <c r="SE275" s="61"/>
      <c r="SF275" s="61"/>
      <c r="SG275" s="61"/>
      <c r="SH275" s="61"/>
      <c r="SI275" s="61"/>
      <c r="SJ275" s="61"/>
      <c r="SK275" s="61"/>
      <c r="SL275" s="61"/>
      <c r="SM275" s="61"/>
      <c r="SN275" s="61"/>
      <c r="SO275" s="61"/>
      <c r="SP275" s="61"/>
      <c r="SQ275" s="61"/>
      <c r="SR275" s="61"/>
      <c r="SS275" s="61"/>
      <c r="ST275" s="61"/>
      <c r="SU275" s="61"/>
      <c r="SV275" s="61"/>
      <c r="SW275" s="61"/>
      <c r="SX275" s="61"/>
      <c r="SY275" s="61"/>
      <c r="SZ275" s="61"/>
      <c r="TA275" s="61"/>
      <c r="TB275" s="61"/>
      <c r="TC275" s="61"/>
      <c r="TD275" s="61"/>
      <c r="TE275" s="61"/>
      <c r="TF275" s="61"/>
      <c r="TG275" s="61"/>
      <c r="TH275" s="61"/>
      <c r="TI275" s="61"/>
      <c r="TJ275" s="61"/>
      <c r="TK275" s="61"/>
      <c r="TL275" s="61"/>
      <c r="TM275" s="61"/>
      <c r="TN275" s="61"/>
      <c r="TO275" s="61"/>
      <c r="TP275" s="61"/>
      <c r="TQ275" s="61"/>
      <c r="TR275" s="61"/>
      <c r="TS275" s="61"/>
      <c r="TT275" s="61"/>
      <c r="TU275" s="61"/>
      <c r="TV275" s="61"/>
      <c r="TW275" s="61"/>
      <c r="TX275" s="61"/>
      <c r="TY275" s="61"/>
      <c r="TZ275" s="61"/>
      <c r="UA275" s="61"/>
      <c r="UB275" s="61"/>
      <c r="UC275" s="61"/>
      <c r="UD275" s="61"/>
      <c r="UE275" s="61"/>
      <c r="UF275" s="61"/>
      <c r="UG275" s="61"/>
      <c r="UH275" s="61"/>
      <c r="UI275" s="61"/>
      <c r="UJ275" s="61"/>
      <c r="UK275" s="61"/>
      <c r="UL275" s="61"/>
      <c r="UM275" s="61"/>
      <c r="UN275" s="61"/>
      <c r="UO275" s="61"/>
      <c r="UP275" s="61"/>
      <c r="UQ275" s="61"/>
      <c r="UR275" s="61"/>
      <c r="US275" s="61"/>
      <c r="UT275" s="61"/>
      <c r="UU275" s="61"/>
      <c r="UV275" s="61"/>
      <c r="UW275" s="61"/>
      <c r="UX275" s="61"/>
      <c r="UY275" s="61"/>
      <c r="UZ275" s="61"/>
      <c r="VA275" s="61"/>
      <c r="VB275" s="61"/>
      <c r="VC275" s="61"/>
    </row>
    <row r="276" spans="1:575" s="72" customFormat="1" ht="35.25" customHeight="1" x14ac:dyDescent="0.2">
      <c r="A276" s="70" t="s">
        <v>273</v>
      </c>
      <c r="B276" s="111"/>
      <c r="C276" s="111"/>
      <c r="D276" s="71" t="s">
        <v>62</v>
      </c>
      <c r="E276" s="134">
        <f>E277</f>
        <v>9178715</v>
      </c>
      <c r="F276" s="134">
        <f t="shared" ref="F276:P276" si="52">F277</f>
        <v>9178715</v>
      </c>
      <c r="G276" s="134">
        <f t="shared" si="52"/>
        <v>6278039</v>
      </c>
      <c r="H276" s="134">
        <f t="shared" si="52"/>
        <v>108163</v>
      </c>
      <c r="I276" s="134">
        <f t="shared" si="52"/>
        <v>0</v>
      </c>
      <c r="J276" s="134">
        <f t="shared" si="52"/>
        <v>2019807.3399999999</v>
      </c>
      <c r="K276" s="134">
        <f t="shared" si="52"/>
        <v>0</v>
      </c>
      <c r="L276" s="134">
        <f t="shared" si="52"/>
        <v>1088807.3399999999</v>
      </c>
      <c r="M276" s="134">
        <f t="shared" si="52"/>
        <v>0</v>
      </c>
      <c r="N276" s="134">
        <f t="shared" si="52"/>
        <v>0</v>
      </c>
      <c r="O276" s="134">
        <f t="shared" si="52"/>
        <v>931000</v>
      </c>
      <c r="P276" s="134">
        <f t="shared" si="52"/>
        <v>11198522.34</v>
      </c>
      <c r="Q276" s="159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0"/>
      <c r="BN276" s="90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0"/>
      <c r="BZ276" s="90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90"/>
      <c r="CM276" s="90"/>
      <c r="CN276" s="90"/>
      <c r="CO276" s="90"/>
      <c r="CP276" s="90"/>
      <c r="CQ276" s="90"/>
      <c r="CR276" s="90"/>
      <c r="CS276" s="90"/>
      <c r="CT276" s="90"/>
      <c r="CU276" s="90"/>
      <c r="CV276" s="90"/>
      <c r="CW276" s="90"/>
      <c r="CX276" s="90"/>
      <c r="CY276" s="90"/>
      <c r="CZ276" s="90"/>
      <c r="DA276" s="90"/>
      <c r="DB276" s="90"/>
      <c r="DC276" s="90"/>
      <c r="DD276" s="90"/>
      <c r="DE276" s="90"/>
      <c r="DF276" s="90"/>
      <c r="DG276" s="90"/>
      <c r="DH276" s="90"/>
      <c r="DI276" s="90"/>
      <c r="DJ276" s="90"/>
      <c r="DK276" s="90"/>
      <c r="DL276" s="90"/>
      <c r="DM276" s="90"/>
      <c r="DN276" s="90"/>
      <c r="DO276" s="90"/>
      <c r="DP276" s="90"/>
      <c r="DQ276" s="90"/>
      <c r="DR276" s="90"/>
      <c r="DS276" s="90"/>
      <c r="DT276" s="90"/>
      <c r="DU276" s="90"/>
      <c r="DV276" s="90"/>
      <c r="DW276" s="90"/>
      <c r="DX276" s="90"/>
      <c r="DY276" s="90"/>
      <c r="DZ276" s="90"/>
      <c r="EA276" s="90"/>
      <c r="EB276" s="90"/>
      <c r="EC276" s="90"/>
      <c r="ED276" s="90"/>
      <c r="EE276" s="90"/>
      <c r="EF276" s="90"/>
      <c r="EG276" s="90"/>
      <c r="EH276" s="90"/>
      <c r="EI276" s="90"/>
      <c r="EJ276" s="90"/>
      <c r="EK276" s="90"/>
      <c r="EL276" s="90"/>
      <c r="EM276" s="90"/>
      <c r="EN276" s="90"/>
      <c r="EO276" s="90"/>
      <c r="EP276" s="90"/>
      <c r="EQ276" s="90"/>
      <c r="ER276" s="90"/>
      <c r="ES276" s="90"/>
      <c r="ET276" s="90"/>
      <c r="EU276" s="90"/>
      <c r="EV276" s="90"/>
      <c r="EW276" s="90"/>
      <c r="EX276" s="90"/>
      <c r="EY276" s="90"/>
      <c r="EZ276" s="90"/>
      <c r="FA276" s="90"/>
      <c r="FB276" s="90"/>
      <c r="FC276" s="90"/>
      <c r="FD276" s="90"/>
      <c r="FE276" s="90"/>
      <c r="FF276" s="90"/>
      <c r="FG276" s="90"/>
      <c r="FH276" s="90"/>
      <c r="FI276" s="90"/>
      <c r="FJ276" s="90"/>
      <c r="FK276" s="90"/>
      <c r="FL276" s="90"/>
      <c r="FM276" s="90"/>
      <c r="FN276" s="90"/>
      <c r="FO276" s="90"/>
      <c r="FP276" s="90"/>
      <c r="FQ276" s="90"/>
      <c r="FR276" s="90"/>
      <c r="FS276" s="90"/>
      <c r="FT276" s="90"/>
      <c r="FU276" s="90"/>
      <c r="FV276" s="90"/>
      <c r="FW276" s="90"/>
      <c r="FX276" s="90"/>
      <c r="FY276" s="90"/>
      <c r="FZ276" s="90"/>
      <c r="GA276" s="90"/>
      <c r="GB276" s="90"/>
      <c r="GC276" s="90"/>
      <c r="GD276" s="90"/>
      <c r="GE276" s="90"/>
      <c r="GF276" s="90"/>
      <c r="GG276" s="90"/>
      <c r="GH276" s="90"/>
      <c r="GI276" s="90"/>
      <c r="GJ276" s="90"/>
      <c r="GK276" s="90"/>
      <c r="GL276" s="90"/>
      <c r="GM276" s="90"/>
      <c r="GN276" s="90"/>
      <c r="GO276" s="90"/>
      <c r="GP276" s="90"/>
      <c r="GQ276" s="90"/>
      <c r="GR276" s="90"/>
      <c r="GS276" s="90"/>
      <c r="GT276" s="90"/>
      <c r="GU276" s="90"/>
      <c r="GV276" s="90"/>
      <c r="GW276" s="90"/>
      <c r="GX276" s="90"/>
      <c r="GY276" s="90"/>
      <c r="GZ276" s="90"/>
      <c r="HA276" s="90"/>
      <c r="HB276" s="90"/>
      <c r="HC276" s="90"/>
      <c r="HD276" s="90"/>
      <c r="HE276" s="90"/>
      <c r="HF276" s="90"/>
      <c r="HG276" s="90"/>
      <c r="HH276" s="90"/>
      <c r="HI276" s="90"/>
      <c r="HJ276" s="90"/>
      <c r="HK276" s="90"/>
      <c r="HL276" s="90"/>
      <c r="HM276" s="90"/>
      <c r="HN276" s="90"/>
      <c r="HO276" s="90"/>
      <c r="HP276" s="90"/>
      <c r="HQ276" s="90"/>
      <c r="HR276" s="90"/>
      <c r="HS276" s="90"/>
      <c r="HT276" s="90"/>
      <c r="HU276" s="90"/>
      <c r="HV276" s="90"/>
      <c r="HW276" s="90"/>
      <c r="HX276" s="90"/>
      <c r="HY276" s="90"/>
      <c r="HZ276" s="90"/>
      <c r="IA276" s="90"/>
      <c r="IB276" s="90"/>
      <c r="IC276" s="90"/>
      <c r="ID276" s="90"/>
      <c r="IE276" s="90"/>
      <c r="IF276" s="90"/>
      <c r="IG276" s="90"/>
      <c r="IH276" s="90"/>
      <c r="II276" s="90"/>
      <c r="IJ276" s="90"/>
      <c r="IK276" s="90"/>
      <c r="IL276" s="90"/>
      <c r="IM276" s="90"/>
      <c r="IN276" s="90"/>
      <c r="IO276" s="90"/>
      <c r="IP276" s="90"/>
      <c r="IQ276" s="90"/>
      <c r="IR276" s="90"/>
      <c r="IS276" s="90"/>
      <c r="IT276" s="90"/>
      <c r="IU276" s="90"/>
      <c r="IV276" s="90"/>
      <c r="IW276" s="90"/>
      <c r="IX276" s="90"/>
      <c r="IY276" s="90"/>
      <c r="IZ276" s="90"/>
      <c r="JA276" s="90"/>
      <c r="JB276" s="90"/>
      <c r="JC276" s="90"/>
      <c r="JD276" s="90"/>
      <c r="JE276" s="90"/>
      <c r="JF276" s="90"/>
      <c r="JG276" s="90"/>
      <c r="JH276" s="90"/>
      <c r="JI276" s="90"/>
      <c r="JJ276" s="90"/>
      <c r="JK276" s="90"/>
      <c r="JL276" s="90"/>
      <c r="JM276" s="90"/>
      <c r="JN276" s="90"/>
      <c r="JO276" s="90"/>
      <c r="JP276" s="90"/>
      <c r="JQ276" s="90"/>
      <c r="JR276" s="90"/>
      <c r="JS276" s="90"/>
      <c r="JT276" s="90"/>
      <c r="JU276" s="90"/>
      <c r="JV276" s="90"/>
      <c r="JW276" s="90"/>
      <c r="JX276" s="90"/>
      <c r="JY276" s="90"/>
      <c r="JZ276" s="90"/>
      <c r="KA276" s="90"/>
      <c r="KB276" s="90"/>
      <c r="KC276" s="90"/>
      <c r="KD276" s="90"/>
      <c r="KE276" s="90"/>
      <c r="KF276" s="90"/>
      <c r="KG276" s="90"/>
      <c r="KH276" s="90"/>
      <c r="KI276" s="90"/>
      <c r="KJ276" s="90"/>
      <c r="KK276" s="90"/>
      <c r="KL276" s="90"/>
      <c r="KM276" s="90"/>
      <c r="KN276" s="90"/>
      <c r="KO276" s="90"/>
      <c r="KP276" s="90"/>
      <c r="KQ276" s="90"/>
      <c r="KR276" s="90"/>
      <c r="KS276" s="90"/>
      <c r="KT276" s="90"/>
      <c r="KU276" s="90"/>
      <c r="KV276" s="90"/>
      <c r="KW276" s="90"/>
      <c r="KX276" s="90"/>
      <c r="KY276" s="90"/>
      <c r="KZ276" s="90"/>
      <c r="LA276" s="90"/>
      <c r="LB276" s="90"/>
      <c r="LC276" s="90"/>
      <c r="LD276" s="90"/>
      <c r="LE276" s="90"/>
      <c r="LF276" s="90"/>
      <c r="LG276" s="90"/>
      <c r="LH276" s="90"/>
      <c r="LI276" s="90"/>
      <c r="LJ276" s="90"/>
      <c r="LK276" s="90"/>
      <c r="LL276" s="90"/>
      <c r="LM276" s="90"/>
      <c r="LN276" s="90"/>
      <c r="LO276" s="90"/>
      <c r="LP276" s="90"/>
      <c r="LQ276" s="90"/>
      <c r="LR276" s="90"/>
      <c r="LS276" s="90"/>
      <c r="LT276" s="90"/>
      <c r="LU276" s="90"/>
      <c r="LV276" s="90"/>
      <c r="LW276" s="90"/>
      <c r="LX276" s="90"/>
      <c r="LY276" s="90"/>
      <c r="LZ276" s="90"/>
      <c r="MA276" s="90"/>
      <c r="MB276" s="90"/>
      <c r="MC276" s="90"/>
      <c r="MD276" s="90"/>
      <c r="ME276" s="90"/>
      <c r="MF276" s="90"/>
      <c r="MG276" s="90"/>
      <c r="MH276" s="90"/>
      <c r="MI276" s="90"/>
      <c r="MJ276" s="90"/>
      <c r="MK276" s="90"/>
      <c r="ML276" s="90"/>
      <c r="MM276" s="90"/>
      <c r="MN276" s="90"/>
      <c r="MO276" s="90"/>
      <c r="MP276" s="90"/>
      <c r="MQ276" s="90"/>
      <c r="MR276" s="90"/>
      <c r="MS276" s="90"/>
      <c r="MT276" s="90"/>
      <c r="MU276" s="90"/>
      <c r="MV276" s="90"/>
      <c r="MW276" s="90"/>
      <c r="MX276" s="90"/>
      <c r="MY276" s="90"/>
      <c r="MZ276" s="90"/>
      <c r="NA276" s="90"/>
      <c r="NB276" s="90"/>
      <c r="NC276" s="90"/>
      <c r="ND276" s="90"/>
      <c r="NE276" s="90"/>
      <c r="NF276" s="90"/>
      <c r="NG276" s="90"/>
      <c r="NH276" s="90"/>
      <c r="NI276" s="90"/>
      <c r="NJ276" s="90"/>
      <c r="NK276" s="90"/>
      <c r="NL276" s="90"/>
      <c r="NM276" s="90"/>
      <c r="NN276" s="90"/>
      <c r="NO276" s="90"/>
      <c r="NP276" s="90"/>
      <c r="NQ276" s="90"/>
      <c r="NR276" s="90"/>
      <c r="NS276" s="90"/>
      <c r="NT276" s="90"/>
      <c r="NU276" s="90"/>
      <c r="NV276" s="90"/>
      <c r="NW276" s="90"/>
      <c r="NX276" s="90"/>
      <c r="NY276" s="90"/>
      <c r="NZ276" s="90"/>
      <c r="OA276" s="90"/>
      <c r="OB276" s="90"/>
      <c r="OC276" s="90"/>
      <c r="OD276" s="90"/>
      <c r="OE276" s="90"/>
      <c r="OF276" s="90"/>
      <c r="OG276" s="90"/>
      <c r="OH276" s="90"/>
      <c r="OI276" s="90"/>
      <c r="OJ276" s="90"/>
      <c r="OK276" s="90"/>
      <c r="OL276" s="90"/>
      <c r="OM276" s="90"/>
      <c r="ON276" s="90"/>
      <c r="OO276" s="90"/>
      <c r="OP276" s="90"/>
      <c r="OQ276" s="90"/>
      <c r="OR276" s="90"/>
      <c r="OS276" s="90"/>
      <c r="OT276" s="90"/>
      <c r="OU276" s="90"/>
      <c r="OV276" s="90"/>
      <c r="OW276" s="90"/>
      <c r="OX276" s="90"/>
      <c r="OY276" s="90"/>
      <c r="OZ276" s="90"/>
      <c r="PA276" s="90"/>
      <c r="PB276" s="90"/>
      <c r="PC276" s="90"/>
      <c r="PD276" s="90"/>
      <c r="PE276" s="90"/>
      <c r="PF276" s="90"/>
      <c r="PG276" s="90"/>
      <c r="PH276" s="90"/>
      <c r="PI276" s="90"/>
      <c r="PJ276" s="90"/>
      <c r="PK276" s="90"/>
      <c r="PL276" s="90"/>
      <c r="PM276" s="90"/>
      <c r="PN276" s="90"/>
      <c r="PO276" s="90"/>
      <c r="PP276" s="90"/>
      <c r="PQ276" s="90"/>
      <c r="PR276" s="90"/>
      <c r="PS276" s="90"/>
      <c r="PT276" s="90"/>
      <c r="PU276" s="90"/>
      <c r="PV276" s="90"/>
      <c r="PW276" s="90"/>
      <c r="PX276" s="90"/>
      <c r="PY276" s="90"/>
      <c r="PZ276" s="90"/>
      <c r="QA276" s="90"/>
      <c r="QB276" s="90"/>
      <c r="QC276" s="90"/>
      <c r="QD276" s="90"/>
      <c r="QE276" s="90"/>
      <c r="QF276" s="90"/>
      <c r="QG276" s="90"/>
      <c r="QH276" s="90"/>
      <c r="QI276" s="90"/>
      <c r="QJ276" s="90"/>
      <c r="QK276" s="90"/>
      <c r="QL276" s="90"/>
      <c r="QM276" s="90"/>
      <c r="QN276" s="90"/>
      <c r="QO276" s="90"/>
      <c r="QP276" s="90"/>
      <c r="QQ276" s="90"/>
      <c r="QR276" s="90"/>
      <c r="QS276" s="90"/>
      <c r="QT276" s="90"/>
      <c r="QU276" s="90"/>
      <c r="QV276" s="90"/>
      <c r="QW276" s="90"/>
      <c r="QX276" s="90"/>
      <c r="QY276" s="90"/>
      <c r="QZ276" s="90"/>
      <c r="RA276" s="90"/>
      <c r="RB276" s="90"/>
      <c r="RC276" s="90"/>
      <c r="RD276" s="90"/>
      <c r="RE276" s="90"/>
      <c r="RF276" s="90"/>
      <c r="RG276" s="90"/>
      <c r="RH276" s="90"/>
      <c r="RI276" s="90"/>
      <c r="RJ276" s="90"/>
      <c r="RK276" s="90"/>
      <c r="RL276" s="90"/>
      <c r="RM276" s="90"/>
      <c r="RN276" s="90"/>
      <c r="RO276" s="90"/>
      <c r="RP276" s="90"/>
      <c r="RQ276" s="90"/>
      <c r="RR276" s="90"/>
      <c r="RS276" s="90"/>
      <c r="RT276" s="90"/>
      <c r="RU276" s="90"/>
      <c r="RV276" s="90"/>
      <c r="RW276" s="90"/>
      <c r="RX276" s="90"/>
      <c r="RY276" s="90"/>
      <c r="RZ276" s="90"/>
      <c r="SA276" s="90"/>
      <c r="SB276" s="90"/>
      <c r="SC276" s="90"/>
      <c r="SD276" s="90"/>
      <c r="SE276" s="90"/>
      <c r="SF276" s="90"/>
      <c r="SG276" s="90"/>
      <c r="SH276" s="90"/>
      <c r="SI276" s="90"/>
      <c r="SJ276" s="90"/>
      <c r="SK276" s="90"/>
      <c r="SL276" s="90"/>
      <c r="SM276" s="90"/>
      <c r="SN276" s="90"/>
      <c r="SO276" s="90"/>
      <c r="SP276" s="90"/>
      <c r="SQ276" s="90"/>
      <c r="SR276" s="90"/>
      <c r="SS276" s="90"/>
      <c r="ST276" s="90"/>
      <c r="SU276" s="90"/>
      <c r="SV276" s="90"/>
      <c r="SW276" s="90"/>
      <c r="SX276" s="90"/>
      <c r="SY276" s="90"/>
      <c r="SZ276" s="90"/>
      <c r="TA276" s="90"/>
      <c r="TB276" s="90"/>
      <c r="TC276" s="90"/>
      <c r="TD276" s="90"/>
      <c r="TE276" s="90"/>
      <c r="TF276" s="90"/>
      <c r="TG276" s="90"/>
      <c r="TH276" s="90"/>
      <c r="TI276" s="90"/>
      <c r="TJ276" s="90"/>
      <c r="TK276" s="90"/>
      <c r="TL276" s="90"/>
      <c r="TM276" s="90"/>
      <c r="TN276" s="90"/>
      <c r="TO276" s="90"/>
      <c r="TP276" s="90"/>
      <c r="TQ276" s="90"/>
      <c r="TR276" s="90"/>
      <c r="TS276" s="90"/>
      <c r="TT276" s="90"/>
      <c r="TU276" s="90"/>
      <c r="TV276" s="90"/>
      <c r="TW276" s="90"/>
      <c r="TX276" s="90"/>
      <c r="TY276" s="90"/>
      <c r="TZ276" s="90"/>
      <c r="UA276" s="90"/>
      <c r="UB276" s="90"/>
      <c r="UC276" s="90"/>
      <c r="UD276" s="90"/>
      <c r="UE276" s="90"/>
      <c r="UF276" s="90"/>
      <c r="UG276" s="90"/>
      <c r="UH276" s="90"/>
      <c r="UI276" s="90"/>
      <c r="UJ276" s="90"/>
      <c r="UK276" s="90"/>
      <c r="UL276" s="90"/>
      <c r="UM276" s="90"/>
      <c r="UN276" s="90"/>
      <c r="UO276" s="90"/>
      <c r="UP276" s="90"/>
      <c r="UQ276" s="90"/>
      <c r="UR276" s="90"/>
      <c r="US276" s="90"/>
      <c r="UT276" s="90"/>
      <c r="UU276" s="90"/>
      <c r="UV276" s="90"/>
      <c r="UW276" s="90"/>
      <c r="UX276" s="90"/>
      <c r="UY276" s="90"/>
      <c r="UZ276" s="90"/>
      <c r="VA276" s="90"/>
      <c r="VB276" s="90"/>
      <c r="VC276" s="90"/>
    </row>
    <row r="277" spans="1:575" s="92" customFormat="1" ht="41.25" customHeight="1" x14ac:dyDescent="0.25">
      <c r="A277" s="75" t="s">
        <v>274</v>
      </c>
      <c r="B277" s="112"/>
      <c r="C277" s="112"/>
      <c r="D277" s="76" t="s">
        <v>62</v>
      </c>
      <c r="E277" s="131">
        <f>E278+E279+E280+E281+E282</f>
        <v>9178715</v>
      </c>
      <c r="F277" s="131">
        <f t="shared" ref="F277:P277" si="53">F278+F279+F280+F281+F282</f>
        <v>9178715</v>
      </c>
      <c r="G277" s="131">
        <f t="shared" si="53"/>
        <v>6278039</v>
      </c>
      <c r="H277" s="131">
        <f t="shared" si="53"/>
        <v>108163</v>
      </c>
      <c r="I277" s="131">
        <f t="shared" si="53"/>
        <v>0</v>
      </c>
      <c r="J277" s="131">
        <f t="shared" si="53"/>
        <v>2019807.3399999999</v>
      </c>
      <c r="K277" s="131">
        <f t="shared" si="53"/>
        <v>0</v>
      </c>
      <c r="L277" s="131">
        <f t="shared" si="53"/>
        <v>1088807.3399999999</v>
      </c>
      <c r="M277" s="131">
        <f t="shared" si="53"/>
        <v>0</v>
      </c>
      <c r="N277" s="131">
        <f t="shared" si="53"/>
        <v>0</v>
      </c>
      <c r="O277" s="131">
        <f t="shared" si="53"/>
        <v>931000</v>
      </c>
      <c r="P277" s="131">
        <f t="shared" si="53"/>
        <v>11198522.34</v>
      </c>
      <c r="Q277" s="159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  <c r="CV277" s="91"/>
      <c r="CW277" s="91"/>
      <c r="CX277" s="91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1"/>
      <c r="HT277" s="91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  <c r="IT277" s="91"/>
      <c r="IU277" s="91"/>
      <c r="IV277" s="91"/>
      <c r="IW277" s="91"/>
      <c r="IX277" s="91"/>
      <c r="IY277" s="91"/>
      <c r="IZ277" s="91"/>
      <c r="JA277" s="91"/>
      <c r="JB277" s="91"/>
      <c r="JC277" s="91"/>
      <c r="JD277" s="91"/>
      <c r="JE277" s="91"/>
      <c r="JF277" s="91"/>
      <c r="JG277" s="91"/>
      <c r="JH277" s="91"/>
      <c r="JI277" s="91"/>
      <c r="JJ277" s="91"/>
      <c r="JK277" s="91"/>
      <c r="JL277" s="91"/>
      <c r="JM277" s="91"/>
      <c r="JN277" s="91"/>
      <c r="JO277" s="91"/>
      <c r="JP277" s="91"/>
      <c r="JQ277" s="91"/>
      <c r="JR277" s="91"/>
      <c r="JS277" s="91"/>
      <c r="JT277" s="91"/>
      <c r="JU277" s="91"/>
      <c r="JV277" s="91"/>
      <c r="JW277" s="91"/>
      <c r="JX277" s="91"/>
      <c r="JY277" s="91"/>
      <c r="JZ277" s="91"/>
      <c r="KA277" s="91"/>
      <c r="KB277" s="91"/>
      <c r="KC277" s="91"/>
      <c r="KD277" s="91"/>
      <c r="KE277" s="91"/>
      <c r="KF277" s="91"/>
      <c r="KG277" s="91"/>
      <c r="KH277" s="91"/>
      <c r="KI277" s="91"/>
      <c r="KJ277" s="91"/>
      <c r="KK277" s="91"/>
      <c r="KL277" s="91"/>
      <c r="KM277" s="91"/>
      <c r="KN277" s="91"/>
      <c r="KO277" s="91"/>
      <c r="KP277" s="91"/>
      <c r="KQ277" s="91"/>
      <c r="KR277" s="91"/>
      <c r="KS277" s="91"/>
      <c r="KT277" s="91"/>
      <c r="KU277" s="91"/>
      <c r="KV277" s="91"/>
      <c r="KW277" s="91"/>
      <c r="KX277" s="91"/>
      <c r="KY277" s="91"/>
      <c r="KZ277" s="91"/>
      <c r="LA277" s="91"/>
      <c r="LB277" s="91"/>
      <c r="LC277" s="91"/>
      <c r="LD277" s="91"/>
      <c r="LE277" s="91"/>
      <c r="LF277" s="91"/>
      <c r="LG277" s="91"/>
      <c r="LH277" s="91"/>
      <c r="LI277" s="91"/>
      <c r="LJ277" s="91"/>
      <c r="LK277" s="91"/>
      <c r="LL277" s="91"/>
      <c r="LM277" s="91"/>
      <c r="LN277" s="91"/>
      <c r="LO277" s="91"/>
      <c r="LP277" s="91"/>
      <c r="LQ277" s="91"/>
      <c r="LR277" s="91"/>
      <c r="LS277" s="91"/>
      <c r="LT277" s="91"/>
      <c r="LU277" s="91"/>
      <c r="LV277" s="91"/>
      <c r="LW277" s="91"/>
      <c r="LX277" s="91"/>
      <c r="LY277" s="91"/>
      <c r="LZ277" s="91"/>
      <c r="MA277" s="91"/>
      <c r="MB277" s="91"/>
      <c r="MC277" s="91"/>
      <c r="MD277" s="91"/>
      <c r="ME277" s="91"/>
      <c r="MF277" s="91"/>
      <c r="MG277" s="91"/>
      <c r="MH277" s="91"/>
      <c r="MI277" s="91"/>
      <c r="MJ277" s="91"/>
      <c r="MK277" s="91"/>
      <c r="ML277" s="91"/>
      <c r="MM277" s="91"/>
      <c r="MN277" s="91"/>
      <c r="MO277" s="91"/>
      <c r="MP277" s="91"/>
      <c r="MQ277" s="91"/>
      <c r="MR277" s="91"/>
      <c r="MS277" s="91"/>
      <c r="MT277" s="91"/>
      <c r="MU277" s="91"/>
      <c r="MV277" s="91"/>
      <c r="MW277" s="91"/>
      <c r="MX277" s="91"/>
      <c r="MY277" s="91"/>
      <c r="MZ277" s="91"/>
      <c r="NA277" s="91"/>
      <c r="NB277" s="91"/>
      <c r="NC277" s="91"/>
      <c r="ND277" s="91"/>
      <c r="NE277" s="91"/>
      <c r="NF277" s="91"/>
      <c r="NG277" s="91"/>
      <c r="NH277" s="91"/>
      <c r="NI277" s="91"/>
      <c r="NJ277" s="91"/>
      <c r="NK277" s="91"/>
      <c r="NL277" s="91"/>
      <c r="NM277" s="91"/>
      <c r="NN277" s="91"/>
      <c r="NO277" s="91"/>
      <c r="NP277" s="91"/>
      <c r="NQ277" s="91"/>
      <c r="NR277" s="91"/>
      <c r="NS277" s="91"/>
      <c r="NT277" s="91"/>
      <c r="NU277" s="91"/>
      <c r="NV277" s="91"/>
      <c r="NW277" s="91"/>
      <c r="NX277" s="91"/>
      <c r="NY277" s="91"/>
      <c r="NZ277" s="91"/>
      <c r="OA277" s="91"/>
      <c r="OB277" s="91"/>
      <c r="OC277" s="91"/>
      <c r="OD277" s="91"/>
      <c r="OE277" s="91"/>
      <c r="OF277" s="91"/>
      <c r="OG277" s="91"/>
      <c r="OH277" s="91"/>
      <c r="OI277" s="91"/>
      <c r="OJ277" s="91"/>
      <c r="OK277" s="91"/>
      <c r="OL277" s="91"/>
      <c r="OM277" s="91"/>
      <c r="ON277" s="91"/>
      <c r="OO277" s="91"/>
      <c r="OP277" s="91"/>
      <c r="OQ277" s="91"/>
      <c r="OR277" s="91"/>
      <c r="OS277" s="91"/>
      <c r="OT277" s="91"/>
      <c r="OU277" s="91"/>
      <c r="OV277" s="91"/>
      <c r="OW277" s="91"/>
      <c r="OX277" s="91"/>
      <c r="OY277" s="91"/>
      <c r="OZ277" s="91"/>
      <c r="PA277" s="91"/>
      <c r="PB277" s="91"/>
      <c r="PC277" s="91"/>
      <c r="PD277" s="91"/>
      <c r="PE277" s="91"/>
      <c r="PF277" s="91"/>
      <c r="PG277" s="91"/>
      <c r="PH277" s="91"/>
      <c r="PI277" s="91"/>
      <c r="PJ277" s="91"/>
      <c r="PK277" s="91"/>
      <c r="PL277" s="91"/>
      <c r="PM277" s="91"/>
      <c r="PN277" s="91"/>
      <c r="PO277" s="91"/>
      <c r="PP277" s="91"/>
      <c r="PQ277" s="91"/>
      <c r="PR277" s="91"/>
      <c r="PS277" s="91"/>
      <c r="PT277" s="91"/>
      <c r="PU277" s="91"/>
      <c r="PV277" s="91"/>
      <c r="PW277" s="91"/>
      <c r="PX277" s="91"/>
      <c r="PY277" s="91"/>
      <c r="PZ277" s="91"/>
      <c r="QA277" s="91"/>
      <c r="QB277" s="91"/>
      <c r="QC277" s="91"/>
      <c r="QD277" s="91"/>
      <c r="QE277" s="91"/>
      <c r="QF277" s="91"/>
      <c r="QG277" s="91"/>
      <c r="QH277" s="91"/>
      <c r="QI277" s="91"/>
      <c r="QJ277" s="91"/>
      <c r="QK277" s="91"/>
      <c r="QL277" s="91"/>
      <c r="QM277" s="91"/>
      <c r="QN277" s="91"/>
      <c r="QO277" s="91"/>
      <c r="QP277" s="91"/>
      <c r="QQ277" s="91"/>
      <c r="QR277" s="91"/>
      <c r="QS277" s="91"/>
      <c r="QT277" s="91"/>
      <c r="QU277" s="91"/>
      <c r="QV277" s="91"/>
      <c r="QW277" s="91"/>
      <c r="QX277" s="91"/>
      <c r="QY277" s="91"/>
      <c r="QZ277" s="91"/>
      <c r="RA277" s="91"/>
      <c r="RB277" s="91"/>
      <c r="RC277" s="91"/>
      <c r="RD277" s="91"/>
      <c r="RE277" s="91"/>
      <c r="RF277" s="91"/>
      <c r="RG277" s="91"/>
      <c r="RH277" s="91"/>
      <c r="RI277" s="91"/>
      <c r="RJ277" s="91"/>
      <c r="RK277" s="91"/>
      <c r="RL277" s="91"/>
      <c r="RM277" s="91"/>
      <c r="RN277" s="91"/>
      <c r="RO277" s="91"/>
      <c r="RP277" s="91"/>
      <c r="RQ277" s="91"/>
      <c r="RR277" s="91"/>
      <c r="RS277" s="91"/>
      <c r="RT277" s="91"/>
      <c r="RU277" s="91"/>
      <c r="RV277" s="91"/>
      <c r="RW277" s="91"/>
      <c r="RX277" s="91"/>
      <c r="RY277" s="91"/>
      <c r="RZ277" s="91"/>
      <c r="SA277" s="91"/>
      <c r="SB277" s="91"/>
      <c r="SC277" s="91"/>
      <c r="SD277" s="91"/>
      <c r="SE277" s="91"/>
      <c r="SF277" s="91"/>
      <c r="SG277" s="91"/>
      <c r="SH277" s="91"/>
      <c r="SI277" s="91"/>
      <c r="SJ277" s="91"/>
      <c r="SK277" s="91"/>
      <c r="SL277" s="91"/>
      <c r="SM277" s="91"/>
      <c r="SN277" s="91"/>
      <c r="SO277" s="91"/>
      <c r="SP277" s="91"/>
      <c r="SQ277" s="91"/>
      <c r="SR277" s="91"/>
      <c r="SS277" s="91"/>
      <c r="ST277" s="91"/>
      <c r="SU277" s="91"/>
      <c r="SV277" s="91"/>
      <c r="SW277" s="91"/>
      <c r="SX277" s="91"/>
      <c r="SY277" s="91"/>
      <c r="SZ277" s="91"/>
      <c r="TA277" s="91"/>
      <c r="TB277" s="91"/>
      <c r="TC277" s="91"/>
      <c r="TD277" s="91"/>
      <c r="TE277" s="91"/>
      <c r="TF277" s="91"/>
      <c r="TG277" s="91"/>
      <c r="TH277" s="91"/>
      <c r="TI277" s="91"/>
      <c r="TJ277" s="91"/>
      <c r="TK277" s="91"/>
      <c r="TL277" s="91"/>
      <c r="TM277" s="91"/>
      <c r="TN277" s="91"/>
      <c r="TO277" s="91"/>
      <c r="TP277" s="91"/>
      <c r="TQ277" s="91"/>
      <c r="TR277" s="91"/>
      <c r="TS277" s="91"/>
      <c r="TT277" s="91"/>
      <c r="TU277" s="91"/>
      <c r="TV277" s="91"/>
      <c r="TW277" s="91"/>
      <c r="TX277" s="91"/>
      <c r="TY277" s="91"/>
      <c r="TZ277" s="91"/>
      <c r="UA277" s="91"/>
      <c r="UB277" s="91"/>
      <c r="UC277" s="91"/>
      <c r="UD277" s="91"/>
      <c r="UE277" s="91"/>
      <c r="UF277" s="91"/>
      <c r="UG277" s="91"/>
      <c r="UH277" s="91"/>
      <c r="UI277" s="91"/>
      <c r="UJ277" s="91"/>
      <c r="UK277" s="91"/>
      <c r="UL277" s="91"/>
      <c r="UM277" s="91"/>
      <c r="UN277" s="91"/>
      <c r="UO277" s="91"/>
      <c r="UP277" s="91"/>
      <c r="UQ277" s="91"/>
      <c r="UR277" s="91"/>
      <c r="US277" s="91"/>
      <c r="UT277" s="91"/>
      <c r="UU277" s="91"/>
      <c r="UV277" s="91"/>
      <c r="UW277" s="91"/>
      <c r="UX277" s="91"/>
      <c r="UY277" s="91"/>
      <c r="UZ277" s="91"/>
      <c r="VA277" s="91"/>
      <c r="VB277" s="91"/>
      <c r="VC277" s="91"/>
    </row>
    <row r="278" spans="1:575" s="55" customFormat="1" ht="45" customHeight="1" x14ac:dyDescent="0.25">
      <c r="A278" s="53" t="s">
        <v>275</v>
      </c>
      <c r="B278" s="102" t="str">
        <f>'дод 2'!A13</f>
        <v>0160</v>
      </c>
      <c r="C278" s="102" t="str">
        <f>'дод 2'!B13</f>
        <v>0111</v>
      </c>
      <c r="D278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78" s="132">
        <f>F278+I278</f>
        <v>8095100</v>
      </c>
      <c r="F278" s="132">
        <f>7793100+252000+50000</f>
        <v>8095100</v>
      </c>
      <c r="G278" s="132">
        <f>6071539+206500</f>
        <v>6278039</v>
      </c>
      <c r="H278" s="132">
        <v>108163</v>
      </c>
      <c r="I278" s="132"/>
      <c r="J278" s="132">
        <f t="shared" si="43"/>
        <v>0</v>
      </c>
      <c r="K278" s="132"/>
      <c r="L278" s="132"/>
      <c r="M278" s="132"/>
      <c r="N278" s="132"/>
      <c r="O278" s="132"/>
      <c r="P278" s="132">
        <f>E278+J278</f>
        <v>8095100</v>
      </c>
      <c r="Q278" s="159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  <c r="KO278" s="61"/>
      <c r="KP278" s="61"/>
      <c r="KQ278" s="61"/>
      <c r="KR278" s="61"/>
      <c r="KS278" s="61"/>
      <c r="KT278" s="61"/>
      <c r="KU278" s="61"/>
      <c r="KV278" s="61"/>
      <c r="KW278" s="61"/>
      <c r="KX278" s="61"/>
      <c r="KY278" s="61"/>
      <c r="KZ278" s="61"/>
      <c r="LA278" s="61"/>
      <c r="LB278" s="61"/>
      <c r="LC278" s="61"/>
      <c r="LD278" s="61"/>
      <c r="LE278" s="61"/>
      <c r="LF278" s="61"/>
      <c r="LG278" s="61"/>
      <c r="LH278" s="61"/>
      <c r="LI278" s="61"/>
      <c r="LJ278" s="61"/>
      <c r="LK278" s="61"/>
      <c r="LL278" s="61"/>
      <c r="LM278" s="61"/>
      <c r="LN278" s="61"/>
      <c r="LO278" s="61"/>
      <c r="LP278" s="61"/>
      <c r="LQ278" s="61"/>
      <c r="LR278" s="61"/>
      <c r="LS278" s="61"/>
      <c r="LT278" s="61"/>
      <c r="LU278" s="61"/>
      <c r="LV278" s="61"/>
      <c r="LW278" s="61"/>
      <c r="LX278" s="61"/>
      <c r="LY278" s="61"/>
      <c r="LZ278" s="61"/>
      <c r="MA278" s="61"/>
      <c r="MB278" s="61"/>
      <c r="MC278" s="61"/>
      <c r="MD278" s="61"/>
      <c r="ME278" s="61"/>
      <c r="MF278" s="61"/>
      <c r="MG278" s="61"/>
      <c r="MH278" s="61"/>
      <c r="MI278" s="61"/>
      <c r="MJ278" s="61"/>
      <c r="MK278" s="61"/>
      <c r="ML278" s="61"/>
      <c r="MM278" s="61"/>
      <c r="MN278" s="61"/>
      <c r="MO278" s="61"/>
      <c r="MP278" s="61"/>
      <c r="MQ278" s="61"/>
      <c r="MR278" s="61"/>
      <c r="MS278" s="61"/>
      <c r="MT278" s="61"/>
      <c r="MU278" s="61"/>
      <c r="MV278" s="61"/>
      <c r="MW278" s="61"/>
      <c r="MX278" s="61"/>
      <c r="MY278" s="61"/>
      <c r="MZ278" s="61"/>
      <c r="NA278" s="61"/>
      <c r="NB278" s="61"/>
      <c r="NC278" s="61"/>
      <c r="ND278" s="61"/>
      <c r="NE278" s="61"/>
      <c r="NF278" s="61"/>
      <c r="NG278" s="61"/>
      <c r="NH278" s="61"/>
      <c r="NI278" s="61"/>
      <c r="NJ278" s="61"/>
      <c r="NK278" s="61"/>
      <c r="NL278" s="61"/>
      <c r="NM278" s="61"/>
      <c r="NN278" s="61"/>
      <c r="NO278" s="61"/>
      <c r="NP278" s="61"/>
      <c r="NQ278" s="61"/>
      <c r="NR278" s="61"/>
      <c r="NS278" s="61"/>
      <c r="NT278" s="61"/>
      <c r="NU278" s="61"/>
      <c r="NV278" s="61"/>
      <c r="NW278" s="61"/>
      <c r="NX278" s="61"/>
      <c r="NY278" s="61"/>
      <c r="NZ278" s="61"/>
      <c r="OA278" s="61"/>
      <c r="OB278" s="61"/>
      <c r="OC278" s="61"/>
      <c r="OD278" s="61"/>
      <c r="OE278" s="61"/>
      <c r="OF278" s="61"/>
      <c r="OG278" s="61"/>
      <c r="OH278" s="61"/>
      <c r="OI278" s="61"/>
      <c r="OJ278" s="61"/>
      <c r="OK278" s="61"/>
      <c r="OL278" s="61"/>
      <c r="OM278" s="61"/>
      <c r="ON278" s="61"/>
      <c r="OO278" s="61"/>
      <c r="OP278" s="61"/>
      <c r="OQ278" s="61"/>
      <c r="OR278" s="61"/>
      <c r="OS278" s="61"/>
      <c r="OT278" s="61"/>
      <c r="OU278" s="61"/>
      <c r="OV278" s="61"/>
      <c r="OW278" s="61"/>
      <c r="OX278" s="61"/>
      <c r="OY278" s="61"/>
      <c r="OZ278" s="61"/>
      <c r="PA278" s="61"/>
      <c r="PB278" s="61"/>
      <c r="PC278" s="61"/>
      <c r="PD278" s="61"/>
      <c r="PE278" s="61"/>
      <c r="PF278" s="61"/>
      <c r="PG278" s="61"/>
      <c r="PH278" s="61"/>
      <c r="PI278" s="61"/>
      <c r="PJ278" s="61"/>
      <c r="PK278" s="61"/>
      <c r="PL278" s="61"/>
      <c r="PM278" s="61"/>
      <c r="PN278" s="61"/>
      <c r="PO278" s="61"/>
      <c r="PP278" s="61"/>
      <c r="PQ278" s="61"/>
      <c r="PR278" s="61"/>
      <c r="PS278" s="61"/>
      <c r="PT278" s="61"/>
      <c r="PU278" s="61"/>
      <c r="PV278" s="61"/>
      <c r="PW278" s="61"/>
      <c r="PX278" s="61"/>
      <c r="PY278" s="61"/>
      <c r="PZ278" s="61"/>
      <c r="QA278" s="61"/>
      <c r="QB278" s="61"/>
      <c r="QC278" s="61"/>
      <c r="QD278" s="61"/>
      <c r="QE278" s="61"/>
      <c r="QF278" s="61"/>
      <c r="QG278" s="61"/>
      <c r="QH278" s="61"/>
      <c r="QI278" s="61"/>
      <c r="QJ278" s="61"/>
      <c r="QK278" s="61"/>
      <c r="QL278" s="61"/>
      <c r="QM278" s="61"/>
      <c r="QN278" s="61"/>
      <c r="QO278" s="61"/>
      <c r="QP278" s="61"/>
      <c r="QQ278" s="61"/>
      <c r="QR278" s="61"/>
      <c r="QS278" s="61"/>
      <c r="QT278" s="61"/>
      <c r="QU278" s="61"/>
      <c r="QV278" s="61"/>
      <c r="QW278" s="61"/>
      <c r="QX278" s="61"/>
      <c r="QY278" s="61"/>
      <c r="QZ278" s="61"/>
      <c r="RA278" s="61"/>
      <c r="RB278" s="61"/>
      <c r="RC278" s="61"/>
      <c r="RD278" s="61"/>
      <c r="RE278" s="61"/>
      <c r="RF278" s="61"/>
      <c r="RG278" s="61"/>
      <c r="RH278" s="61"/>
      <c r="RI278" s="61"/>
      <c r="RJ278" s="61"/>
      <c r="RK278" s="61"/>
      <c r="RL278" s="61"/>
      <c r="RM278" s="61"/>
      <c r="RN278" s="61"/>
      <c r="RO278" s="61"/>
      <c r="RP278" s="61"/>
      <c r="RQ278" s="61"/>
      <c r="RR278" s="61"/>
      <c r="RS278" s="61"/>
      <c r="RT278" s="61"/>
      <c r="RU278" s="61"/>
      <c r="RV278" s="61"/>
      <c r="RW278" s="61"/>
      <c r="RX278" s="61"/>
      <c r="RY278" s="61"/>
      <c r="RZ278" s="61"/>
      <c r="SA278" s="61"/>
      <c r="SB278" s="61"/>
      <c r="SC278" s="61"/>
      <c r="SD278" s="61"/>
      <c r="SE278" s="61"/>
      <c r="SF278" s="61"/>
      <c r="SG278" s="61"/>
      <c r="SH278" s="61"/>
      <c r="SI278" s="61"/>
      <c r="SJ278" s="61"/>
      <c r="SK278" s="61"/>
      <c r="SL278" s="61"/>
      <c r="SM278" s="61"/>
      <c r="SN278" s="61"/>
      <c r="SO278" s="61"/>
      <c r="SP278" s="61"/>
      <c r="SQ278" s="61"/>
      <c r="SR278" s="61"/>
      <c r="SS278" s="61"/>
      <c r="ST278" s="61"/>
      <c r="SU278" s="61"/>
      <c r="SV278" s="61"/>
      <c r="SW278" s="61"/>
      <c r="SX278" s="61"/>
      <c r="SY278" s="61"/>
      <c r="SZ278" s="61"/>
      <c r="TA278" s="61"/>
      <c r="TB278" s="61"/>
      <c r="TC278" s="61"/>
      <c r="TD278" s="61"/>
      <c r="TE278" s="61"/>
      <c r="TF278" s="61"/>
      <c r="TG278" s="61"/>
      <c r="TH278" s="61"/>
      <c r="TI278" s="61"/>
      <c r="TJ278" s="61"/>
      <c r="TK278" s="61"/>
      <c r="TL278" s="61"/>
      <c r="TM278" s="61"/>
      <c r="TN278" s="61"/>
      <c r="TO278" s="61"/>
      <c r="TP278" s="61"/>
      <c r="TQ278" s="61"/>
      <c r="TR278" s="61"/>
      <c r="TS278" s="61"/>
      <c r="TT278" s="61"/>
      <c r="TU278" s="61"/>
      <c r="TV278" s="61"/>
      <c r="TW278" s="61"/>
      <c r="TX278" s="61"/>
      <c r="TY278" s="61"/>
      <c r="TZ278" s="61"/>
      <c r="UA278" s="61"/>
      <c r="UB278" s="61"/>
      <c r="UC278" s="61"/>
      <c r="UD278" s="61"/>
      <c r="UE278" s="61"/>
      <c r="UF278" s="61"/>
      <c r="UG278" s="61"/>
      <c r="UH278" s="61"/>
      <c r="UI278" s="61"/>
      <c r="UJ278" s="61"/>
      <c r="UK278" s="61"/>
      <c r="UL278" s="61"/>
      <c r="UM278" s="61"/>
      <c r="UN278" s="61"/>
      <c r="UO278" s="61"/>
      <c r="UP278" s="61"/>
      <c r="UQ278" s="61"/>
      <c r="UR278" s="61"/>
      <c r="US278" s="61"/>
      <c r="UT278" s="61"/>
      <c r="UU278" s="61"/>
      <c r="UV278" s="61"/>
      <c r="UW278" s="61"/>
      <c r="UX278" s="61"/>
      <c r="UY278" s="61"/>
      <c r="UZ278" s="61"/>
      <c r="VA278" s="61"/>
      <c r="VB278" s="61"/>
      <c r="VC278" s="61"/>
    </row>
    <row r="279" spans="1:575" s="55" customFormat="1" ht="34.5" customHeight="1" x14ac:dyDescent="0.25">
      <c r="A279" s="53" t="s">
        <v>406</v>
      </c>
      <c r="B279" s="106" t="str">
        <f>'дод 2'!A157</f>
        <v>6090</v>
      </c>
      <c r="C279" s="106" t="str">
        <f>'дод 2'!B157</f>
        <v>0640</v>
      </c>
      <c r="D279" s="56" t="str">
        <f>'дод 2'!C157</f>
        <v>Інша діяльність у сфері житлово-комунального господарства</v>
      </c>
      <c r="E279" s="132">
        <f>F279+I279</f>
        <v>180000</v>
      </c>
      <c r="F279" s="132">
        <v>180000</v>
      </c>
      <c r="G279" s="132"/>
      <c r="H279" s="132"/>
      <c r="I279" s="132"/>
      <c r="J279" s="132">
        <f t="shared" si="43"/>
        <v>0</v>
      </c>
      <c r="K279" s="132"/>
      <c r="L279" s="132"/>
      <c r="M279" s="132"/>
      <c r="N279" s="132"/>
      <c r="O279" s="132"/>
      <c r="P279" s="132">
        <f>E279+J279</f>
        <v>180000</v>
      </c>
      <c r="Q279" s="159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  <c r="SP279" s="61"/>
      <c r="SQ279" s="61"/>
      <c r="SR279" s="61"/>
      <c r="SS279" s="61"/>
      <c r="ST279" s="61"/>
      <c r="SU279" s="61"/>
      <c r="SV279" s="61"/>
      <c r="SW279" s="61"/>
      <c r="SX279" s="61"/>
      <c r="SY279" s="61"/>
      <c r="SZ279" s="61"/>
      <c r="TA279" s="61"/>
      <c r="TB279" s="61"/>
      <c r="TC279" s="61"/>
      <c r="TD279" s="61"/>
      <c r="TE279" s="61"/>
      <c r="TF279" s="61"/>
      <c r="TG279" s="61"/>
      <c r="TH279" s="61"/>
      <c r="TI279" s="61"/>
      <c r="TJ279" s="61"/>
      <c r="TK279" s="61"/>
      <c r="TL279" s="61"/>
      <c r="TM279" s="61"/>
      <c r="TN279" s="61"/>
      <c r="TO279" s="61"/>
      <c r="TP279" s="61"/>
      <c r="TQ279" s="61"/>
      <c r="TR279" s="61"/>
      <c r="TS279" s="61"/>
      <c r="TT279" s="61"/>
      <c r="TU279" s="61"/>
      <c r="TV279" s="61"/>
      <c r="TW279" s="61"/>
      <c r="TX279" s="61"/>
      <c r="TY279" s="61"/>
      <c r="TZ279" s="61"/>
      <c r="UA279" s="61"/>
      <c r="UB279" s="61"/>
      <c r="UC279" s="61"/>
      <c r="UD279" s="61"/>
      <c r="UE279" s="61"/>
      <c r="UF279" s="61"/>
      <c r="UG279" s="61"/>
      <c r="UH279" s="61"/>
      <c r="UI279" s="61"/>
      <c r="UJ279" s="61"/>
      <c r="UK279" s="61"/>
      <c r="UL279" s="61"/>
      <c r="UM279" s="61"/>
      <c r="UN279" s="61"/>
      <c r="UO279" s="61"/>
      <c r="UP279" s="61"/>
      <c r="UQ279" s="61"/>
      <c r="UR279" s="61"/>
      <c r="US279" s="61"/>
      <c r="UT279" s="61"/>
      <c r="UU279" s="61"/>
      <c r="UV279" s="61"/>
      <c r="UW279" s="61"/>
      <c r="UX279" s="61"/>
      <c r="UY279" s="61"/>
      <c r="UZ279" s="61"/>
      <c r="VA279" s="61"/>
      <c r="VB279" s="61"/>
      <c r="VC279" s="61"/>
    </row>
    <row r="280" spans="1:575" s="55" customFormat="1" ht="10.5" hidden="1" customHeight="1" x14ac:dyDescent="0.25">
      <c r="A280" s="53" t="s">
        <v>521</v>
      </c>
      <c r="B280" s="106" t="str">
        <f>'дод 2'!A169</f>
        <v>7350</v>
      </c>
      <c r="C280" s="106" t="str">
        <f>'дод 2'!B169</f>
        <v>0443</v>
      </c>
      <c r="D280" s="56" t="str">
        <f>'дод 2'!C169</f>
        <v>Розроблення схем планування та забудови територій (містобудівної документації)</v>
      </c>
      <c r="E280" s="132">
        <f>F280+I280</f>
        <v>0</v>
      </c>
      <c r="F280" s="132"/>
      <c r="G280" s="132"/>
      <c r="H280" s="132"/>
      <c r="I280" s="132"/>
      <c r="J280" s="132">
        <f t="shared" si="43"/>
        <v>0</v>
      </c>
      <c r="K280" s="132"/>
      <c r="L280" s="132"/>
      <c r="M280" s="132"/>
      <c r="N280" s="132"/>
      <c r="O280" s="132"/>
      <c r="P280" s="132">
        <f>E280+J280</f>
        <v>0</v>
      </c>
      <c r="Q280" s="159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  <c r="SP280" s="61"/>
      <c r="SQ280" s="61"/>
      <c r="SR280" s="61"/>
      <c r="SS280" s="61"/>
      <c r="ST280" s="61"/>
      <c r="SU280" s="61"/>
      <c r="SV280" s="61"/>
      <c r="SW280" s="61"/>
      <c r="SX280" s="61"/>
      <c r="SY280" s="61"/>
      <c r="SZ280" s="61"/>
      <c r="TA280" s="61"/>
      <c r="TB280" s="61"/>
      <c r="TC280" s="61"/>
      <c r="TD280" s="61"/>
      <c r="TE280" s="61"/>
      <c r="TF280" s="61"/>
      <c r="TG280" s="61"/>
      <c r="TH280" s="61"/>
      <c r="TI280" s="61"/>
      <c r="TJ280" s="61"/>
      <c r="TK280" s="61"/>
      <c r="TL280" s="61"/>
      <c r="TM280" s="61"/>
      <c r="TN280" s="61"/>
      <c r="TO280" s="61"/>
      <c r="TP280" s="61"/>
      <c r="TQ280" s="61"/>
      <c r="TR280" s="61"/>
      <c r="TS280" s="61"/>
      <c r="TT280" s="61"/>
      <c r="TU280" s="61"/>
      <c r="TV280" s="61"/>
      <c r="TW280" s="61"/>
      <c r="TX280" s="61"/>
      <c r="TY280" s="61"/>
      <c r="TZ280" s="61"/>
      <c r="UA280" s="61"/>
      <c r="UB280" s="61"/>
      <c r="UC280" s="61"/>
      <c r="UD280" s="61"/>
      <c r="UE280" s="61"/>
      <c r="UF280" s="61"/>
      <c r="UG280" s="61"/>
      <c r="UH280" s="61"/>
      <c r="UI280" s="61"/>
      <c r="UJ280" s="61"/>
      <c r="UK280" s="61"/>
      <c r="UL280" s="61"/>
      <c r="UM280" s="61"/>
      <c r="UN280" s="61"/>
      <c r="UO280" s="61"/>
      <c r="UP280" s="61"/>
      <c r="UQ280" s="61"/>
      <c r="UR280" s="61"/>
      <c r="US280" s="61"/>
      <c r="UT280" s="61"/>
      <c r="UU280" s="61"/>
      <c r="UV280" s="61"/>
      <c r="UW280" s="61"/>
      <c r="UX280" s="61"/>
      <c r="UY280" s="61"/>
      <c r="UZ280" s="61"/>
      <c r="VA280" s="61"/>
      <c r="VB280" s="61"/>
      <c r="VC280" s="61"/>
    </row>
    <row r="281" spans="1:575" s="55" customFormat="1" ht="39" customHeight="1" x14ac:dyDescent="0.25">
      <c r="A281" s="53" t="s">
        <v>555</v>
      </c>
      <c r="B281" s="106" t="str">
        <f>'дод 2'!A173</f>
        <v>7370</v>
      </c>
      <c r="C281" s="106" t="str">
        <f>'дод 2'!B173</f>
        <v>0490</v>
      </c>
      <c r="D281" s="56" t="str">
        <f>'дод 2'!C173</f>
        <v>Реалізація інших заходів щодо соціально-економічного розвитку територій</v>
      </c>
      <c r="E281" s="132">
        <f>F281+I281</f>
        <v>903615</v>
      </c>
      <c r="F281" s="132">
        <f>935200-31585</f>
        <v>903615</v>
      </c>
      <c r="G281" s="132"/>
      <c r="H281" s="132"/>
      <c r="I281" s="132"/>
      <c r="J281" s="132">
        <f t="shared" si="43"/>
        <v>0</v>
      </c>
      <c r="K281" s="132"/>
      <c r="L281" s="132"/>
      <c r="M281" s="132"/>
      <c r="N281" s="132"/>
      <c r="O281" s="132"/>
      <c r="P281" s="132">
        <f>E281+J281</f>
        <v>903615</v>
      </c>
      <c r="Q281" s="159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  <c r="HQ281" s="61"/>
      <c r="HR281" s="61"/>
      <c r="HS281" s="61"/>
      <c r="HT281" s="61"/>
      <c r="HU281" s="61"/>
      <c r="HV281" s="61"/>
      <c r="HW281" s="61"/>
      <c r="HX281" s="61"/>
      <c r="HY281" s="61"/>
      <c r="HZ281" s="61"/>
      <c r="IA281" s="61"/>
      <c r="IB281" s="61"/>
      <c r="IC281" s="61"/>
      <c r="ID281" s="61"/>
      <c r="IE281" s="61"/>
      <c r="IF281" s="61"/>
      <c r="IG281" s="61"/>
      <c r="IH281" s="61"/>
      <c r="II281" s="61"/>
      <c r="IJ281" s="61"/>
      <c r="IK281" s="61"/>
      <c r="IL281" s="61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  <c r="IW281" s="61"/>
      <c r="IX281" s="61"/>
      <c r="IY281" s="61"/>
      <c r="IZ281" s="61"/>
      <c r="JA281" s="61"/>
      <c r="JB281" s="61"/>
      <c r="JC281" s="61"/>
      <c r="JD281" s="61"/>
      <c r="JE281" s="61"/>
      <c r="JF281" s="61"/>
      <c r="JG281" s="61"/>
      <c r="JH281" s="61"/>
      <c r="JI281" s="61"/>
      <c r="JJ281" s="61"/>
      <c r="JK281" s="61"/>
      <c r="JL281" s="61"/>
      <c r="JM281" s="61"/>
      <c r="JN281" s="61"/>
      <c r="JO281" s="61"/>
      <c r="JP281" s="61"/>
      <c r="JQ281" s="61"/>
      <c r="JR281" s="61"/>
      <c r="JS281" s="61"/>
      <c r="JT281" s="61"/>
      <c r="JU281" s="61"/>
      <c r="JV281" s="61"/>
      <c r="JW281" s="61"/>
      <c r="JX281" s="61"/>
      <c r="JY281" s="61"/>
      <c r="JZ281" s="61"/>
      <c r="KA281" s="61"/>
      <c r="KB281" s="61"/>
      <c r="KC281" s="61"/>
      <c r="KD281" s="61"/>
      <c r="KE281" s="61"/>
      <c r="KF281" s="61"/>
      <c r="KG281" s="61"/>
      <c r="KH281" s="61"/>
      <c r="KI281" s="61"/>
      <c r="KJ281" s="61"/>
      <c r="KK281" s="61"/>
      <c r="KL281" s="61"/>
      <c r="KM281" s="61"/>
      <c r="KN281" s="61"/>
      <c r="KO281" s="61"/>
      <c r="KP281" s="61"/>
      <c r="KQ281" s="61"/>
      <c r="KR281" s="61"/>
      <c r="KS281" s="61"/>
      <c r="KT281" s="61"/>
      <c r="KU281" s="61"/>
      <c r="KV281" s="61"/>
      <c r="KW281" s="61"/>
      <c r="KX281" s="61"/>
      <c r="KY281" s="61"/>
      <c r="KZ281" s="61"/>
      <c r="LA281" s="61"/>
      <c r="LB281" s="61"/>
      <c r="LC281" s="61"/>
      <c r="LD281" s="61"/>
      <c r="LE281" s="61"/>
      <c r="LF281" s="61"/>
      <c r="LG281" s="61"/>
      <c r="LH281" s="61"/>
      <c r="LI281" s="61"/>
      <c r="LJ281" s="61"/>
      <c r="LK281" s="61"/>
      <c r="LL281" s="61"/>
      <c r="LM281" s="61"/>
      <c r="LN281" s="61"/>
      <c r="LO281" s="61"/>
      <c r="LP281" s="61"/>
      <c r="LQ281" s="61"/>
      <c r="LR281" s="61"/>
      <c r="LS281" s="61"/>
      <c r="LT281" s="61"/>
      <c r="LU281" s="61"/>
      <c r="LV281" s="61"/>
      <c r="LW281" s="61"/>
      <c r="LX281" s="61"/>
      <c r="LY281" s="61"/>
      <c r="LZ281" s="61"/>
      <c r="MA281" s="61"/>
      <c r="MB281" s="61"/>
      <c r="MC281" s="61"/>
      <c r="MD281" s="61"/>
      <c r="ME281" s="61"/>
      <c r="MF281" s="61"/>
      <c r="MG281" s="61"/>
      <c r="MH281" s="61"/>
      <c r="MI281" s="61"/>
      <c r="MJ281" s="61"/>
      <c r="MK281" s="61"/>
      <c r="ML281" s="61"/>
      <c r="MM281" s="61"/>
      <c r="MN281" s="61"/>
      <c r="MO281" s="61"/>
      <c r="MP281" s="61"/>
      <c r="MQ281" s="61"/>
      <c r="MR281" s="61"/>
      <c r="MS281" s="61"/>
      <c r="MT281" s="61"/>
      <c r="MU281" s="61"/>
      <c r="MV281" s="61"/>
      <c r="MW281" s="61"/>
      <c r="MX281" s="61"/>
      <c r="MY281" s="61"/>
      <c r="MZ281" s="61"/>
      <c r="NA281" s="61"/>
      <c r="NB281" s="61"/>
      <c r="NC281" s="61"/>
      <c r="ND281" s="61"/>
      <c r="NE281" s="61"/>
      <c r="NF281" s="61"/>
      <c r="NG281" s="61"/>
      <c r="NH281" s="61"/>
      <c r="NI281" s="61"/>
      <c r="NJ281" s="61"/>
      <c r="NK281" s="61"/>
      <c r="NL281" s="61"/>
      <c r="NM281" s="61"/>
      <c r="NN281" s="61"/>
      <c r="NO281" s="61"/>
      <c r="NP281" s="61"/>
      <c r="NQ281" s="61"/>
      <c r="NR281" s="61"/>
      <c r="NS281" s="61"/>
      <c r="NT281" s="61"/>
      <c r="NU281" s="61"/>
      <c r="NV281" s="61"/>
      <c r="NW281" s="61"/>
      <c r="NX281" s="61"/>
      <c r="NY281" s="61"/>
      <c r="NZ281" s="61"/>
      <c r="OA281" s="61"/>
      <c r="OB281" s="61"/>
      <c r="OC281" s="61"/>
      <c r="OD281" s="61"/>
      <c r="OE281" s="61"/>
      <c r="OF281" s="61"/>
      <c r="OG281" s="61"/>
      <c r="OH281" s="61"/>
      <c r="OI281" s="61"/>
      <c r="OJ281" s="61"/>
      <c r="OK281" s="61"/>
      <c r="OL281" s="61"/>
      <c r="OM281" s="61"/>
      <c r="ON281" s="61"/>
      <c r="OO281" s="61"/>
      <c r="OP281" s="61"/>
      <c r="OQ281" s="61"/>
      <c r="OR281" s="61"/>
      <c r="OS281" s="61"/>
      <c r="OT281" s="61"/>
      <c r="OU281" s="61"/>
      <c r="OV281" s="61"/>
      <c r="OW281" s="61"/>
      <c r="OX281" s="61"/>
      <c r="OY281" s="61"/>
      <c r="OZ281" s="61"/>
      <c r="PA281" s="61"/>
      <c r="PB281" s="61"/>
      <c r="PC281" s="61"/>
      <c r="PD281" s="61"/>
      <c r="PE281" s="61"/>
      <c r="PF281" s="61"/>
      <c r="PG281" s="61"/>
      <c r="PH281" s="61"/>
      <c r="PI281" s="61"/>
      <c r="PJ281" s="61"/>
      <c r="PK281" s="61"/>
      <c r="PL281" s="61"/>
      <c r="PM281" s="61"/>
      <c r="PN281" s="61"/>
      <c r="PO281" s="61"/>
      <c r="PP281" s="61"/>
      <c r="PQ281" s="61"/>
      <c r="PR281" s="61"/>
      <c r="PS281" s="61"/>
      <c r="PT281" s="61"/>
      <c r="PU281" s="61"/>
      <c r="PV281" s="61"/>
      <c r="PW281" s="61"/>
      <c r="PX281" s="61"/>
      <c r="PY281" s="61"/>
      <c r="PZ281" s="61"/>
      <c r="QA281" s="61"/>
      <c r="QB281" s="61"/>
      <c r="QC281" s="61"/>
      <c r="QD281" s="61"/>
      <c r="QE281" s="61"/>
      <c r="QF281" s="61"/>
      <c r="QG281" s="61"/>
      <c r="QH281" s="61"/>
      <c r="QI281" s="61"/>
      <c r="QJ281" s="61"/>
      <c r="QK281" s="61"/>
      <c r="QL281" s="61"/>
      <c r="QM281" s="61"/>
      <c r="QN281" s="61"/>
      <c r="QO281" s="61"/>
      <c r="QP281" s="61"/>
      <c r="QQ281" s="61"/>
      <c r="QR281" s="61"/>
      <c r="QS281" s="61"/>
      <c r="QT281" s="61"/>
      <c r="QU281" s="61"/>
      <c r="QV281" s="61"/>
      <c r="QW281" s="61"/>
      <c r="QX281" s="61"/>
      <c r="QY281" s="61"/>
      <c r="QZ281" s="61"/>
      <c r="RA281" s="61"/>
      <c r="RB281" s="61"/>
      <c r="RC281" s="61"/>
      <c r="RD281" s="61"/>
      <c r="RE281" s="61"/>
      <c r="RF281" s="61"/>
      <c r="RG281" s="61"/>
      <c r="RH281" s="61"/>
      <c r="RI281" s="61"/>
      <c r="RJ281" s="61"/>
      <c r="RK281" s="61"/>
      <c r="RL281" s="61"/>
      <c r="RM281" s="61"/>
      <c r="RN281" s="61"/>
      <c r="RO281" s="61"/>
      <c r="RP281" s="61"/>
      <c r="RQ281" s="61"/>
      <c r="RR281" s="61"/>
      <c r="RS281" s="61"/>
      <c r="RT281" s="61"/>
      <c r="RU281" s="61"/>
      <c r="RV281" s="61"/>
      <c r="RW281" s="61"/>
      <c r="RX281" s="61"/>
      <c r="RY281" s="61"/>
      <c r="RZ281" s="61"/>
      <c r="SA281" s="61"/>
      <c r="SB281" s="61"/>
      <c r="SC281" s="61"/>
      <c r="SD281" s="61"/>
      <c r="SE281" s="61"/>
      <c r="SF281" s="61"/>
      <c r="SG281" s="61"/>
      <c r="SH281" s="61"/>
      <c r="SI281" s="61"/>
      <c r="SJ281" s="61"/>
      <c r="SK281" s="61"/>
      <c r="SL281" s="61"/>
      <c r="SM281" s="61"/>
      <c r="SN281" s="61"/>
      <c r="SO281" s="61"/>
      <c r="SP281" s="61"/>
      <c r="SQ281" s="61"/>
      <c r="SR281" s="61"/>
      <c r="SS281" s="61"/>
      <c r="ST281" s="61"/>
      <c r="SU281" s="61"/>
      <c r="SV281" s="61"/>
      <c r="SW281" s="61"/>
      <c r="SX281" s="61"/>
      <c r="SY281" s="61"/>
      <c r="SZ281" s="61"/>
      <c r="TA281" s="61"/>
      <c r="TB281" s="61"/>
      <c r="TC281" s="61"/>
      <c r="TD281" s="61"/>
      <c r="TE281" s="61"/>
      <c r="TF281" s="61"/>
      <c r="TG281" s="61"/>
      <c r="TH281" s="61"/>
      <c r="TI281" s="61"/>
      <c r="TJ281" s="61"/>
      <c r="TK281" s="61"/>
      <c r="TL281" s="61"/>
      <c r="TM281" s="61"/>
      <c r="TN281" s="61"/>
      <c r="TO281" s="61"/>
      <c r="TP281" s="61"/>
      <c r="TQ281" s="61"/>
      <c r="TR281" s="61"/>
      <c r="TS281" s="61"/>
      <c r="TT281" s="61"/>
      <c r="TU281" s="61"/>
      <c r="TV281" s="61"/>
      <c r="TW281" s="61"/>
      <c r="TX281" s="61"/>
      <c r="TY281" s="61"/>
      <c r="TZ281" s="61"/>
      <c r="UA281" s="61"/>
      <c r="UB281" s="61"/>
      <c r="UC281" s="61"/>
      <c r="UD281" s="61"/>
      <c r="UE281" s="61"/>
      <c r="UF281" s="61"/>
      <c r="UG281" s="61"/>
      <c r="UH281" s="61"/>
      <c r="UI281" s="61"/>
      <c r="UJ281" s="61"/>
      <c r="UK281" s="61"/>
      <c r="UL281" s="61"/>
      <c r="UM281" s="61"/>
      <c r="UN281" s="61"/>
      <c r="UO281" s="61"/>
      <c r="UP281" s="61"/>
      <c r="UQ281" s="61"/>
      <c r="UR281" s="61"/>
      <c r="US281" s="61"/>
      <c r="UT281" s="61"/>
      <c r="UU281" s="61"/>
      <c r="UV281" s="61"/>
      <c r="UW281" s="61"/>
      <c r="UX281" s="61"/>
      <c r="UY281" s="61"/>
      <c r="UZ281" s="61"/>
      <c r="VA281" s="61"/>
      <c r="VB281" s="61"/>
      <c r="VC281" s="61"/>
    </row>
    <row r="282" spans="1:575" s="55" customFormat="1" ht="105" x14ac:dyDescent="0.25">
      <c r="A282" s="57" t="s">
        <v>391</v>
      </c>
      <c r="B282" s="108" t="str">
        <f>'дод 2'!A193</f>
        <v>7691</v>
      </c>
      <c r="C282" s="108" t="str">
        <f>'дод 2'!B193</f>
        <v>0490</v>
      </c>
      <c r="D282" s="54" t="s">
        <v>415</v>
      </c>
      <c r="E282" s="132">
        <f>F282+I282</f>
        <v>0</v>
      </c>
      <c r="F282" s="132"/>
      <c r="G282" s="132"/>
      <c r="H282" s="132"/>
      <c r="I282" s="132"/>
      <c r="J282" s="132">
        <f t="shared" si="43"/>
        <v>2019807.3399999999</v>
      </c>
      <c r="K282" s="132"/>
      <c r="L282" s="132">
        <f>369000+719807.34</f>
        <v>1088807.3399999999</v>
      </c>
      <c r="M282" s="132"/>
      <c r="N282" s="132"/>
      <c r="O282" s="132">
        <f>901000+30000</f>
        <v>931000</v>
      </c>
      <c r="P282" s="132">
        <f>E282+J282</f>
        <v>2019807.3399999999</v>
      </c>
      <c r="Q282" s="159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  <c r="CJ282" s="61"/>
      <c r="CK282" s="61"/>
      <c r="CL282" s="61"/>
      <c r="CM282" s="61"/>
      <c r="CN282" s="61"/>
      <c r="CO282" s="61"/>
      <c r="CP282" s="61"/>
      <c r="CQ282" s="61"/>
      <c r="CR282" s="61"/>
      <c r="CS282" s="61"/>
      <c r="CT282" s="61"/>
      <c r="CU282" s="61"/>
      <c r="CV282" s="61"/>
      <c r="CW282" s="61"/>
      <c r="CX282" s="61"/>
      <c r="CY282" s="61"/>
      <c r="CZ282" s="61"/>
      <c r="DA282" s="61"/>
      <c r="DB282" s="61"/>
      <c r="DC282" s="61"/>
      <c r="DD282" s="61"/>
      <c r="DE282" s="61"/>
      <c r="DF282" s="61"/>
      <c r="DG282" s="61"/>
      <c r="DH282" s="61"/>
      <c r="DI282" s="61"/>
      <c r="DJ282" s="61"/>
      <c r="DK282" s="61"/>
      <c r="DL282" s="61"/>
      <c r="DM282" s="61"/>
      <c r="DN282" s="61"/>
      <c r="DO282" s="61"/>
      <c r="DP282" s="61"/>
      <c r="DQ282" s="61"/>
      <c r="DR282" s="61"/>
      <c r="DS282" s="61"/>
      <c r="DT282" s="61"/>
      <c r="DU282" s="61"/>
      <c r="DV282" s="61"/>
      <c r="DW282" s="61"/>
      <c r="DX282" s="61"/>
      <c r="DY282" s="61"/>
      <c r="DZ282" s="61"/>
      <c r="EA282" s="61"/>
      <c r="EB282" s="61"/>
      <c r="EC282" s="61"/>
      <c r="ED282" s="61"/>
      <c r="EE282" s="61"/>
      <c r="EF282" s="61"/>
      <c r="EG282" s="61"/>
      <c r="EH282" s="61"/>
      <c r="EI282" s="61"/>
      <c r="EJ282" s="61"/>
      <c r="EK282" s="61"/>
      <c r="EL282" s="61"/>
      <c r="EM282" s="61"/>
      <c r="EN282" s="61"/>
      <c r="EO282" s="61"/>
      <c r="EP282" s="61"/>
      <c r="EQ282" s="61"/>
      <c r="ER282" s="61"/>
      <c r="ES282" s="61"/>
      <c r="ET282" s="61"/>
      <c r="EU282" s="61"/>
      <c r="EV282" s="61"/>
      <c r="EW282" s="61"/>
      <c r="EX282" s="61"/>
      <c r="EY282" s="61"/>
      <c r="EZ282" s="61"/>
      <c r="FA282" s="61"/>
      <c r="FB282" s="61"/>
      <c r="FC282" s="61"/>
      <c r="FD282" s="61"/>
      <c r="FE282" s="61"/>
      <c r="FF282" s="61"/>
      <c r="FG282" s="61"/>
      <c r="FH282" s="61"/>
      <c r="FI282" s="61"/>
      <c r="FJ282" s="61"/>
      <c r="FK282" s="61"/>
      <c r="FL282" s="61"/>
      <c r="FM282" s="61"/>
      <c r="FN282" s="61"/>
      <c r="FO282" s="61"/>
      <c r="FP282" s="61"/>
      <c r="FQ282" s="61"/>
      <c r="FR282" s="61"/>
      <c r="FS282" s="61"/>
      <c r="FT282" s="61"/>
      <c r="FU282" s="61"/>
      <c r="FV282" s="61"/>
      <c r="FW282" s="61"/>
      <c r="FX282" s="61"/>
      <c r="FY282" s="61"/>
      <c r="FZ282" s="61"/>
      <c r="GA282" s="61"/>
      <c r="GB282" s="61"/>
      <c r="GC282" s="61"/>
      <c r="GD282" s="61"/>
      <c r="GE282" s="61"/>
      <c r="GF282" s="61"/>
      <c r="GG282" s="61"/>
      <c r="GH282" s="61"/>
      <c r="GI282" s="61"/>
      <c r="GJ282" s="61"/>
      <c r="GK282" s="61"/>
      <c r="GL282" s="61"/>
      <c r="GM282" s="61"/>
      <c r="GN282" s="61"/>
      <c r="GO282" s="61"/>
      <c r="GP282" s="61"/>
      <c r="GQ282" s="61"/>
      <c r="GR282" s="61"/>
      <c r="GS282" s="61"/>
      <c r="GT282" s="61"/>
      <c r="GU282" s="61"/>
      <c r="GV282" s="61"/>
      <c r="GW282" s="61"/>
      <c r="GX282" s="61"/>
      <c r="GY282" s="61"/>
      <c r="GZ282" s="61"/>
      <c r="HA282" s="61"/>
      <c r="HB282" s="61"/>
      <c r="HC282" s="61"/>
      <c r="HD282" s="61"/>
      <c r="HE282" s="61"/>
      <c r="HF282" s="61"/>
      <c r="HG282" s="61"/>
      <c r="HH282" s="61"/>
      <c r="HI282" s="61"/>
      <c r="HJ282" s="61"/>
      <c r="HK282" s="61"/>
      <c r="HL282" s="61"/>
      <c r="HM282" s="61"/>
      <c r="HN282" s="61"/>
      <c r="HO282" s="61"/>
      <c r="HP282" s="61"/>
      <c r="HQ282" s="61"/>
      <c r="HR282" s="61"/>
      <c r="HS282" s="61"/>
      <c r="HT282" s="61"/>
      <c r="HU282" s="61"/>
      <c r="HV282" s="61"/>
      <c r="HW282" s="61"/>
      <c r="HX282" s="61"/>
      <c r="HY282" s="61"/>
      <c r="HZ282" s="61"/>
      <c r="IA282" s="61"/>
      <c r="IB282" s="61"/>
      <c r="IC282" s="61"/>
      <c r="ID282" s="61"/>
      <c r="IE282" s="61"/>
      <c r="IF282" s="61"/>
      <c r="IG282" s="61"/>
      <c r="IH282" s="61"/>
      <c r="II282" s="61"/>
      <c r="IJ282" s="61"/>
      <c r="IK282" s="61"/>
      <c r="IL282" s="61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  <c r="IW282" s="61"/>
      <c r="IX282" s="61"/>
      <c r="IY282" s="61"/>
      <c r="IZ282" s="61"/>
      <c r="JA282" s="61"/>
      <c r="JB282" s="61"/>
      <c r="JC282" s="61"/>
      <c r="JD282" s="61"/>
      <c r="JE282" s="61"/>
      <c r="JF282" s="61"/>
      <c r="JG282" s="61"/>
      <c r="JH282" s="61"/>
      <c r="JI282" s="61"/>
      <c r="JJ282" s="61"/>
      <c r="JK282" s="61"/>
      <c r="JL282" s="61"/>
      <c r="JM282" s="61"/>
      <c r="JN282" s="61"/>
      <c r="JO282" s="61"/>
      <c r="JP282" s="61"/>
      <c r="JQ282" s="61"/>
      <c r="JR282" s="61"/>
      <c r="JS282" s="61"/>
      <c r="JT282" s="61"/>
      <c r="JU282" s="61"/>
      <c r="JV282" s="61"/>
      <c r="JW282" s="61"/>
      <c r="JX282" s="61"/>
      <c r="JY282" s="61"/>
      <c r="JZ282" s="61"/>
      <c r="KA282" s="61"/>
      <c r="KB282" s="61"/>
      <c r="KC282" s="61"/>
      <c r="KD282" s="61"/>
      <c r="KE282" s="61"/>
      <c r="KF282" s="61"/>
      <c r="KG282" s="61"/>
      <c r="KH282" s="61"/>
      <c r="KI282" s="61"/>
      <c r="KJ282" s="61"/>
      <c r="KK282" s="61"/>
      <c r="KL282" s="61"/>
      <c r="KM282" s="61"/>
      <c r="KN282" s="61"/>
      <c r="KO282" s="61"/>
      <c r="KP282" s="61"/>
      <c r="KQ282" s="61"/>
      <c r="KR282" s="61"/>
      <c r="KS282" s="61"/>
      <c r="KT282" s="61"/>
      <c r="KU282" s="61"/>
      <c r="KV282" s="61"/>
      <c r="KW282" s="61"/>
      <c r="KX282" s="61"/>
      <c r="KY282" s="61"/>
      <c r="KZ282" s="61"/>
      <c r="LA282" s="61"/>
      <c r="LB282" s="61"/>
      <c r="LC282" s="61"/>
      <c r="LD282" s="61"/>
      <c r="LE282" s="61"/>
      <c r="LF282" s="61"/>
      <c r="LG282" s="61"/>
      <c r="LH282" s="61"/>
      <c r="LI282" s="61"/>
      <c r="LJ282" s="61"/>
      <c r="LK282" s="61"/>
      <c r="LL282" s="61"/>
      <c r="LM282" s="61"/>
      <c r="LN282" s="61"/>
      <c r="LO282" s="61"/>
      <c r="LP282" s="61"/>
      <c r="LQ282" s="61"/>
      <c r="LR282" s="61"/>
      <c r="LS282" s="61"/>
      <c r="LT282" s="61"/>
      <c r="LU282" s="61"/>
      <c r="LV282" s="61"/>
      <c r="LW282" s="61"/>
      <c r="LX282" s="61"/>
      <c r="LY282" s="61"/>
      <c r="LZ282" s="61"/>
      <c r="MA282" s="61"/>
      <c r="MB282" s="61"/>
      <c r="MC282" s="61"/>
      <c r="MD282" s="61"/>
      <c r="ME282" s="61"/>
      <c r="MF282" s="61"/>
      <c r="MG282" s="61"/>
      <c r="MH282" s="61"/>
      <c r="MI282" s="61"/>
      <c r="MJ282" s="61"/>
      <c r="MK282" s="61"/>
      <c r="ML282" s="61"/>
      <c r="MM282" s="61"/>
      <c r="MN282" s="61"/>
      <c r="MO282" s="61"/>
      <c r="MP282" s="61"/>
      <c r="MQ282" s="61"/>
      <c r="MR282" s="61"/>
      <c r="MS282" s="61"/>
      <c r="MT282" s="61"/>
      <c r="MU282" s="61"/>
      <c r="MV282" s="61"/>
      <c r="MW282" s="61"/>
      <c r="MX282" s="61"/>
      <c r="MY282" s="61"/>
      <c r="MZ282" s="61"/>
      <c r="NA282" s="61"/>
      <c r="NB282" s="61"/>
      <c r="NC282" s="61"/>
      <c r="ND282" s="61"/>
      <c r="NE282" s="61"/>
      <c r="NF282" s="61"/>
      <c r="NG282" s="61"/>
      <c r="NH282" s="61"/>
      <c r="NI282" s="61"/>
      <c r="NJ282" s="61"/>
      <c r="NK282" s="61"/>
      <c r="NL282" s="61"/>
      <c r="NM282" s="61"/>
      <c r="NN282" s="61"/>
      <c r="NO282" s="61"/>
      <c r="NP282" s="61"/>
      <c r="NQ282" s="61"/>
      <c r="NR282" s="61"/>
      <c r="NS282" s="61"/>
      <c r="NT282" s="61"/>
      <c r="NU282" s="61"/>
      <c r="NV282" s="61"/>
      <c r="NW282" s="61"/>
      <c r="NX282" s="61"/>
      <c r="NY282" s="61"/>
      <c r="NZ282" s="61"/>
      <c r="OA282" s="61"/>
      <c r="OB282" s="61"/>
      <c r="OC282" s="61"/>
      <c r="OD282" s="61"/>
      <c r="OE282" s="61"/>
      <c r="OF282" s="61"/>
      <c r="OG282" s="61"/>
      <c r="OH282" s="61"/>
      <c r="OI282" s="61"/>
      <c r="OJ282" s="61"/>
      <c r="OK282" s="61"/>
      <c r="OL282" s="61"/>
      <c r="OM282" s="61"/>
      <c r="ON282" s="61"/>
      <c r="OO282" s="61"/>
      <c r="OP282" s="61"/>
      <c r="OQ282" s="61"/>
      <c r="OR282" s="61"/>
      <c r="OS282" s="61"/>
      <c r="OT282" s="61"/>
      <c r="OU282" s="61"/>
      <c r="OV282" s="61"/>
      <c r="OW282" s="61"/>
      <c r="OX282" s="61"/>
      <c r="OY282" s="61"/>
      <c r="OZ282" s="61"/>
      <c r="PA282" s="61"/>
      <c r="PB282" s="61"/>
      <c r="PC282" s="61"/>
      <c r="PD282" s="61"/>
      <c r="PE282" s="61"/>
      <c r="PF282" s="61"/>
      <c r="PG282" s="61"/>
      <c r="PH282" s="61"/>
      <c r="PI282" s="61"/>
      <c r="PJ282" s="61"/>
      <c r="PK282" s="61"/>
      <c r="PL282" s="61"/>
      <c r="PM282" s="61"/>
      <c r="PN282" s="61"/>
      <c r="PO282" s="61"/>
      <c r="PP282" s="61"/>
      <c r="PQ282" s="61"/>
      <c r="PR282" s="61"/>
      <c r="PS282" s="61"/>
      <c r="PT282" s="61"/>
      <c r="PU282" s="61"/>
      <c r="PV282" s="61"/>
      <c r="PW282" s="61"/>
      <c r="PX282" s="61"/>
      <c r="PY282" s="61"/>
      <c r="PZ282" s="61"/>
      <c r="QA282" s="61"/>
      <c r="QB282" s="61"/>
      <c r="QC282" s="61"/>
      <c r="QD282" s="61"/>
      <c r="QE282" s="61"/>
      <c r="QF282" s="61"/>
      <c r="QG282" s="61"/>
      <c r="QH282" s="61"/>
      <c r="QI282" s="61"/>
      <c r="QJ282" s="61"/>
      <c r="QK282" s="61"/>
      <c r="QL282" s="61"/>
      <c r="QM282" s="61"/>
      <c r="QN282" s="61"/>
      <c r="QO282" s="61"/>
      <c r="QP282" s="61"/>
      <c r="QQ282" s="61"/>
      <c r="QR282" s="61"/>
      <c r="QS282" s="61"/>
      <c r="QT282" s="61"/>
      <c r="QU282" s="61"/>
      <c r="QV282" s="61"/>
      <c r="QW282" s="61"/>
      <c r="QX282" s="61"/>
      <c r="QY282" s="61"/>
      <c r="QZ282" s="61"/>
      <c r="RA282" s="61"/>
      <c r="RB282" s="61"/>
      <c r="RC282" s="61"/>
      <c r="RD282" s="61"/>
      <c r="RE282" s="61"/>
      <c r="RF282" s="61"/>
      <c r="RG282" s="61"/>
      <c r="RH282" s="61"/>
      <c r="RI282" s="61"/>
      <c r="RJ282" s="61"/>
      <c r="RK282" s="61"/>
      <c r="RL282" s="61"/>
      <c r="RM282" s="61"/>
      <c r="RN282" s="61"/>
      <c r="RO282" s="61"/>
      <c r="RP282" s="61"/>
      <c r="RQ282" s="61"/>
      <c r="RR282" s="61"/>
      <c r="RS282" s="61"/>
      <c r="RT282" s="61"/>
      <c r="RU282" s="61"/>
      <c r="RV282" s="61"/>
      <c r="RW282" s="61"/>
      <c r="RX282" s="61"/>
      <c r="RY282" s="61"/>
      <c r="RZ282" s="61"/>
      <c r="SA282" s="61"/>
      <c r="SB282" s="61"/>
      <c r="SC282" s="61"/>
      <c r="SD282" s="61"/>
      <c r="SE282" s="61"/>
      <c r="SF282" s="61"/>
      <c r="SG282" s="61"/>
      <c r="SH282" s="61"/>
      <c r="SI282" s="61"/>
      <c r="SJ282" s="61"/>
      <c r="SK282" s="61"/>
      <c r="SL282" s="61"/>
      <c r="SM282" s="61"/>
      <c r="SN282" s="61"/>
      <c r="SO282" s="61"/>
      <c r="SP282" s="61"/>
      <c r="SQ282" s="61"/>
      <c r="SR282" s="61"/>
      <c r="SS282" s="61"/>
      <c r="ST282" s="61"/>
      <c r="SU282" s="61"/>
      <c r="SV282" s="61"/>
      <c r="SW282" s="61"/>
      <c r="SX282" s="61"/>
      <c r="SY282" s="61"/>
      <c r="SZ282" s="61"/>
      <c r="TA282" s="61"/>
      <c r="TB282" s="61"/>
      <c r="TC282" s="61"/>
      <c r="TD282" s="61"/>
      <c r="TE282" s="61"/>
      <c r="TF282" s="61"/>
      <c r="TG282" s="61"/>
      <c r="TH282" s="61"/>
      <c r="TI282" s="61"/>
      <c r="TJ282" s="61"/>
      <c r="TK282" s="61"/>
      <c r="TL282" s="61"/>
      <c r="TM282" s="61"/>
      <c r="TN282" s="61"/>
      <c r="TO282" s="61"/>
      <c r="TP282" s="61"/>
      <c r="TQ282" s="61"/>
      <c r="TR282" s="61"/>
      <c r="TS282" s="61"/>
      <c r="TT282" s="61"/>
      <c r="TU282" s="61"/>
      <c r="TV282" s="61"/>
      <c r="TW282" s="61"/>
      <c r="TX282" s="61"/>
      <c r="TY282" s="61"/>
      <c r="TZ282" s="61"/>
      <c r="UA282" s="61"/>
      <c r="UB282" s="61"/>
      <c r="UC282" s="61"/>
      <c r="UD282" s="61"/>
      <c r="UE282" s="61"/>
      <c r="UF282" s="61"/>
      <c r="UG282" s="61"/>
      <c r="UH282" s="61"/>
      <c r="UI282" s="61"/>
      <c r="UJ282" s="61"/>
      <c r="UK282" s="61"/>
      <c r="UL282" s="61"/>
      <c r="UM282" s="61"/>
      <c r="UN282" s="61"/>
      <c r="UO282" s="61"/>
      <c r="UP282" s="61"/>
      <c r="UQ282" s="61"/>
      <c r="UR282" s="61"/>
      <c r="US282" s="61"/>
      <c r="UT282" s="61"/>
      <c r="UU282" s="61"/>
      <c r="UV282" s="61"/>
      <c r="UW282" s="61"/>
      <c r="UX282" s="61"/>
      <c r="UY282" s="61"/>
      <c r="UZ282" s="61"/>
      <c r="VA282" s="61"/>
      <c r="VB282" s="61"/>
      <c r="VC282" s="61"/>
    </row>
    <row r="283" spans="1:575" s="72" customFormat="1" ht="36.75" customHeight="1" x14ac:dyDescent="0.2">
      <c r="A283" s="70" t="s">
        <v>278</v>
      </c>
      <c r="B283" s="111"/>
      <c r="C283" s="111"/>
      <c r="D283" s="71" t="s">
        <v>65</v>
      </c>
      <c r="E283" s="134">
        <f>E284</f>
        <v>4313300</v>
      </c>
      <c r="F283" s="134">
        <f t="shared" ref="F283:P284" si="54">F284</f>
        <v>4313300</v>
      </c>
      <c r="G283" s="134">
        <f t="shared" si="54"/>
        <v>3337422</v>
      </c>
      <c r="H283" s="134">
        <f t="shared" si="54"/>
        <v>51274</v>
      </c>
      <c r="I283" s="134">
        <f t="shared" si="54"/>
        <v>0</v>
      </c>
      <c r="J283" s="134">
        <f t="shared" si="54"/>
        <v>15000</v>
      </c>
      <c r="K283" s="134">
        <f t="shared" si="54"/>
        <v>15000</v>
      </c>
      <c r="L283" s="134">
        <f t="shared" si="54"/>
        <v>0</v>
      </c>
      <c r="M283" s="134">
        <f t="shared" si="54"/>
        <v>0</v>
      </c>
      <c r="N283" s="134">
        <f t="shared" si="54"/>
        <v>0</v>
      </c>
      <c r="O283" s="134">
        <f t="shared" si="54"/>
        <v>15000</v>
      </c>
      <c r="P283" s="134">
        <f t="shared" si="54"/>
        <v>4328300</v>
      </c>
      <c r="Q283" s="159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0"/>
      <c r="BN283" s="90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0"/>
      <c r="BZ283" s="90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90"/>
      <c r="CM283" s="90"/>
      <c r="CN283" s="90"/>
      <c r="CO283" s="90"/>
      <c r="CP283" s="90"/>
      <c r="CQ283" s="90"/>
      <c r="CR283" s="90"/>
      <c r="CS283" s="90"/>
      <c r="CT283" s="90"/>
      <c r="CU283" s="90"/>
      <c r="CV283" s="90"/>
      <c r="CW283" s="90"/>
      <c r="CX283" s="90"/>
      <c r="CY283" s="90"/>
      <c r="CZ283" s="90"/>
      <c r="DA283" s="90"/>
      <c r="DB283" s="90"/>
      <c r="DC283" s="90"/>
      <c r="DD283" s="90"/>
      <c r="DE283" s="90"/>
      <c r="DF283" s="90"/>
      <c r="DG283" s="90"/>
      <c r="DH283" s="90"/>
      <c r="DI283" s="90"/>
      <c r="DJ283" s="90"/>
      <c r="DK283" s="90"/>
      <c r="DL283" s="90"/>
      <c r="DM283" s="90"/>
      <c r="DN283" s="90"/>
      <c r="DO283" s="90"/>
      <c r="DP283" s="90"/>
      <c r="DQ283" s="90"/>
      <c r="DR283" s="90"/>
      <c r="DS283" s="90"/>
      <c r="DT283" s="90"/>
      <c r="DU283" s="90"/>
      <c r="DV283" s="90"/>
      <c r="DW283" s="90"/>
      <c r="DX283" s="90"/>
      <c r="DY283" s="90"/>
      <c r="DZ283" s="90"/>
      <c r="EA283" s="90"/>
      <c r="EB283" s="90"/>
      <c r="EC283" s="90"/>
      <c r="ED283" s="90"/>
      <c r="EE283" s="90"/>
      <c r="EF283" s="90"/>
      <c r="EG283" s="90"/>
      <c r="EH283" s="90"/>
      <c r="EI283" s="90"/>
      <c r="EJ283" s="90"/>
      <c r="EK283" s="90"/>
      <c r="EL283" s="90"/>
      <c r="EM283" s="90"/>
      <c r="EN283" s="90"/>
      <c r="EO283" s="90"/>
      <c r="EP283" s="90"/>
      <c r="EQ283" s="90"/>
      <c r="ER283" s="90"/>
      <c r="ES283" s="90"/>
      <c r="ET283" s="90"/>
      <c r="EU283" s="90"/>
      <c r="EV283" s="90"/>
      <c r="EW283" s="90"/>
      <c r="EX283" s="90"/>
      <c r="EY283" s="90"/>
      <c r="EZ283" s="90"/>
      <c r="FA283" s="90"/>
      <c r="FB283" s="90"/>
      <c r="FC283" s="90"/>
      <c r="FD283" s="90"/>
      <c r="FE283" s="90"/>
      <c r="FF283" s="90"/>
      <c r="FG283" s="90"/>
      <c r="FH283" s="90"/>
      <c r="FI283" s="90"/>
      <c r="FJ283" s="90"/>
      <c r="FK283" s="90"/>
      <c r="FL283" s="90"/>
      <c r="FM283" s="90"/>
      <c r="FN283" s="90"/>
      <c r="FO283" s="90"/>
      <c r="FP283" s="90"/>
      <c r="FQ283" s="90"/>
      <c r="FR283" s="90"/>
      <c r="FS283" s="90"/>
      <c r="FT283" s="90"/>
      <c r="FU283" s="90"/>
      <c r="FV283" s="90"/>
      <c r="FW283" s="90"/>
      <c r="FX283" s="90"/>
      <c r="FY283" s="90"/>
      <c r="FZ283" s="90"/>
      <c r="GA283" s="90"/>
      <c r="GB283" s="90"/>
      <c r="GC283" s="90"/>
      <c r="GD283" s="90"/>
      <c r="GE283" s="90"/>
      <c r="GF283" s="90"/>
      <c r="GG283" s="90"/>
      <c r="GH283" s="90"/>
      <c r="GI283" s="90"/>
      <c r="GJ283" s="90"/>
      <c r="GK283" s="90"/>
      <c r="GL283" s="90"/>
      <c r="GM283" s="90"/>
      <c r="GN283" s="90"/>
      <c r="GO283" s="90"/>
      <c r="GP283" s="90"/>
      <c r="GQ283" s="90"/>
      <c r="GR283" s="90"/>
      <c r="GS283" s="90"/>
      <c r="GT283" s="90"/>
      <c r="GU283" s="90"/>
      <c r="GV283" s="90"/>
      <c r="GW283" s="90"/>
      <c r="GX283" s="90"/>
      <c r="GY283" s="90"/>
      <c r="GZ283" s="90"/>
      <c r="HA283" s="90"/>
      <c r="HB283" s="90"/>
      <c r="HC283" s="90"/>
      <c r="HD283" s="90"/>
      <c r="HE283" s="90"/>
      <c r="HF283" s="90"/>
      <c r="HG283" s="90"/>
      <c r="HH283" s="90"/>
      <c r="HI283" s="90"/>
      <c r="HJ283" s="90"/>
      <c r="HK283" s="90"/>
      <c r="HL283" s="90"/>
      <c r="HM283" s="90"/>
      <c r="HN283" s="90"/>
      <c r="HO283" s="90"/>
      <c r="HP283" s="90"/>
      <c r="HQ283" s="90"/>
      <c r="HR283" s="90"/>
      <c r="HS283" s="90"/>
      <c r="HT283" s="90"/>
      <c r="HU283" s="90"/>
      <c r="HV283" s="90"/>
      <c r="HW283" s="90"/>
      <c r="HX283" s="90"/>
      <c r="HY283" s="90"/>
      <c r="HZ283" s="90"/>
      <c r="IA283" s="90"/>
      <c r="IB283" s="90"/>
      <c r="IC283" s="90"/>
      <c r="ID283" s="90"/>
      <c r="IE283" s="90"/>
      <c r="IF283" s="90"/>
      <c r="IG283" s="90"/>
      <c r="IH283" s="90"/>
      <c r="II283" s="90"/>
      <c r="IJ283" s="90"/>
      <c r="IK283" s="90"/>
      <c r="IL283" s="90"/>
      <c r="IM283" s="90"/>
      <c r="IN283" s="90"/>
      <c r="IO283" s="90"/>
      <c r="IP283" s="90"/>
      <c r="IQ283" s="90"/>
      <c r="IR283" s="90"/>
      <c r="IS283" s="90"/>
      <c r="IT283" s="90"/>
      <c r="IU283" s="90"/>
      <c r="IV283" s="90"/>
      <c r="IW283" s="90"/>
      <c r="IX283" s="90"/>
      <c r="IY283" s="90"/>
      <c r="IZ283" s="90"/>
      <c r="JA283" s="90"/>
      <c r="JB283" s="90"/>
      <c r="JC283" s="90"/>
      <c r="JD283" s="90"/>
      <c r="JE283" s="90"/>
      <c r="JF283" s="90"/>
      <c r="JG283" s="90"/>
      <c r="JH283" s="90"/>
      <c r="JI283" s="90"/>
      <c r="JJ283" s="90"/>
      <c r="JK283" s="90"/>
      <c r="JL283" s="90"/>
      <c r="JM283" s="90"/>
      <c r="JN283" s="90"/>
      <c r="JO283" s="90"/>
      <c r="JP283" s="90"/>
      <c r="JQ283" s="90"/>
      <c r="JR283" s="90"/>
      <c r="JS283" s="90"/>
      <c r="JT283" s="90"/>
      <c r="JU283" s="90"/>
      <c r="JV283" s="90"/>
      <c r="JW283" s="90"/>
      <c r="JX283" s="90"/>
      <c r="JY283" s="90"/>
      <c r="JZ283" s="90"/>
      <c r="KA283" s="90"/>
      <c r="KB283" s="90"/>
      <c r="KC283" s="90"/>
      <c r="KD283" s="90"/>
      <c r="KE283" s="90"/>
      <c r="KF283" s="90"/>
      <c r="KG283" s="90"/>
      <c r="KH283" s="90"/>
      <c r="KI283" s="90"/>
      <c r="KJ283" s="90"/>
      <c r="KK283" s="90"/>
      <c r="KL283" s="90"/>
      <c r="KM283" s="90"/>
      <c r="KN283" s="90"/>
      <c r="KO283" s="90"/>
      <c r="KP283" s="90"/>
      <c r="KQ283" s="90"/>
      <c r="KR283" s="90"/>
      <c r="KS283" s="90"/>
      <c r="KT283" s="90"/>
      <c r="KU283" s="90"/>
      <c r="KV283" s="90"/>
      <c r="KW283" s="90"/>
      <c r="KX283" s="90"/>
      <c r="KY283" s="90"/>
      <c r="KZ283" s="90"/>
      <c r="LA283" s="90"/>
      <c r="LB283" s="90"/>
      <c r="LC283" s="90"/>
      <c r="LD283" s="90"/>
      <c r="LE283" s="90"/>
      <c r="LF283" s="90"/>
      <c r="LG283" s="90"/>
      <c r="LH283" s="90"/>
      <c r="LI283" s="90"/>
      <c r="LJ283" s="90"/>
      <c r="LK283" s="90"/>
      <c r="LL283" s="90"/>
      <c r="LM283" s="90"/>
      <c r="LN283" s="90"/>
      <c r="LO283" s="90"/>
      <c r="LP283" s="90"/>
      <c r="LQ283" s="90"/>
      <c r="LR283" s="90"/>
      <c r="LS283" s="90"/>
      <c r="LT283" s="90"/>
      <c r="LU283" s="90"/>
      <c r="LV283" s="90"/>
      <c r="LW283" s="90"/>
      <c r="LX283" s="90"/>
      <c r="LY283" s="90"/>
      <c r="LZ283" s="90"/>
      <c r="MA283" s="90"/>
      <c r="MB283" s="90"/>
      <c r="MC283" s="90"/>
      <c r="MD283" s="90"/>
      <c r="ME283" s="90"/>
      <c r="MF283" s="90"/>
      <c r="MG283" s="90"/>
      <c r="MH283" s="90"/>
      <c r="MI283" s="90"/>
      <c r="MJ283" s="90"/>
      <c r="MK283" s="90"/>
      <c r="ML283" s="90"/>
      <c r="MM283" s="90"/>
      <c r="MN283" s="90"/>
      <c r="MO283" s="90"/>
      <c r="MP283" s="90"/>
      <c r="MQ283" s="90"/>
      <c r="MR283" s="90"/>
      <c r="MS283" s="90"/>
      <c r="MT283" s="90"/>
      <c r="MU283" s="90"/>
      <c r="MV283" s="90"/>
      <c r="MW283" s="90"/>
      <c r="MX283" s="90"/>
      <c r="MY283" s="90"/>
      <c r="MZ283" s="90"/>
      <c r="NA283" s="90"/>
      <c r="NB283" s="90"/>
      <c r="NC283" s="90"/>
      <c r="ND283" s="90"/>
      <c r="NE283" s="90"/>
      <c r="NF283" s="90"/>
      <c r="NG283" s="90"/>
      <c r="NH283" s="90"/>
      <c r="NI283" s="90"/>
      <c r="NJ283" s="90"/>
      <c r="NK283" s="90"/>
      <c r="NL283" s="90"/>
      <c r="NM283" s="90"/>
      <c r="NN283" s="90"/>
      <c r="NO283" s="90"/>
      <c r="NP283" s="90"/>
      <c r="NQ283" s="90"/>
      <c r="NR283" s="90"/>
      <c r="NS283" s="90"/>
      <c r="NT283" s="90"/>
      <c r="NU283" s="90"/>
      <c r="NV283" s="90"/>
      <c r="NW283" s="90"/>
      <c r="NX283" s="90"/>
      <c r="NY283" s="90"/>
      <c r="NZ283" s="90"/>
      <c r="OA283" s="90"/>
      <c r="OB283" s="90"/>
      <c r="OC283" s="90"/>
      <c r="OD283" s="90"/>
      <c r="OE283" s="90"/>
      <c r="OF283" s="90"/>
      <c r="OG283" s="90"/>
      <c r="OH283" s="90"/>
      <c r="OI283" s="90"/>
      <c r="OJ283" s="90"/>
      <c r="OK283" s="90"/>
      <c r="OL283" s="90"/>
      <c r="OM283" s="90"/>
      <c r="ON283" s="90"/>
      <c r="OO283" s="90"/>
      <c r="OP283" s="90"/>
      <c r="OQ283" s="90"/>
      <c r="OR283" s="90"/>
      <c r="OS283" s="90"/>
      <c r="OT283" s="90"/>
      <c r="OU283" s="90"/>
      <c r="OV283" s="90"/>
      <c r="OW283" s="90"/>
      <c r="OX283" s="90"/>
      <c r="OY283" s="90"/>
      <c r="OZ283" s="90"/>
      <c r="PA283" s="90"/>
      <c r="PB283" s="90"/>
      <c r="PC283" s="90"/>
      <c r="PD283" s="90"/>
      <c r="PE283" s="90"/>
      <c r="PF283" s="90"/>
      <c r="PG283" s="90"/>
      <c r="PH283" s="90"/>
      <c r="PI283" s="90"/>
      <c r="PJ283" s="90"/>
      <c r="PK283" s="90"/>
      <c r="PL283" s="90"/>
      <c r="PM283" s="90"/>
      <c r="PN283" s="90"/>
      <c r="PO283" s="90"/>
      <c r="PP283" s="90"/>
      <c r="PQ283" s="90"/>
      <c r="PR283" s="90"/>
      <c r="PS283" s="90"/>
      <c r="PT283" s="90"/>
      <c r="PU283" s="90"/>
      <c r="PV283" s="90"/>
      <c r="PW283" s="90"/>
      <c r="PX283" s="90"/>
      <c r="PY283" s="90"/>
      <c r="PZ283" s="90"/>
      <c r="QA283" s="90"/>
      <c r="QB283" s="90"/>
      <c r="QC283" s="90"/>
      <c r="QD283" s="90"/>
      <c r="QE283" s="90"/>
      <c r="QF283" s="90"/>
      <c r="QG283" s="90"/>
      <c r="QH283" s="90"/>
      <c r="QI283" s="90"/>
      <c r="QJ283" s="90"/>
      <c r="QK283" s="90"/>
      <c r="QL283" s="90"/>
      <c r="QM283" s="90"/>
      <c r="QN283" s="90"/>
      <c r="QO283" s="90"/>
      <c r="QP283" s="90"/>
      <c r="QQ283" s="90"/>
      <c r="QR283" s="90"/>
      <c r="QS283" s="90"/>
      <c r="QT283" s="90"/>
      <c r="QU283" s="90"/>
      <c r="QV283" s="90"/>
      <c r="QW283" s="90"/>
      <c r="QX283" s="90"/>
      <c r="QY283" s="90"/>
      <c r="QZ283" s="90"/>
      <c r="RA283" s="90"/>
      <c r="RB283" s="90"/>
      <c r="RC283" s="90"/>
      <c r="RD283" s="90"/>
      <c r="RE283" s="90"/>
      <c r="RF283" s="90"/>
      <c r="RG283" s="90"/>
      <c r="RH283" s="90"/>
      <c r="RI283" s="90"/>
      <c r="RJ283" s="90"/>
      <c r="RK283" s="90"/>
      <c r="RL283" s="90"/>
      <c r="RM283" s="90"/>
      <c r="RN283" s="90"/>
      <c r="RO283" s="90"/>
      <c r="RP283" s="90"/>
      <c r="RQ283" s="90"/>
      <c r="RR283" s="90"/>
      <c r="RS283" s="90"/>
      <c r="RT283" s="90"/>
      <c r="RU283" s="90"/>
      <c r="RV283" s="90"/>
      <c r="RW283" s="90"/>
      <c r="RX283" s="90"/>
      <c r="RY283" s="90"/>
      <c r="RZ283" s="90"/>
      <c r="SA283" s="90"/>
      <c r="SB283" s="90"/>
      <c r="SC283" s="90"/>
      <c r="SD283" s="90"/>
      <c r="SE283" s="90"/>
      <c r="SF283" s="90"/>
      <c r="SG283" s="90"/>
      <c r="SH283" s="90"/>
      <c r="SI283" s="90"/>
      <c r="SJ283" s="90"/>
      <c r="SK283" s="90"/>
      <c r="SL283" s="90"/>
      <c r="SM283" s="90"/>
      <c r="SN283" s="90"/>
      <c r="SO283" s="90"/>
      <c r="SP283" s="90"/>
      <c r="SQ283" s="90"/>
      <c r="SR283" s="90"/>
      <c r="SS283" s="90"/>
      <c r="ST283" s="90"/>
      <c r="SU283" s="90"/>
      <c r="SV283" s="90"/>
      <c r="SW283" s="90"/>
      <c r="SX283" s="90"/>
      <c r="SY283" s="90"/>
      <c r="SZ283" s="90"/>
      <c r="TA283" s="90"/>
      <c r="TB283" s="90"/>
      <c r="TC283" s="90"/>
      <c r="TD283" s="90"/>
      <c r="TE283" s="90"/>
      <c r="TF283" s="90"/>
      <c r="TG283" s="90"/>
      <c r="TH283" s="90"/>
      <c r="TI283" s="90"/>
      <c r="TJ283" s="90"/>
      <c r="TK283" s="90"/>
      <c r="TL283" s="90"/>
      <c r="TM283" s="90"/>
      <c r="TN283" s="90"/>
      <c r="TO283" s="90"/>
      <c r="TP283" s="90"/>
      <c r="TQ283" s="90"/>
      <c r="TR283" s="90"/>
      <c r="TS283" s="90"/>
      <c r="TT283" s="90"/>
      <c r="TU283" s="90"/>
      <c r="TV283" s="90"/>
      <c r="TW283" s="90"/>
      <c r="TX283" s="90"/>
      <c r="TY283" s="90"/>
      <c r="TZ283" s="90"/>
      <c r="UA283" s="90"/>
      <c r="UB283" s="90"/>
      <c r="UC283" s="90"/>
      <c r="UD283" s="90"/>
      <c r="UE283" s="90"/>
      <c r="UF283" s="90"/>
      <c r="UG283" s="90"/>
      <c r="UH283" s="90"/>
      <c r="UI283" s="90"/>
      <c r="UJ283" s="90"/>
      <c r="UK283" s="90"/>
      <c r="UL283" s="90"/>
      <c r="UM283" s="90"/>
      <c r="UN283" s="90"/>
      <c r="UO283" s="90"/>
      <c r="UP283" s="90"/>
      <c r="UQ283" s="90"/>
      <c r="UR283" s="90"/>
      <c r="US283" s="90"/>
      <c r="UT283" s="90"/>
      <c r="UU283" s="90"/>
      <c r="UV283" s="90"/>
      <c r="UW283" s="90"/>
      <c r="UX283" s="90"/>
      <c r="UY283" s="90"/>
      <c r="UZ283" s="90"/>
      <c r="VA283" s="90"/>
      <c r="VB283" s="90"/>
      <c r="VC283" s="90"/>
    </row>
    <row r="284" spans="1:575" s="92" customFormat="1" ht="35.25" customHeight="1" x14ac:dyDescent="0.25">
      <c r="A284" s="75" t="s">
        <v>276</v>
      </c>
      <c r="B284" s="112"/>
      <c r="C284" s="112"/>
      <c r="D284" s="76" t="s">
        <v>65</v>
      </c>
      <c r="E284" s="131">
        <f>E285</f>
        <v>4313300</v>
      </c>
      <c r="F284" s="131">
        <f t="shared" si="54"/>
        <v>4313300</v>
      </c>
      <c r="G284" s="131">
        <f t="shared" si="54"/>
        <v>3337422</v>
      </c>
      <c r="H284" s="131">
        <f t="shared" si="54"/>
        <v>51274</v>
      </c>
      <c r="I284" s="131">
        <f t="shared" si="54"/>
        <v>0</v>
      </c>
      <c r="J284" s="131">
        <f t="shared" si="54"/>
        <v>15000</v>
      </c>
      <c r="K284" s="131">
        <f t="shared" si="54"/>
        <v>15000</v>
      </c>
      <c r="L284" s="131">
        <f t="shared" si="54"/>
        <v>0</v>
      </c>
      <c r="M284" s="131">
        <f t="shared" si="54"/>
        <v>0</v>
      </c>
      <c r="N284" s="131">
        <f t="shared" si="54"/>
        <v>0</v>
      </c>
      <c r="O284" s="131">
        <f t="shared" si="54"/>
        <v>15000</v>
      </c>
      <c r="P284" s="131">
        <f t="shared" si="54"/>
        <v>4328300</v>
      </c>
      <c r="Q284" s="159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  <c r="BZ284" s="91"/>
      <c r="CA284" s="91"/>
      <c r="CB284" s="91"/>
      <c r="CC284" s="91"/>
      <c r="CD284" s="91"/>
      <c r="CE284" s="91"/>
      <c r="CF284" s="91"/>
      <c r="CG284" s="91"/>
      <c r="CH284" s="91"/>
      <c r="CI284" s="91"/>
      <c r="CJ284" s="91"/>
      <c r="CK284" s="91"/>
      <c r="CL284" s="91"/>
      <c r="CM284" s="91"/>
      <c r="CN284" s="91"/>
      <c r="CO284" s="91"/>
      <c r="CP284" s="91"/>
      <c r="CQ284" s="91"/>
      <c r="CR284" s="91"/>
      <c r="CS284" s="91"/>
      <c r="CT284" s="91"/>
      <c r="CU284" s="91"/>
      <c r="CV284" s="91"/>
      <c r="CW284" s="91"/>
      <c r="CX284" s="91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1"/>
      <c r="HT284" s="91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  <c r="IT284" s="91"/>
      <c r="IU284" s="91"/>
      <c r="IV284" s="91"/>
      <c r="IW284" s="91"/>
      <c r="IX284" s="91"/>
      <c r="IY284" s="91"/>
      <c r="IZ284" s="91"/>
      <c r="JA284" s="91"/>
      <c r="JB284" s="91"/>
      <c r="JC284" s="91"/>
      <c r="JD284" s="91"/>
      <c r="JE284" s="91"/>
      <c r="JF284" s="91"/>
      <c r="JG284" s="91"/>
      <c r="JH284" s="91"/>
      <c r="JI284" s="91"/>
      <c r="JJ284" s="91"/>
      <c r="JK284" s="91"/>
      <c r="JL284" s="91"/>
      <c r="JM284" s="91"/>
      <c r="JN284" s="91"/>
      <c r="JO284" s="91"/>
      <c r="JP284" s="91"/>
      <c r="JQ284" s="91"/>
      <c r="JR284" s="91"/>
      <c r="JS284" s="91"/>
      <c r="JT284" s="91"/>
      <c r="JU284" s="91"/>
      <c r="JV284" s="91"/>
      <c r="JW284" s="91"/>
      <c r="JX284" s="91"/>
      <c r="JY284" s="91"/>
      <c r="JZ284" s="91"/>
      <c r="KA284" s="91"/>
      <c r="KB284" s="91"/>
      <c r="KC284" s="91"/>
      <c r="KD284" s="91"/>
      <c r="KE284" s="91"/>
      <c r="KF284" s="91"/>
      <c r="KG284" s="91"/>
      <c r="KH284" s="91"/>
      <c r="KI284" s="91"/>
      <c r="KJ284" s="91"/>
      <c r="KK284" s="91"/>
      <c r="KL284" s="91"/>
      <c r="KM284" s="91"/>
      <c r="KN284" s="91"/>
      <c r="KO284" s="91"/>
      <c r="KP284" s="91"/>
      <c r="KQ284" s="91"/>
      <c r="KR284" s="91"/>
      <c r="KS284" s="91"/>
      <c r="KT284" s="91"/>
      <c r="KU284" s="91"/>
      <c r="KV284" s="91"/>
      <c r="KW284" s="91"/>
      <c r="KX284" s="91"/>
      <c r="KY284" s="91"/>
      <c r="KZ284" s="91"/>
      <c r="LA284" s="91"/>
      <c r="LB284" s="91"/>
      <c r="LC284" s="91"/>
      <c r="LD284" s="91"/>
      <c r="LE284" s="91"/>
      <c r="LF284" s="91"/>
      <c r="LG284" s="91"/>
      <c r="LH284" s="91"/>
      <c r="LI284" s="91"/>
      <c r="LJ284" s="91"/>
      <c r="LK284" s="91"/>
      <c r="LL284" s="91"/>
      <c r="LM284" s="91"/>
      <c r="LN284" s="91"/>
      <c r="LO284" s="91"/>
      <c r="LP284" s="91"/>
      <c r="LQ284" s="91"/>
      <c r="LR284" s="91"/>
      <c r="LS284" s="91"/>
      <c r="LT284" s="91"/>
      <c r="LU284" s="91"/>
      <c r="LV284" s="91"/>
      <c r="LW284" s="91"/>
      <c r="LX284" s="91"/>
      <c r="LY284" s="91"/>
      <c r="LZ284" s="91"/>
      <c r="MA284" s="91"/>
      <c r="MB284" s="91"/>
      <c r="MC284" s="91"/>
      <c r="MD284" s="91"/>
      <c r="ME284" s="91"/>
      <c r="MF284" s="91"/>
      <c r="MG284" s="91"/>
      <c r="MH284" s="91"/>
      <c r="MI284" s="91"/>
      <c r="MJ284" s="91"/>
      <c r="MK284" s="91"/>
      <c r="ML284" s="91"/>
      <c r="MM284" s="91"/>
      <c r="MN284" s="91"/>
      <c r="MO284" s="91"/>
      <c r="MP284" s="91"/>
      <c r="MQ284" s="91"/>
      <c r="MR284" s="91"/>
      <c r="MS284" s="91"/>
      <c r="MT284" s="91"/>
      <c r="MU284" s="91"/>
      <c r="MV284" s="91"/>
      <c r="MW284" s="91"/>
      <c r="MX284" s="91"/>
      <c r="MY284" s="91"/>
      <c r="MZ284" s="91"/>
      <c r="NA284" s="91"/>
      <c r="NB284" s="91"/>
      <c r="NC284" s="91"/>
      <c r="ND284" s="91"/>
      <c r="NE284" s="91"/>
      <c r="NF284" s="91"/>
      <c r="NG284" s="91"/>
      <c r="NH284" s="91"/>
      <c r="NI284" s="91"/>
      <c r="NJ284" s="91"/>
      <c r="NK284" s="91"/>
      <c r="NL284" s="91"/>
      <c r="NM284" s="91"/>
      <c r="NN284" s="91"/>
      <c r="NO284" s="91"/>
      <c r="NP284" s="91"/>
      <c r="NQ284" s="91"/>
      <c r="NR284" s="91"/>
      <c r="NS284" s="91"/>
      <c r="NT284" s="91"/>
      <c r="NU284" s="91"/>
      <c r="NV284" s="91"/>
      <c r="NW284" s="91"/>
      <c r="NX284" s="91"/>
      <c r="NY284" s="91"/>
      <c r="NZ284" s="91"/>
      <c r="OA284" s="91"/>
      <c r="OB284" s="91"/>
      <c r="OC284" s="91"/>
      <c r="OD284" s="91"/>
      <c r="OE284" s="91"/>
      <c r="OF284" s="91"/>
      <c r="OG284" s="91"/>
      <c r="OH284" s="91"/>
      <c r="OI284" s="91"/>
      <c r="OJ284" s="91"/>
      <c r="OK284" s="91"/>
      <c r="OL284" s="91"/>
      <c r="OM284" s="91"/>
      <c r="ON284" s="91"/>
      <c r="OO284" s="91"/>
      <c r="OP284" s="91"/>
      <c r="OQ284" s="91"/>
      <c r="OR284" s="91"/>
      <c r="OS284" s="91"/>
      <c r="OT284" s="91"/>
      <c r="OU284" s="91"/>
      <c r="OV284" s="91"/>
      <c r="OW284" s="91"/>
      <c r="OX284" s="91"/>
      <c r="OY284" s="91"/>
      <c r="OZ284" s="91"/>
      <c r="PA284" s="91"/>
      <c r="PB284" s="91"/>
      <c r="PC284" s="91"/>
      <c r="PD284" s="91"/>
      <c r="PE284" s="91"/>
      <c r="PF284" s="91"/>
      <c r="PG284" s="91"/>
      <c r="PH284" s="91"/>
      <c r="PI284" s="91"/>
      <c r="PJ284" s="91"/>
      <c r="PK284" s="91"/>
      <c r="PL284" s="91"/>
      <c r="PM284" s="91"/>
      <c r="PN284" s="91"/>
      <c r="PO284" s="91"/>
      <c r="PP284" s="91"/>
      <c r="PQ284" s="91"/>
      <c r="PR284" s="91"/>
      <c r="PS284" s="91"/>
      <c r="PT284" s="91"/>
      <c r="PU284" s="91"/>
      <c r="PV284" s="91"/>
      <c r="PW284" s="91"/>
      <c r="PX284" s="91"/>
      <c r="PY284" s="91"/>
      <c r="PZ284" s="91"/>
      <c r="QA284" s="91"/>
      <c r="QB284" s="91"/>
      <c r="QC284" s="91"/>
      <c r="QD284" s="91"/>
      <c r="QE284" s="91"/>
      <c r="QF284" s="91"/>
      <c r="QG284" s="91"/>
      <c r="QH284" s="91"/>
      <c r="QI284" s="91"/>
      <c r="QJ284" s="91"/>
      <c r="QK284" s="91"/>
      <c r="QL284" s="91"/>
      <c r="QM284" s="91"/>
      <c r="QN284" s="91"/>
      <c r="QO284" s="91"/>
      <c r="QP284" s="91"/>
      <c r="QQ284" s="91"/>
      <c r="QR284" s="91"/>
      <c r="QS284" s="91"/>
      <c r="QT284" s="91"/>
      <c r="QU284" s="91"/>
      <c r="QV284" s="91"/>
      <c r="QW284" s="91"/>
      <c r="QX284" s="91"/>
      <c r="QY284" s="91"/>
      <c r="QZ284" s="91"/>
      <c r="RA284" s="91"/>
      <c r="RB284" s="91"/>
      <c r="RC284" s="91"/>
      <c r="RD284" s="91"/>
      <c r="RE284" s="91"/>
      <c r="RF284" s="91"/>
      <c r="RG284" s="91"/>
      <c r="RH284" s="91"/>
      <c r="RI284" s="91"/>
      <c r="RJ284" s="91"/>
      <c r="RK284" s="91"/>
      <c r="RL284" s="91"/>
      <c r="RM284" s="91"/>
      <c r="RN284" s="91"/>
      <c r="RO284" s="91"/>
      <c r="RP284" s="91"/>
      <c r="RQ284" s="91"/>
      <c r="RR284" s="91"/>
      <c r="RS284" s="91"/>
      <c r="RT284" s="91"/>
      <c r="RU284" s="91"/>
      <c r="RV284" s="91"/>
      <c r="RW284" s="91"/>
      <c r="RX284" s="91"/>
      <c r="RY284" s="91"/>
      <c r="RZ284" s="91"/>
      <c r="SA284" s="91"/>
      <c r="SB284" s="91"/>
      <c r="SC284" s="91"/>
      <c r="SD284" s="91"/>
      <c r="SE284" s="91"/>
      <c r="SF284" s="91"/>
      <c r="SG284" s="91"/>
      <c r="SH284" s="91"/>
      <c r="SI284" s="91"/>
      <c r="SJ284" s="91"/>
      <c r="SK284" s="91"/>
      <c r="SL284" s="91"/>
      <c r="SM284" s="91"/>
      <c r="SN284" s="91"/>
      <c r="SO284" s="91"/>
      <c r="SP284" s="91"/>
      <c r="SQ284" s="91"/>
      <c r="SR284" s="91"/>
      <c r="SS284" s="91"/>
      <c r="ST284" s="91"/>
      <c r="SU284" s="91"/>
      <c r="SV284" s="91"/>
      <c r="SW284" s="91"/>
      <c r="SX284" s="91"/>
      <c r="SY284" s="91"/>
      <c r="SZ284" s="91"/>
      <c r="TA284" s="91"/>
      <c r="TB284" s="91"/>
      <c r="TC284" s="91"/>
      <c r="TD284" s="91"/>
      <c r="TE284" s="91"/>
      <c r="TF284" s="91"/>
      <c r="TG284" s="91"/>
      <c r="TH284" s="91"/>
      <c r="TI284" s="91"/>
      <c r="TJ284" s="91"/>
      <c r="TK284" s="91"/>
      <c r="TL284" s="91"/>
      <c r="TM284" s="91"/>
      <c r="TN284" s="91"/>
      <c r="TO284" s="91"/>
      <c r="TP284" s="91"/>
      <c r="TQ284" s="91"/>
      <c r="TR284" s="91"/>
      <c r="TS284" s="91"/>
      <c r="TT284" s="91"/>
      <c r="TU284" s="91"/>
      <c r="TV284" s="91"/>
      <c r="TW284" s="91"/>
      <c r="TX284" s="91"/>
      <c r="TY284" s="91"/>
      <c r="TZ284" s="91"/>
      <c r="UA284" s="91"/>
      <c r="UB284" s="91"/>
      <c r="UC284" s="91"/>
      <c r="UD284" s="91"/>
      <c r="UE284" s="91"/>
      <c r="UF284" s="91"/>
      <c r="UG284" s="91"/>
      <c r="UH284" s="91"/>
      <c r="UI284" s="91"/>
      <c r="UJ284" s="91"/>
      <c r="UK284" s="91"/>
      <c r="UL284" s="91"/>
      <c r="UM284" s="91"/>
      <c r="UN284" s="91"/>
      <c r="UO284" s="91"/>
      <c r="UP284" s="91"/>
      <c r="UQ284" s="91"/>
      <c r="UR284" s="91"/>
      <c r="US284" s="91"/>
      <c r="UT284" s="91"/>
      <c r="UU284" s="91"/>
      <c r="UV284" s="91"/>
      <c r="UW284" s="91"/>
      <c r="UX284" s="91"/>
      <c r="UY284" s="91"/>
      <c r="UZ284" s="91"/>
      <c r="VA284" s="91"/>
      <c r="VB284" s="91"/>
      <c r="VC284" s="91"/>
    </row>
    <row r="285" spans="1:575" s="55" customFormat="1" ht="43.5" customHeight="1" x14ac:dyDescent="0.25">
      <c r="A285" s="53" t="s">
        <v>277</v>
      </c>
      <c r="B285" s="102" t="str">
        <f>'дод 2'!A13</f>
        <v>0160</v>
      </c>
      <c r="C285" s="102" t="str">
        <f>'дод 2'!B13</f>
        <v>0111</v>
      </c>
      <c r="D285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85" s="132">
        <f>F285+I285</f>
        <v>4313300</v>
      </c>
      <c r="F285" s="132">
        <v>4313300</v>
      </c>
      <c r="G285" s="132">
        <f>3340172-2750</f>
        <v>3337422</v>
      </c>
      <c r="H285" s="132">
        <f>50452+822</f>
        <v>51274</v>
      </c>
      <c r="I285" s="132"/>
      <c r="J285" s="132">
        <f t="shared" si="43"/>
        <v>15000</v>
      </c>
      <c r="K285" s="132">
        <v>15000</v>
      </c>
      <c r="L285" s="132"/>
      <c r="M285" s="132"/>
      <c r="N285" s="132"/>
      <c r="O285" s="132">
        <f>15000</f>
        <v>15000</v>
      </c>
      <c r="P285" s="132">
        <f>E285+J285</f>
        <v>4328300</v>
      </c>
      <c r="Q285" s="159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  <c r="CJ285" s="61"/>
      <c r="CK285" s="61"/>
      <c r="CL285" s="61"/>
      <c r="CM285" s="61"/>
      <c r="CN285" s="61"/>
      <c r="CO285" s="61"/>
      <c r="CP285" s="61"/>
      <c r="CQ285" s="61"/>
      <c r="CR285" s="61"/>
      <c r="CS285" s="61"/>
      <c r="CT285" s="61"/>
      <c r="CU285" s="61"/>
      <c r="CV285" s="61"/>
      <c r="CW285" s="61"/>
      <c r="CX285" s="61"/>
      <c r="CY285" s="61"/>
      <c r="CZ285" s="61"/>
      <c r="DA285" s="61"/>
      <c r="DB285" s="61"/>
      <c r="DC285" s="61"/>
      <c r="DD285" s="61"/>
      <c r="DE285" s="61"/>
      <c r="DF285" s="61"/>
      <c r="DG285" s="61"/>
      <c r="DH285" s="61"/>
      <c r="DI285" s="61"/>
      <c r="DJ285" s="61"/>
      <c r="DK285" s="61"/>
      <c r="DL285" s="61"/>
      <c r="DM285" s="61"/>
      <c r="DN285" s="61"/>
      <c r="DO285" s="61"/>
      <c r="DP285" s="61"/>
      <c r="DQ285" s="61"/>
      <c r="DR285" s="61"/>
      <c r="DS285" s="61"/>
      <c r="DT285" s="61"/>
      <c r="DU285" s="61"/>
      <c r="DV285" s="61"/>
      <c r="DW285" s="61"/>
      <c r="DX285" s="61"/>
      <c r="DY285" s="61"/>
      <c r="DZ285" s="61"/>
      <c r="EA285" s="61"/>
      <c r="EB285" s="61"/>
      <c r="EC285" s="61"/>
      <c r="ED285" s="61"/>
      <c r="EE285" s="61"/>
      <c r="EF285" s="61"/>
      <c r="EG285" s="61"/>
      <c r="EH285" s="61"/>
      <c r="EI285" s="61"/>
      <c r="EJ285" s="61"/>
      <c r="EK285" s="61"/>
      <c r="EL285" s="61"/>
      <c r="EM285" s="61"/>
      <c r="EN285" s="61"/>
      <c r="EO285" s="61"/>
      <c r="EP285" s="61"/>
      <c r="EQ285" s="61"/>
      <c r="ER285" s="61"/>
      <c r="ES285" s="61"/>
      <c r="ET285" s="61"/>
      <c r="EU285" s="61"/>
      <c r="EV285" s="61"/>
      <c r="EW285" s="61"/>
      <c r="EX285" s="61"/>
      <c r="EY285" s="61"/>
      <c r="EZ285" s="61"/>
      <c r="FA285" s="61"/>
      <c r="FB285" s="61"/>
      <c r="FC285" s="61"/>
      <c r="FD285" s="61"/>
      <c r="FE285" s="61"/>
      <c r="FF285" s="61"/>
      <c r="FG285" s="61"/>
      <c r="FH285" s="61"/>
      <c r="FI285" s="61"/>
      <c r="FJ285" s="61"/>
      <c r="FK285" s="61"/>
      <c r="FL285" s="61"/>
      <c r="FM285" s="61"/>
      <c r="FN285" s="61"/>
      <c r="FO285" s="61"/>
      <c r="FP285" s="61"/>
      <c r="FQ285" s="61"/>
      <c r="FR285" s="61"/>
      <c r="FS285" s="61"/>
      <c r="FT285" s="61"/>
      <c r="FU285" s="61"/>
      <c r="FV285" s="61"/>
      <c r="FW285" s="61"/>
      <c r="FX285" s="61"/>
      <c r="FY285" s="61"/>
      <c r="FZ285" s="61"/>
      <c r="GA285" s="61"/>
      <c r="GB285" s="61"/>
      <c r="GC285" s="61"/>
      <c r="GD285" s="61"/>
      <c r="GE285" s="61"/>
      <c r="GF285" s="61"/>
      <c r="GG285" s="61"/>
      <c r="GH285" s="61"/>
      <c r="GI285" s="61"/>
      <c r="GJ285" s="61"/>
      <c r="GK285" s="61"/>
      <c r="GL285" s="61"/>
      <c r="GM285" s="61"/>
      <c r="GN285" s="61"/>
      <c r="GO285" s="61"/>
      <c r="GP285" s="61"/>
      <c r="GQ285" s="61"/>
      <c r="GR285" s="61"/>
      <c r="GS285" s="61"/>
      <c r="GT285" s="61"/>
      <c r="GU285" s="61"/>
      <c r="GV285" s="61"/>
      <c r="GW285" s="61"/>
      <c r="GX285" s="61"/>
      <c r="GY285" s="61"/>
      <c r="GZ285" s="61"/>
      <c r="HA285" s="61"/>
      <c r="HB285" s="61"/>
      <c r="HC285" s="61"/>
      <c r="HD285" s="61"/>
      <c r="HE285" s="61"/>
      <c r="HF285" s="61"/>
      <c r="HG285" s="61"/>
      <c r="HH285" s="61"/>
      <c r="HI285" s="61"/>
      <c r="HJ285" s="61"/>
      <c r="HK285" s="61"/>
      <c r="HL285" s="61"/>
      <c r="HM285" s="61"/>
      <c r="HN285" s="61"/>
      <c r="HO285" s="61"/>
      <c r="HP285" s="61"/>
      <c r="HQ285" s="61"/>
      <c r="HR285" s="61"/>
      <c r="HS285" s="61"/>
      <c r="HT285" s="61"/>
      <c r="HU285" s="61"/>
      <c r="HV285" s="61"/>
      <c r="HW285" s="61"/>
      <c r="HX285" s="61"/>
      <c r="HY285" s="61"/>
      <c r="HZ285" s="61"/>
      <c r="IA285" s="61"/>
      <c r="IB285" s="61"/>
      <c r="IC285" s="61"/>
      <c r="ID285" s="61"/>
      <c r="IE285" s="61"/>
      <c r="IF285" s="61"/>
      <c r="IG285" s="61"/>
      <c r="IH285" s="61"/>
      <c r="II285" s="61"/>
      <c r="IJ285" s="61"/>
      <c r="IK285" s="61"/>
      <c r="IL285" s="61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  <c r="IW285" s="61"/>
      <c r="IX285" s="61"/>
      <c r="IY285" s="61"/>
      <c r="IZ285" s="61"/>
      <c r="JA285" s="61"/>
      <c r="JB285" s="61"/>
      <c r="JC285" s="61"/>
      <c r="JD285" s="61"/>
      <c r="JE285" s="61"/>
      <c r="JF285" s="61"/>
      <c r="JG285" s="61"/>
      <c r="JH285" s="61"/>
      <c r="JI285" s="61"/>
      <c r="JJ285" s="61"/>
      <c r="JK285" s="61"/>
      <c r="JL285" s="61"/>
      <c r="JM285" s="61"/>
      <c r="JN285" s="61"/>
      <c r="JO285" s="61"/>
      <c r="JP285" s="61"/>
      <c r="JQ285" s="61"/>
      <c r="JR285" s="61"/>
      <c r="JS285" s="61"/>
      <c r="JT285" s="61"/>
      <c r="JU285" s="61"/>
      <c r="JV285" s="61"/>
      <c r="JW285" s="61"/>
      <c r="JX285" s="61"/>
      <c r="JY285" s="61"/>
      <c r="JZ285" s="61"/>
      <c r="KA285" s="61"/>
      <c r="KB285" s="61"/>
      <c r="KC285" s="61"/>
      <c r="KD285" s="61"/>
      <c r="KE285" s="61"/>
      <c r="KF285" s="61"/>
      <c r="KG285" s="61"/>
      <c r="KH285" s="61"/>
      <c r="KI285" s="61"/>
      <c r="KJ285" s="61"/>
      <c r="KK285" s="61"/>
      <c r="KL285" s="61"/>
      <c r="KM285" s="61"/>
      <c r="KN285" s="61"/>
      <c r="KO285" s="61"/>
      <c r="KP285" s="61"/>
      <c r="KQ285" s="61"/>
      <c r="KR285" s="61"/>
      <c r="KS285" s="61"/>
      <c r="KT285" s="61"/>
      <c r="KU285" s="61"/>
      <c r="KV285" s="61"/>
      <c r="KW285" s="61"/>
      <c r="KX285" s="61"/>
      <c r="KY285" s="61"/>
      <c r="KZ285" s="61"/>
      <c r="LA285" s="61"/>
      <c r="LB285" s="61"/>
      <c r="LC285" s="61"/>
      <c r="LD285" s="61"/>
      <c r="LE285" s="61"/>
      <c r="LF285" s="61"/>
      <c r="LG285" s="61"/>
      <c r="LH285" s="61"/>
      <c r="LI285" s="61"/>
      <c r="LJ285" s="61"/>
      <c r="LK285" s="61"/>
      <c r="LL285" s="61"/>
      <c r="LM285" s="61"/>
      <c r="LN285" s="61"/>
      <c r="LO285" s="61"/>
      <c r="LP285" s="61"/>
      <c r="LQ285" s="61"/>
      <c r="LR285" s="61"/>
      <c r="LS285" s="61"/>
      <c r="LT285" s="61"/>
      <c r="LU285" s="61"/>
      <c r="LV285" s="61"/>
      <c r="LW285" s="61"/>
      <c r="LX285" s="61"/>
      <c r="LY285" s="61"/>
      <c r="LZ285" s="61"/>
      <c r="MA285" s="61"/>
      <c r="MB285" s="61"/>
      <c r="MC285" s="61"/>
      <c r="MD285" s="61"/>
      <c r="ME285" s="61"/>
      <c r="MF285" s="61"/>
      <c r="MG285" s="61"/>
      <c r="MH285" s="61"/>
      <c r="MI285" s="61"/>
      <c r="MJ285" s="61"/>
      <c r="MK285" s="61"/>
      <c r="ML285" s="61"/>
      <c r="MM285" s="61"/>
      <c r="MN285" s="61"/>
      <c r="MO285" s="61"/>
      <c r="MP285" s="61"/>
      <c r="MQ285" s="61"/>
      <c r="MR285" s="61"/>
      <c r="MS285" s="61"/>
      <c r="MT285" s="61"/>
      <c r="MU285" s="61"/>
      <c r="MV285" s="61"/>
      <c r="MW285" s="61"/>
      <c r="MX285" s="61"/>
      <c r="MY285" s="61"/>
      <c r="MZ285" s="61"/>
      <c r="NA285" s="61"/>
      <c r="NB285" s="61"/>
      <c r="NC285" s="61"/>
      <c r="ND285" s="61"/>
      <c r="NE285" s="61"/>
      <c r="NF285" s="61"/>
      <c r="NG285" s="61"/>
      <c r="NH285" s="61"/>
      <c r="NI285" s="61"/>
      <c r="NJ285" s="61"/>
      <c r="NK285" s="61"/>
      <c r="NL285" s="61"/>
      <c r="NM285" s="61"/>
      <c r="NN285" s="61"/>
      <c r="NO285" s="61"/>
      <c r="NP285" s="61"/>
      <c r="NQ285" s="61"/>
      <c r="NR285" s="61"/>
      <c r="NS285" s="61"/>
      <c r="NT285" s="61"/>
      <c r="NU285" s="61"/>
      <c r="NV285" s="61"/>
      <c r="NW285" s="61"/>
      <c r="NX285" s="61"/>
      <c r="NY285" s="61"/>
      <c r="NZ285" s="61"/>
      <c r="OA285" s="61"/>
      <c r="OB285" s="61"/>
      <c r="OC285" s="61"/>
      <c r="OD285" s="61"/>
      <c r="OE285" s="61"/>
      <c r="OF285" s="61"/>
      <c r="OG285" s="61"/>
      <c r="OH285" s="61"/>
      <c r="OI285" s="61"/>
      <c r="OJ285" s="61"/>
      <c r="OK285" s="61"/>
      <c r="OL285" s="61"/>
      <c r="OM285" s="61"/>
      <c r="ON285" s="61"/>
      <c r="OO285" s="61"/>
      <c r="OP285" s="61"/>
      <c r="OQ285" s="61"/>
      <c r="OR285" s="61"/>
      <c r="OS285" s="61"/>
      <c r="OT285" s="61"/>
      <c r="OU285" s="61"/>
      <c r="OV285" s="61"/>
      <c r="OW285" s="61"/>
      <c r="OX285" s="61"/>
      <c r="OY285" s="61"/>
      <c r="OZ285" s="61"/>
      <c r="PA285" s="61"/>
      <c r="PB285" s="61"/>
      <c r="PC285" s="61"/>
      <c r="PD285" s="61"/>
      <c r="PE285" s="61"/>
      <c r="PF285" s="61"/>
      <c r="PG285" s="61"/>
      <c r="PH285" s="61"/>
      <c r="PI285" s="61"/>
      <c r="PJ285" s="61"/>
      <c r="PK285" s="61"/>
      <c r="PL285" s="61"/>
      <c r="PM285" s="61"/>
      <c r="PN285" s="61"/>
      <c r="PO285" s="61"/>
      <c r="PP285" s="61"/>
      <c r="PQ285" s="61"/>
      <c r="PR285" s="61"/>
      <c r="PS285" s="61"/>
      <c r="PT285" s="61"/>
      <c r="PU285" s="61"/>
      <c r="PV285" s="61"/>
      <c r="PW285" s="61"/>
      <c r="PX285" s="61"/>
      <c r="PY285" s="61"/>
      <c r="PZ285" s="61"/>
      <c r="QA285" s="61"/>
      <c r="QB285" s="61"/>
      <c r="QC285" s="61"/>
      <c r="QD285" s="61"/>
      <c r="QE285" s="61"/>
      <c r="QF285" s="61"/>
      <c r="QG285" s="61"/>
      <c r="QH285" s="61"/>
      <c r="QI285" s="61"/>
      <c r="QJ285" s="61"/>
      <c r="QK285" s="61"/>
      <c r="QL285" s="61"/>
      <c r="QM285" s="61"/>
      <c r="QN285" s="61"/>
      <c r="QO285" s="61"/>
      <c r="QP285" s="61"/>
      <c r="QQ285" s="61"/>
      <c r="QR285" s="61"/>
      <c r="QS285" s="61"/>
      <c r="QT285" s="61"/>
      <c r="QU285" s="61"/>
      <c r="QV285" s="61"/>
      <c r="QW285" s="61"/>
      <c r="QX285" s="61"/>
      <c r="QY285" s="61"/>
      <c r="QZ285" s="61"/>
      <c r="RA285" s="61"/>
      <c r="RB285" s="61"/>
      <c r="RC285" s="61"/>
      <c r="RD285" s="61"/>
      <c r="RE285" s="61"/>
      <c r="RF285" s="61"/>
      <c r="RG285" s="61"/>
      <c r="RH285" s="61"/>
      <c r="RI285" s="61"/>
      <c r="RJ285" s="61"/>
      <c r="RK285" s="61"/>
      <c r="RL285" s="61"/>
      <c r="RM285" s="61"/>
      <c r="RN285" s="61"/>
      <c r="RO285" s="61"/>
      <c r="RP285" s="61"/>
      <c r="RQ285" s="61"/>
      <c r="RR285" s="61"/>
      <c r="RS285" s="61"/>
      <c r="RT285" s="61"/>
      <c r="RU285" s="61"/>
      <c r="RV285" s="61"/>
      <c r="RW285" s="61"/>
      <c r="RX285" s="61"/>
      <c r="RY285" s="61"/>
      <c r="RZ285" s="61"/>
      <c r="SA285" s="61"/>
      <c r="SB285" s="61"/>
      <c r="SC285" s="61"/>
      <c r="SD285" s="61"/>
      <c r="SE285" s="61"/>
      <c r="SF285" s="61"/>
      <c r="SG285" s="61"/>
      <c r="SH285" s="61"/>
      <c r="SI285" s="61"/>
      <c r="SJ285" s="61"/>
      <c r="SK285" s="61"/>
      <c r="SL285" s="61"/>
      <c r="SM285" s="61"/>
      <c r="SN285" s="61"/>
      <c r="SO285" s="61"/>
      <c r="SP285" s="61"/>
      <c r="SQ285" s="61"/>
      <c r="SR285" s="61"/>
      <c r="SS285" s="61"/>
      <c r="ST285" s="61"/>
      <c r="SU285" s="61"/>
      <c r="SV285" s="61"/>
      <c r="SW285" s="61"/>
      <c r="SX285" s="61"/>
      <c r="SY285" s="61"/>
      <c r="SZ285" s="61"/>
      <c r="TA285" s="61"/>
      <c r="TB285" s="61"/>
      <c r="TC285" s="61"/>
      <c r="TD285" s="61"/>
      <c r="TE285" s="61"/>
      <c r="TF285" s="61"/>
      <c r="TG285" s="61"/>
      <c r="TH285" s="61"/>
      <c r="TI285" s="61"/>
      <c r="TJ285" s="61"/>
      <c r="TK285" s="61"/>
      <c r="TL285" s="61"/>
      <c r="TM285" s="61"/>
      <c r="TN285" s="61"/>
      <c r="TO285" s="61"/>
      <c r="TP285" s="61"/>
      <c r="TQ285" s="61"/>
      <c r="TR285" s="61"/>
      <c r="TS285" s="61"/>
      <c r="TT285" s="61"/>
      <c r="TU285" s="61"/>
      <c r="TV285" s="61"/>
      <c r="TW285" s="61"/>
      <c r="TX285" s="61"/>
      <c r="TY285" s="61"/>
      <c r="TZ285" s="61"/>
      <c r="UA285" s="61"/>
      <c r="UB285" s="61"/>
      <c r="UC285" s="61"/>
      <c r="UD285" s="61"/>
      <c r="UE285" s="61"/>
      <c r="UF285" s="61"/>
      <c r="UG285" s="61"/>
      <c r="UH285" s="61"/>
      <c r="UI285" s="61"/>
      <c r="UJ285" s="61"/>
      <c r="UK285" s="61"/>
      <c r="UL285" s="61"/>
      <c r="UM285" s="61"/>
      <c r="UN285" s="61"/>
      <c r="UO285" s="61"/>
      <c r="UP285" s="61"/>
      <c r="UQ285" s="61"/>
      <c r="UR285" s="61"/>
      <c r="US285" s="61"/>
      <c r="UT285" s="61"/>
      <c r="UU285" s="61"/>
      <c r="UV285" s="61"/>
      <c r="UW285" s="61"/>
      <c r="UX285" s="61"/>
      <c r="UY285" s="61"/>
      <c r="UZ285" s="61"/>
      <c r="VA285" s="61"/>
      <c r="VB285" s="61"/>
      <c r="VC285" s="61"/>
    </row>
    <row r="286" spans="1:575" s="72" customFormat="1" ht="37.5" customHeight="1" x14ac:dyDescent="0.2">
      <c r="A286" s="70" t="s">
        <v>279</v>
      </c>
      <c r="B286" s="111"/>
      <c r="C286" s="111"/>
      <c r="D286" s="71" t="s">
        <v>61</v>
      </c>
      <c r="E286" s="134">
        <f>E287</f>
        <v>20777002</v>
      </c>
      <c r="F286" s="134">
        <f t="shared" ref="F286:P286" si="55">F287</f>
        <v>20777002</v>
      </c>
      <c r="G286" s="134">
        <f t="shared" si="55"/>
        <v>14784375</v>
      </c>
      <c r="H286" s="134">
        <f t="shared" si="55"/>
        <v>261800</v>
      </c>
      <c r="I286" s="134">
        <f t="shared" si="55"/>
        <v>0</v>
      </c>
      <c r="J286" s="134">
        <f t="shared" si="55"/>
        <v>13014103.33</v>
      </c>
      <c r="K286" s="134">
        <f t="shared" si="55"/>
        <v>12963400</v>
      </c>
      <c r="L286" s="134">
        <f t="shared" si="55"/>
        <v>50703.33</v>
      </c>
      <c r="M286" s="134">
        <f t="shared" si="55"/>
        <v>0</v>
      </c>
      <c r="N286" s="134">
        <f t="shared" si="55"/>
        <v>0</v>
      </c>
      <c r="O286" s="134">
        <f t="shared" si="55"/>
        <v>12963400</v>
      </c>
      <c r="P286" s="134">
        <f t="shared" si="55"/>
        <v>33791105.329999998</v>
      </c>
      <c r="Q286" s="159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90"/>
      <c r="GX286" s="90"/>
      <c r="GY286" s="90"/>
      <c r="GZ286" s="90"/>
      <c r="HA286" s="90"/>
      <c r="HB286" s="90"/>
      <c r="HC286" s="90"/>
      <c r="HD286" s="90"/>
      <c r="HE286" s="90"/>
      <c r="HF286" s="90"/>
      <c r="HG286" s="90"/>
      <c r="HH286" s="90"/>
      <c r="HI286" s="90"/>
      <c r="HJ286" s="90"/>
      <c r="HK286" s="90"/>
      <c r="HL286" s="90"/>
      <c r="HM286" s="90"/>
      <c r="HN286" s="90"/>
      <c r="HO286" s="90"/>
      <c r="HP286" s="90"/>
      <c r="HQ286" s="90"/>
      <c r="HR286" s="90"/>
      <c r="HS286" s="90"/>
      <c r="HT286" s="90"/>
      <c r="HU286" s="90"/>
      <c r="HV286" s="90"/>
      <c r="HW286" s="90"/>
      <c r="HX286" s="90"/>
      <c r="HY286" s="90"/>
      <c r="HZ286" s="90"/>
      <c r="IA286" s="90"/>
      <c r="IB286" s="90"/>
      <c r="IC286" s="90"/>
      <c r="ID286" s="90"/>
      <c r="IE286" s="90"/>
      <c r="IF286" s="90"/>
      <c r="IG286" s="90"/>
      <c r="IH286" s="90"/>
      <c r="II286" s="90"/>
      <c r="IJ286" s="90"/>
      <c r="IK286" s="90"/>
      <c r="IL286" s="90"/>
      <c r="IM286" s="90"/>
      <c r="IN286" s="90"/>
      <c r="IO286" s="90"/>
      <c r="IP286" s="90"/>
      <c r="IQ286" s="90"/>
      <c r="IR286" s="90"/>
      <c r="IS286" s="90"/>
      <c r="IT286" s="90"/>
      <c r="IU286" s="90"/>
      <c r="IV286" s="90"/>
      <c r="IW286" s="90"/>
      <c r="IX286" s="90"/>
      <c r="IY286" s="90"/>
      <c r="IZ286" s="90"/>
      <c r="JA286" s="90"/>
      <c r="JB286" s="90"/>
      <c r="JC286" s="90"/>
      <c r="JD286" s="90"/>
      <c r="JE286" s="90"/>
      <c r="JF286" s="90"/>
      <c r="JG286" s="90"/>
      <c r="JH286" s="90"/>
      <c r="JI286" s="90"/>
      <c r="JJ286" s="90"/>
      <c r="JK286" s="90"/>
      <c r="JL286" s="90"/>
      <c r="JM286" s="90"/>
      <c r="JN286" s="90"/>
      <c r="JO286" s="90"/>
      <c r="JP286" s="90"/>
      <c r="JQ286" s="90"/>
      <c r="JR286" s="90"/>
      <c r="JS286" s="90"/>
      <c r="JT286" s="90"/>
      <c r="JU286" s="90"/>
      <c r="JV286" s="90"/>
      <c r="JW286" s="90"/>
      <c r="JX286" s="90"/>
      <c r="JY286" s="90"/>
      <c r="JZ286" s="90"/>
      <c r="KA286" s="90"/>
      <c r="KB286" s="90"/>
      <c r="KC286" s="90"/>
      <c r="KD286" s="90"/>
      <c r="KE286" s="90"/>
      <c r="KF286" s="90"/>
      <c r="KG286" s="90"/>
      <c r="KH286" s="90"/>
      <c r="KI286" s="90"/>
      <c r="KJ286" s="90"/>
      <c r="KK286" s="90"/>
      <c r="KL286" s="90"/>
      <c r="KM286" s="90"/>
      <c r="KN286" s="90"/>
      <c r="KO286" s="90"/>
      <c r="KP286" s="90"/>
      <c r="KQ286" s="90"/>
      <c r="KR286" s="90"/>
      <c r="KS286" s="90"/>
      <c r="KT286" s="90"/>
      <c r="KU286" s="90"/>
      <c r="KV286" s="90"/>
      <c r="KW286" s="90"/>
      <c r="KX286" s="90"/>
      <c r="KY286" s="90"/>
      <c r="KZ286" s="90"/>
      <c r="LA286" s="90"/>
      <c r="LB286" s="90"/>
      <c r="LC286" s="90"/>
      <c r="LD286" s="90"/>
      <c r="LE286" s="90"/>
      <c r="LF286" s="90"/>
      <c r="LG286" s="90"/>
      <c r="LH286" s="90"/>
      <c r="LI286" s="90"/>
      <c r="LJ286" s="90"/>
      <c r="LK286" s="90"/>
      <c r="LL286" s="90"/>
      <c r="LM286" s="90"/>
      <c r="LN286" s="90"/>
      <c r="LO286" s="90"/>
      <c r="LP286" s="90"/>
      <c r="LQ286" s="90"/>
      <c r="LR286" s="90"/>
      <c r="LS286" s="90"/>
      <c r="LT286" s="90"/>
      <c r="LU286" s="90"/>
      <c r="LV286" s="90"/>
      <c r="LW286" s="90"/>
      <c r="LX286" s="90"/>
      <c r="LY286" s="90"/>
      <c r="LZ286" s="90"/>
      <c r="MA286" s="90"/>
      <c r="MB286" s="90"/>
      <c r="MC286" s="90"/>
      <c r="MD286" s="90"/>
      <c r="ME286" s="90"/>
      <c r="MF286" s="90"/>
      <c r="MG286" s="90"/>
      <c r="MH286" s="90"/>
      <c r="MI286" s="90"/>
      <c r="MJ286" s="90"/>
      <c r="MK286" s="90"/>
      <c r="ML286" s="90"/>
      <c r="MM286" s="90"/>
      <c r="MN286" s="90"/>
      <c r="MO286" s="90"/>
      <c r="MP286" s="90"/>
      <c r="MQ286" s="90"/>
      <c r="MR286" s="90"/>
      <c r="MS286" s="90"/>
      <c r="MT286" s="90"/>
      <c r="MU286" s="90"/>
      <c r="MV286" s="90"/>
      <c r="MW286" s="90"/>
      <c r="MX286" s="90"/>
      <c r="MY286" s="90"/>
      <c r="MZ286" s="90"/>
      <c r="NA286" s="90"/>
      <c r="NB286" s="90"/>
      <c r="NC286" s="90"/>
      <c r="ND286" s="90"/>
      <c r="NE286" s="90"/>
      <c r="NF286" s="90"/>
      <c r="NG286" s="90"/>
      <c r="NH286" s="90"/>
      <c r="NI286" s="90"/>
      <c r="NJ286" s="90"/>
      <c r="NK286" s="90"/>
      <c r="NL286" s="90"/>
      <c r="NM286" s="90"/>
      <c r="NN286" s="90"/>
      <c r="NO286" s="90"/>
      <c r="NP286" s="90"/>
      <c r="NQ286" s="90"/>
      <c r="NR286" s="90"/>
      <c r="NS286" s="90"/>
      <c r="NT286" s="90"/>
      <c r="NU286" s="90"/>
      <c r="NV286" s="90"/>
      <c r="NW286" s="90"/>
      <c r="NX286" s="90"/>
      <c r="NY286" s="90"/>
      <c r="NZ286" s="90"/>
      <c r="OA286" s="90"/>
      <c r="OB286" s="90"/>
      <c r="OC286" s="90"/>
      <c r="OD286" s="90"/>
      <c r="OE286" s="90"/>
      <c r="OF286" s="90"/>
      <c r="OG286" s="90"/>
      <c r="OH286" s="90"/>
      <c r="OI286" s="90"/>
      <c r="OJ286" s="90"/>
      <c r="OK286" s="90"/>
      <c r="OL286" s="90"/>
      <c r="OM286" s="90"/>
      <c r="ON286" s="90"/>
      <c r="OO286" s="90"/>
      <c r="OP286" s="90"/>
      <c r="OQ286" s="90"/>
      <c r="OR286" s="90"/>
      <c r="OS286" s="90"/>
      <c r="OT286" s="90"/>
      <c r="OU286" s="90"/>
      <c r="OV286" s="90"/>
      <c r="OW286" s="90"/>
      <c r="OX286" s="90"/>
      <c r="OY286" s="90"/>
      <c r="OZ286" s="90"/>
      <c r="PA286" s="90"/>
      <c r="PB286" s="90"/>
      <c r="PC286" s="90"/>
      <c r="PD286" s="90"/>
      <c r="PE286" s="90"/>
      <c r="PF286" s="90"/>
      <c r="PG286" s="90"/>
      <c r="PH286" s="90"/>
      <c r="PI286" s="90"/>
      <c r="PJ286" s="90"/>
      <c r="PK286" s="90"/>
      <c r="PL286" s="90"/>
      <c r="PM286" s="90"/>
      <c r="PN286" s="90"/>
      <c r="PO286" s="90"/>
      <c r="PP286" s="90"/>
      <c r="PQ286" s="90"/>
      <c r="PR286" s="90"/>
      <c r="PS286" s="90"/>
      <c r="PT286" s="90"/>
      <c r="PU286" s="90"/>
      <c r="PV286" s="90"/>
      <c r="PW286" s="90"/>
      <c r="PX286" s="90"/>
      <c r="PY286" s="90"/>
      <c r="PZ286" s="90"/>
      <c r="QA286" s="90"/>
      <c r="QB286" s="90"/>
      <c r="QC286" s="90"/>
      <c r="QD286" s="90"/>
      <c r="QE286" s="90"/>
      <c r="QF286" s="90"/>
      <c r="QG286" s="90"/>
      <c r="QH286" s="90"/>
      <c r="QI286" s="90"/>
      <c r="QJ286" s="90"/>
      <c r="QK286" s="90"/>
      <c r="QL286" s="90"/>
      <c r="QM286" s="90"/>
      <c r="QN286" s="90"/>
      <c r="QO286" s="90"/>
      <c r="QP286" s="90"/>
      <c r="QQ286" s="90"/>
      <c r="QR286" s="90"/>
      <c r="QS286" s="90"/>
      <c r="QT286" s="90"/>
      <c r="QU286" s="90"/>
      <c r="QV286" s="90"/>
      <c r="QW286" s="90"/>
      <c r="QX286" s="90"/>
      <c r="QY286" s="90"/>
      <c r="QZ286" s="90"/>
      <c r="RA286" s="90"/>
      <c r="RB286" s="90"/>
      <c r="RC286" s="90"/>
      <c r="RD286" s="90"/>
      <c r="RE286" s="90"/>
      <c r="RF286" s="90"/>
      <c r="RG286" s="90"/>
      <c r="RH286" s="90"/>
      <c r="RI286" s="90"/>
      <c r="RJ286" s="90"/>
      <c r="RK286" s="90"/>
      <c r="RL286" s="90"/>
      <c r="RM286" s="90"/>
      <c r="RN286" s="90"/>
      <c r="RO286" s="90"/>
      <c r="RP286" s="90"/>
      <c r="RQ286" s="90"/>
      <c r="RR286" s="90"/>
      <c r="RS286" s="90"/>
      <c r="RT286" s="90"/>
      <c r="RU286" s="90"/>
      <c r="RV286" s="90"/>
      <c r="RW286" s="90"/>
      <c r="RX286" s="90"/>
      <c r="RY286" s="90"/>
      <c r="RZ286" s="90"/>
      <c r="SA286" s="90"/>
      <c r="SB286" s="90"/>
      <c r="SC286" s="90"/>
      <c r="SD286" s="90"/>
      <c r="SE286" s="90"/>
      <c r="SF286" s="90"/>
      <c r="SG286" s="90"/>
      <c r="SH286" s="90"/>
      <c r="SI286" s="90"/>
      <c r="SJ286" s="90"/>
      <c r="SK286" s="90"/>
      <c r="SL286" s="90"/>
      <c r="SM286" s="90"/>
      <c r="SN286" s="90"/>
      <c r="SO286" s="90"/>
      <c r="SP286" s="90"/>
      <c r="SQ286" s="90"/>
      <c r="SR286" s="90"/>
      <c r="SS286" s="90"/>
      <c r="ST286" s="90"/>
      <c r="SU286" s="90"/>
      <c r="SV286" s="90"/>
      <c r="SW286" s="90"/>
      <c r="SX286" s="90"/>
      <c r="SY286" s="90"/>
      <c r="SZ286" s="90"/>
      <c r="TA286" s="90"/>
      <c r="TB286" s="90"/>
      <c r="TC286" s="90"/>
      <c r="TD286" s="90"/>
      <c r="TE286" s="90"/>
      <c r="TF286" s="90"/>
      <c r="TG286" s="90"/>
      <c r="TH286" s="90"/>
      <c r="TI286" s="90"/>
      <c r="TJ286" s="90"/>
      <c r="TK286" s="90"/>
      <c r="TL286" s="90"/>
      <c r="TM286" s="90"/>
      <c r="TN286" s="90"/>
      <c r="TO286" s="90"/>
      <c r="TP286" s="90"/>
      <c r="TQ286" s="90"/>
      <c r="TR286" s="90"/>
      <c r="TS286" s="90"/>
      <c r="TT286" s="90"/>
      <c r="TU286" s="90"/>
      <c r="TV286" s="90"/>
      <c r="TW286" s="90"/>
      <c r="TX286" s="90"/>
      <c r="TY286" s="90"/>
      <c r="TZ286" s="90"/>
      <c r="UA286" s="90"/>
      <c r="UB286" s="90"/>
      <c r="UC286" s="90"/>
      <c r="UD286" s="90"/>
      <c r="UE286" s="90"/>
      <c r="UF286" s="90"/>
      <c r="UG286" s="90"/>
      <c r="UH286" s="90"/>
      <c r="UI286" s="90"/>
      <c r="UJ286" s="90"/>
      <c r="UK286" s="90"/>
      <c r="UL286" s="90"/>
      <c r="UM286" s="90"/>
      <c r="UN286" s="90"/>
      <c r="UO286" s="90"/>
      <c r="UP286" s="90"/>
      <c r="UQ286" s="90"/>
      <c r="UR286" s="90"/>
      <c r="US286" s="90"/>
      <c r="UT286" s="90"/>
      <c r="UU286" s="90"/>
      <c r="UV286" s="90"/>
      <c r="UW286" s="90"/>
      <c r="UX286" s="90"/>
      <c r="UY286" s="90"/>
      <c r="UZ286" s="90"/>
      <c r="VA286" s="90"/>
      <c r="VB286" s="90"/>
      <c r="VC286" s="90"/>
    </row>
    <row r="287" spans="1:575" s="92" customFormat="1" ht="37.5" customHeight="1" x14ac:dyDescent="0.25">
      <c r="A287" s="75" t="s">
        <v>280</v>
      </c>
      <c r="B287" s="112"/>
      <c r="C287" s="112"/>
      <c r="D287" s="76" t="s">
        <v>61</v>
      </c>
      <c r="E287" s="131">
        <f>E288+E289+E290+E291+E292+E293+E294+E295</f>
        <v>20777002</v>
      </c>
      <c r="F287" s="131">
        <f t="shared" ref="F287:P287" si="56">F288+F289+F290+F291+F292+F293+F294+F295</f>
        <v>20777002</v>
      </c>
      <c r="G287" s="131">
        <f t="shared" si="56"/>
        <v>14784375</v>
      </c>
      <c r="H287" s="131">
        <f t="shared" si="56"/>
        <v>261800</v>
      </c>
      <c r="I287" s="131">
        <f t="shared" si="56"/>
        <v>0</v>
      </c>
      <c r="J287" s="131">
        <f t="shared" si="56"/>
        <v>13014103.33</v>
      </c>
      <c r="K287" s="131">
        <f t="shared" si="56"/>
        <v>12963400</v>
      </c>
      <c r="L287" s="131">
        <f t="shared" si="56"/>
        <v>50703.33</v>
      </c>
      <c r="M287" s="131">
        <f t="shared" si="56"/>
        <v>0</v>
      </c>
      <c r="N287" s="131">
        <f t="shared" si="56"/>
        <v>0</v>
      </c>
      <c r="O287" s="131">
        <f t="shared" si="56"/>
        <v>12963400</v>
      </c>
      <c r="P287" s="131">
        <f t="shared" si="56"/>
        <v>33791105.329999998</v>
      </c>
      <c r="Q287" s="159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  <c r="BZ287" s="91"/>
      <c r="CA287" s="91"/>
      <c r="CB287" s="91"/>
      <c r="CC287" s="91"/>
      <c r="CD287" s="91"/>
      <c r="CE287" s="91"/>
      <c r="CF287" s="91"/>
      <c r="CG287" s="91"/>
      <c r="CH287" s="91"/>
      <c r="CI287" s="91"/>
      <c r="CJ287" s="91"/>
      <c r="CK287" s="91"/>
      <c r="CL287" s="91"/>
      <c r="CM287" s="91"/>
      <c r="CN287" s="91"/>
      <c r="CO287" s="91"/>
      <c r="CP287" s="91"/>
      <c r="CQ287" s="91"/>
      <c r="CR287" s="91"/>
      <c r="CS287" s="91"/>
      <c r="CT287" s="91"/>
      <c r="CU287" s="91"/>
      <c r="CV287" s="91"/>
      <c r="CW287" s="91"/>
      <c r="CX287" s="91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1"/>
      <c r="HT287" s="91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  <c r="IT287" s="91"/>
      <c r="IU287" s="91"/>
      <c r="IV287" s="91"/>
      <c r="IW287" s="91"/>
      <c r="IX287" s="91"/>
      <c r="IY287" s="91"/>
      <c r="IZ287" s="91"/>
      <c r="JA287" s="91"/>
      <c r="JB287" s="91"/>
      <c r="JC287" s="91"/>
      <c r="JD287" s="91"/>
      <c r="JE287" s="91"/>
      <c r="JF287" s="91"/>
      <c r="JG287" s="91"/>
      <c r="JH287" s="91"/>
      <c r="JI287" s="91"/>
      <c r="JJ287" s="91"/>
      <c r="JK287" s="91"/>
      <c r="JL287" s="91"/>
      <c r="JM287" s="91"/>
      <c r="JN287" s="91"/>
      <c r="JO287" s="91"/>
      <c r="JP287" s="91"/>
      <c r="JQ287" s="91"/>
      <c r="JR287" s="91"/>
      <c r="JS287" s="91"/>
      <c r="JT287" s="91"/>
      <c r="JU287" s="91"/>
      <c r="JV287" s="91"/>
      <c r="JW287" s="91"/>
      <c r="JX287" s="91"/>
      <c r="JY287" s="91"/>
      <c r="JZ287" s="91"/>
      <c r="KA287" s="91"/>
      <c r="KB287" s="91"/>
      <c r="KC287" s="91"/>
      <c r="KD287" s="91"/>
      <c r="KE287" s="91"/>
      <c r="KF287" s="91"/>
      <c r="KG287" s="91"/>
      <c r="KH287" s="91"/>
      <c r="KI287" s="91"/>
      <c r="KJ287" s="91"/>
      <c r="KK287" s="91"/>
      <c r="KL287" s="91"/>
      <c r="KM287" s="91"/>
      <c r="KN287" s="91"/>
      <c r="KO287" s="91"/>
      <c r="KP287" s="91"/>
      <c r="KQ287" s="91"/>
      <c r="KR287" s="91"/>
      <c r="KS287" s="91"/>
      <c r="KT287" s="91"/>
      <c r="KU287" s="91"/>
      <c r="KV287" s="91"/>
      <c r="KW287" s="91"/>
      <c r="KX287" s="91"/>
      <c r="KY287" s="91"/>
      <c r="KZ287" s="91"/>
      <c r="LA287" s="91"/>
      <c r="LB287" s="91"/>
      <c r="LC287" s="91"/>
      <c r="LD287" s="91"/>
      <c r="LE287" s="91"/>
      <c r="LF287" s="91"/>
      <c r="LG287" s="91"/>
      <c r="LH287" s="91"/>
      <c r="LI287" s="91"/>
      <c r="LJ287" s="91"/>
      <c r="LK287" s="91"/>
      <c r="LL287" s="91"/>
      <c r="LM287" s="91"/>
      <c r="LN287" s="91"/>
      <c r="LO287" s="91"/>
      <c r="LP287" s="91"/>
      <c r="LQ287" s="91"/>
      <c r="LR287" s="91"/>
      <c r="LS287" s="91"/>
      <c r="LT287" s="91"/>
      <c r="LU287" s="91"/>
      <c r="LV287" s="91"/>
      <c r="LW287" s="91"/>
      <c r="LX287" s="91"/>
      <c r="LY287" s="91"/>
      <c r="LZ287" s="91"/>
      <c r="MA287" s="91"/>
      <c r="MB287" s="91"/>
      <c r="MC287" s="91"/>
      <c r="MD287" s="91"/>
      <c r="ME287" s="91"/>
      <c r="MF287" s="91"/>
      <c r="MG287" s="91"/>
      <c r="MH287" s="91"/>
      <c r="MI287" s="91"/>
      <c r="MJ287" s="91"/>
      <c r="MK287" s="91"/>
      <c r="ML287" s="91"/>
      <c r="MM287" s="91"/>
      <c r="MN287" s="91"/>
      <c r="MO287" s="91"/>
      <c r="MP287" s="91"/>
      <c r="MQ287" s="91"/>
      <c r="MR287" s="91"/>
      <c r="MS287" s="91"/>
      <c r="MT287" s="91"/>
      <c r="MU287" s="91"/>
      <c r="MV287" s="91"/>
      <c r="MW287" s="91"/>
      <c r="MX287" s="91"/>
      <c r="MY287" s="91"/>
      <c r="MZ287" s="91"/>
      <c r="NA287" s="91"/>
      <c r="NB287" s="91"/>
      <c r="NC287" s="91"/>
      <c r="ND287" s="91"/>
      <c r="NE287" s="91"/>
      <c r="NF287" s="91"/>
      <c r="NG287" s="91"/>
      <c r="NH287" s="91"/>
      <c r="NI287" s="91"/>
      <c r="NJ287" s="91"/>
      <c r="NK287" s="91"/>
      <c r="NL287" s="91"/>
      <c r="NM287" s="91"/>
      <c r="NN287" s="91"/>
      <c r="NO287" s="91"/>
      <c r="NP287" s="91"/>
      <c r="NQ287" s="91"/>
      <c r="NR287" s="91"/>
      <c r="NS287" s="91"/>
      <c r="NT287" s="91"/>
      <c r="NU287" s="91"/>
      <c r="NV287" s="91"/>
      <c r="NW287" s="91"/>
      <c r="NX287" s="91"/>
      <c r="NY287" s="91"/>
      <c r="NZ287" s="91"/>
      <c r="OA287" s="91"/>
      <c r="OB287" s="91"/>
      <c r="OC287" s="91"/>
      <c r="OD287" s="91"/>
      <c r="OE287" s="91"/>
      <c r="OF287" s="91"/>
      <c r="OG287" s="91"/>
      <c r="OH287" s="91"/>
      <c r="OI287" s="91"/>
      <c r="OJ287" s="91"/>
      <c r="OK287" s="91"/>
      <c r="OL287" s="91"/>
      <c r="OM287" s="91"/>
      <c r="ON287" s="91"/>
      <c r="OO287" s="91"/>
      <c r="OP287" s="91"/>
      <c r="OQ287" s="91"/>
      <c r="OR287" s="91"/>
      <c r="OS287" s="91"/>
      <c r="OT287" s="91"/>
      <c r="OU287" s="91"/>
      <c r="OV287" s="91"/>
      <c r="OW287" s="91"/>
      <c r="OX287" s="91"/>
      <c r="OY287" s="91"/>
      <c r="OZ287" s="91"/>
      <c r="PA287" s="91"/>
      <c r="PB287" s="91"/>
      <c r="PC287" s="91"/>
      <c r="PD287" s="91"/>
      <c r="PE287" s="91"/>
      <c r="PF287" s="91"/>
      <c r="PG287" s="91"/>
      <c r="PH287" s="91"/>
      <c r="PI287" s="91"/>
      <c r="PJ287" s="91"/>
      <c r="PK287" s="91"/>
      <c r="PL287" s="91"/>
      <c r="PM287" s="91"/>
      <c r="PN287" s="91"/>
      <c r="PO287" s="91"/>
      <c r="PP287" s="91"/>
      <c r="PQ287" s="91"/>
      <c r="PR287" s="91"/>
      <c r="PS287" s="91"/>
      <c r="PT287" s="91"/>
      <c r="PU287" s="91"/>
      <c r="PV287" s="91"/>
      <c r="PW287" s="91"/>
      <c r="PX287" s="91"/>
      <c r="PY287" s="91"/>
      <c r="PZ287" s="91"/>
      <c r="QA287" s="91"/>
      <c r="QB287" s="91"/>
      <c r="QC287" s="91"/>
      <c r="QD287" s="91"/>
      <c r="QE287" s="91"/>
      <c r="QF287" s="91"/>
      <c r="QG287" s="91"/>
      <c r="QH287" s="91"/>
      <c r="QI287" s="91"/>
      <c r="QJ287" s="91"/>
      <c r="QK287" s="91"/>
      <c r="QL287" s="91"/>
      <c r="QM287" s="91"/>
      <c r="QN287" s="91"/>
      <c r="QO287" s="91"/>
      <c r="QP287" s="91"/>
      <c r="QQ287" s="91"/>
      <c r="QR287" s="91"/>
      <c r="QS287" s="91"/>
      <c r="QT287" s="91"/>
      <c r="QU287" s="91"/>
      <c r="QV287" s="91"/>
      <c r="QW287" s="91"/>
      <c r="QX287" s="91"/>
      <c r="QY287" s="91"/>
      <c r="QZ287" s="91"/>
      <c r="RA287" s="91"/>
      <c r="RB287" s="91"/>
      <c r="RC287" s="91"/>
      <c r="RD287" s="91"/>
      <c r="RE287" s="91"/>
      <c r="RF287" s="91"/>
      <c r="RG287" s="91"/>
      <c r="RH287" s="91"/>
      <c r="RI287" s="91"/>
      <c r="RJ287" s="91"/>
      <c r="RK287" s="91"/>
      <c r="RL287" s="91"/>
      <c r="RM287" s="91"/>
      <c r="RN287" s="91"/>
      <c r="RO287" s="91"/>
      <c r="RP287" s="91"/>
      <c r="RQ287" s="91"/>
      <c r="RR287" s="91"/>
      <c r="RS287" s="91"/>
      <c r="RT287" s="91"/>
      <c r="RU287" s="91"/>
      <c r="RV287" s="91"/>
      <c r="RW287" s="91"/>
      <c r="RX287" s="91"/>
      <c r="RY287" s="91"/>
      <c r="RZ287" s="91"/>
      <c r="SA287" s="91"/>
      <c r="SB287" s="91"/>
      <c r="SC287" s="91"/>
      <c r="SD287" s="91"/>
      <c r="SE287" s="91"/>
      <c r="SF287" s="91"/>
      <c r="SG287" s="91"/>
      <c r="SH287" s="91"/>
      <c r="SI287" s="91"/>
      <c r="SJ287" s="91"/>
      <c r="SK287" s="91"/>
      <c r="SL287" s="91"/>
      <c r="SM287" s="91"/>
      <c r="SN287" s="91"/>
      <c r="SO287" s="91"/>
      <c r="SP287" s="91"/>
      <c r="SQ287" s="91"/>
      <c r="SR287" s="91"/>
      <c r="SS287" s="91"/>
      <c r="ST287" s="91"/>
      <c r="SU287" s="91"/>
      <c r="SV287" s="91"/>
      <c r="SW287" s="91"/>
      <c r="SX287" s="91"/>
      <c r="SY287" s="91"/>
      <c r="SZ287" s="91"/>
      <c r="TA287" s="91"/>
      <c r="TB287" s="91"/>
      <c r="TC287" s="91"/>
      <c r="TD287" s="91"/>
      <c r="TE287" s="91"/>
      <c r="TF287" s="91"/>
      <c r="TG287" s="91"/>
      <c r="TH287" s="91"/>
      <c r="TI287" s="91"/>
      <c r="TJ287" s="91"/>
      <c r="TK287" s="91"/>
      <c r="TL287" s="91"/>
      <c r="TM287" s="91"/>
      <c r="TN287" s="91"/>
      <c r="TO287" s="91"/>
      <c r="TP287" s="91"/>
      <c r="TQ287" s="91"/>
      <c r="TR287" s="91"/>
      <c r="TS287" s="91"/>
      <c r="TT287" s="91"/>
      <c r="TU287" s="91"/>
      <c r="TV287" s="91"/>
      <c r="TW287" s="91"/>
      <c r="TX287" s="91"/>
      <c r="TY287" s="91"/>
      <c r="TZ287" s="91"/>
      <c r="UA287" s="91"/>
      <c r="UB287" s="91"/>
      <c r="UC287" s="91"/>
      <c r="UD287" s="91"/>
      <c r="UE287" s="91"/>
      <c r="UF287" s="91"/>
      <c r="UG287" s="91"/>
      <c r="UH287" s="91"/>
      <c r="UI287" s="91"/>
      <c r="UJ287" s="91"/>
      <c r="UK287" s="91"/>
      <c r="UL287" s="91"/>
      <c r="UM287" s="91"/>
      <c r="UN287" s="91"/>
      <c r="UO287" s="91"/>
      <c r="UP287" s="91"/>
      <c r="UQ287" s="91"/>
      <c r="UR287" s="91"/>
      <c r="US287" s="91"/>
      <c r="UT287" s="91"/>
      <c r="UU287" s="91"/>
      <c r="UV287" s="91"/>
      <c r="UW287" s="91"/>
      <c r="UX287" s="91"/>
      <c r="UY287" s="91"/>
      <c r="UZ287" s="91"/>
      <c r="VA287" s="91"/>
      <c r="VB287" s="91"/>
      <c r="VC287" s="91"/>
    </row>
    <row r="288" spans="1:575" s="55" customFormat="1" ht="39" customHeight="1" x14ac:dyDescent="0.25">
      <c r="A288" s="53" t="s">
        <v>281</v>
      </c>
      <c r="B288" s="102" t="str">
        <f>'дод 2'!A13</f>
        <v>0160</v>
      </c>
      <c r="C288" s="102" t="str">
        <f>'дод 2'!B13</f>
        <v>0111</v>
      </c>
      <c r="D288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288" s="132">
        <f t="shared" ref="E288:E295" si="57">F288+I288</f>
        <v>18889002</v>
      </c>
      <c r="F288" s="132">
        <f>19692000-732928+15000-85070</f>
        <v>18889002</v>
      </c>
      <c r="G288" s="132">
        <f>15454866-600761-69730</f>
        <v>14784375</v>
      </c>
      <c r="H288" s="132">
        <f>235000+4800+22000</f>
        <v>261800</v>
      </c>
      <c r="I288" s="132"/>
      <c r="J288" s="132">
        <f t="shared" si="43"/>
        <v>0</v>
      </c>
      <c r="K288" s="132"/>
      <c r="L288" s="132"/>
      <c r="M288" s="132"/>
      <c r="N288" s="132"/>
      <c r="O288" s="132"/>
      <c r="P288" s="132">
        <f t="shared" ref="P288:P295" si="58">E288+J288</f>
        <v>18889002</v>
      </c>
      <c r="Q288" s="159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  <c r="CT288" s="61"/>
      <c r="CU288" s="61"/>
      <c r="CV288" s="61"/>
      <c r="CW288" s="61"/>
      <c r="CX288" s="61"/>
      <c r="CY288" s="61"/>
      <c r="CZ288" s="61"/>
      <c r="DA288" s="61"/>
      <c r="DB288" s="61"/>
      <c r="DC288" s="61"/>
      <c r="DD288" s="61"/>
      <c r="DE288" s="61"/>
      <c r="DF288" s="61"/>
      <c r="DG288" s="61"/>
      <c r="DH288" s="61"/>
      <c r="DI288" s="61"/>
      <c r="DJ288" s="61"/>
      <c r="DK288" s="61"/>
      <c r="DL288" s="61"/>
      <c r="DM288" s="61"/>
      <c r="DN288" s="61"/>
      <c r="DO288" s="61"/>
      <c r="DP288" s="61"/>
      <c r="DQ288" s="61"/>
      <c r="DR288" s="61"/>
      <c r="DS288" s="61"/>
      <c r="DT288" s="61"/>
      <c r="DU288" s="61"/>
      <c r="DV288" s="61"/>
      <c r="DW288" s="61"/>
      <c r="DX288" s="61"/>
      <c r="DY288" s="61"/>
      <c r="DZ288" s="61"/>
      <c r="EA288" s="61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1"/>
      <c r="EM288" s="61"/>
      <c r="EN288" s="61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  <c r="FA288" s="61"/>
      <c r="FB288" s="61"/>
      <c r="FC288" s="61"/>
      <c r="FD288" s="61"/>
      <c r="FE288" s="61"/>
      <c r="FF288" s="61"/>
      <c r="FG288" s="61"/>
      <c r="FH288" s="61"/>
      <c r="FI288" s="61"/>
      <c r="FJ288" s="61"/>
      <c r="FK288" s="61"/>
      <c r="FL288" s="61"/>
      <c r="FM288" s="61"/>
      <c r="FN288" s="61"/>
      <c r="FO288" s="61"/>
      <c r="FP288" s="61"/>
      <c r="FQ288" s="61"/>
      <c r="FR288" s="61"/>
      <c r="FS288" s="61"/>
      <c r="FT288" s="61"/>
      <c r="FU288" s="61"/>
      <c r="FV288" s="61"/>
      <c r="FW288" s="61"/>
      <c r="FX288" s="61"/>
      <c r="FY288" s="61"/>
      <c r="FZ288" s="61"/>
      <c r="GA288" s="61"/>
      <c r="GB288" s="61"/>
      <c r="GC288" s="61"/>
      <c r="GD288" s="61"/>
      <c r="GE288" s="61"/>
      <c r="GF288" s="61"/>
      <c r="GG288" s="61"/>
      <c r="GH288" s="61"/>
      <c r="GI288" s="61"/>
      <c r="GJ288" s="61"/>
      <c r="GK288" s="61"/>
      <c r="GL288" s="61"/>
      <c r="GM288" s="61"/>
      <c r="GN288" s="61"/>
      <c r="GO288" s="61"/>
      <c r="GP288" s="61"/>
      <c r="GQ288" s="61"/>
      <c r="GR288" s="61"/>
      <c r="GS288" s="61"/>
      <c r="GT288" s="61"/>
      <c r="GU288" s="61"/>
      <c r="GV288" s="61"/>
      <c r="GW288" s="61"/>
      <c r="GX288" s="61"/>
      <c r="GY288" s="61"/>
      <c r="GZ288" s="61"/>
      <c r="HA288" s="61"/>
      <c r="HB288" s="61"/>
      <c r="HC288" s="61"/>
      <c r="HD288" s="61"/>
      <c r="HE288" s="61"/>
      <c r="HF288" s="61"/>
      <c r="HG288" s="61"/>
      <c r="HH288" s="61"/>
      <c r="HI288" s="61"/>
      <c r="HJ288" s="61"/>
      <c r="HK288" s="61"/>
      <c r="HL288" s="61"/>
      <c r="HM288" s="61"/>
      <c r="HN288" s="61"/>
      <c r="HO288" s="61"/>
      <c r="HP288" s="61"/>
      <c r="HQ288" s="61"/>
      <c r="HR288" s="61"/>
      <c r="HS288" s="61"/>
      <c r="HT288" s="61"/>
      <c r="HU288" s="61"/>
      <c r="HV288" s="61"/>
      <c r="HW288" s="61"/>
      <c r="HX288" s="61"/>
      <c r="HY288" s="61"/>
      <c r="HZ288" s="61"/>
      <c r="IA288" s="61"/>
      <c r="IB288" s="61"/>
      <c r="IC288" s="61"/>
      <c r="ID288" s="61"/>
      <c r="IE288" s="61"/>
      <c r="IF288" s="61"/>
      <c r="IG288" s="61"/>
      <c r="IH288" s="61"/>
      <c r="II288" s="61"/>
      <c r="IJ288" s="61"/>
      <c r="IK288" s="61"/>
      <c r="IL288" s="61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  <c r="IW288" s="61"/>
      <c r="IX288" s="61"/>
      <c r="IY288" s="61"/>
      <c r="IZ288" s="61"/>
      <c r="JA288" s="61"/>
      <c r="JB288" s="61"/>
      <c r="JC288" s="61"/>
      <c r="JD288" s="61"/>
      <c r="JE288" s="61"/>
      <c r="JF288" s="61"/>
      <c r="JG288" s="61"/>
      <c r="JH288" s="61"/>
      <c r="JI288" s="61"/>
      <c r="JJ288" s="61"/>
      <c r="JK288" s="61"/>
      <c r="JL288" s="61"/>
      <c r="JM288" s="61"/>
      <c r="JN288" s="61"/>
      <c r="JO288" s="61"/>
      <c r="JP288" s="61"/>
      <c r="JQ288" s="61"/>
      <c r="JR288" s="61"/>
      <c r="JS288" s="61"/>
      <c r="JT288" s="61"/>
      <c r="JU288" s="61"/>
      <c r="JV288" s="61"/>
      <c r="JW288" s="61"/>
      <c r="JX288" s="61"/>
      <c r="JY288" s="61"/>
      <c r="JZ288" s="61"/>
      <c r="KA288" s="61"/>
      <c r="KB288" s="61"/>
      <c r="KC288" s="61"/>
      <c r="KD288" s="61"/>
      <c r="KE288" s="61"/>
      <c r="KF288" s="61"/>
      <c r="KG288" s="61"/>
      <c r="KH288" s="61"/>
      <c r="KI288" s="61"/>
      <c r="KJ288" s="61"/>
      <c r="KK288" s="61"/>
      <c r="KL288" s="61"/>
      <c r="KM288" s="61"/>
      <c r="KN288" s="61"/>
      <c r="KO288" s="61"/>
      <c r="KP288" s="61"/>
      <c r="KQ288" s="61"/>
      <c r="KR288" s="61"/>
      <c r="KS288" s="61"/>
      <c r="KT288" s="61"/>
      <c r="KU288" s="61"/>
      <c r="KV288" s="61"/>
      <c r="KW288" s="61"/>
      <c r="KX288" s="61"/>
      <c r="KY288" s="61"/>
      <c r="KZ288" s="61"/>
      <c r="LA288" s="61"/>
      <c r="LB288" s="61"/>
      <c r="LC288" s="61"/>
      <c r="LD288" s="61"/>
      <c r="LE288" s="61"/>
      <c r="LF288" s="61"/>
      <c r="LG288" s="61"/>
      <c r="LH288" s="61"/>
      <c r="LI288" s="61"/>
      <c r="LJ288" s="61"/>
      <c r="LK288" s="61"/>
      <c r="LL288" s="61"/>
      <c r="LM288" s="61"/>
      <c r="LN288" s="61"/>
      <c r="LO288" s="61"/>
      <c r="LP288" s="61"/>
      <c r="LQ288" s="61"/>
      <c r="LR288" s="61"/>
      <c r="LS288" s="61"/>
      <c r="LT288" s="61"/>
      <c r="LU288" s="61"/>
      <c r="LV288" s="61"/>
      <c r="LW288" s="61"/>
      <c r="LX288" s="61"/>
      <c r="LY288" s="61"/>
      <c r="LZ288" s="61"/>
      <c r="MA288" s="61"/>
      <c r="MB288" s="61"/>
      <c r="MC288" s="61"/>
      <c r="MD288" s="61"/>
      <c r="ME288" s="61"/>
      <c r="MF288" s="61"/>
      <c r="MG288" s="61"/>
      <c r="MH288" s="61"/>
      <c r="MI288" s="61"/>
      <c r="MJ288" s="61"/>
      <c r="MK288" s="61"/>
      <c r="ML288" s="61"/>
      <c r="MM288" s="61"/>
      <c r="MN288" s="61"/>
      <c r="MO288" s="61"/>
      <c r="MP288" s="61"/>
      <c r="MQ288" s="61"/>
      <c r="MR288" s="61"/>
      <c r="MS288" s="61"/>
      <c r="MT288" s="61"/>
      <c r="MU288" s="61"/>
      <c r="MV288" s="61"/>
      <c r="MW288" s="61"/>
      <c r="MX288" s="61"/>
      <c r="MY288" s="61"/>
      <c r="MZ288" s="61"/>
      <c r="NA288" s="61"/>
      <c r="NB288" s="61"/>
      <c r="NC288" s="61"/>
      <c r="ND288" s="61"/>
      <c r="NE288" s="61"/>
      <c r="NF288" s="61"/>
      <c r="NG288" s="61"/>
      <c r="NH288" s="61"/>
      <c r="NI288" s="61"/>
      <c r="NJ288" s="61"/>
      <c r="NK288" s="61"/>
      <c r="NL288" s="61"/>
      <c r="NM288" s="61"/>
      <c r="NN288" s="61"/>
      <c r="NO288" s="61"/>
      <c r="NP288" s="61"/>
      <c r="NQ288" s="61"/>
      <c r="NR288" s="61"/>
      <c r="NS288" s="61"/>
      <c r="NT288" s="61"/>
      <c r="NU288" s="61"/>
      <c r="NV288" s="61"/>
      <c r="NW288" s="61"/>
      <c r="NX288" s="61"/>
      <c r="NY288" s="61"/>
      <c r="NZ288" s="61"/>
      <c r="OA288" s="61"/>
      <c r="OB288" s="61"/>
      <c r="OC288" s="61"/>
      <c r="OD288" s="61"/>
      <c r="OE288" s="61"/>
      <c r="OF288" s="61"/>
      <c r="OG288" s="61"/>
      <c r="OH288" s="61"/>
      <c r="OI288" s="61"/>
      <c r="OJ288" s="61"/>
      <c r="OK288" s="61"/>
      <c r="OL288" s="61"/>
      <c r="OM288" s="61"/>
      <c r="ON288" s="61"/>
      <c r="OO288" s="61"/>
      <c r="OP288" s="61"/>
      <c r="OQ288" s="61"/>
      <c r="OR288" s="61"/>
      <c r="OS288" s="61"/>
      <c r="OT288" s="61"/>
      <c r="OU288" s="61"/>
      <c r="OV288" s="61"/>
      <c r="OW288" s="61"/>
      <c r="OX288" s="61"/>
      <c r="OY288" s="61"/>
      <c r="OZ288" s="61"/>
      <c r="PA288" s="61"/>
      <c r="PB288" s="61"/>
      <c r="PC288" s="61"/>
      <c r="PD288" s="61"/>
      <c r="PE288" s="61"/>
      <c r="PF288" s="61"/>
      <c r="PG288" s="61"/>
      <c r="PH288" s="61"/>
      <c r="PI288" s="61"/>
      <c r="PJ288" s="61"/>
      <c r="PK288" s="61"/>
      <c r="PL288" s="61"/>
      <c r="PM288" s="61"/>
      <c r="PN288" s="61"/>
      <c r="PO288" s="61"/>
      <c r="PP288" s="61"/>
      <c r="PQ288" s="61"/>
      <c r="PR288" s="61"/>
      <c r="PS288" s="61"/>
      <c r="PT288" s="61"/>
      <c r="PU288" s="61"/>
      <c r="PV288" s="61"/>
      <c r="PW288" s="61"/>
      <c r="PX288" s="61"/>
      <c r="PY288" s="61"/>
      <c r="PZ288" s="61"/>
      <c r="QA288" s="61"/>
      <c r="QB288" s="61"/>
      <c r="QC288" s="61"/>
      <c r="QD288" s="61"/>
      <c r="QE288" s="61"/>
      <c r="QF288" s="61"/>
      <c r="QG288" s="61"/>
      <c r="QH288" s="61"/>
      <c r="QI288" s="61"/>
      <c r="QJ288" s="61"/>
      <c r="QK288" s="61"/>
      <c r="QL288" s="61"/>
      <c r="QM288" s="61"/>
      <c r="QN288" s="61"/>
      <c r="QO288" s="61"/>
      <c r="QP288" s="61"/>
      <c r="QQ288" s="61"/>
      <c r="QR288" s="61"/>
      <c r="QS288" s="61"/>
      <c r="QT288" s="61"/>
      <c r="QU288" s="61"/>
      <c r="QV288" s="61"/>
      <c r="QW288" s="61"/>
      <c r="QX288" s="61"/>
      <c r="QY288" s="61"/>
      <c r="QZ288" s="61"/>
      <c r="RA288" s="61"/>
      <c r="RB288" s="61"/>
      <c r="RC288" s="61"/>
      <c r="RD288" s="61"/>
      <c r="RE288" s="61"/>
      <c r="RF288" s="61"/>
      <c r="RG288" s="61"/>
      <c r="RH288" s="61"/>
      <c r="RI288" s="61"/>
      <c r="RJ288" s="61"/>
      <c r="RK288" s="61"/>
      <c r="RL288" s="61"/>
      <c r="RM288" s="61"/>
      <c r="RN288" s="61"/>
      <c r="RO288" s="61"/>
      <c r="RP288" s="61"/>
      <c r="RQ288" s="61"/>
      <c r="RR288" s="61"/>
      <c r="RS288" s="61"/>
      <c r="RT288" s="61"/>
      <c r="RU288" s="61"/>
      <c r="RV288" s="61"/>
      <c r="RW288" s="61"/>
      <c r="RX288" s="61"/>
      <c r="RY288" s="61"/>
      <c r="RZ288" s="61"/>
      <c r="SA288" s="61"/>
      <c r="SB288" s="61"/>
      <c r="SC288" s="61"/>
      <c r="SD288" s="61"/>
      <c r="SE288" s="61"/>
      <c r="SF288" s="61"/>
      <c r="SG288" s="61"/>
      <c r="SH288" s="61"/>
      <c r="SI288" s="61"/>
      <c r="SJ288" s="61"/>
      <c r="SK288" s="61"/>
      <c r="SL288" s="61"/>
      <c r="SM288" s="61"/>
      <c r="SN288" s="61"/>
      <c r="SO288" s="61"/>
      <c r="SP288" s="61"/>
      <c r="SQ288" s="61"/>
      <c r="SR288" s="61"/>
      <c r="SS288" s="61"/>
      <c r="ST288" s="61"/>
      <c r="SU288" s="61"/>
      <c r="SV288" s="61"/>
      <c r="SW288" s="61"/>
      <c r="SX288" s="61"/>
      <c r="SY288" s="61"/>
      <c r="SZ288" s="61"/>
      <c r="TA288" s="61"/>
      <c r="TB288" s="61"/>
      <c r="TC288" s="61"/>
      <c r="TD288" s="61"/>
      <c r="TE288" s="61"/>
      <c r="TF288" s="61"/>
      <c r="TG288" s="61"/>
      <c r="TH288" s="61"/>
      <c r="TI288" s="61"/>
      <c r="TJ288" s="61"/>
      <c r="TK288" s="61"/>
      <c r="TL288" s="61"/>
      <c r="TM288" s="61"/>
      <c r="TN288" s="61"/>
      <c r="TO288" s="61"/>
      <c r="TP288" s="61"/>
      <c r="TQ288" s="61"/>
      <c r="TR288" s="61"/>
      <c r="TS288" s="61"/>
      <c r="TT288" s="61"/>
      <c r="TU288" s="61"/>
      <c r="TV288" s="61"/>
      <c r="TW288" s="61"/>
      <c r="TX288" s="61"/>
      <c r="TY288" s="61"/>
      <c r="TZ288" s="61"/>
      <c r="UA288" s="61"/>
      <c r="UB288" s="61"/>
      <c r="UC288" s="61"/>
      <c r="UD288" s="61"/>
      <c r="UE288" s="61"/>
      <c r="UF288" s="61"/>
      <c r="UG288" s="61"/>
      <c r="UH288" s="61"/>
      <c r="UI288" s="61"/>
      <c r="UJ288" s="61"/>
      <c r="UK288" s="61"/>
      <c r="UL288" s="61"/>
      <c r="UM288" s="61"/>
      <c r="UN288" s="61"/>
      <c r="UO288" s="61"/>
      <c r="UP288" s="61"/>
      <c r="UQ288" s="61"/>
      <c r="UR288" s="61"/>
      <c r="US288" s="61"/>
      <c r="UT288" s="61"/>
      <c r="UU288" s="61"/>
      <c r="UV288" s="61"/>
      <c r="UW288" s="61"/>
      <c r="UX288" s="61"/>
      <c r="UY288" s="61"/>
      <c r="UZ288" s="61"/>
      <c r="VA288" s="61"/>
      <c r="VB288" s="61"/>
      <c r="VC288" s="61"/>
    </row>
    <row r="289" spans="1:575" s="66" customFormat="1" ht="29.25" customHeight="1" x14ac:dyDescent="0.25">
      <c r="A289" s="53" t="s">
        <v>282</v>
      </c>
      <c r="B289" s="102" t="str">
        <f>'дод 2'!A160</f>
        <v>7130</v>
      </c>
      <c r="C289" s="102" t="str">
        <f>'дод 2'!B160</f>
        <v>0421</v>
      </c>
      <c r="D289" s="56" t="str">
        <f>'дод 2'!C160</f>
        <v>Здійснення  заходів із землеустрою</v>
      </c>
      <c r="E289" s="132">
        <f t="shared" si="57"/>
        <v>936000</v>
      </c>
      <c r="F289" s="132">
        <f>860000+491000-15000+15000-15000-400000</f>
        <v>936000</v>
      </c>
      <c r="G289" s="132"/>
      <c r="H289" s="132"/>
      <c r="I289" s="132"/>
      <c r="J289" s="132">
        <f t="shared" si="43"/>
        <v>50703.33</v>
      </c>
      <c r="K289" s="132"/>
      <c r="L289" s="132">
        <f>14343.33+36360</f>
        <v>50703.33</v>
      </c>
      <c r="M289" s="132"/>
      <c r="N289" s="132"/>
      <c r="O289" s="132"/>
      <c r="P289" s="132">
        <f t="shared" si="58"/>
        <v>986703.33</v>
      </c>
      <c r="Q289" s="15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89"/>
      <c r="CH289" s="89"/>
      <c r="CI289" s="89"/>
      <c r="CJ289" s="89"/>
      <c r="CK289" s="89"/>
      <c r="CL289" s="89"/>
      <c r="CM289" s="89"/>
      <c r="CN289" s="89"/>
      <c r="CO289" s="89"/>
      <c r="CP289" s="89"/>
      <c r="CQ289" s="89"/>
      <c r="CR289" s="89"/>
      <c r="CS289" s="89"/>
      <c r="CT289" s="89"/>
      <c r="CU289" s="89"/>
      <c r="CV289" s="89"/>
      <c r="CW289" s="89"/>
      <c r="CX289" s="89"/>
      <c r="CY289" s="89"/>
      <c r="CZ289" s="89"/>
      <c r="DA289" s="89"/>
      <c r="DB289" s="89"/>
      <c r="DC289" s="89"/>
      <c r="DD289" s="89"/>
      <c r="DE289" s="89"/>
      <c r="DF289" s="89"/>
      <c r="DG289" s="89"/>
      <c r="DH289" s="89"/>
      <c r="DI289" s="89"/>
      <c r="DJ289" s="89"/>
      <c r="DK289" s="89"/>
      <c r="DL289" s="89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89"/>
      <c r="DY289" s="89"/>
      <c r="DZ289" s="89"/>
      <c r="EA289" s="89"/>
      <c r="EB289" s="89"/>
      <c r="EC289" s="89"/>
      <c r="ED289" s="89"/>
      <c r="EE289" s="89"/>
      <c r="EF289" s="89"/>
      <c r="EG289" s="89"/>
      <c r="EH289" s="89"/>
      <c r="EI289" s="89"/>
      <c r="EJ289" s="89"/>
      <c r="EK289" s="89"/>
      <c r="EL289" s="89"/>
      <c r="EM289" s="89"/>
      <c r="EN289" s="89"/>
      <c r="EO289" s="89"/>
      <c r="EP289" s="89"/>
      <c r="EQ289" s="89"/>
      <c r="ER289" s="89"/>
      <c r="ES289" s="89"/>
      <c r="ET289" s="89"/>
      <c r="EU289" s="89"/>
      <c r="EV289" s="89"/>
      <c r="EW289" s="89"/>
      <c r="EX289" s="89"/>
      <c r="EY289" s="89"/>
      <c r="EZ289" s="89"/>
      <c r="FA289" s="8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  <c r="FM289" s="89"/>
      <c r="FN289" s="89"/>
      <c r="FO289" s="89"/>
      <c r="FP289" s="89"/>
      <c r="FQ289" s="89"/>
      <c r="FR289" s="89"/>
      <c r="FS289" s="89"/>
      <c r="FT289" s="89"/>
      <c r="FU289" s="89"/>
      <c r="FV289" s="89"/>
      <c r="FW289" s="89"/>
      <c r="FX289" s="89"/>
      <c r="FY289" s="89"/>
      <c r="FZ289" s="89"/>
      <c r="GA289" s="89"/>
      <c r="GB289" s="89"/>
      <c r="GC289" s="89"/>
      <c r="GD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  <c r="GQ289" s="89"/>
      <c r="GR289" s="89"/>
      <c r="GS289" s="89"/>
      <c r="GT289" s="89"/>
      <c r="GU289" s="89"/>
      <c r="GV289" s="89"/>
      <c r="GW289" s="89"/>
      <c r="GX289" s="89"/>
      <c r="GY289" s="89"/>
      <c r="GZ289" s="89"/>
      <c r="HA289" s="89"/>
      <c r="HB289" s="89"/>
      <c r="HC289" s="89"/>
      <c r="HD289" s="89"/>
      <c r="HE289" s="89"/>
      <c r="HF289" s="89"/>
      <c r="HG289" s="89"/>
      <c r="HH289" s="89"/>
      <c r="HI289" s="89"/>
      <c r="HJ289" s="89"/>
      <c r="HK289" s="89"/>
      <c r="HL289" s="89"/>
      <c r="HM289" s="89"/>
      <c r="HN289" s="89"/>
      <c r="HO289" s="89"/>
      <c r="HP289" s="89"/>
      <c r="HQ289" s="89"/>
      <c r="HR289" s="89"/>
      <c r="HS289" s="89"/>
      <c r="HT289" s="89"/>
      <c r="HU289" s="89"/>
      <c r="HV289" s="89"/>
      <c r="HW289" s="89"/>
      <c r="HX289" s="89"/>
      <c r="HY289" s="89"/>
      <c r="HZ289" s="89"/>
      <c r="IA289" s="89"/>
      <c r="IB289" s="89"/>
      <c r="IC289" s="89"/>
      <c r="ID289" s="89"/>
      <c r="IE289" s="89"/>
      <c r="IF289" s="89"/>
      <c r="IG289" s="89"/>
      <c r="IH289" s="89"/>
      <c r="II289" s="89"/>
      <c r="IJ289" s="89"/>
      <c r="IK289" s="89"/>
      <c r="IL289" s="89"/>
      <c r="IM289" s="89"/>
      <c r="IN289" s="89"/>
      <c r="IO289" s="89"/>
      <c r="IP289" s="89"/>
      <c r="IQ289" s="89"/>
      <c r="IR289" s="89"/>
      <c r="IS289" s="89"/>
      <c r="IT289" s="89"/>
      <c r="IU289" s="89"/>
      <c r="IV289" s="89"/>
      <c r="IW289" s="89"/>
      <c r="IX289" s="89"/>
      <c r="IY289" s="89"/>
      <c r="IZ289" s="89"/>
      <c r="JA289" s="89"/>
      <c r="JB289" s="89"/>
      <c r="JC289" s="89"/>
      <c r="JD289" s="89"/>
      <c r="JE289" s="89"/>
      <c r="JF289" s="89"/>
      <c r="JG289" s="89"/>
      <c r="JH289" s="89"/>
      <c r="JI289" s="89"/>
      <c r="JJ289" s="89"/>
      <c r="JK289" s="89"/>
      <c r="JL289" s="89"/>
      <c r="JM289" s="89"/>
      <c r="JN289" s="89"/>
      <c r="JO289" s="89"/>
      <c r="JP289" s="89"/>
      <c r="JQ289" s="89"/>
      <c r="JR289" s="89"/>
      <c r="JS289" s="89"/>
      <c r="JT289" s="89"/>
      <c r="JU289" s="89"/>
      <c r="JV289" s="89"/>
      <c r="JW289" s="89"/>
      <c r="JX289" s="89"/>
      <c r="JY289" s="89"/>
      <c r="JZ289" s="89"/>
      <c r="KA289" s="89"/>
      <c r="KB289" s="89"/>
      <c r="KC289" s="89"/>
      <c r="KD289" s="89"/>
      <c r="KE289" s="89"/>
      <c r="KF289" s="89"/>
      <c r="KG289" s="89"/>
      <c r="KH289" s="89"/>
      <c r="KI289" s="89"/>
      <c r="KJ289" s="89"/>
      <c r="KK289" s="89"/>
      <c r="KL289" s="89"/>
      <c r="KM289" s="89"/>
      <c r="KN289" s="89"/>
      <c r="KO289" s="89"/>
      <c r="KP289" s="89"/>
      <c r="KQ289" s="89"/>
      <c r="KR289" s="89"/>
      <c r="KS289" s="89"/>
      <c r="KT289" s="89"/>
      <c r="KU289" s="89"/>
      <c r="KV289" s="89"/>
      <c r="KW289" s="89"/>
      <c r="KX289" s="89"/>
      <c r="KY289" s="89"/>
      <c r="KZ289" s="89"/>
      <c r="LA289" s="89"/>
      <c r="LB289" s="89"/>
      <c r="LC289" s="89"/>
      <c r="LD289" s="89"/>
      <c r="LE289" s="89"/>
      <c r="LF289" s="89"/>
      <c r="LG289" s="89"/>
      <c r="LH289" s="89"/>
      <c r="LI289" s="89"/>
      <c r="LJ289" s="89"/>
      <c r="LK289" s="89"/>
      <c r="LL289" s="89"/>
      <c r="LM289" s="89"/>
      <c r="LN289" s="89"/>
      <c r="LO289" s="89"/>
      <c r="LP289" s="89"/>
      <c r="LQ289" s="89"/>
      <c r="LR289" s="89"/>
      <c r="LS289" s="89"/>
      <c r="LT289" s="89"/>
      <c r="LU289" s="89"/>
      <c r="LV289" s="89"/>
      <c r="LW289" s="89"/>
      <c r="LX289" s="89"/>
      <c r="LY289" s="89"/>
      <c r="LZ289" s="89"/>
      <c r="MA289" s="89"/>
      <c r="MB289" s="89"/>
      <c r="MC289" s="89"/>
      <c r="MD289" s="89"/>
      <c r="ME289" s="89"/>
      <c r="MF289" s="89"/>
      <c r="MG289" s="89"/>
      <c r="MH289" s="89"/>
      <c r="MI289" s="89"/>
      <c r="MJ289" s="89"/>
      <c r="MK289" s="89"/>
      <c r="ML289" s="89"/>
      <c r="MM289" s="89"/>
      <c r="MN289" s="89"/>
      <c r="MO289" s="89"/>
      <c r="MP289" s="89"/>
      <c r="MQ289" s="89"/>
      <c r="MR289" s="89"/>
      <c r="MS289" s="89"/>
      <c r="MT289" s="89"/>
      <c r="MU289" s="89"/>
      <c r="MV289" s="89"/>
      <c r="MW289" s="89"/>
      <c r="MX289" s="89"/>
      <c r="MY289" s="89"/>
      <c r="MZ289" s="89"/>
      <c r="NA289" s="89"/>
      <c r="NB289" s="89"/>
      <c r="NC289" s="89"/>
      <c r="ND289" s="89"/>
      <c r="NE289" s="89"/>
      <c r="NF289" s="89"/>
      <c r="NG289" s="89"/>
      <c r="NH289" s="89"/>
      <c r="NI289" s="89"/>
      <c r="NJ289" s="89"/>
      <c r="NK289" s="89"/>
      <c r="NL289" s="89"/>
      <c r="NM289" s="89"/>
      <c r="NN289" s="89"/>
      <c r="NO289" s="89"/>
      <c r="NP289" s="89"/>
      <c r="NQ289" s="89"/>
      <c r="NR289" s="89"/>
      <c r="NS289" s="89"/>
      <c r="NT289" s="89"/>
      <c r="NU289" s="89"/>
      <c r="NV289" s="89"/>
      <c r="NW289" s="89"/>
      <c r="NX289" s="89"/>
      <c r="NY289" s="89"/>
      <c r="NZ289" s="89"/>
      <c r="OA289" s="89"/>
      <c r="OB289" s="89"/>
      <c r="OC289" s="89"/>
      <c r="OD289" s="89"/>
      <c r="OE289" s="89"/>
      <c r="OF289" s="89"/>
      <c r="OG289" s="89"/>
      <c r="OH289" s="89"/>
      <c r="OI289" s="89"/>
      <c r="OJ289" s="89"/>
      <c r="OK289" s="89"/>
      <c r="OL289" s="89"/>
      <c r="OM289" s="89"/>
      <c r="ON289" s="89"/>
      <c r="OO289" s="89"/>
      <c r="OP289" s="89"/>
      <c r="OQ289" s="89"/>
      <c r="OR289" s="89"/>
      <c r="OS289" s="89"/>
      <c r="OT289" s="89"/>
      <c r="OU289" s="89"/>
      <c r="OV289" s="89"/>
      <c r="OW289" s="89"/>
      <c r="OX289" s="89"/>
      <c r="OY289" s="89"/>
      <c r="OZ289" s="89"/>
      <c r="PA289" s="89"/>
      <c r="PB289" s="89"/>
      <c r="PC289" s="89"/>
      <c r="PD289" s="89"/>
      <c r="PE289" s="89"/>
      <c r="PF289" s="89"/>
      <c r="PG289" s="89"/>
      <c r="PH289" s="89"/>
      <c r="PI289" s="89"/>
      <c r="PJ289" s="89"/>
      <c r="PK289" s="89"/>
      <c r="PL289" s="89"/>
      <c r="PM289" s="89"/>
      <c r="PN289" s="89"/>
      <c r="PO289" s="89"/>
      <c r="PP289" s="89"/>
      <c r="PQ289" s="89"/>
      <c r="PR289" s="89"/>
      <c r="PS289" s="89"/>
      <c r="PT289" s="89"/>
      <c r="PU289" s="89"/>
      <c r="PV289" s="89"/>
      <c r="PW289" s="89"/>
      <c r="PX289" s="89"/>
      <c r="PY289" s="89"/>
      <c r="PZ289" s="89"/>
      <c r="QA289" s="89"/>
      <c r="QB289" s="89"/>
      <c r="QC289" s="89"/>
      <c r="QD289" s="89"/>
      <c r="QE289" s="89"/>
      <c r="QF289" s="89"/>
      <c r="QG289" s="89"/>
      <c r="QH289" s="89"/>
      <c r="QI289" s="89"/>
      <c r="QJ289" s="89"/>
      <c r="QK289" s="89"/>
      <c r="QL289" s="89"/>
      <c r="QM289" s="89"/>
      <c r="QN289" s="89"/>
      <c r="QO289" s="89"/>
      <c r="QP289" s="89"/>
      <c r="QQ289" s="89"/>
      <c r="QR289" s="89"/>
      <c r="QS289" s="89"/>
      <c r="QT289" s="89"/>
      <c r="QU289" s="89"/>
      <c r="QV289" s="89"/>
      <c r="QW289" s="89"/>
      <c r="QX289" s="89"/>
      <c r="QY289" s="89"/>
      <c r="QZ289" s="89"/>
      <c r="RA289" s="89"/>
      <c r="RB289" s="89"/>
      <c r="RC289" s="89"/>
      <c r="RD289" s="89"/>
      <c r="RE289" s="89"/>
      <c r="RF289" s="89"/>
      <c r="RG289" s="89"/>
      <c r="RH289" s="89"/>
      <c r="RI289" s="89"/>
      <c r="RJ289" s="89"/>
      <c r="RK289" s="89"/>
      <c r="RL289" s="89"/>
      <c r="RM289" s="89"/>
      <c r="RN289" s="89"/>
      <c r="RO289" s="89"/>
      <c r="RP289" s="89"/>
      <c r="RQ289" s="89"/>
      <c r="RR289" s="89"/>
      <c r="RS289" s="89"/>
      <c r="RT289" s="89"/>
      <c r="RU289" s="89"/>
      <c r="RV289" s="89"/>
      <c r="RW289" s="89"/>
      <c r="RX289" s="89"/>
      <c r="RY289" s="89"/>
      <c r="RZ289" s="89"/>
      <c r="SA289" s="89"/>
      <c r="SB289" s="89"/>
      <c r="SC289" s="89"/>
      <c r="SD289" s="89"/>
      <c r="SE289" s="89"/>
      <c r="SF289" s="89"/>
      <c r="SG289" s="89"/>
      <c r="SH289" s="89"/>
      <c r="SI289" s="89"/>
      <c r="SJ289" s="89"/>
      <c r="SK289" s="89"/>
      <c r="SL289" s="89"/>
      <c r="SM289" s="89"/>
      <c r="SN289" s="89"/>
      <c r="SO289" s="89"/>
      <c r="SP289" s="89"/>
      <c r="SQ289" s="89"/>
      <c r="SR289" s="89"/>
      <c r="SS289" s="89"/>
      <c r="ST289" s="89"/>
      <c r="SU289" s="89"/>
      <c r="SV289" s="89"/>
      <c r="SW289" s="89"/>
      <c r="SX289" s="89"/>
      <c r="SY289" s="89"/>
      <c r="SZ289" s="89"/>
      <c r="TA289" s="89"/>
      <c r="TB289" s="89"/>
      <c r="TC289" s="89"/>
      <c r="TD289" s="89"/>
      <c r="TE289" s="89"/>
      <c r="TF289" s="89"/>
      <c r="TG289" s="89"/>
      <c r="TH289" s="89"/>
      <c r="TI289" s="89"/>
      <c r="TJ289" s="89"/>
      <c r="TK289" s="89"/>
      <c r="TL289" s="89"/>
      <c r="TM289" s="89"/>
      <c r="TN289" s="89"/>
      <c r="TO289" s="89"/>
      <c r="TP289" s="89"/>
      <c r="TQ289" s="89"/>
      <c r="TR289" s="89"/>
      <c r="TS289" s="89"/>
      <c r="TT289" s="89"/>
      <c r="TU289" s="89"/>
      <c r="TV289" s="89"/>
      <c r="TW289" s="89"/>
      <c r="TX289" s="89"/>
      <c r="TY289" s="89"/>
      <c r="TZ289" s="89"/>
      <c r="UA289" s="89"/>
      <c r="UB289" s="89"/>
      <c r="UC289" s="89"/>
      <c r="UD289" s="89"/>
      <c r="UE289" s="89"/>
      <c r="UF289" s="89"/>
      <c r="UG289" s="89"/>
      <c r="UH289" s="89"/>
      <c r="UI289" s="89"/>
      <c r="UJ289" s="89"/>
      <c r="UK289" s="89"/>
      <c r="UL289" s="89"/>
      <c r="UM289" s="89"/>
      <c r="UN289" s="89"/>
      <c r="UO289" s="89"/>
      <c r="UP289" s="89"/>
      <c r="UQ289" s="89"/>
      <c r="UR289" s="89"/>
      <c r="US289" s="89"/>
      <c r="UT289" s="89"/>
      <c r="UU289" s="89"/>
      <c r="UV289" s="89"/>
      <c r="UW289" s="89"/>
      <c r="UX289" s="89"/>
      <c r="UY289" s="89"/>
      <c r="UZ289" s="89"/>
      <c r="VA289" s="89"/>
      <c r="VB289" s="89"/>
      <c r="VC289" s="89"/>
    </row>
    <row r="290" spans="1:575" s="66" customFormat="1" ht="33" customHeight="1" x14ac:dyDescent="0.25">
      <c r="A290" s="53" t="s">
        <v>557</v>
      </c>
      <c r="B290" s="102" t="str">
        <f>'дод 2'!A173</f>
        <v>7370</v>
      </c>
      <c r="C290" s="102" t="str">
        <f>'дод 2'!B173</f>
        <v>0490</v>
      </c>
      <c r="D290" s="56" t="str">
        <f>'дод 2'!C173</f>
        <v>Реалізація інших заходів щодо соціально-економічного розвитку територій</v>
      </c>
      <c r="E290" s="132">
        <f t="shared" si="57"/>
        <v>0</v>
      </c>
      <c r="F290" s="132"/>
      <c r="G290" s="132"/>
      <c r="H290" s="132"/>
      <c r="I290" s="132"/>
      <c r="J290" s="132">
        <f t="shared" si="43"/>
        <v>12888400</v>
      </c>
      <c r="K290" s="132">
        <v>12888400</v>
      </c>
      <c r="L290" s="132"/>
      <c r="M290" s="132"/>
      <c r="N290" s="132"/>
      <c r="O290" s="132">
        <v>12888400</v>
      </c>
      <c r="P290" s="132">
        <f t="shared" si="58"/>
        <v>12888400</v>
      </c>
      <c r="Q290" s="15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89"/>
      <c r="BR290" s="89"/>
      <c r="BS290" s="89"/>
      <c r="BT290" s="89"/>
      <c r="BU290" s="89"/>
      <c r="BV290" s="89"/>
      <c r="BW290" s="89"/>
      <c r="BX290" s="89"/>
      <c r="BY290" s="89"/>
      <c r="BZ290" s="89"/>
      <c r="CA290" s="89"/>
      <c r="CB290" s="89"/>
      <c r="CC290" s="89"/>
      <c r="CD290" s="89"/>
      <c r="CE290" s="89"/>
      <c r="CF290" s="89"/>
      <c r="CG290" s="89"/>
      <c r="CH290" s="89"/>
      <c r="CI290" s="89"/>
      <c r="CJ290" s="89"/>
      <c r="CK290" s="89"/>
      <c r="CL290" s="89"/>
      <c r="CM290" s="89"/>
      <c r="CN290" s="89"/>
      <c r="CO290" s="89"/>
      <c r="CP290" s="89"/>
      <c r="CQ290" s="89"/>
      <c r="CR290" s="89"/>
      <c r="CS290" s="89"/>
      <c r="CT290" s="89"/>
      <c r="CU290" s="89"/>
      <c r="CV290" s="89"/>
      <c r="CW290" s="89"/>
      <c r="CX290" s="89"/>
      <c r="CY290" s="89"/>
      <c r="CZ290" s="89"/>
      <c r="DA290" s="89"/>
      <c r="DB290" s="89"/>
      <c r="DC290" s="89"/>
      <c r="DD290" s="89"/>
      <c r="DE290" s="89"/>
      <c r="DF290" s="89"/>
      <c r="DG290" s="89"/>
      <c r="DH290" s="89"/>
      <c r="DI290" s="89"/>
      <c r="DJ290" s="89"/>
      <c r="DK290" s="89"/>
      <c r="DL290" s="89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89"/>
      <c r="DY290" s="89"/>
      <c r="DZ290" s="89"/>
      <c r="EA290" s="89"/>
      <c r="EB290" s="89"/>
      <c r="EC290" s="89"/>
      <c r="ED290" s="89"/>
      <c r="EE290" s="89"/>
      <c r="EF290" s="89"/>
      <c r="EG290" s="89"/>
      <c r="EH290" s="89"/>
      <c r="EI290" s="89"/>
      <c r="EJ290" s="89"/>
      <c r="EK290" s="89"/>
      <c r="EL290" s="89"/>
      <c r="EM290" s="89"/>
      <c r="EN290" s="89"/>
      <c r="EO290" s="89"/>
      <c r="EP290" s="89"/>
      <c r="EQ290" s="89"/>
      <c r="ER290" s="89"/>
      <c r="ES290" s="89"/>
      <c r="ET290" s="89"/>
      <c r="EU290" s="89"/>
      <c r="EV290" s="89"/>
      <c r="EW290" s="89"/>
      <c r="EX290" s="89"/>
      <c r="EY290" s="89"/>
      <c r="EZ290" s="89"/>
      <c r="FA290" s="8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  <c r="FM290" s="89"/>
      <c r="FN290" s="89"/>
      <c r="FO290" s="89"/>
      <c r="FP290" s="89"/>
      <c r="FQ290" s="89"/>
      <c r="FR290" s="89"/>
      <c r="FS290" s="89"/>
      <c r="FT290" s="89"/>
      <c r="FU290" s="89"/>
      <c r="FV290" s="89"/>
      <c r="FW290" s="89"/>
      <c r="FX290" s="89"/>
      <c r="FY290" s="89"/>
      <c r="FZ290" s="89"/>
      <c r="GA290" s="89"/>
      <c r="GB290" s="89"/>
      <c r="GC290" s="89"/>
      <c r="GD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  <c r="GQ290" s="89"/>
      <c r="GR290" s="89"/>
      <c r="GS290" s="89"/>
      <c r="GT290" s="89"/>
      <c r="GU290" s="89"/>
      <c r="GV290" s="89"/>
      <c r="GW290" s="89"/>
      <c r="GX290" s="89"/>
      <c r="GY290" s="89"/>
      <c r="GZ290" s="89"/>
      <c r="HA290" s="89"/>
      <c r="HB290" s="89"/>
      <c r="HC290" s="89"/>
      <c r="HD290" s="89"/>
      <c r="HE290" s="89"/>
      <c r="HF290" s="89"/>
      <c r="HG290" s="89"/>
      <c r="HH290" s="89"/>
      <c r="HI290" s="89"/>
      <c r="HJ290" s="89"/>
      <c r="HK290" s="89"/>
      <c r="HL290" s="89"/>
      <c r="HM290" s="89"/>
      <c r="HN290" s="89"/>
      <c r="HO290" s="89"/>
      <c r="HP290" s="89"/>
      <c r="HQ290" s="89"/>
      <c r="HR290" s="89"/>
      <c r="HS290" s="89"/>
      <c r="HT290" s="89"/>
      <c r="HU290" s="89"/>
      <c r="HV290" s="89"/>
      <c r="HW290" s="89"/>
      <c r="HX290" s="89"/>
      <c r="HY290" s="89"/>
      <c r="HZ290" s="89"/>
      <c r="IA290" s="89"/>
      <c r="IB290" s="89"/>
      <c r="IC290" s="89"/>
      <c r="ID290" s="89"/>
      <c r="IE290" s="89"/>
      <c r="IF290" s="89"/>
      <c r="IG290" s="89"/>
      <c r="IH290" s="89"/>
      <c r="II290" s="89"/>
      <c r="IJ290" s="89"/>
      <c r="IK290" s="89"/>
      <c r="IL290" s="89"/>
      <c r="IM290" s="89"/>
      <c r="IN290" s="89"/>
      <c r="IO290" s="89"/>
      <c r="IP290" s="89"/>
      <c r="IQ290" s="89"/>
      <c r="IR290" s="89"/>
      <c r="IS290" s="89"/>
      <c r="IT290" s="89"/>
      <c r="IU290" s="89"/>
      <c r="IV290" s="89"/>
      <c r="IW290" s="89"/>
      <c r="IX290" s="89"/>
      <c r="IY290" s="89"/>
      <c r="IZ290" s="89"/>
      <c r="JA290" s="89"/>
      <c r="JB290" s="89"/>
      <c r="JC290" s="89"/>
      <c r="JD290" s="89"/>
      <c r="JE290" s="89"/>
      <c r="JF290" s="89"/>
      <c r="JG290" s="89"/>
      <c r="JH290" s="89"/>
      <c r="JI290" s="89"/>
      <c r="JJ290" s="89"/>
      <c r="JK290" s="89"/>
      <c r="JL290" s="89"/>
      <c r="JM290" s="89"/>
      <c r="JN290" s="89"/>
      <c r="JO290" s="89"/>
      <c r="JP290" s="89"/>
      <c r="JQ290" s="89"/>
      <c r="JR290" s="89"/>
      <c r="JS290" s="89"/>
      <c r="JT290" s="89"/>
      <c r="JU290" s="89"/>
      <c r="JV290" s="89"/>
      <c r="JW290" s="89"/>
      <c r="JX290" s="89"/>
      <c r="JY290" s="89"/>
      <c r="JZ290" s="89"/>
      <c r="KA290" s="89"/>
      <c r="KB290" s="89"/>
      <c r="KC290" s="89"/>
      <c r="KD290" s="89"/>
      <c r="KE290" s="89"/>
      <c r="KF290" s="89"/>
      <c r="KG290" s="89"/>
      <c r="KH290" s="89"/>
      <c r="KI290" s="89"/>
      <c r="KJ290" s="89"/>
      <c r="KK290" s="89"/>
      <c r="KL290" s="89"/>
      <c r="KM290" s="89"/>
      <c r="KN290" s="89"/>
      <c r="KO290" s="89"/>
      <c r="KP290" s="89"/>
      <c r="KQ290" s="89"/>
      <c r="KR290" s="89"/>
      <c r="KS290" s="89"/>
      <c r="KT290" s="89"/>
      <c r="KU290" s="89"/>
      <c r="KV290" s="89"/>
      <c r="KW290" s="89"/>
      <c r="KX290" s="89"/>
      <c r="KY290" s="89"/>
      <c r="KZ290" s="89"/>
      <c r="LA290" s="89"/>
      <c r="LB290" s="89"/>
      <c r="LC290" s="89"/>
      <c r="LD290" s="89"/>
      <c r="LE290" s="89"/>
      <c r="LF290" s="89"/>
      <c r="LG290" s="89"/>
      <c r="LH290" s="89"/>
      <c r="LI290" s="89"/>
      <c r="LJ290" s="89"/>
      <c r="LK290" s="89"/>
      <c r="LL290" s="89"/>
      <c r="LM290" s="89"/>
      <c r="LN290" s="89"/>
      <c r="LO290" s="89"/>
      <c r="LP290" s="89"/>
      <c r="LQ290" s="89"/>
      <c r="LR290" s="89"/>
      <c r="LS290" s="89"/>
      <c r="LT290" s="89"/>
      <c r="LU290" s="89"/>
      <c r="LV290" s="89"/>
      <c r="LW290" s="89"/>
      <c r="LX290" s="89"/>
      <c r="LY290" s="89"/>
      <c r="LZ290" s="89"/>
      <c r="MA290" s="89"/>
      <c r="MB290" s="89"/>
      <c r="MC290" s="89"/>
      <c r="MD290" s="89"/>
      <c r="ME290" s="89"/>
      <c r="MF290" s="89"/>
      <c r="MG290" s="89"/>
      <c r="MH290" s="89"/>
      <c r="MI290" s="89"/>
      <c r="MJ290" s="89"/>
      <c r="MK290" s="89"/>
      <c r="ML290" s="89"/>
      <c r="MM290" s="89"/>
      <c r="MN290" s="89"/>
      <c r="MO290" s="89"/>
      <c r="MP290" s="89"/>
      <c r="MQ290" s="89"/>
      <c r="MR290" s="89"/>
      <c r="MS290" s="89"/>
      <c r="MT290" s="89"/>
      <c r="MU290" s="89"/>
      <c r="MV290" s="89"/>
      <c r="MW290" s="89"/>
      <c r="MX290" s="89"/>
      <c r="MY290" s="89"/>
      <c r="MZ290" s="89"/>
      <c r="NA290" s="89"/>
      <c r="NB290" s="89"/>
      <c r="NC290" s="89"/>
      <c r="ND290" s="89"/>
      <c r="NE290" s="89"/>
      <c r="NF290" s="89"/>
      <c r="NG290" s="89"/>
      <c r="NH290" s="89"/>
      <c r="NI290" s="89"/>
      <c r="NJ290" s="89"/>
      <c r="NK290" s="89"/>
      <c r="NL290" s="89"/>
      <c r="NM290" s="89"/>
      <c r="NN290" s="89"/>
      <c r="NO290" s="89"/>
      <c r="NP290" s="89"/>
      <c r="NQ290" s="89"/>
      <c r="NR290" s="89"/>
      <c r="NS290" s="89"/>
      <c r="NT290" s="89"/>
      <c r="NU290" s="89"/>
      <c r="NV290" s="89"/>
      <c r="NW290" s="89"/>
      <c r="NX290" s="89"/>
      <c r="NY290" s="89"/>
      <c r="NZ290" s="89"/>
      <c r="OA290" s="89"/>
      <c r="OB290" s="89"/>
      <c r="OC290" s="89"/>
      <c r="OD290" s="89"/>
      <c r="OE290" s="89"/>
      <c r="OF290" s="89"/>
      <c r="OG290" s="89"/>
      <c r="OH290" s="89"/>
      <c r="OI290" s="89"/>
      <c r="OJ290" s="89"/>
      <c r="OK290" s="89"/>
      <c r="OL290" s="89"/>
      <c r="OM290" s="89"/>
      <c r="ON290" s="89"/>
      <c r="OO290" s="89"/>
      <c r="OP290" s="89"/>
      <c r="OQ290" s="89"/>
      <c r="OR290" s="89"/>
      <c r="OS290" s="89"/>
      <c r="OT290" s="89"/>
      <c r="OU290" s="89"/>
      <c r="OV290" s="89"/>
      <c r="OW290" s="89"/>
      <c r="OX290" s="89"/>
      <c r="OY290" s="89"/>
      <c r="OZ290" s="89"/>
      <c r="PA290" s="89"/>
      <c r="PB290" s="89"/>
      <c r="PC290" s="89"/>
      <c r="PD290" s="89"/>
      <c r="PE290" s="89"/>
      <c r="PF290" s="89"/>
      <c r="PG290" s="89"/>
      <c r="PH290" s="89"/>
      <c r="PI290" s="89"/>
      <c r="PJ290" s="89"/>
      <c r="PK290" s="89"/>
      <c r="PL290" s="89"/>
      <c r="PM290" s="89"/>
      <c r="PN290" s="89"/>
      <c r="PO290" s="89"/>
      <c r="PP290" s="89"/>
      <c r="PQ290" s="89"/>
      <c r="PR290" s="89"/>
      <c r="PS290" s="89"/>
      <c r="PT290" s="89"/>
      <c r="PU290" s="89"/>
      <c r="PV290" s="89"/>
      <c r="PW290" s="89"/>
      <c r="PX290" s="89"/>
      <c r="PY290" s="89"/>
      <c r="PZ290" s="89"/>
      <c r="QA290" s="89"/>
      <c r="QB290" s="89"/>
      <c r="QC290" s="89"/>
      <c r="QD290" s="89"/>
      <c r="QE290" s="89"/>
      <c r="QF290" s="89"/>
      <c r="QG290" s="89"/>
      <c r="QH290" s="89"/>
      <c r="QI290" s="89"/>
      <c r="QJ290" s="89"/>
      <c r="QK290" s="89"/>
      <c r="QL290" s="89"/>
      <c r="QM290" s="89"/>
      <c r="QN290" s="89"/>
      <c r="QO290" s="89"/>
      <c r="QP290" s="89"/>
      <c r="QQ290" s="89"/>
      <c r="QR290" s="89"/>
      <c r="QS290" s="89"/>
      <c r="QT290" s="89"/>
      <c r="QU290" s="89"/>
      <c r="QV290" s="89"/>
      <c r="QW290" s="89"/>
      <c r="QX290" s="89"/>
      <c r="QY290" s="89"/>
      <c r="QZ290" s="89"/>
      <c r="RA290" s="89"/>
      <c r="RB290" s="89"/>
      <c r="RC290" s="89"/>
      <c r="RD290" s="89"/>
      <c r="RE290" s="89"/>
      <c r="RF290" s="89"/>
      <c r="RG290" s="89"/>
      <c r="RH290" s="89"/>
      <c r="RI290" s="89"/>
      <c r="RJ290" s="89"/>
      <c r="RK290" s="89"/>
      <c r="RL290" s="89"/>
      <c r="RM290" s="89"/>
      <c r="RN290" s="89"/>
      <c r="RO290" s="89"/>
      <c r="RP290" s="89"/>
      <c r="RQ290" s="89"/>
      <c r="RR290" s="89"/>
      <c r="RS290" s="89"/>
      <c r="RT290" s="89"/>
      <c r="RU290" s="89"/>
      <c r="RV290" s="89"/>
      <c r="RW290" s="89"/>
      <c r="RX290" s="89"/>
      <c r="RY290" s="89"/>
      <c r="RZ290" s="89"/>
      <c r="SA290" s="89"/>
      <c r="SB290" s="89"/>
      <c r="SC290" s="89"/>
      <c r="SD290" s="89"/>
      <c r="SE290" s="89"/>
      <c r="SF290" s="89"/>
      <c r="SG290" s="89"/>
      <c r="SH290" s="89"/>
      <c r="SI290" s="89"/>
      <c r="SJ290" s="89"/>
      <c r="SK290" s="89"/>
      <c r="SL290" s="89"/>
      <c r="SM290" s="89"/>
      <c r="SN290" s="89"/>
      <c r="SO290" s="89"/>
      <c r="SP290" s="89"/>
      <c r="SQ290" s="89"/>
      <c r="SR290" s="89"/>
      <c r="SS290" s="89"/>
      <c r="ST290" s="89"/>
      <c r="SU290" s="89"/>
      <c r="SV290" s="89"/>
      <c r="SW290" s="89"/>
      <c r="SX290" s="89"/>
      <c r="SY290" s="89"/>
      <c r="SZ290" s="89"/>
      <c r="TA290" s="89"/>
      <c r="TB290" s="89"/>
      <c r="TC290" s="89"/>
      <c r="TD290" s="89"/>
      <c r="TE290" s="89"/>
      <c r="TF290" s="89"/>
      <c r="TG290" s="89"/>
      <c r="TH290" s="89"/>
      <c r="TI290" s="89"/>
      <c r="TJ290" s="89"/>
      <c r="TK290" s="89"/>
      <c r="TL290" s="89"/>
      <c r="TM290" s="89"/>
      <c r="TN290" s="89"/>
      <c r="TO290" s="89"/>
      <c r="TP290" s="89"/>
      <c r="TQ290" s="89"/>
      <c r="TR290" s="89"/>
      <c r="TS290" s="89"/>
      <c r="TT290" s="89"/>
      <c r="TU290" s="89"/>
      <c r="TV290" s="89"/>
      <c r="TW290" s="89"/>
      <c r="TX290" s="89"/>
      <c r="TY290" s="89"/>
      <c r="TZ290" s="89"/>
      <c r="UA290" s="89"/>
      <c r="UB290" s="89"/>
      <c r="UC290" s="89"/>
      <c r="UD290" s="89"/>
      <c r="UE290" s="89"/>
      <c r="UF290" s="89"/>
      <c r="UG290" s="89"/>
      <c r="UH290" s="89"/>
      <c r="UI290" s="89"/>
      <c r="UJ290" s="89"/>
      <c r="UK290" s="89"/>
      <c r="UL290" s="89"/>
      <c r="UM290" s="89"/>
      <c r="UN290" s="89"/>
      <c r="UO290" s="89"/>
      <c r="UP290" s="89"/>
      <c r="UQ290" s="89"/>
      <c r="UR290" s="89"/>
      <c r="US290" s="89"/>
      <c r="UT290" s="89"/>
      <c r="UU290" s="89"/>
      <c r="UV290" s="89"/>
      <c r="UW290" s="89"/>
      <c r="UX290" s="89"/>
      <c r="UY290" s="89"/>
      <c r="UZ290" s="89"/>
      <c r="VA290" s="89"/>
      <c r="VB290" s="89"/>
      <c r="VC290" s="89"/>
    </row>
    <row r="291" spans="1:575" s="55" customFormat="1" ht="27" customHeight="1" x14ac:dyDescent="0.25">
      <c r="A291" s="57" t="s">
        <v>283</v>
      </c>
      <c r="B291" s="107" t="str">
        <f>'дод 2'!A187</f>
        <v>7610</v>
      </c>
      <c r="C291" s="107" t="str">
        <f>'дод 2'!B187</f>
        <v>0411</v>
      </c>
      <c r="D291" s="54" t="str">
        <f>'дод 2'!C187</f>
        <v>Сприяння розвитку малого та середнього підприємництва</v>
      </c>
      <c r="E291" s="132">
        <f t="shared" si="57"/>
        <v>307000</v>
      </c>
      <c r="F291" s="132">
        <f>322000-15000</f>
        <v>307000</v>
      </c>
      <c r="G291" s="132"/>
      <c r="H291" s="132"/>
      <c r="I291" s="132"/>
      <c r="J291" s="132">
        <f t="shared" si="43"/>
        <v>0</v>
      </c>
      <c r="K291" s="132"/>
      <c r="L291" s="132"/>
      <c r="M291" s="132"/>
      <c r="N291" s="132"/>
      <c r="O291" s="132"/>
      <c r="P291" s="132">
        <f t="shared" si="58"/>
        <v>307000</v>
      </c>
      <c r="Q291" s="159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  <c r="SP291" s="61"/>
      <c r="SQ291" s="61"/>
      <c r="SR291" s="61"/>
      <c r="SS291" s="61"/>
      <c r="ST291" s="61"/>
      <c r="SU291" s="61"/>
      <c r="SV291" s="61"/>
      <c r="SW291" s="61"/>
      <c r="SX291" s="61"/>
      <c r="SY291" s="61"/>
      <c r="SZ291" s="61"/>
      <c r="TA291" s="61"/>
      <c r="TB291" s="61"/>
      <c r="TC291" s="61"/>
      <c r="TD291" s="61"/>
      <c r="TE291" s="61"/>
      <c r="TF291" s="61"/>
      <c r="TG291" s="61"/>
      <c r="TH291" s="61"/>
      <c r="TI291" s="61"/>
      <c r="TJ291" s="61"/>
      <c r="TK291" s="61"/>
      <c r="TL291" s="61"/>
      <c r="TM291" s="61"/>
      <c r="TN291" s="61"/>
      <c r="TO291" s="61"/>
      <c r="TP291" s="61"/>
      <c r="TQ291" s="61"/>
      <c r="TR291" s="61"/>
      <c r="TS291" s="61"/>
      <c r="TT291" s="61"/>
      <c r="TU291" s="61"/>
      <c r="TV291" s="61"/>
      <c r="TW291" s="61"/>
      <c r="TX291" s="61"/>
      <c r="TY291" s="61"/>
      <c r="TZ291" s="61"/>
      <c r="UA291" s="61"/>
      <c r="UB291" s="61"/>
      <c r="UC291" s="61"/>
      <c r="UD291" s="61"/>
      <c r="UE291" s="61"/>
      <c r="UF291" s="61"/>
      <c r="UG291" s="61"/>
      <c r="UH291" s="61"/>
      <c r="UI291" s="61"/>
      <c r="UJ291" s="61"/>
      <c r="UK291" s="61"/>
      <c r="UL291" s="61"/>
      <c r="UM291" s="61"/>
      <c r="UN291" s="61"/>
      <c r="UO291" s="61"/>
      <c r="UP291" s="61"/>
      <c r="UQ291" s="61"/>
      <c r="UR291" s="61"/>
      <c r="US291" s="61"/>
      <c r="UT291" s="61"/>
      <c r="UU291" s="61"/>
      <c r="UV291" s="61"/>
      <c r="UW291" s="61"/>
      <c r="UX291" s="61"/>
      <c r="UY291" s="61"/>
      <c r="UZ291" s="61"/>
      <c r="VA291" s="61"/>
      <c r="VB291" s="61"/>
      <c r="VC291" s="61"/>
    </row>
    <row r="292" spans="1:575" s="55" customFormat="1" ht="37.5" customHeight="1" x14ac:dyDescent="0.25">
      <c r="A292" s="57" t="s">
        <v>345</v>
      </c>
      <c r="B292" s="107" t="str">
        <f>'дод 2'!A189</f>
        <v>7650</v>
      </c>
      <c r="C292" s="107" t="str">
        <f>'дод 2'!B189</f>
        <v>0490</v>
      </c>
      <c r="D292" s="54" t="str">
        <f>'дод 2'!C189</f>
        <v>Проведення експертної  грошової  оцінки  земельної ділянки чи права на неї</v>
      </c>
      <c r="E292" s="132">
        <f t="shared" si="57"/>
        <v>0</v>
      </c>
      <c r="F292" s="132"/>
      <c r="G292" s="132"/>
      <c r="H292" s="132"/>
      <c r="I292" s="132"/>
      <c r="J292" s="132">
        <f t="shared" si="43"/>
        <v>50000</v>
      </c>
      <c r="K292" s="132">
        <v>50000</v>
      </c>
      <c r="L292" s="132"/>
      <c r="M292" s="132"/>
      <c r="N292" s="132"/>
      <c r="O292" s="132">
        <v>50000</v>
      </c>
      <c r="P292" s="132">
        <f t="shared" si="58"/>
        <v>50000</v>
      </c>
      <c r="Q292" s="159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  <c r="SP292" s="61"/>
      <c r="SQ292" s="61"/>
      <c r="SR292" s="61"/>
      <c r="SS292" s="61"/>
      <c r="ST292" s="61"/>
      <c r="SU292" s="61"/>
      <c r="SV292" s="61"/>
      <c r="SW292" s="61"/>
      <c r="SX292" s="61"/>
      <c r="SY292" s="61"/>
      <c r="SZ292" s="61"/>
      <c r="TA292" s="61"/>
      <c r="TB292" s="61"/>
      <c r="TC292" s="61"/>
      <c r="TD292" s="61"/>
      <c r="TE292" s="61"/>
      <c r="TF292" s="61"/>
      <c r="TG292" s="61"/>
      <c r="TH292" s="61"/>
      <c r="TI292" s="61"/>
      <c r="TJ292" s="61"/>
      <c r="TK292" s="61"/>
      <c r="TL292" s="61"/>
      <c r="TM292" s="61"/>
      <c r="TN292" s="61"/>
      <c r="TO292" s="61"/>
      <c r="TP292" s="61"/>
      <c r="TQ292" s="61"/>
      <c r="TR292" s="61"/>
      <c r="TS292" s="61"/>
      <c r="TT292" s="61"/>
      <c r="TU292" s="61"/>
      <c r="TV292" s="61"/>
      <c r="TW292" s="61"/>
      <c r="TX292" s="61"/>
      <c r="TY292" s="61"/>
      <c r="TZ292" s="61"/>
      <c r="UA292" s="61"/>
      <c r="UB292" s="61"/>
      <c r="UC292" s="61"/>
      <c r="UD292" s="61"/>
      <c r="UE292" s="61"/>
      <c r="UF292" s="61"/>
      <c r="UG292" s="61"/>
      <c r="UH292" s="61"/>
      <c r="UI292" s="61"/>
      <c r="UJ292" s="61"/>
      <c r="UK292" s="61"/>
      <c r="UL292" s="61"/>
      <c r="UM292" s="61"/>
      <c r="UN292" s="61"/>
      <c r="UO292" s="61"/>
      <c r="UP292" s="61"/>
      <c r="UQ292" s="61"/>
      <c r="UR292" s="61"/>
      <c r="US292" s="61"/>
      <c r="UT292" s="61"/>
      <c r="UU292" s="61"/>
      <c r="UV292" s="61"/>
      <c r="UW292" s="61"/>
      <c r="UX292" s="61"/>
      <c r="UY292" s="61"/>
      <c r="UZ292" s="61"/>
      <c r="VA292" s="61"/>
      <c r="VB292" s="61"/>
      <c r="VC292" s="61"/>
    </row>
    <row r="293" spans="1:575" s="55" customFormat="1" ht="51.75" customHeight="1" x14ac:dyDescent="0.25">
      <c r="A293" s="57" t="s">
        <v>347</v>
      </c>
      <c r="B293" s="107" t="str">
        <f>'дод 2'!A190</f>
        <v>7660</v>
      </c>
      <c r="C293" s="107" t="str">
        <f>'дод 2'!B190</f>
        <v>0490</v>
      </c>
      <c r="D293" s="54" t="str">
        <f>'дод 2'!C190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3" s="132">
        <f t="shared" si="57"/>
        <v>0</v>
      </c>
      <c r="F293" s="132"/>
      <c r="G293" s="132"/>
      <c r="H293" s="132"/>
      <c r="I293" s="132"/>
      <c r="J293" s="132">
        <f t="shared" si="43"/>
        <v>25000</v>
      </c>
      <c r="K293" s="132">
        <v>25000</v>
      </c>
      <c r="L293" s="132"/>
      <c r="M293" s="132"/>
      <c r="N293" s="132"/>
      <c r="O293" s="132">
        <v>25000</v>
      </c>
      <c r="P293" s="132">
        <f t="shared" si="58"/>
        <v>25000</v>
      </c>
      <c r="Q293" s="159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  <c r="SP293" s="61"/>
      <c r="SQ293" s="61"/>
      <c r="SR293" s="61"/>
      <c r="SS293" s="61"/>
      <c r="ST293" s="61"/>
      <c r="SU293" s="61"/>
      <c r="SV293" s="61"/>
      <c r="SW293" s="61"/>
      <c r="SX293" s="61"/>
      <c r="SY293" s="61"/>
      <c r="SZ293" s="61"/>
      <c r="TA293" s="61"/>
      <c r="TB293" s="61"/>
      <c r="TC293" s="61"/>
      <c r="TD293" s="61"/>
      <c r="TE293" s="61"/>
      <c r="TF293" s="61"/>
      <c r="TG293" s="61"/>
      <c r="TH293" s="61"/>
      <c r="TI293" s="61"/>
      <c r="TJ293" s="61"/>
      <c r="TK293" s="61"/>
      <c r="TL293" s="61"/>
      <c r="TM293" s="61"/>
      <c r="TN293" s="61"/>
      <c r="TO293" s="61"/>
      <c r="TP293" s="61"/>
      <c r="TQ293" s="61"/>
      <c r="TR293" s="61"/>
      <c r="TS293" s="61"/>
      <c r="TT293" s="61"/>
      <c r="TU293" s="61"/>
      <c r="TV293" s="61"/>
      <c r="TW293" s="61"/>
      <c r="TX293" s="61"/>
      <c r="TY293" s="61"/>
      <c r="TZ293" s="61"/>
      <c r="UA293" s="61"/>
      <c r="UB293" s="61"/>
      <c r="UC293" s="61"/>
      <c r="UD293" s="61"/>
      <c r="UE293" s="61"/>
      <c r="UF293" s="61"/>
      <c r="UG293" s="61"/>
      <c r="UH293" s="61"/>
      <c r="UI293" s="61"/>
      <c r="UJ293" s="61"/>
      <c r="UK293" s="61"/>
      <c r="UL293" s="61"/>
      <c r="UM293" s="61"/>
      <c r="UN293" s="61"/>
      <c r="UO293" s="61"/>
      <c r="UP293" s="61"/>
      <c r="UQ293" s="61"/>
      <c r="UR293" s="61"/>
      <c r="US293" s="61"/>
      <c r="UT293" s="61"/>
      <c r="UU293" s="61"/>
      <c r="UV293" s="61"/>
      <c r="UW293" s="61"/>
      <c r="UX293" s="61"/>
      <c r="UY293" s="61"/>
      <c r="UZ293" s="61"/>
      <c r="VA293" s="61"/>
      <c r="VB293" s="61"/>
      <c r="VC293" s="61"/>
    </row>
    <row r="294" spans="1:575" s="55" customFormat="1" ht="23.25" customHeight="1" x14ac:dyDescent="0.25">
      <c r="A294" s="57" t="s">
        <v>341</v>
      </c>
      <c r="B294" s="107" t="str">
        <f>'дод 2'!A194</f>
        <v>7693</v>
      </c>
      <c r="C294" s="107" t="str">
        <f>'дод 2'!B194</f>
        <v>0490</v>
      </c>
      <c r="D294" s="54" t="str">
        <f>'дод 2'!C194</f>
        <v>Інші заходи, пов'язані з економічною діяльністю</v>
      </c>
      <c r="E294" s="132">
        <f t="shared" si="57"/>
        <v>645000</v>
      </c>
      <c r="F294" s="132">
        <f>630000+15000</f>
        <v>645000</v>
      </c>
      <c r="G294" s="132"/>
      <c r="H294" s="132"/>
      <c r="I294" s="132"/>
      <c r="J294" s="132">
        <f t="shared" si="43"/>
        <v>0</v>
      </c>
      <c r="K294" s="132"/>
      <c r="L294" s="132"/>
      <c r="M294" s="132"/>
      <c r="N294" s="132"/>
      <c r="O294" s="132"/>
      <c r="P294" s="132">
        <f t="shared" si="58"/>
        <v>645000</v>
      </c>
      <c r="Q294" s="159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  <c r="SP294" s="61"/>
      <c r="SQ294" s="61"/>
      <c r="SR294" s="61"/>
      <c r="SS294" s="61"/>
      <c r="ST294" s="61"/>
      <c r="SU294" s="61"/>
      <c r="SV294" s="61"/>
      <c r="SW294" s="61"/>
      <c r="SX294" s="61"/>
      <c r="SY294" s="61"/>
      <c r="SZ294" s="61"/>
      <c r="TA294" s="61"/>
      <c r="TB294" s="61"/>
      <c r="TC294" s="61"/>
      <c r="TD294" s="61"/>
      <c r="TE294" s="61"/>
      <c r="TF294" s="61"/>
      <c r="TG294" s="61"/>
      <c r="TH294" s="61"/>
      <c r="TI294" s="61"/>
      <c r="TJ294" s="61"/>
      <c r="TK294" s="61"/>
      <c r="TL294" s="61"/>
      <c r="TM294" s="61"/>
      <c r="TN294" s="61"/>
      <c r="TO294" s="61"/>
      <c r="TP294" s="61"/>
      <c r="TQ294" s="61"/>
      <c r="TR294" s="61"/>
      <c r="TS294" s="61"/>
      <c r="TT294" s="61"/>
      <c r="TU294" s="61"/>
      <c r="TV294" s="61"/>
      <c r="TW294" s="61"/>
      <c r="TX294" s="61"/>
      <c r="TY294" s="61"/>
      <c r="TZ294" s="61"/>
      <c r="UA294" s="61"/>
      <c r="UB294" s="61"/>
      <c r="UC294" s="61"/>
      <c r="UD294" s="61"/>
      <c r="UE294" s="61"/>
      <c r="UF294" s="61"/>
      <c r="UG294" s="61"/>
      <c r="UH294" s="61"/>
      <c r="UI294" s="61"/>
      <c r="UJ294" s="61"/>
      <c r="UK294" s="61"/>
      <c r="UL294" s="61"/>
      <c r="UM294" s="61"/>
      <c r="UN294" s="61"/>
      <c r="UO294" s="61"/>
      <c r="UP294" s="61"/>
      <c r="UQ294" s="61"/>
      <c r="UR294" s="61"/>
      <c r="US294" s="61"/>
      <c r="UT294" s="61"/>
      <c r="UU294" s="61"/>
      <c r="UV294" s="61"/>
      <c r="UW294" s="61"/>
      <c r="UX294" s="61"/>
      <c r="UY294" s="61"/>
      <c r="UZ294" s="61"/>
      <c r="VA294" s="61"/>
      <c r="VB294" s="61"/>
      <c r="VC294" s="61"/>
    </row>
    <row r="295" spans="1:575" s="55" customFormat="1" ht="45" hidden="1" customHeight="1" x14ac:dyDescent="0.25">
      <c r="A295" s="57" t="s">
        <v>496</v>
      </c>
      <c r="B295" s="108" t="str">
        <f>'дод 2'!A228</f>
        <v>9800</v>
      </c>
      <c r="C295" s="108" t="str">
        <f>'дод 2'!B228</f>
        <v>0180</v>
      </c>
      <c r="D295" s="54" t="str">
        <f>'дод 2'!C228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295" s="132">
        <f t="shared" si="57"/>
        <v>0</v>
      </c>
      <c r="F295" s="132"/>
      <c r="G295" s="132"/>
      <c r="H295" s="132"/>
      <c r="I295" s="132"/>
      <c r="J295" s="132">
        <f t="shared" si="43"/>
        <v>0</v>
      </c>
      <c r="K295" s="132"/>
      <c r="L295" s="132"/>
      <c r="M295" s="132"/>
      <c r="N295" s="132"/>
      <c r="O295" s="132"/>
      <c r="P295" s="132">
        <f t="shared" si="58"/>
        <v>0</v>
      </c>
      <c r="Q295" s="159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  <c r="SP295" s="61"/>
      <c r="SQ295" s="61"/>
      <c r="SR295" s="61"/>
      <c r="SS295" s="61"/>
      <c r="ST295" s="61"/>
      <c r="SU295" s="61"/>
      <c r="SV295" s="61"/>
      <c r="SW295" s="61"/>
      <c r="SX295" s="61"/>
      <c r="SY295" s="61"/>
      <c r="SZ295" s="61"/>
      <c r="TA295" s="61"/>
      <c r="TB295" s="61"/>
      <c r="TC295" s="61"/>
      <c r="TD295" s="61"/>
      <c r="TE295" s="61"/>
      <c r="TF295" s="61"/>
      <c r="TG295" s="61"/>
      <c r="TH295" s="61"/>
      <c r="TI295" s="61"/>
      <c r="TJ295" s="61"/>
      <c r="TK295" s="61"/>
      <c r="TL295" s="61"/>
      <c r="TM295" s="61"/>
      <c r="TN295" s="61"/>
      <c r="TO295" s="61"/>
      <c r="TP295" s="61"/>
      <c r="TQ295" s="61"/>
      <c r="TR295" s="61"/>
      <c r="TS295" s="61"/>
      <c r="TT295" s="61"/>
      <c r="TU295" s="61"/>
      <c r="TV295" s="61"/>
      <c r="TW295" s="61"/>
      <c r="TX295" s="61"/>
      <c r="TY295" s="61"/>
      <c r="TZ295" s="61"/>
      <c r="UA295" s="61"/>
      <c r="UB295" s="61"/>
      <c r="UC295" s="61"/>
      <c r="UD295" s="61"/>
      <c r="UE295" s="61"/>
      <c r="UF295" s="61"/>
      <c r="UG295" s="61"/>
      <c r="UH295" s="61"/>
      <c r="UI295" s="61"/>
      <c r="UJ295" s="61"/>
      <c r="UK295" s="61"/>
      <c r="UL295" s="61"/>
      <c r="UM295" s="61"/>
      <c r="UN295" s="61"/>
      <c r="UO295" s="61"/>
      <c r="UP295" s="61"/>
      <c r="UQ295" s="61"/>
      <c r="UR295" s="61"/>
      <c r="US295" s="61"/>
      <c r="UT295" s="61"/>
      <c r="UU295" s="61"/>
      <c r="UV295" s="61"/>
      <c r="UW295" s="61"/>
      <c r="UX295" s="61"/>
      <c r="UY295" s="61"/>
      <c r="UZ295" s="61"/>
      <c r="VA295" s="61"/>
      <c r="VB295" s="61"/>
      <c r="VC295" s="61"/>
    </row>
    <row r="296" spans="1:575" s="55" customFormat="1" ht="37.5" customHeight="1" x14ac:dyDescent="0.2">
      <c r="A296" s="126" t="s">
        <v>595</v>
      </c>
      <c r="B296" s="108"/>
      <c r="C296" s="108"/>
      <c r="D296" s="123" t="s">
        <v>594</v>
      </c>
      <c r="E296" s="134">
        <f>SUM(E297)</f>
        <v>140942.49</v>
      </c>
      <c r="F296" s="134">
        <f t="shared" ref="F296:P296" si="59">SUM(F297)</f>
        <v>140942.49</v>
      </c>
      <c r="G296" s="134">
        <f t="shared" si="59"/>
        <v>115526.63</v>
      </c>
      <c r="H296" s="134">
        <f t="shared" si="59"/>
        <v>0</v>
      </c>
      <c r="I296" s="134">
        <f t="shared" si="59"/>
        <v>0</v>
      </c>
      <c r="J296" s="134">
        <f t="shared" si="59"/>
        <v>0</v>
      </c>
      <c r="K296" s="134">
        <f t="shared" si="59"/>
        <v>0</v>
      </c>
      <c r="L296" s="134">
        <f t="shared" si="59"/>
        <v>0</v>
      </c>
      <c r="M296" s="134">
        <f t="shared" si="59"/>
        <v>0</v>
      </c>
      <c r="N296" s="134">
        <f t="shared" si="59"/>
        <v>0</v>
      </c>
      <c r="O296" s="134">
        <f t="shared" si="59"/>
        <v>0</v>
      </c>
      <c r="P296" s="134">
        <f t="shared" si="59"/>
        <v>140942.49</v>
      </c>
      <c r="Q296" s="159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  <c r="SP296" s="61"/>
      <c r="SQ296" s="61"/>
      <c r="SR296" s="61"/>
      <c r="SS296" s="61"/>
      <c r="ST296" s="61"/>
      <c r="SU296" s="61"/>
      <c r="SV296" s="61"/>
      <c r="SW296" s="61"/>
      <c r="SX296" s="61"/>
      <c r="SY296" s="61"/>
      <c r="SZ296" s="61"/>
      <c r="TA296" s="61"/>
      <c r="TB296" s="61"/>
      <c r="TC296" s="61"/>
      <c r="TD296" s="61"/>
      <c r="TE296" s="61"/>
      <c r="TF296" s="61"/>
      <c r="TG296" s="61"/>
      <c r="TH296" s="61"/>
      <c r="TI296" s="61"/>
      <c r="TJ296" s="61"/>
      <c r="TK296" s="61"/>
      <c r="TL296" s="61"/>
      <c r="TM296" s="61"/>
      <c r="TN296" s="61"/>
      <c r="TO296" s="61"/>
      <c r="TP296" s="61"/>
      <c r="TQ296" s="61"/>
      <c r="TR296" s="61"/>
      <c r="TS296" s="61"/>
      <c r="TT296" s="61"/>
      <c r="TU296" s="61"/>
      <c r="TV296" s="61"/>
      <c r="TW296" s="61"/>
      <c r="TX296" s="61"/>
      <c r="TY296" s="61"/>
      <c r="TZ296" s="61"/>
      <c r="UA296" s="61"/>
      <c r="UB296" s="61"/>
      <c r="UC296" s="61"/>
      <c r="UD296" s="61"/>
      <c r="UE296" s="61"/>
      <c r="UF296" s="61"/>
      <c r="UG296" s="61"/>
      <c r="UH296" s="61"/>
      <c r="UI296" s="61"/>
      <c r="UJ296" s="61"/>
      <c r="UK296" s="61"/>
      <c r="UL296" s="61"/>
      <c r="UM296" s="61"/>
      <c r="UN296" s="61"/>
      <c r="UO296" s="61"/>
      <c r="UP296" s="61"/>
      <c r="UQ296" s="61"/>
      <c r="UR296" s="61"/>
      <c r="US296" s="61"/>
      <c r="UT296" s="61"/>
      <c r="UU296" s="61"/>
      <c r="UV296" s="61"/>
      <c r="UW296" s="61"/>
      <c r="UX296" s="61"/>
      <c r="UY296" s="61"/>
      <c r="UZ296" s="61"/>
      <c r="VA296" s="61"/>
      <c r="VB296" s="61"/>
      <c r="VC296" s="61"/>
    </row>
    <row r="297" spans="1:575" s="55" customFormat="1" ht="36" customHeight="1" x14ac:dyDescent="0.25">
      <c r="A297" s="127" t="s">
        <v>596</v>
      </c>
      <c r="B297" s="125"/>
      <c r="C297" s="125"/>
      <c r="D297" s="124" t="s">
        <v>594</v>
      </c>
      <c r="E297" s="131">
        <f>SUM(E298)</f>
        <v>140942.49</v>
      </c>
      <c r="F297" s="131">
        <f t="shared" ref="F297:P297" si="60">SUM(F298)</f>
        <v>140942.49</v>
      </c>
      <c r="G297" s="131">
        <f t="shared" si="60"/>
        <v>115526.63</v>
      </c>
      <c r="H297" s="131">
        <f t="shared" si="60"/>
        <v>0</v>
      </c>
      <c r="I297" s="131">
        <f t="shared" si="60"/>
        <v>0</v>
      </c>
      <c r="J297" s="131">
        <f t="shared" si="60"/>
        <v>0</v>
      </c>
      <c r="K297" s="131">
        <f t="shared" si="60"/>
        <v>0</v>
      </c>
      <c r="L297" s="131">
        <f t="shared" si="60"/>
        <v>0</v>
      </c>
      <c r="M297" s="131">
        <f t="shared" si="60"/>
        <v>0</v>
      </c>
      <c r="N297" s="131">
        <f t="shared" si="60"/>
        <v>0</v>
      </c>
      <c r="O297" s="131">
        <f t="shared" si="60"/>
        <v>0</v>
      </c>
      <c r="P297" s="131">
        <f t="shared" si="60"/>
        <v>140942.49</v>
      </c>
      <c r="Q297" s="159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  <c r="HM297" s="61"/>
      <c r="HN297" s="61"/>
      <c r="HO297" s="61"/>
      <c r="HP297" s="61"/>
      <c r="HQ297" s="61"/>
      <c r="HR297" s="61"/>
      <c r="HS297" s="61"/>
      <c r="HT297" s="61"/>
      <c r="HU297" s="61"/>
      <c r="HV297" s="61"/>
      <c r="HW297" s="61"/>
      <c r="HX297" s="61"/>
      <c r="HY297" s="61"/>
      <c r="HZ297" s="61"/>
      <c r="IA297" s="61"/>
      <c r="IB297" s="61"/>
      <c r="IC297" s="61"/>
      <c r="ID297" s="61"/>
      <c r="IE297" s="61"/>
      <c r="IF297" s="61"/>
      <c r="IG297" s="61"/>
      <c r="IH297" s="61"/>
      <c r="II297" s="61"/>
      <c r="IJ297" s="61"/>
      <c r="IK297" s="61"/>
      <c r="IL297" s="61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  <c r="IW297" s="61"/>
      <c r="IX297" s="61"/>
      <c r="IY297" s="61"/>
      <c r="IZ297" s="61"/>
      <c r="JA297" s="61"/>
      <c r="JB297" s="61"/>
      <c r="JC297" s="61"/>
      <c r="JD297" s="61"/>
      <c r="JE297" s="61"/>
      <c r="JF297" s="61"/>
      <c r="JG297" s="61"/>
      <c r="JH297" s="61"/>
      <c r="JI297" s="61"/>
      <c r="JJ297" s="61"/>
      <c r="JK297" s="61"/>
      <c r="JL297" s="61"/>
      <c r="JM297" s="61"/>
      <c r="JN297" s="61"/>
      <c r="JO297" s="61"/>
      <c r="JP297" s="61"/>
      <c r="JQ297" s="61"/>
      <c r="JR297" s="61"/>
      <c r="JS297" s="61"/>
      <c r="JT297" s="61"/>
      <c r="JU297" s="61"/>
      <c r="JV297" s="61"/>
      <c r="JW297" s="61"/>
      <c r="JX297" s="61"/>
      <c r="JY297" s="61"/>
      <c r="JZ297" s="61"/>
      <c r="KA297" s="61"/>
      <c r="KB297" s="61"/>
      <c r="KC297" s="61"/>
      <c r="KD297" s="61"/>
      <c r="KE297" s="61"/>
      <c r="KF297" s="61"/>
      <c r="KG297" s="61"/>
      <c r="KH297" s="61"/>
      <c r="KI297" s="61"/>
      <c r="KJ297" s="61"/>
      <c r="KK297" s="61"/>
      <c r="KL297" s="61"/>
      <c r="KM297" s="61"/>
      <c r="KN297" s="61"/>
      <c r="KO297" s="61"/>
      <c r="KP297" s="61"/>
      <c r="KQ297" s="61"/>
      <c r="KR297" s="61"/>
      <c r="KS297" s="61"/>
      <c r="KT297" s="61"/>
      <c r="KU297" s="61"/>
      <c r="KV297" s="61"/>
      <c r="KW297" s="61"/>
      <c r="KX297" s="61"/>
      <c r="KY297" s="61"/>
      <c r="KZ297" s="61"/>
      <c r="LA297" s="61"/>
      <c r="LB297" s="61"/>
      <c r="LC297" s="61"/>
      <c r="LD297" s="61"/>
      <c r="LE297" s="61"/>
      <c r="LF297" s="61"/>
      <c r="LG297" s="61"/>
      <c r="LH297" s="61"/>
      <c r="LI297" s="61"/>
      <c r="LJ297" s="61"/>
      <c r="LK297" s="61"/>
      <c r="LL297" s="61"/>
      <c r="LM297" s="61"/>
      <c r="LN297" s="61"/>
      <c r="LO297" s="61"/>
      <c r="LP297" s="61"/>
      <c r="LQ297" s="61"/>
      <c r="LR297" s="61"/>
      <c r="LS297" s="61"/>
      <c r="LT297" s="61"/>
      <c r="LU297" s="61"/>
      <c r="LV297" s="61"/>
      <c r="LW297" s="61"/>
      <c r="LX297" s="61"/>
      <c r="LY297" s="61"/>
      <c r="LZ297" s="61"/>
      <c r="MA297" s="61"/>
      <c r="MB297" s="61"/>
      <c r="MC297" s="61"/>
      <c r="MD297" s="61"/>
      <c r="ME297" s="61"/>
      <c r="MF297" s="61"/>
      <c r="MG297" s="61"/>
      <c r="MH297" s="61"/>
      <c r="MI297" s="61"/>
      <c r="MJ297" s="61"/>
      <c r="MK297" s="61"/>
      <c r="ML297" s="61"/>
      <c r="MM297" s="61"/>
      <c r="MN297" s="61"/>
      <c r="MO297" s="61"/>
      <c r="MP297" s="61"/>
      <c r="MQ297" s="61"/>
      <c r="MR297" s="61"/>
      <c r="MS297" s="61"/>
      <c r="MT297" s="61"/>
      <c r="MU297" s="61"/>
      <c r="MV297" s="61"/>
      <c r="MW297" s="61"/>
      <c r="MX297" s="61"/>
      <c r="MY297" s="61"/>
      <c r="MZ297" s="61"/>
      <c r="NA297" s="61"/>
      <c r="NB297" s="61"/>
      <c r="NC297" s="61"/>
      <c r="ND297" s="61"/>
      <c r="NE297" s="61"/>
      <c r="NF297" s="61"/>
      <c r="NG297" s="61"/>
      <c r="NH297" s="61"/>
      <c r="NI297" s="61"/>
      <c r="NJ297" s="61"/>
      <c r="NK297" s="61"/>
      <c r="NL297" s="61"/>
      <c r="NM297" s="61"/>
      <c r="NN297" s="61"/>
      <c r="NO297" s="61"/>
      <c r="NP297" s="61"/>
      <c r="NQ297" s="61"/>
      <c r="NR297" s="61"/>
      <c r="NS297" s="61"/>
      <c r="NT297" s="61"/>
      <c r="NU297" s="61"/>
      <c r="NV297" s="61"/>
      <c r="NW297" s="61"/>
      <c r="NX297" s="61"/>
      <c r="NY297" s="61"/>
      <c r="NZ297" s="61"/>
      <c r="OA297" s="61"/>
      <c r="OB297" s="61"/>
      <c r="OC297" s="61"/>
      <c r="OD297" s="61"/>
      <c r="OE297" s="61"/>
      <c r="OF297" s="61"/>
      <c r="OG297" s="61"/>
      <c r="OH297" s="61"/>
      <c r="OI297" s="61"/>
      <c r="OJ297" s="61"/>
      <c r="OK297" s="61"/>
      <c r="OL297" s="61"/>
      <c r="OM297" s="61"/>
      <c r="ON297" s="61"/>
      <c r="OO297" s="61"/>
      <c r="OP297" s="61"/>
      <c r="OQ297" s="61"/>
      <c r="OR297" s="61"/>
      <c r="OS297" s="61"/>
      <c r="OT297" s="61"/>
      <c r="OU297" s="61"/>
      <c r="OV297" s="61"/>
      <c r="OW297" s="61"/>
      <c r="OX297" s="61"/>
      <c r="OY297" s="61"/>
      <c r="OZ297" s="61"/>
      <c r="PA297" s="61"/>
      <c r="PB297" s="61"/>
      <c r="PC297" s="61"/>
      <c r="PD297" s="61"/>
      <c r="PE297" s="61"/>
      <c r="PF297" s="61"/>
      <c r="PG297" s="61"/>
      <c r="PH297" s="61"/>
      <c r="PI297" s="61"/>
      <c r="PJ297" s="61"/>
      <c r="PK297" s="61"/>
      <c r="PL297" s="61"/>
      <c r="PM297" s="61"/>
      <c r="PN297" s="61"/>
      <c r="PO297" s="61"/>
      <c r="PP297" s="61"/>
      <c r="PQ297" s="61"/>
      <c r="PR297" s="61"/>
      <c r="PS297" s="61"/>
      <c r="PT297" s="61"/>
      <c r="PU297" s="61"/>
      <c r="PV297" s="61"/>
      <c r="PW297" s="61"/>
      <c r="PX297" s="61"/>
      <c r="PY297" s="61"/>
      <c r="PZ297" s="61"/>
      <c r="QA297" s="61"/>
      <c r="QB297" s="61"/>
      <c r="QC297" s="61"/>
      <c r="QD297" s="61"/>
      <c r="QE297" s="61"/>
      <c r="QF297" s="61"/>
      <c r="QG297" s="61"/>
      <c r="QH297" s="61"/>
      <c r="QI297" s="61"/>
      <c r="QJ297" s="61"/>
      <c r="QK297" s="61"/>
      <c r="QL297" s="61"/>
      <c r="QM297" s="61"/>
      <c r="QN297" s="61"/>
      <c r="QO297" s="61"/>
      <c r="QP297" s="61"/>
      <c r="QQ297" s="61"/>
      <c r="QR297" s="61"/>
      <c r="QS297" s="61"/>
      <c r="QT297" s="61"/>
      <c r="QU297" s="61"/>
      <c r="QV297" s="61"/>
      <c r="QW297" s="61"/>
      <c r="QX297" s="61"/>
      <c r="QY297" s="61"/>
      <c r="QZ297" s="61"/>
      <c r="RA297" s="61"/>
      <c r="RB297" s="61"/>
      <c r="RC297" s="61"/>
      <c r="RD297" s="61"/>
      <c r="RE297" s="61"/>
      <c r="RF297" s="61"/>
      <c r="RG297" s="61"/>
      <c r="RH297" s="61"/>
      <c r="RI297" s="61"/>
      <c r="RJ297" s="61"/>
      <c r="RK297" s="61"/>
      <c r="RL297" s="61"/>
      <c r="RM297" s="61"/>
      <c r="RN297" s="61"/>
      <c r="RO297" s="61"/>
      <c r="RP297" s="61"/>
      <c r="RQ297" s="61"/>
      <c r="RR297" s="61"/>
      <c r="RS297" s="61"/>
      <c r="RT297" s="61"/>
      <c r="RU297" s="61"/>
      <c r="RV297" s="61"/>
      <c r="RW297" s="61"/>
      <c r="RX297" s="61"/>
      <c r="RY297" s="61"/>
      <c r="RZ297" s="61"/>
      <c r="SA297" s="61"/>
      <c r="SB297" s="61"/>
      <c r="SC297" s="61"/>
      <c r="SD297" s="61"/>
      <c r="SE297" s="61"/>
      <c r="SF297" s="61"/>
      <c r="SG297" s="61"/>
      <c r="SH297" s="61"/>
      <c r="SI297" s="61"/>
      <c r="SJ297" s="61"/>
      <c r="SK297" s="61"/>
      <c r="SL297" s="61"/>
      <c r="SM297" s="61"/>
      <c r="SN297" s="61"/>
      <c r="SO297" s="61"/>
      <c r="SP297" s="61"/>
      <c r="SQ297" s="61"/>
      <c r="SR297" s="61"/>
      <c r="SS297" s="61"/>
      <c r="ST297" s="61"/>
      <c r="SU297" s="61"/>
      <c r="SV297" s="61"/>
      <c r="SW297" s="61"/>
      <c r="SX297" s="61"/>
      <c r="SY297" s="61"/>
      <c r="SZ297" s="61"/>
      <c r="TA297" s="61"/>
      <c r="TB297" s="61"/>
      <c r="TC297" s="61"/>
      <c r="TD297" s="61"/>
      <c r="TE297" s="61"/>
      <c r="TF297" s="61"/>
      <c r="TG297" s="61"/>
      <c r="TH297" s="61"/>
      <c r="TI297" s="61"/>
      <c r="TJ297" s="61"/>
      <c r="TK297" s="61"/>
      <c r="TL297" s="61"/>
      <c r="TM297" s="61"/>
      <c r="TN297" s="61"/>
      <c r="TO297" s="61"/>
      <c r="TP297" s="61"/>
      <c r="TQ297" s="61"/>
      <c r="TR297" s="61"/>
      <c r="TS297" s="61"/>
      <c r="TT297" s="61"/>
      <c r="TU297" s="61"/>
      <c r="TV297" s="61"/>
      <c r="TW297" s="61"/>
      <c r="TX297" s="61"/>
      <c r="TY297" s="61"/>
      <c r="TZ297" s="61"/>
      <c r="UA297" s="61"/>
      <c r="UB297" s="61"/>
      <c r="UC297" s="61"/>
      <c r="UD297" s="61"/>
      <c r="UE297" s="61"/>
      <c r="UF297" s="61"/>
      <c r="UG297" s="61"/>
      <c r="UH297" s="61"/>
      <c r="UI297" s="61"/>
      <c r="UJ297" s="61"/>
      <c r="UK297" s="61"/>
      <c r="UL297" s="61"/>
      <c r="UM297" s="61"/>
      <c r="UN297" s="61"/>
      <c r="UO297" s="61"/>
      <c r="UP297" s="61"/>
      <c r="UQ297" s="61"/>
      <c r="UR297" s="61"/>
      <c r="US297" s="61"/>
      <c r="UT297" s="61"/>
      <c r="UU297" s="61"/>
      <c r="UV297" s="61"/>
      <c r="UW297" s="61"/>
      <c r="UX297" s="61"/>
      <c r="UY297" s="61"/>
      <c r="UZ297" s="61"/>
      <c r="VA297" s="61"/>
      <c r="VB297" s="61"/>
      <c r="VC297" s="61"/>
    </row>
    <row r="298" spans="1:575" s="55" customFormat="1" ht="36" customHeight="1" x14ac:dyDescent="0.25">
      <c r="A298" s="79" t="s">
        <v>597</v>
      </c>
      <c r="B298" s="79" t="s">
        <v>152</v>
      </c>
      <c r="C298" s="79" t="s">
        <v>69</v>
      </c>
      <c r="D298" s="54" t="s">
        <v>153</v>
      </c>
      <c r="E298" s="132">
        <f>SUM(F298+I298)</f>
        <v>140942.49</v>
      </c>
      <c r="F298" s="132">
        <v>140942.49</v>
      </c>
      <c r="G298" s="132">
        <v>115526.63</v>
      </c>
      <c r="H298" s="132"/>
      <c r="I298" s="132"/>
      <c r="J298" s="132">
        <f>SUM(L298+O298)</f>
        <v>0</v>
      </c>
      <c r="K298" s="132"/>
      <c r="L298" s="132"/>
      <c r="M298" s="132"/>
      <c r="N298" s="132"/>
      <c r="O298" s="132"/>
      <c r="P298" s="132">
        <f t="shared" ref="P298" si="61">E298+J298</f>
        <v>140942.49</v>
      </c>
      <c r="Q298" s="159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  <c r="CJ298" s="61"/>
      <c r="CK298" s="61"/>
      <c r="CL298" s="61"/>
      <c r="CM298" s="61"/>
      <c r="CN298" s="61"/>
      <c r="CO298" s="61"/>
      <c r="CP298" s="61"/>
      <c r="CQ298" s="61"/>
      <c r="CR298" s="61"/>
      <c r="CS298" s="61"/>
      <c r="CT298" s="61"/>
      <c r="CU298" s="61"/>
      <c r="CV298" s="61"/>
      <c r="CW298" s="61"/>
      <c r="CX298" s="61"/>
      <c r="CY298" s="61"/>
      <c r="CZ298" s="61"/>
      <c r="DA298" s="61"/>
      <c r="DB298" s="61"/>
      <c r="DC298" s="61"/>
      <c r="DD298" s="61"/>
      <c r="DE298" s="61"/>
      <c r="DF298" s="61"/>
      <c r="DG298" s="61"/>
      <c r="DH298" s="61"/>
      <c r="DI298" s="61"/>
      <c r="DJ298" s="61"/>
      <c r="DK298" s="61"/>
      <c r="DL298" s="61"/>
      <c r="DM298" s="61"/>
      <c r="DN298" s="61"/>
      <c r="DO298" s="61"/>
      <c r="DP298" s="61"/>
      <c r="DQ298" s="61"/>
      <c r="DR298" s="61"/>
      <c r="DS298" s="61"/>
      <c r="DT298" s="61"/>
      <c r="DU298" s="61"/>
      <c r="DV298" s="61"/>
      <c r="DW298" s="61"/>
      <c r="DX298" s="61"/>
      <c r="DY298" s="61"/>
      <c r="DZ298" s="61"/>
      <c r="EA298" s="61"/>
      <c r="EB298" s="61"/>
      <c r="EC298" s="61"/>
      <c r="ED298" s="61"/>
      <c r="EE298" s="61"/>
      <c r="EF298" s="61"/>
      <c r="EG298" s="61"/>
      <c r="EH298" s="61"/>
      <c r="EI298" s="61"/>
      <c r="EJ298" s="61"/>
      <c r="EK298" s="61"/>
      <c r="EL298" s="61"/>
      <c r="EM298" s="61"/>
      <c r="EN298" s="61"/>
      <c r="EO298" s="61"/>
      <c r="EP298" s="61"/>
      <c r="EQ298" s="61"/>
      <c r="ER298" s="61"/>
      <c r="ES298" s="61"/>
      <c r="ET298" s="61"/>
      <c r="EU298" s="61"/>
      <c r="EV298" s="61"/>
      <c r="EW298" s="61"/>
      <c r="EX298" s="61"/>
      <c r="EY298" s="61"/>
      <c r="EZ298" s="61"/>
      <c r="FA298" s="61"/>
      <c r="FB298" s="61"/>
      <c r="FC298" s="61"/>
      <c r="FD298" s="61"/>
      <c r="FE298" s="61"/>
      <c r="FF298" s="61"/>
      <c r="FG298" s="61"/>
      <c r="FH298" s="61"/>
      <c r="FI298" s="61"/>
      <c r="FJ298" s="61"/>
      <c r="FK298" s="61"/>
      <c r="FL298" s="61"/>
      <c r="FM298" s="61"/>
      <c r="FN298" s="61"/>
      <c r="FO298" s="61"/>
      <c r="FP298" s="61"/>
      <c r="FQ298" s="61"/>
      <c r="FR298" s="61"/>
      <c r="FS298" s="61"/>
      <c r="FT298" s="61"/>
      <c r="FU298" s="61"/>
      <c r="FV298" s="61"/>
      <c r="FW298" s="61"/>
      <c r="FX298" s="61"/>
      <c r="FY298" s="61"/>
      <c r="FZ298" s="61"/>
      <c r="GA298" s="61"/>
      <c r="GB298" s="61"/>
      <c r="GC298" s="61"/>
      <c r="GD298" s="61"/>
      <c r="GE298" s="61"/>
      <c r="GF298" s="61"/>
      <c r="GG298" s="61"/>
      <c r="GH298" s="61"/>
      <c r="GI298" s="61"/>
      <c r="GJ298" s="61"/>
      <c r="GK298" s="61"/>
      <c r="GL298" s="61"/>
      <c r="GM298" s="61"/>
      <c r="GN298" s="61"/>
      <c r="GO298" s="61"/>
      <c r="GP298" s="61"/>
      <c r="GQ298" s="61"/>
      <c r="GR298" s="61"/>
      <c r="GS298" s="61"/>
      <c r="GT298" s="61"/>
      <c r="GU298" s="61"/>
      <c r="GV298" s="61"/>
      <c r="GW298" s="61"/>
      <c r="GX298" s="61"/>
      <c r="GY298" s="61"/>
      <c r="GZ298" s="61"/>
      <c r="HA298" s="61"/>
      <c r="HB298" s="61"/>
      <c r="HC298" s="61"/>
      <c r="HD298" s="61"/>
      <c r="HE298" s="61"/>
      <c r="HF298" s="61"/>
      <c r="HG298" s="61"/>
      <c r="HH298" s="61"/>
      <c r="HI298" s="61"/>
      <c r="HJ298" s="61"/>
      <c r="HK298" s="61"/>
      <c r="HL298" s="61"/>
      <c r="HM298" s="61"/>
      <c r="HN298" s="61"/>
      <c r="HO298" s="61"/>
      <c r="HP298" s="61"/>
      <c r="HQ298" s="61"/>
      <c r="HR298" s="61"/>
      <c r="HS298" s="61"/>
      <c r="HT298" s="61"/>
      <c r="HU298" s="61"/>
      <c r="HV298" s="61"/>
      <c r="HW298" s="61"/>
      <c r="HX298" s="61"/>
      <c r="HY298" s="61"/>
      <c r="HZ298" s="61"/>
      <c r="IA298" s="61"/>
      <c r="IB298" s="61"/>
      <c r="IC298" s="61"/>
      <c r="ID298" s="61"/>
      <c r="IE298" s="61"/>
      <c r="IF298" s="61"/>
      <c r="IG298" s="61"/>
      <c r="IH298" s="61"/>
      <c r="II298" s="61"/>
      <c r="IJ298" s="61"/>
      <c r="IK298" s="61"/>
      <c r="IL298" s="61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  <c r="IW298" s="61"/>
      <c r="IX298" s="61"/>
      <c r="IY298" s="61"/>
      <c r="IZ298" s="61"/>
      <c r="JA298" s="61"/>
      <c r="JB298" s="61"/>
      <c r="JC298" s="61"/>
      <c r="JD298" s="61"/>
      <c r="JE298" s="61"/>
      <c r="JF298" s="61"/>
      <c r="JG298" s="61"/>
      <c r="JH298" s="61"/>
      <c r="JI298" s="61"/>
      <c r="JJ298" s="61"/>
      <c r="JK298" s="61"/>
      <c r="JL298" s="61"/>
      <c r="JM298" s="61"/>
      <c r="JN298" s="61"/>
      <c r="JO298" s="61"/>
      <c r="JP298" s="61"/>
      <c r="JQ298" s="61"/>
      <c r="JR298" s="61"/>
      <c r="JS298" s="61"/>
      <c r="JT298" s="61"/>
      <c r="JU298" s="61"/>
      <c r="JV298" s="61"/>
      <c r="JW298" s="61"/>
      <c r="JX298" s="61"/>
      <c r="JY298" s="61"/>
      <c r="JZ298" s="61"/>
      <c r="KA298" s="61"/>
      <c r="KB298" s="61"/>
      <c r="KC298" s="61"/>
      <c r="KD298" s="61"/>
      <c r="KE298" s="61"/>
      <c r="KF298" s="61"/>
      <c r="KG298" s="61"/>
      <c r="KH298" s="61"/>
      <c r="KI298" s="61"/>
      <c r="KJ298" s="61"/>
      <c r="KK298" s="61"/>
      <c r="KL298" s="61"/>
      <c r="KM298" s="61"/>
      <c r="KN298" s="61"/>
      <c r="KO298" s="61"/>
      <c r="KP298" s="61"/>
      <c r="KQ298" s="61"/>
      <c r="KR298" s="61"/>
      <c r="KS298" s="61"/>
      <c r="KT298" s="61"/>
      <c r="KU298" s="61"/>
      <c r="KV298" s="61"/>
      <c r="KW298" s="61"/>
      <c r="KX298" s="61"/>
      <c r="KY298" s="61"/>
      <c r="KZ298" s="61"/>
      <c r="LA298" s="61"/>
      <c r="LB298" s="61"/>
      <c r="LC298" s="61"/>
      <c r="LD298" s="61"/>
      <c r="LE298" s="61"/>
      <c r="LF298" s="61"/>
      <c r="LG298" s="61"/>
      <c r="LH298" s="61"/>
      <c r="LI298" s="61"/>
      <c r="LJ298" s="61"/>
      <c r="LK298" s="61"/>
      <c r="LL298" s="61"/>
      <c r="LM298" s="61"/>
      <c r="LN298" s="61"/>
      <c r="LO298" s="61"/>
      <c r="LP298" s="61"/>
      <c r="LQ298" s="61"/>
      <c r="LR298" s="61"/>
      <c r="LS298" s="61"/>
      <c r="LT298" s="61"/>
      <c r="LU298" s="61"/>
      <c r="LV298" s="61"/>
      <c r="LW298" s="61"/>
      <c r="LX298" s="61"/>
      <c r="LY298" s="61"/>
      <c r="LZ298" s="61"/>
      <c r="MA298" s="61"/>
      <c r="MB298" s="61"/>
      <c r="MC298" s="61"/>
      <c r="MD298" s="61"/>
      <c r="ME298" s="61"/>
      <c r="MF298" s="61"/>
      <c r="MG298" s="61"/>
      <c r="MH298" s="61"/>
      <c r="MI298" s="61"/>
      <c r="MJ298" s="61"/>
      <c r="MK298" s="61"/>
      <c r="ML298" s="61"/>
      <c r="MM298" s="61"/>
      <c r="MN298" s="61"/>
      <c r="MO298" s="61"/>
      <c r="MP298" s="61"/>
      <c r="MQ298" s="61"/>
      <c r="MR298" s="61"/>
      <c r="MS298" s="61"/>
      <c r="MT298" s="61"/>
      <c r="MU298" s="61"/>
      <c r="MV298" s="61"/>
      <c r="MW298" s="61"/>
      <c r="MX298" s="61"/>
      <c r="MY298" s="61"/>
      <c r="MZ298" s="61"/>
      <c r="NA298" s="61"/>
      <c r="NB298" s="61"/>
      <c r="NC298" s="61"/>
      <c r="ND298" s="61"/>
      <c r="NE298" s="61"/>
      <c r="NF298" s="61"/>
      <c r="NG298" s="61"/>
      <c r="NH298" s="61"/>
      <c r="NI298" s="61"/>
      <c r="NJ298" s="61"/>
      <c r="NK298" s="61"/>
      <c r="NL298" s="61"/>
      <c r="NM298" s="61"/>
      <c r="NN298" s="61"/>
      <c r="NO298" s="61"/>
      <c r="NP298" s="61"/>
      <c r="NQ298" s="61"/>
      <c r="NR298" s="61"/>
      <c r="NS298" s="61"/>
      <c r="NT298" s="61"/>
      <c r="NU298" s="61"/>
      <c r="NV298" s="61"/>
      <c r="NW298" s="61"/>
      <c r="NX298" s="61"/>
      <c r="NY298" s="61"/>
      <c r="NZ298" s="61"/>
      <c r="OA298" s="61"/>
      <c r="OB298" s="61"/>
      <c r="OC298" s="61"/>
      <c r="OD298" s="61"/>
      <c r="OE298" s="61"/>
      <c r="OF298" s="61"/>
      <c r="OG298" s="61"/>
      <c r="OH298" s="61"/>
      <c r="OI298" s="61"/>
      <c r="OJ298" s="61"/>
      <c r="OK298" s="61"/>
      <c r="OL298" s="61"/>
      <c r="OM298" s="61"/>
      <c r="ON298" s="61"/>
      <c r="OO298" s="61"/>
      <c r="OP298" s="61"/>
      <c r="OQ298" s="61"/>
      <c r="OR298" s="61"/>
      <c r="OS298" s="61"/>
      <c r="OT298" s="61"/>
      <c r="OU298" s="61"/>
      <c r="OV298" s="61"/>
      <c r="OW298" s="61"/>
      <c r="OX298" s="61"/>
      <c r="OY298" s="61"/>
      <c r="OZ298" s="61"/>
      <c r="PA298" s="61"/>
      <c r="PB298" s="61"/>
      <c r="PC298" s="61"/>
      <c r="PD298" s="61"/>
      <c r="PE298" s="61"/>
      <c r="PF298" s="61"/>
      <c r="PG298" s="61"/>
      <c r="PH298" s="61"/>
      <c r="PI298" s="61"/>
      <c r="PJ298" s="61"/>
      <c r="PK298" s="61"/>
      <c r="PL298" s="61"/>
      <c r="PM298" s="61"/>
      <c r="PN298" s="61"/>
      <c r="PO298" s="61"/>
      <c r="PP298" s="61"/>
      <c r="PQ298" s="61"/>
      <c r="PR298" s="61"/>
      <c r="PS298" s="61"/>
      <c r="PT298" s="61"/>
      <c r="PU298" s="61"/>
      <c r="PV298" s="61"/>
      <c r="PW298" s="61"/>
      <c r="PX298" s="61"/>
      <c r="PY298" s="61"/>
      <c r="PZ298" s="61"/>
      <c r="QA298" s="61"/>
      <c r="QB298" s="61"/>
      <c r="QC298" s="61"/>
      <c r="QD298" s="61"/>
      <c r="QE298" s="61"/>
      <c r="QF298" s="61"/>
      <c r="QG298" s="61"/>
      <c r="QH298" s="61"/>
      <c r="QI298" s="61"/>
      <c r="QJ298" s="61"/>
      <c r="QK298" s="61"/>
      <c r="QL298" s="61"/>
      <c r="QM298" s="61"/>
      <c r="QN298" s="61"/>
      <c r="QO298" s="61"/>
      <c r="QP298" s="61"/>
      <c r="QQ298" s="61"/>
      <c r="QR298" s="61"/>
      <c r="QS298" s="61"/>
      <c r="QT298" s="61"/>
      <c r="QU298" s="61"/>
      <c r="QV298" s="61"/>
      <c r="QW298" s="61"/>
      <c r="QX298" s="61"/>
      <c r="QY298" s="61"/>
      <c r="QZ298" s="61"/>
      <c r="RA298" s="61"/>
      <c r="RB298" s="61"/>
      <c r="RC298" s="61"/>
      <c r="RD298" s="61"/>
      <c r="RE298" s="61"/>
      <c r="RF298" s="61"/>
      <c r="RG298" s="61"/>
      <c r="RH298" s="61"/>
      <c r="RI298" s="61"/>
      <c r="RJ298" s="61"/>
      <c r="RK298" s="61"/>
      <c r="RL298" s="61"/>
      <c r="RM298" s="61"/>
      <c r="RN298" s="61"/>
      <c r="RO298" s="61"/>
      <c r="RP298" s="61"/>
      <c r="RQ298" s="61"/>
      <c r="RR298" s="61"/>
      <c r="RS298" s="61"/>
      <c r="RT298" s="61"/>
      <c r="RU298" s="61"/>
      <c r="RV298" s="61"/>
      <c r="RW298" s="61"/>
      <c r="RX298" s="61"/>
      <c r="RY298" s="61"/>
      <c r="RZ298" s="61"/>
      <c r="SA298" s="61"/>
      <c r="SB298" s="61"/>
      <c r="SC298" s="61"/>
      <c r="SD298" s="61"/>
      <c r="SE298" s="61"/>
      <c r="SF298" s="61"/>
      <c r="SG298" s="61"/>
      <c r="SH298" s="61"/>
      <c r="SI298" s="61"/>
      <c r="SJ298" s="61"/>
      <c r="SK298" s="61"/>
      <c r="SL298" s="61"/>
      <c r="SM298" s="61"/>
      <c r="SN298" s="61"/>
      <c r="SO298" s="61"/>
      <c r="SP298" s="61"/>
      <c r="SQ298" s="61"/>
      <c r="SR298" s="61"/>
      <c r="SS298" s="61"/>
      <c r="ST298" s="61"/>
      <c r="SU298" s="61"/>
      <c r="SV298" s="61"/>
      <c r="SW298" s="61"/>
      <c r="SX298" s="61"/>
      <c r="SY298" s="61"/>
      <c r="SZ298" s="61"/>
      <c r="TA298" s="61"/>
      <c r="TB298" s="61"/>
      <c r="TC298" s="61"/>
      <c r="TD298" s="61"/>
      <c r="TE298" s="61"/>
      <c r="TF298" s="61"/>
      <c r="TG298" s="61"/>
      <c r="TH298" s="61"/>
      <c r="TI298" s="61"/>
      <c r="TJ298" s="61"/>
      <c r="TK298" s="61"/>
      <c r="TL298" s="61"/>
      <c r="TM298" s="61"/>
      <c r="TN298" s="61"/>
      <c r="TO298" s="61"/>
      <c r="TP298" s="61"/>
      <c r="TQ298" s="61"/>
      <c r="TR298" s="61"/>
      <c r="TS298" s="61"/>
      <c r="TT298" s="61"/>
      <c r="TU298" s="61"/>
      <c r="TV298" s="61"/>
      <c r="TW298" s="61"/>
      <c r="TX298" s="61"/>
      <c r="TY298" s="61"/>
      <c r="TZ298" s="61"/>
      <c r="UA298" s="61"/>
      <c r="UB298" s="61"/>
      <c r="UC298" s="61"/>
      <c r="UD298" s="61"/>
      <c r="UE298" s="61"/>
      <c r="UF298" s="61"/>
      <c r="UG298" s="61"/>
      <c r="UH298" s="61"/>
      <c r="UI298" s="61"/>
      <c r="UJ298" s="61"/>
      <c r="UK298" s="61"/>
      <c r="UL298" s="61"/>
      <c r="UM298" s="61"/>
      <c r="UN298" s="61"/>
      <c r="UO298" s="61"/>
      <c r="UP298" s="61"/>
      <c r="UQ298" s="61"/>
      <c r="UR298" s="61"/>
      <c r="US298" s="61"/>
      <c r="UT298" s="61"/>
      <c r="UU298" s="61"/>
      <c r="UV298" s="61"/>
      <c r="UW298" s="61"/>
      <c r="UX298" s="61"/>
      <c r="UY298" s="61"/>
      <c r="UZ298" s="61"/>
      <c r="VA298" s="61"/>
      <c r="VB298" s="61"/>
      <c r="VC298" s="61"/>
    </row>
    <row r="299" spans="1:575" s="72" customFormat="1" ht="36" customHeight="1" x14ac:dyDescent="0.2">
      <c r="A299" s="70" t="s">
        <v>284</v>
      </c>
      <c r="B299" s="111"/>
      <c r="C299" s="111"/>
      <c r="D299" s="71" t="s">
        <v>63</v>
      </c>
      <c r="E299" s="134">
        <f>E300</f>
        <v>139719716.81999999</v>
      </c>
      <c r="F299" s="134">
        <f t="shared" ref="F299:P299" si="62">F300</f>
        <v>131634902.66</v>
      </c>
      <c r="G299" s="134">
        <f t="shared" si="62"/>
        <v>15818000</v>
      </c>
      <c r="H299" s="134">
        <f t="shared" si="62"/>
        <v>214541</v>
      </c>
      <c r="I299" s="134">
        <f t="shared" si="62"/>
        <v>0</v>
      </c>
      <c r="J299" s="134">
        <f t="shared" si="62"/>
        <v>9186000</v>
      </c>
      <c r="K299" s="134">
        <f t="shared" si="62"/>
        <v>1146000</v>
      </c>
      <c r="L299" s="134">
        <f t="shared" si="62"/>
        <v>8040000</v>
      </c>
      <c r="M299" s="134">
        <f t="shared" si="62"/>
        <v>0</v>
      </c>
      <c r="N299" s="134">
        <f t="shared" si="62"/>
        <v>0</v>
      </c>
      <c r="O299" s="134">
        <f t="shared" si="62"/>
        <v>1146000</v>
      </c>
      <c r="P299" s="134">
        <f t="shared" si="62"/>
        <v>148905716.81999999</v>
      </c>
      <c r="Q299" s="159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  <c r="BH299" s="90"/>
      <c r="BI299" s="90"/>
      <c r="BJ299" s="90"/>
      <c r="BK299" s="90"/>
      <c r="BL299" s="90"/>
      <c r="BM299" s="90"/>
      <c r="BN299" s="90"/>
      <c r="BO299" s="90"/>
      <c r="BP299" s="90"/>
      <c r="BQ299" s="90"/>
      <c r="BR299" s="90"/>
      <c r="BS299" s="90"/>
      <c r="BT299" s="90"/>
      <c r="BU299" s="90"/>
      <c r="BV299" s="90"/>
      <c r="BW299" s="90"/>
      <c r="BX299" s="90"/>
      <c r="BY299" s="90"/>
      <c r="BZ299" s="90"/>
      <c r="CA299" s="90"/>
      <c r="CB299" s="90"/>
      <c r="CC299" s="90"/>
      <c r="CD299" s="90"/>
      <c r="CE299" s="90"/>
      <c r="CF299" s="90"/>
      <c r="CG299" s="90"/>
      <c r="CH299" s="90"/>
      <c r="CI299" s="90"/>
      <c r="CJ299" s="90"/>
      <c r="CK299" s="90"/>
      <c r="CL299" s="90"/>
      <c r="CM299" s="90"/>
      <c r="CN299" s="90"/>
      <c r="CO299" s="90"/>
      <c r="CP299" s="90"/>
      <c r="CQ299" s="90"/>
      <c r="CR299" s="90"/>
      <c r="CS299" s="90"/>
      <c r="CT299" s="90"/>
      <c r="CU299" s="90"/>
      <c r="CV299" s="90"/>
      <c r="CW299" s="90"/>
      <c r="CX299" s="90"/>
      <c r="CY299" s="90"/>
      <c r="CZ299" s="90"/>
      <c r="DA299" s="90"/>
      <c r="DB299" s="90"/>
      <c r="DC299" s="90"/>
      <c r="DD299" s="90"/>
      <c r="DE299" s="90"/>
      <c r="DF299" s="90"/>
      <c r="DG299" s="90"/>
      <c r="DH299" s="90"/>
      <c r="DI299" s="90"/>
      <c r="DJ299" s="90"/>
      <c r="DK299" s="90"/>
      <c r="DL299" s="90"/>
      <c r="DM299" s="90"/>
      <c r="DN299" s="90"/>
      <c r="DO299" s="90"/>
      <c r="DP299" s="90"/>
      <c r="DQ299" s="90"/>
      <c r="DR299" s="90"/>
      <c r="DS299" s="90"/>
      <c r="DT299" s="90"/>
      <c r="DU299" s="90"/>
      <c r="DV299" s="90"/>
      <c r="DW299" s="90"/>
      <c r="DX299" s="90"/>
      <c r="DY299" s="90"/>
      <c r="DZ299" s="90"/>
      <c r="EA299" s="90"/>
      <c r="EB299" s="90"/>
      <c r="EC299" s="90"/>
      <c r="ED299" s="90"/>
      <c r="EE299" s="90"/>
      <c r="EF299" s="90"/>
      <c r="EG299" s="90"/>
      <c r="EH299" s="90"/>
      <c r="EI299" s="90"/>
      <c r="EJ299" s="90"/>
      <c r="EK299" s="90"/>
      <c r="EL299" s="90"/>
      <c r="EM299" s="90"/>
      <c r="EN299" s="90"/>
      <c r="EO299" s="90"/>
      <c r="EP299" s="90"/>
      <c r="EQ299" s="90"/>
      <c r="ER299" s="90"/>
      <c r="ES299" s="90"/>
      <c r="ET299" s="90"/>
      <c r="EU299" s="90"/>
      <c r="EV299" s="90"/>
      <c r="EW299" s="90"/>
      <c r="EX299" s="90"/>
      <c r="EY299" s="90"/>
      <c r="EZ299" s="90"/>
      <c r="FA299" s="90"/>
      <c r="FB299" s="90"/>
      <c r="FC299" s="90"/>
      <c r="FD299" s="90"/>
      <c r="FE299" s="90"/>
      <c r="FF299" s="90"/>
      <c r="FG299" s="90"/>
      <c r="FH299" s="90"/>
      <c r="FI299" s="90"/>
      <c r="FJ299" s="90"/>
      <c r="FK299" s="90"/>
      <c r="FL299" s="90"/>
      <c r="FM299" s="90"/>
      <c r="FN299" s="90"/>
      <c r="FO299" s="90"/>
      <c r="FP299" s="90"/>
      <c r="FQ299" s="90"/>
      <c r="FR299" s="90"/>
      <c r="FS299" s="90"/>
      <c r="FT299" s="90"/>
      <c r="FU299" s="90"/>
      <c r="FV299" s="90"/>
      <c r="FW299" s="90"/>
      <c r="FX299" s="90"/>
      <c r="FY299" s="90"/>
      <c r="FZ299" s="90"/>
      <c r="GA299" s="90"/>
      <c r="GB299" s="90"/>
      <c r="GC299" s="90"/>
      <c r="GD299" s="90"/>
      <c r="GE299" s="90"/>
      <c r="GF299" s="90"/>
      <c r="GG299" s="90"/>
      <c r="GH299" s="90"/>
      <c r="GI299" s="90"/>
      <c r="GJ299" s="90"/>
      <c r="GK299" s="90"/>
      <c r="GL299" s="90"/>
      <c r="GM299" s="90"/>
      <c r="GN299" s="90"/>
      <c r="GO299" s="90"/>
      <c r="GP299" s="90"/>
      <c r="GQ299" s="90"/>
      <c r="GR299" s="90"/>
      <c r="GS299" s="90"/>
      <c r="GT299" s="90"/>
      <c r="GU299" s="90"/>
      <c r="GV299" s="90"/>
      <c r="GW299" s="90"/>
      <c r="GX299" s="90"/>
      <c r="GY299" s="90"/>
      <c r="GZ299" s="90"/>
      <c r="HA299" s="90"/>
      <c r="HB299" s="90"/>
      <c r="HC299" s="90"/>
      <c r="HD299" s="90"/>
      <c r="HE299" s="90"/>
      <c r="HF299" s="90"/>
      <c r="HG299" s="90"/>
      <c r="HH299" s="90"/>
      <c r="HI299" s="90"/>
      <c r="HJ299" s="90"/>
      <c r="HK299" s="90"/>
      <c r="HL299" s="90"/>
      <c r="HM299" s="90"/>
      <c r="HN299" s="90"/>
      <c r="HO299" s="90"/>
      <c r="HP299" s="90"/>
      <c r="HQ299" s="90"/>
      <c r="HR299" s="90"/>
      <c r="HS299" s="90"/>
      <c r="HT299" s="90"/>
      <c r="HU299" s="90"/>
      <c r="HV299" s="90"/>
      <c r="HW299" s="90"/>
      <c r="HX299" s="90"/>
      <c r="HY299" s="90"/>
      <c r="HZ299" s="90"/>
      <c r="IA299" s="90"/>
      <c r="IB299" s="90"/>
      <c r="IC299" s="90"/>
      <c r="ID299" s="90"/>
      <c r="IE299" s="90"/>
      <c r="IF299" s="90"/>
      <c r="IG299" s="90"/>
      <c r="IH299" s="90"/>
      <c r="II299" s="90"/>
      <c r="IJ299" s="90"/>
      <c r="IK299" s="90"/>
      <c r="IL299" s="90"/>
      <c r="IM299" s="90"/>
      <c r="IN299" s="90"/>
      <c r="IO299" s="90"/>
      <c r="IP299" s="90"/>
      <c r="IQ299" s="90"/>
      <c r="IR299" s="90"/>
      <c r="IS299" s="90"/>
      <c r="IT299" s="90"/>
      <c r="IU299" s="90"/>
      <c r="IV299" s="90"/>
      <c r="IW299" s="90"/>
      <c r="IX299" s="90"/>
      <c r="IY299" s="90"/>
      <c r="IZ299" s="90"/>
      <c r="JA299" s="90"/>
      <c r="JB299" s="90"/>
      <c r="JC299" s="90"/>
      <c r="JD299" s="90"/>
      <c r="JE299" s="90"/>
      <c r="JF299" s="90"/>
      <c r="JG299" s="90"/>
      <c r="JH299" s="90"/>
      <c r="JI299" s="90"/>
      <c r="JJ299" s="90"/>
      <c r="JK299" s="90"/>
      <c r="JL299" s="90"/>
      <c r="JM299" s="90"/>
      <c r="JN299" s="90"/>
      <c r="JO299" s="90"/>
      <c r="JP299" s="90"/>
      <c r="JQ299" s="90"/>
      <c r="JR299" s="90"/>
      <c r="JS299" s="90"/>
      <c r="JT299" s="90"/>
      <c r="JU299" s="90"/>
      <c r="JV299" s="90"/>
      <c r="JW299" s="90"/>
      <c r="JX299" s="90"/>
      <c r="JY299" s="90"/>
      <c r="JZ299" s="90"/>
      <c r="KA299" s="90"/>
      <c r="KB299" s="90"/>
      <c r="KC299" s="90"/>
      <c r="KD299" s="90"/>
      <c r="KE299" s="90"/>
      <c r="KF299" s="90"/>
      <c r="KG299" s="90"/>
      <c r="KH299" s="90"/>
      <c r="KI299" s="90"/>
      <c r="KJ299" s="90"/>
      <c r="KK299" s="90"/>
      <c r="KL299" s="90"/>
      <c r="KM299" s="90"/>
      <c r="KN299" s="90"/>
      <c r="KO299" s="90"/>
      <c r="KP299" s="90"/>
      <c r="KQ299" s="90"/>
      <c r="KR299" s="90"/>
      <c r="KS299" s="90"/>
      <c r="KT299" s="90"/>
      <c r="KU299" s="90"/>
      <c r="KV299" s="90"/>
      <c r="KW299" s="90"/>
      <c r="KX299" s="90"/>
      <c r="KY299" s="90"/>
      <c r="KZ299" s="90"/>
      <c r="LA299" s="90"/>
      <c r="LB299" s="90"/>
      <c r="LC299" s="90"/>
      <c r="LD299" s="90"/>
      <c r="LE299" s="90"/>
      <c r="LF299" s="90"/>
      <c r="LG299" s="90"/>
      <c r="LH299" s="90"/>
      <c r="LI299" s="90"/>
      <c r="LJ299" s="90"/>
      <c r="LK299" s="90"/>
      <c r="LL299" s="90"/>
      <c r="LM299" s="90"/>
      <c r="LN299" s="90"/>
      <c r="LO299" s="90"/>
      <c r="LP299" s="90"/>
      <c r="LQ299" s="90"/>
      <c r="LR299" s="90"/>
      <c r="LS299" s="90"/>
      <c r="LT299" s="90"/>
      <c r="LU299" s="90"/>
      <c r="LV299" s="90"/>
      <c r="LW299" s="90"/>
      <c r="LX299" s="90"/>
      <c r="LY299" s="90"/>
      <c r="LZ299" s="90"/>
      <c r="MA299" s="90"/>
      <c r="MB299" s="90"/>
      <c r="MC299" s="90"/>
      <c r="MD299" s="90"/>
      <c r="ME299" s="90"/>
      <c r="MF299" s="90"/>
      <c r="MG299" s="90"/>
      <c r="MH299" s="90"/>
      <c r="MI299" s="90"/>
      <c r="MJ299" s="90"/>
      <c r="MK299" s="90"/>
      <c r="ML299" s="90"/>
      <c r="MM299" s="90"/>
      <c r="MN299" s="90"/>
      <c r="MO299" s="90"/>
      <c r="MP299" s="90"/>
      <c r="MQ299" s="90"/>
      <c r="MR299" s="90"/>
      <c r="MS299" s="90"/>
      <c r="MT299" s="90"/>
      <c r="MU299" s="90"/>
      <c r="MV299" s="90"/>
      <c r="MW299" s="90"/>
      <c r="MX299" s="90"/>
      <c r="MY299" s="90"/>
      <c r="MZ299" s="90"/>
      <c r="NA299" s="90"/>
      <c r="NB299" s="90"/>
      <c r="NC299" s="90"/>
      <c r="ND299" s="90"/>
      <c r="NE299" s="90"/>
      <c r="NF299" s="90"/>
      <c r="NG299" s="90"/>
      <c r="NH299" s="90"/>
      <c r="NI299" s="90"/>
      <c r="NJ299" s="90"/>
      <c r="NK299" s="90"/>
      <c r="NL299" s="90"/>
      <c r="NM299" s="90"/>
      <c r="NN299" s="90"/>
      <c r="NO299" s="90"/>
      <c r="NP299" s="90"/>
      <c r="NQ299" s="90"/>
      <c r="NR299" s="90"/>
      <c r="NS299" s="90"/>
      <c r="NT299" s="90"/>
      <c r="NU299" s="90"/>
      <c r="NV299" s="90"/>
      <c r="NW299" s="90"/>
      <c r="NX299" s="90"/>
      <c r="NY299" s="90"/>
      <c r="NZ299" s="90"/>
      <c r="OA299" s="90"/>
      <c r="OB299" s="90"/>
      <c r="OC299" s="90"/>
      <c r="OD299" s="90"/>
      <c r="OE299" s="90"/>
      <c r="OF299" s="90"/>
      <c r="OG299" s="90"/>
      <c r="OH299" s="90"/>
      <c r="OI299" s="90"/>
      <c r="OJ299" s="90"/>
      <c r="OK299" s="90"/>
      <c r="OL299" s="90"/>
      <c r="OM299" s="90"/>
      <c r="ON299" s="90"/>
      <c r="OO299" s="90"/>
      <c r="OP299" s="90"/>
      <c r="OQ299" s="90"/>
      <c r="OR299" s="90"/>
      <c r="OS299" s="90"/>
      <c r="OT299" s="90"/>
      <c r="OU299" s="90"/>
      <c r="OV299" s="90"/>
      <c r="OW299" s="90"/>
      <c r="OX299" s="90"/>
      <c r="OY299" s="90"/>
      <c r="OZ299" s="90"/>
      <c r="PA299" s="90"/>
      <c r="PB299" s="90"/>
      <c r="PC299" s="90"/>
      <c r="PD299" s="90"/>
      <c r="PE299" s="90"/>
      <c r="PF299" s="90"/>
      <c r="PG299" s="90"/>
      <c r="PH299" s="90"/>
      <c r="PI299" s="90"/>
      <c r="PJ299" s="90"/>
      <c r="PK299" s="90"/>
      <c r="PL299" s="90"/>
      <c r="PM299" s="90"/>
      <c r="PN299" s="90"/>
      <c r="PO299" s="90"/>
      <c r="PP299" s="90"/>
      <c r="PQ299" s="90"/>
      <c r="PR299" s="90"/>
      <c r="PS299" s="90"/>
      <c r="PT299" s="90"/>
      <c r="PU299" s="90"/>
      <c r="PV299" s="90"/>
      <c r="PW299" s="90"/>
      <c r="PX299" s="90"/>
      <c r="PY299" s="90"/>
      <c r="PZ299" s="90"/>
      <c r="QA299" s="90"/>
      <c r="QB299" s="90"/>
      <c r="QC299" s="90"/>
      <c r="QD299" s="90"/>
      <c r="QE299" s="90"/>
      <c r="QF299" s="90"/>
      <c r="QG299" s="90"/>
      <c r="QH299" s="90"/>
      <c r="QI299" s="90"/>
      <c r="QJ299" s="90"/>
      <c r="QK299" s="90"/>
      <c r="QL299" s="90"/>
      <c r="QM299" s="90"/>
      <c r="QN299" s="90"/>
      <c r="QO299" s="90"/>
      <c r="QP299" s="90"/>
      <c r="QQ299" s="90"/>
      <c r="QR299" s="90"/>
      <c r="QS299" s="90"/>
      <c r="QT299" s="90"/>
      <c r="QU299" s="90"/>
      <c r="QV299" s="90"/>
      <c r="QW299" s="90"/>
      <c r="QX299" s="90"/>
      <c r="QY299" s="90"/>
      <c r="QZ299" s="90"/>
      <c r="RA299" s="90"/>
      <c r="RB299" s="90"/>
      <c r="RC299" s="90"/>
      <c r="RD299" s="90"/>
      <c r="RE299" s="90"/>
      <c r="RF299" s="90"/>
      <c r="RG299" s="90"/>
      <c r="RH299" s="90"/>
      <c r="RI299" s="90"/>
      <c r="RJ299" s="90"/>
      <c r="RK299" s="90"/>
      <c r="RL299" s="90"/>
      <c r="RM299" s="90"/>
      <c r="RN299" s="90"/>
      <c r="RO299" s="90"/>
      <c r="RP299" s="90"/>
      <c r="RQ299" s="90"/>
      <c r="RR299" s="90"/>
      <c r="RS299" s="90"/>
      <c r="RT299" s="90"/>
      <c r="RU299" s="90"/>
      <c r="RV299" s="90"/>
      <c r="RW299" s="90"/>
      <c r="RX299" s="90"/>
      <c r="RY299" s="90"/>
      <c r="RZ299" s="90"/>
      <c r="SA299" s="90"/>
      <c r="SB299" s="90"/>
      <c r="SC299" s="90"/>
      <c r="SD299" s="90"/>
      <c r="SE299" s="90"/>
      <c r="SF299" s="90"/>
      <c r="SG299" s="90"/>
      <c r="SH299" s="90"/>
      <c r="SI299" s="90"/>
      <c r="SJ299" s="90"/>
      <c r="SK299" s="90"/>
      <c r="SL299" s="90"/>
      <c r="SM299" s="90"/>
      <c r="SN299" s="90"/>
      <c r="SO299" s="90"/>
      <c r="SP299" s="90"/>
      <c r="SQ299" s="90"/>
      <c r="SR299" s="90"/>
      <c r="SS299" s="90"/>
      <c r="ST299" s="90"/>
      <c r="SU299" s="90"/>
      <c r="SV299" s="90"/>
      <c r="SW299" s="90"/>
      <c r="SX299" s="90"/>
      <c r="SY299" s="90"/>
      <c r="SZ299" s="90"/>
      <c r="TA299" s="90"/>
      <c r="TB299" s="90"/>
      <c r="TC299" s="90"/>
      <c r="TD299" s="90"/>
      <c r="TE299" s="90"/>
      <c r="TF299" s="90"/>
      <c r="TG299" s="90"/>
      <c r="TH299" s="90"/>
      <c r="TI299" s="90"/>
      <c r="TJ299" s="90"/>
      <c r="TK299" s="90"/>
      <c r="TL299" s="90"/>
      <c r="TM299" s="90"/>
      <c r="TN299" s="90"/>
      <c r="TO299" s="90"/>
      <c r="TP299" s="90"/>
      <c r="TQ299" s="90"/>
      <c r="TR299" s="90"/>
      <c r="TS299" s="90"/>
      <c r="TT299" s="90"/>
      <c r="TU299" s="90"/>
      <c r="TV299" s="90"/>
      <c r="TW299" s="90"/>
      <c r="TX299" s="90"/>
      <c r="TY299" s="90"/>
      <c r="TZ299" s="90"/>
      <c r="UA299" s="90"/>
      <c r="UB299" s="90"/>
      <c r="UC299" s="90"/>
      <c r="UD299" s="90"/>
      <c r="UE299" s="90"/>
      <c r="UF299" s="90"/>
      <c r="UG299" s="90"/>
      <c r="UH299" s="90"/>
      <c r="UI299" s="90"/>
      <c r="UJ299" s="90"/>
      <c r="UK299" s="90"/>
      <c r="UL299" s="90"/>
      <c r="UM299" s="90"/>
      <c r="UN299" s="90"/>
      <c r="UO299" s="90"/>
      <c r="UP299" s="90"/>
      <c r="UQ299" s="90"/>
      <c r="UR299" s="90"/>
      <c r="US299" s="90"/>
      <c r="UT299" s="90"/>
      <c r="UU299" s="90"/>
      <c r="UV299" s="90"/>
      <c r="UW299" s="90"/>
      <c r="UX299" s="90"/>
      <c r="UY299" s="90"/>
      <c r="UZ299" s="90"/>
      <c r="VA299" s="90"/>
      <c r="VB299" s="90"/>
      <c r="VC299" s="90"/>
    </row>
    <row r="300" spans="1:575" s="92" customFormat="1" ht="36" customHeight="1" x14ac:dyDescent="0.25">
      <c r="A300" s="75" t="s">
        <v>285</v>
      </c>
      <c r="B300" s="112"/>
      <c r="C300" s="112"/>
      <c r="D300" s="76" t="s">
        <v>63</v>
      </c>
      <c r="E300" s="131">
        <f>SUM(E302+E303+E304+E305+E306+E307+E309+E310+E311+E312+E314)</f>
        <v>139719716.81999999</v>
      </c>
      <c r="F300" s="131">
        <f t="shared" ref="F300:P300" si="63">SUM(F302+F303+F304+F305+F306+F307+F309+F310+F311+F312+F314)</f>
        <v>131634902.66</v>
      </c>
      <c r="G300" s="131">
        <f t="shared" si="63"/>
        <v>15818000</v>
      </c>
      <c r="H300" s="131">
        <f t="shared" si="63"/>
        <v>214541</v>
      </c>
      <c r="I300" s="131">
        <f t="shared" si="63"/>
        <v>0</v>
      </c>
      <c r="J300" s="131">
        <f t="shared" si="63"/>
        <v>9186000</v>
      </c>
      <c r="K300" s="131">
        <f t="shared" si="63"/>
        <v>1146000</v>
      </c>
      <c r="L300" s="131">
        <f t="shared" si="63"/>
        <v>8040000</v>
      </c>
      <c r="M300" s="131">
        <f t="shared" si="63"/>
        <v>0</v>
      </c>
      <c r="N300" s="131">
        <f t="shared" si="63"/>
        <v>0</v>
      </c>
      <c r="O300" s="131">
        <f t="shared" si="63"/>
        <v>1146000</v>
      </c>
      <c r="P300" s="131">
        <f t="shared" si="63"/>
        <v>148905716.81999999</v>
      </c>
      <c r="Q300" s="159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  <c r="BZ300" s="91"/>
      <c r="CA300" s="91"/>
      <c r="CB300" s="91"/>
      <c r="CC300" s="91"/>
      <c r="CD300" s="91"/>
      <c r="CE300" s="91"/>
      <c r="CF300" s="91"/>
      <c r="CG300" s="91"/>
      <c r="CH300" s="91"/>
      <c r="CI300" s="91"/>
      <c r="CJ300" s="91"/>
      <c r="CK300" s="91"/>
      <c r="CL300" s="91"/>
      <c r="CM300" s="91"/>
      <c r="CN300" s="91"/>
      <c r="CO300" s="91"/>
      <c r="CP300" s="91"/>
      <c r="CQ300" s="91"/>
      <c r="CR300" s="91"/>
      <c r="CS300" s="91"/>
      <c r="CT300" s="91"/>
      <c r="CU300" s="91"/>
      <c r="CV300" s="91"/>
      <c r="CW300" s="91"/>
      <c r="CX300" s="91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1"/>
      <c r="HT300" s="91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  <c r="IT300" s="91"/>
      <c r="IU300" s="91"/>
      <c r="IV300" s="91"/>
      <c r="IW300" s="91"/>
      <c r="IX300" s="91"/>
      <c r="IY300" s="91"/>
      <c r="IZ300" s="91"/>
      <c r="JA300" s="91"/>
      <c r="JB300" s="91"/>
      <c r="JC300" s="91"/>
      <c r="JD300" s="91"/>
      <c r="JE300" s="91"/>
      <c r="JF300" s="91"/>
      <c r="JG300" s="91"/>
      <c r="JH300" s="91"/>
      <c r="JI300" s="91"/>
      <c r="JJ300" s="91"/>
      <c r="JK300" s="91"/>
      <c r="JL300" s="91"/>
      <c r="JM300" s="91"/>
      <c r="JN300" s="91"/>
      <c r="JO300" s="91"/>
      <c r="JP300" s="91"/>
      <c r="JQ300" s="91"/>
      <c r="JR300" s="91"/>
      <c r="JS300" s="91"/>
      <c r="JT300" s="91"/>
      <c r="JU300" s="91"/>
      <c r="JV300" s="91"/>
      <c r="JW300" s="91"/>
      <c r="JX300" s="91"/>
      <c r="JY300" s="91"/>
      <c r="JZ300" s="91"/>
      <c r="KA300" s="91"/>
      <c r="KB300" s="91"/>
      <c r="KC300" s="91"/>
      <c r="KD300" s="91"/>
      <c r="KE300" s="91"/>
      <c r="KF300" s="91"/>
      <c r="KG300" s="91"/>
      <c r="KH300" s="91"/>
      <c r="KI300" s="91"/>
      <c r="KJ300" s="91"/>
      <c r="KK300" s="91"/>
      <c r="KL300" s="91"/>
      <c r="KM300" s="91"/>
      <c r="KN300" s="91"/>
      <c r="KO300" s="91"/>
      <c r="KP300" s="91"/>
      <c r="KQ300" s="91"/>
      <c r="KR300" s="91"/>
      <c r="KS300" s="91"/>
      <c r="KT300" s="91"/>
      <c r="KU300" s="91"/>
      <c r="KV300" s="91"/>
      <c r="KW300" s="91"/>
      <c r="KX300" s="91"/>
      <c r="KY300" s="91"/>
      <c r="KZ300" s="91"/>
      <c r="LA300" s="91"/>
      <c r="LB300" s="91"/>
      <c r="LC300" s="91"/>
      <c r="LD300" s="91"/>
      <c r="LE300" s="91"/>
      <c r="LF300" s="91"/>
      <c r="LG300" s="91"/>
      <c r="LH300" s="91"/>
      <c r="LI300" s="91"/>
      <c r="LJ300" s="91"/>
      <c r="LK300" s="91"/>
      <c r="LL300" s="91"/>
      <c r="LM300" s="91"/>
      <c r="LN300" s="91"/>
      <c r="LO300" s="91"/>
      <c r="LP300" s="91"/>
      <c r="LQ300" s="91"/>
      <c r="LR300" s="91"/>
      <c r="LS300" s="91"/>
      <c r="LT300" s="91"/>
      <c r="LU300" s="91"/>
      <c r="LV300" s="91"/>
      <c r="LW300" s="91"/>
      <c r="LX300" s="91"/>
      <c r="LY300" s="91"/>
      <c r="LZ300" s="91"/>
      <c r="MA300" s="91"/>
      <c r="MB300" s="91"/>
      <c r="MC300" s="91"/>
      <c r="MD300" s="91"/>
      <c r="ME300" s="91"/>
      <c r="MF300" s="91"/>
      <c r="MG300" s="91"/>
      <c r="MH300" s="91"/>
      <c r="MI300" s="91"/>
      <c r="MJ300" s="91"/>
      <c r="MK300" s="91"/>
      <c r="ML300" s="91"/>
      <c r="MM300" s="91"/>
      <c r="MN300" s="91"/>
      <c r="MO300" s="91"/>
      <c r="MP300" s="91"/>
      <c r="MQ300" s="91"/>
      <c r="MR300" s="91"/>
      <c r="MS300" s="91"/>
      <c r="MT300" s="91"/>
      <c r="MU300" s="91"/>
      <c r="MV300" s="91"/>
      <c r="MW300" s="91"/>
      <c r="MX300" s="91"/>
      <c r="MY300" s="91"/>
      <c r="MZ300" s="91"/>
      <c r="NA300" s="91"/>
      <c r="NB300" s="91"/>
      <c r="NC300" s="91"/>
      <c r="ND300" s="91"/>
      <c r="NE300" s="91"/>
      <c r="NF300" s="91"/>
      <c r="NG300" s="91"/>
      <c r="NH300" s="91"/>
      <c r="NI300" s="91"/>
      <c r="NJ300" s="91"/>
      <c r="NK300" s="91"/>
      <c r="NL300" s="91"/>
      <c r="NM300" s="91"/>
      <c r="NN300" s="91"/>
      <c r="NO300" s="91"/>
      <c r="NP300" s="91"/>
      <c r="NQ300" s="91"/>
      <c r="NR300" s="91"/>
      <c r="NS300" s="91"/>
      <c r="NT300" s="91"/>
      <c r="NU300" s="91"/>
      <c r="NV300" s="91"/>
      <c r="NW300" s="91"/>
      <c r="NX300" s="91"/>
      <c r="NY300" s="91"/>
      <c r="NZ300" s="91"/>
      <c r="OA300" s="91"/>
      <c r="OB300" s="91"/>
      <c r="OC300" s="91"/>
      <c r="OD300" s="91"/>
      <c r="OE300" s="91"/>
      <c r="OF300" s="91"/>
      <c r="OG300" s="91"/>
      <c r="OH300" s="91"/>
      <c r="OI300" s="91"/>
      <c r="OJ300" s="91"/>
      <c r="OK300" s="91"/>
      <c r="OL300" s="91"/>
      <c r="OM300" s="91"/>
      <c r="ON300" s="91"/>
      <c r="OO300" s="91"/>
      <c r="OP300" s="91"/>
      <c r="OQ300" s="91"/>
      <c r="OR300" s="91"/>
      <c r="OS300" s="91"/>
      <c r="OT300" s="91"/>
      <c r="OU300" s="91"/>
      <c r="OV300" s="91"/>
      <c r="OW300" s="91"/>
      <c r="OX300" s="91"/>
      <c r="OY300" s="91"/>
      <c r="OZ300" s="91"/>
      <c r="PA300" s="91"/>
      <c r="PB300" s="91"/>
      <c r="PC300" s="91"/>
      <c r="PD300" s="91"/>
      <c r="PE300" s="91"/>
      <c r="PF300" s="91"/>
      <c r="PG300" s="91"/>
      <c r="PH300" s="91"/>
      <c r="PI300" s="91"/>
      <c r="PJ300" s="91"/>
      <c r="PK300" s="91"/>
      <c r="PL300" s="91"/>
      <c r="PM300" s="91"/>
      <c r="PN300" s="91"/>
      <c r="PO300" s="91"/>
      <c r="PP300" s="91"/>
      <c r="PQ300" s="91"/>
      <c r="PR300" s="91"/>
      <c r="PS300" s="91"/>
      <c r="PT300" s="91"/>
      <c r="PU300" s="91"/>
      <c r="PV300" s="91"/>
      <c r="PW300" s="91"/>
      <c r="PX300" s="91"/>
      <c r="PY300" s="91"/>
      <c r="PZ300" s="91"/>
      <c r="QA300" s="91"/>
      <c r="QB300" s="91"/>
      <c r="QC300" s="91"/>
      <c r="QD300" s="91"/>
      <c r="QE300" s="91"/>
      <c r="QF300" s="91"/>
      <c r="QG300" s="91"/>
      <c r="QH300" s="91"/>
      <c r="QI300" s="91"/>
      <c r="QJ300" s="91"/>
      <c r="QK300" s="91"/>
      <c r="QL300" s="91"/>
      <c r="QM300" s="91"/>
      <c r="QN300" s="91"/>
      <c r="QO300" s="91"/>
      <c r="QP300" s="91"/>
      <c r="QQ300" s="91"/>
      <c r="QR300" s="91"/>
      <c r="QS300" s="91"/>
      <c r="QT300" s="91"/>
      <c r="QU300" s="91"/>
      <c r="QV300" s="91"/>
      <c r="QW300" s="91"/>
      <c r="QX300" s="91"/>
      <c r="QY300" s="91"/>
      <c r="QZ300" s="91"/>
      <c r="RA300" s="91"/>
      <c r="RB300" s="91"/>
      <c r="RC300" s="91"/>
      <c r="RD300" s="91"/>
      <c r="RE300" s="91"/>
      <c r="RF300" s="91"/>
      <c r="RG300" s="91"/>
      <c r="RH300" s="91"/>
      <c r="RI300" s="91"/>
      <c r="RJ300" s="91"/>
      <c r="RK300" s="91"/>
      <c r="RL300" s="91"/>
      <c r="RM300" s="91"/>
      <c r="RN300" s="91"/>
      <c r="RO300" s="91"/>
      <c r="RP300" s="91"/>
      <c r="RQ300" s="91"/>
      <c r="RR300" s="91"/>
      <c r="RS300" s="91"/>
      <c r="RT300" s="91"/>
      <c r="RU300" s="91"/>
      <c r="RV300" s="91"/>
      <c r="RW300" s="91"/>
      <c r="RX300" s="91"/>
      <c r="RY300" s="91"/>
      <c r="RZ300" s="91"/>
      <c r="SA300" s="91"/>
      <c r="SB300" s="91"/>
      <c r="SC300" s="91"/>
      <c r="SD300" s="91"/>
      <c r="SE300" s="91"/>
      <c r="SF300" s="91"/>
      <c r="SG300" s="91"/>
      <c r="SH300" s="91"/>
      <c r="SI300" s="91"/>
      <c r="SJ300" s="91"/>
      <c r="SK300" s="91"/>
      <c r="SL300" s="91"/>
      <c r="SM300" s="91"/>
      <c r="SN300" s="91"/>
      <c r="SO300" s="91"/>
      <c r="SP300" s="91"/>
      <c r="SQ300" s="91"/>
      <c r="SR300" s="91"/>
      <c r="SS300" s="91"/>
      <c r="ST300" s="91"/>
      <c r="SU300" s="91"/>
      <c r="SV300" s="91"/>
      <c r="SW300" s="91"/>
      <c r="SX300" s="91"/>
      <c r="SY300" s="91"/>
      <c r="SZ300" s="91"/>
      <c r="TA300" s="91"/>
      <c r="TB300" s="91"/>
      <c r="TC300" s="91"/>
      <c r="TD300" s="91"/>
      <c r="TE300" s="91"/>
      <c r="TF300" s="91"/>
      <c r="TG300" s="91"/>
      <c r="TH300" s="91"/>
      <c r="TI300" s="91"/>
      <c r="TJ300" s="91"/>
      <c r="TK300" s="91"/>
      <c r="TL300" s="91"/>
      <c r="TM300" s="91"/>
      <c r="TN300" s="91"/>
      <c r="TO300" s="91"/>
      <c r="TP300" s="91"/>
      <c r="TQ300" s="91"/>
      <c r="TR300" s="91"/>
      <c r="TS300" s="91"/>
      <c r="TT300" s="91"/>
      <c r="TU300" s="91"/>
      <c r="TV300" s="91"/>
      <c r="TW300" s="91"/>
      <c r="TX300" s="91"/>
      <c r="TY300" s="91"/>
      <c r="TZ300" s="91"/>
      <c r="UA300" s="91"/>
      <c r="UB300" s="91"/>
      <c r="UC300" s="91"/>
      <c r="UD300" s="91"/>
      <c r="UE300" s="91"/>
      <c r="UF300" s="91"/>
      <c r="UG300" s="91"/>
      <c r="UH300" s="91"/>
      <c r="UI300" s="91"/>
      <c r="UJ300" s="91"/>
      <c r="UK300" s="91"/>
      <c r="UL300" s="91"/>
      <c r="UM300" s="91"/>
      <c r="UN300" s="91"/>
      <c r="UO300" s="91"/>
      <c r="UP300" s="91"/>
      <c r="UQ300" s="91"/>
      <c r="UR300" s="91"/>
      <c r="US300" s="91"/>
      <c r="UT300" s="91"/>
      <c r="UU300" s="91"/>
      <c r="UV300" s="91"/>
      <c r="UW300" s="91"/>
      <c r="UX300" s="91"/>
      <c r="UY300" s="91"/>
      <c r="UZ300" s="91"/>
      <c r="VA300" s="91"/>
      <c r="VB300" s="91"/>
      <c r="VC300" s="91"/>
    </row>
    <row r="301" spans="1:575" s="92" customFormat="1" ht="23.25" customHeight="1" x14ac:dyDescent="0.2">
      <c r="A301" s="70"/>
      <c r="B301" s="111"/>
      <c r="C301" s="111"/>
      <c r="D301" s="71" t="s">
        <v>344</v>
      </c>
      <c r="E301" s="134">
        <f>E313+E308</f>
        <v>0</v>
      </c>
      <c r="F301" s="134">
        <f t="shared" ref="F301:P301" si="64">F313+F308</f>
        <v>0</v>
      </c>
      <c r="G301" s="134">
        <f t="shared" si="64"/>
        <v>0</v>
      </c>
      <c r="H301" s="134">
        <f t="shared" si="64"/>
        <v>0</v>
      </c>
      <c r="I301" s="134">
        <f t="shared" si="64"/>
        <v>0</v>
      </c>
      <c r="J301" s="134">
        <f t="shared" si="64"/>
        <v>8000000</v>
      </c>
      <c r="K301" s="134">
        <f t="shared" si="64"/>
        <v>0</v>
      </c>
      <c r="L301" s="134">
        <f t="shared" si="64"/>
        <v>8000000</v>
      </c>
      <c r="M301" s="134">
        <f t="shared" si="64"/>
        <v>0</v>
      </c>
      <c r="N301" s="134">
        <f t="shared" si="64"/>
        <v>0</v>
      </c>
      <c r="O301" s="134">
        <f t="shared" si="64"/>
        <v>0</v>
      </c>
      <c r="P301" s="134">
        <f t="shared" si="64"/>
        <v>8000000</v>
      </c>
      <c r="Q301" s="159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  <c r="BZ301" s="91"/>
      <c r="CA301" s="91"/>
      <c r="CB301" s="91"/>
      <c r="CC301" s="91"/>
      <c r="CD301" s="91"/>
      <c r="CE301" s="91"/>
      <c r="CF301" s="91"/>
      <c r="CG301" s="91"/>
      <c r="CH301" s="91"/>
      <c r="CI301" s="91"/>
      <c r="CJ301" s="91"/>
      <c r="CK301" s="91"/>
      <c r="CL301" s="91"/>
      <c r="CM301" s="91"/>
      <c r="CN301" s="91"/>
      <c r="CO301" s="91"/>
      <c r="CP301" s="91"/>
      <c r="CQ301" s="91"/>
      <c r="CR301" s="91"/>
      <c r="CS301" s="91"/>
      <c r="CT301" s="91"/>
      <c r="CU301" s="91"/>
      <c r="CV301" s="91"/>
      <c r="CW301" s="91"/>
      <c r="CX301" s="91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1"/>
      <c r="HT301" s="91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  <c r="IT301" s="91"/>
      <c r="IU301" s="91"/>
      <c r="IV301" s="91"/>
      <c r="IW301" s="91"/>
      <c r="IX301" s="91"/>
      <c r="IY301" s="91"/>
      <c r="IZ301" s="91"/>
      <c r="JA301" s="91"/>
      <c r="JB301" s="91"/>
      <c r="JC301" s="91"/>
      <c r="JD301" s="91"/>
      <c r="JE301" s="91"/>
      <c r="JF301" s="91"/>
      <c r="JG301" s="91"/>
      <c r="JH301" s="91"/>
      <c r="JI301" s="91"/>
      <c r="JJ301" s="91"/>
      <c r="JK301" s="91"/>
      <c r="JL301" s="91"/>
      <c r="JM301" s="91"/>
      <c r="JN301" s="91"/>
      <c r="JO301" s="91"/>
      <c r="JP301" s="91"/>
      <c r="JQ301" s="91"/>
      <c r="JR301" s="91"/>
      <c r="JS301" s="91"/>
      <c r="JT301" s="91"/>
      <c r="JU301" s="91"/>
      <c r="JV301" s="91"/>
      <c r="JW301" s="91"/>
      <c r="JX301" s="91"/>
      <c r="JY301" s="91"/>
      <c r="JZ301" s="91"/>
      <c r="KA301" s="91"/>
      <c r="KB301" s="91"/>
      <c r="KC301" s="91"/>
      <c r="KD301" s="91"/>
      <c r="KE301" s="91"/>
      <c r="KF301" s="91"/>
      <c r="KG301" s="91"/>
      <c r="KH301" s="91"/>
      <c r="KI301" s="91"/>
      <c r="KJ301" s="91"/>
      <c r="KK301" s="91"/>
      <c r="KL301" s="91"/>
      <c r="KM301" s="91"/>
      <c r="KN301" s="91"/>
      <c r="KO301" s="91"/>
      <c r="KP301" s="91"/>
      <c r="KQ301" s="91"/>
      <c r="KR301" s="91"/>
      <c r="KS301" s="91"/>
      <c r="KT301" s="91"/>
      <c r="KU301" s="91"/>
      <c r="KV301" s="91"/>
      <c r="KW301" s="91"/>
      <c r="KX301" s="91"/>
      <c r="KY301" s="91"/>
      <c r="KZ301" s="91"/>
      <c r="LA301" s="91"/>
      <c r="LB301" s="91"/>
      <c r="LC301" s="91"/>
      <c r="LD301" s="91"/>
      <c r="LE301" s="91"/>
      <c r="LF301" s="91"/>
      <c r="LG301" s="91"/>
      <c r="LH301" s="91"/>
      <c r="LI301" s="91"/>
      <c r="LJ301" s="91"/>
      <c r="LK301" s="91"/>
      <c r="LL301" s="91"/>
      <c r="LM301" s="91"/>
      <c r="LN301" s="91"/>
      <c r="LO301" s="91"/>
      <c r="LP301" s="91"/>
      <c r="LQ301" s="91"/>
      <c r="LR301" s="91"/>
      <c r="LS301" s="91"/>
      <c r="LT301" s="91"/>
      <c r="LU301" s="91"/>
      <c r="LV301" s="91"/>
      <c r="LW301" s="91"/>
      <c r="LX301" s="91"/>
      <c r="LY301" s="91"/>
      <c r="LZ301" s="91"/>
      <c r="MA301" s="91"/>
      <c r="MB301" s="91"/>
      <c r="MC301" s="91"/>
      <c r="MD301" s="91"/>
      <c r="ME301" s="91"/>
      <c r="MF301" s="91"/>
      <c r="MG301" s="91"/>
      <c r="MH301" s="91"/>
      <c r="MI301" s="91"/>
      <c r="MJ301" s="91"/>
      <c r="MK301" s="91"/>
      <c r="ML301" s="91"/>
      <c r="MM301" s="91"/>
      <c r="MN301" s="91"/>
      <c r="MO301" s="91"/>
      <c r="MP301" s="91"/>
      <c r="MQ301" s="91"/>
      <c r="MR301" s="91"/>
      <c r="MS301" s="91"/>
      <c r="MT301" s="91"/>
      <c r="MU301" s="91"/>
      <c r="MV301" s="91"/>
      <c r="MW301" s="91"/>
      <c r="MX301" s="91"/>
      <c r="MY301" s="91"/>
      <c r="MZ301" s="91"/>
      <c r="NA301" s="91"/>
      <c r="NB301" s="91"/>
      <c r="NC301" s="91"/>
      <c r="ND301" s="91"/>
      <c r="NE301" s="91"/>
      <c r="NF301" s="91"/>
      <c r="NG301" s="91"/>
      <c r="NH301" s="91"/>
      <c r="NI301" s="91"/>
      <c r="NJ301" s="91"/>
      <c r="NK301" s="91"/>
      <c r="NL301" s="91"/>
      <c r="NM301" s="91"/>
      <c r="NN301" s="91"/>
      <c r="NO301" s="91"/>
      <c r="NP301" s="91"/>
      <c r="NQ301" s="91"/>
      <c r="NR301" s="91"/>
      <c r="NS301" s="91"/>
      <c r="NT301" s="91"/>
      <c r="NU301" s="91"/>
      <c r="NV301" s="91"/>
      <c r="NW301" s="91"/>
      <c r="NX301" s="91"/>
      <c r="NY301" s="91"/>
      <c r="NZ301" s="91"/>
      <c r="OA301" s="91"/>
      <c r="OB301" s="91"/>
      <c r="OC301" s="91"/>
      <c r="OD301" s="91"/>
      <c r="OE301" s="91"/>
      <c r="OF301" s="91"/>
      <c r="OG301" s="91"/>
      <c r="OH301" s="91"/>
      <c r="OI301" s="91"/>
      <c r="OJ301" s="91"/>
      <c r="OK301" s="91"/>
      <c r="OL301" s="91"/>
      <c r="OM301" s="91"/>
      <c r="ON301" s="91"/>
      <c r="OO301" s="91"/>
      <c r="OP301" s="91"/>
      <c r="OQ301" s="91"/>
      <c r="OR301" s="91"/>
      <c r="OS301" s="91"/>
      <c r="OT301" s="91"/>
      <c r="OU301" s="91"/>
      <c r="OV301" s="91"/>
      <c r="OW301" s="91"/>
      <c r="OX301" s="91"/>
      <c r="OY301" s="91"/>
      <c r="OZ301" s="91"/>
      <c r="PA301" s="91"/>
      <c r="PB301" s="91"/>
      <c r="PC301" s="91"/>
      <c r="PD301" s="91"/>
      <c r="PE301" s="91"/>
      <c r="PF301" s="91"/>
      <c r="PG301" s="91"/>
      <c r="PH301" s="91"/>
      <c r="PI301" s="91"/>
      <c r="PJ301" s="91"/>
      <c r="PK301" s="91"/>
      <c r="PL301" s="91"/>
      <c r="PM301" s="91"/>
      <c r="PN301" s="91"/>
      <c r="PO301" s="91"/>
      <c r="PP301" s="91"/>
      <c r="PQ301" s="91"/>
      <c r="PR301" s="91"/>
      <c r="PS301" s="91"/>
      <c r="PT301" s="91"/>
      <c r="PU301" s="91"/>
      <c r="PV301" s="91"/>
      <c r="PW301" s="91"/>
      <c r="PX301" s="91"/>
      <c r="PY301" s="91"/>
      <c r="PZ301" s="91"/>
      <c r="QA301" s="91"/>
      <c r="QB301" s="91"/>
      <c r="QC301" s="91"/>
      <c r="QD301" s="91"/>
      <c r="QE301" s="91"/>
      <c r="QF301" s="91"/>
      <c r="QG301" s="91"/>
      <c r="QH301" s="91"/>
      <c r="QI301" s="91"/>
      <c r="QJ301" s="91"/>
      <c r="QK301" s="91"/>
      <c r="QL301" s="91"/>
      <c r="QM301" s="91"/>
      <c r="QN301" s="91"/>
      <c r="QO301" s="91"/>
      <c r="QP301" s="91"/>
      <c r="QQ301" s="91"/>
      <c r="QR301" s="91"/>
      <c r="QS301" s="91"/>
      <c r="QT301" s="91"/>
      <c r="QU301" s="91"/>
      <c r="QV301" s="91"/>
      <c r="QW301" s="91"/>
      <c r="QX301" s="91"/>
      <c r="QY301" s="91"/>
      <c r="QZ301" s="91"/>
      <c r="RA301" s="91"/>
      <c r="RB301" s="91"/>
      <c r="RC301" s="91"/>
      <c r="RD301" s="91"/>
      <c r="RE301" s="91"/>
      <c r="RF301" s="91"/>
      <c r="RG301" s="91"/>
      <c r="RH301" s="91"/>
      <c r="RI301" s="91"/>
      <c r="RJ301" s="91"/>
      <c r="RK301" s="91"/>
      <c r="RL301" s="91"/>
      <c r="RM301" s="91"/>
      <c r="RN301" s="91"/>
      <c r="RO301" s="91"/>
      <c r="RP301" s="91"/>
      <c r="RQ301" s="91"/>
      <c r="RR301" s="91"/>
      <c r="RS301" s="91"/>
      <c r="RT301" s="91"/>
      <c r="RU301" s="91"/>
      <c r="RV301" s="91"/>
      <c r="RW301" s="91"/>
      <c r="RX301" s="91"/>
      <c r="RY301" s="91"/>
      <c r="RZ301" s="91"/>
      <c r="SA301" s="91"/>
      <c r="SB301" s="91"/>
      <c r="SC301" s="91"/>
      <c r="SD301" s="91"/>
      <c r="SE301" s="91"/>
      <c r="SF301" s="91"/>
      <c r="SG301" s="91"/>
      <c r="SH301" s="91"/>
      <c r="SI301" s="91"/>
      <c r="SJ301" s="91"/>
      <c r="SK301" s="91"/>
      <c r="SL301" s="91"/>
      <c r="SM301" s="91"/>
      <c r="SN301" s="91"/>
      <c r="SO301" s="91"/>
      <c r="SP301" s="91"/>
      <c r="SQ301" s="91"/>
      <c r="SR301" s="91"/>
      <c r="SS301" s="91"/>
      <c r="ST301" s="91"/>
      <c r="SU301" s="91"/>
      <c r="SV301" s="91"/>
      <c r="SW301" s="91"/>
      <c r="SX301" s="91"/>
      <c r="SY301" s="91"/>
      <c r="SZ301" s="91"/>
      <c r="TA301" s="91"/>
      <c r="TB301" s="91"/>
      <c r="TC301" s="91"/>
      <c r="TD301" s="91"/>
      <c r="TE301" s="91"/>
      <c r="TF301" s="91"/>
      <c r="TG301" s="91"/>
      <c r="TH301" s="91"/>
      <c r="TI301" s="91"/>
      <c r="TJ301" s="91"/>
      <c r="TK301" s="91"/>
      <c r="TL301" s="91"/>
      <c r="TM301" s="91"/>
      <c r="TN301" s="91"/>
      <c r="TO301" s="91"/>
      <c r="TP301" s="91"/>
      <c r="TQ301" s="91"/>
      <c r="TR301" s="91"/>
      <c r="TS301" s="91"/>
      <c r="TT301" s="91"/>
      <c r="TU301" s="91"/>
      <c r="TV301" s="91"/>
      <c r="TW301" s="91"/>
      <c r="TX301" s="91"/>
      <c r="TY301" s="91"/>
      <c r="TZ301" s="91"/>
      <c r="UA301" s="91"/>
      <c r="UB301" s="91"/>
      <c r="UC301" s="91"/>
      <c r="UD301" s="91"/>
      <c r="UE301" s="91"/>
      <c r="UF301" s="91"/>
      <c r="UG301" s="91"/>
      <c r="UH301" s="91"/>
      <c r="UI301" s="91"/>
      <c r="UJ301" s="91"/>
      <c r="UK301" s="91"/>
      <c r="UL301" s="91"/>
      <c r="UM301" s="91"/>
      <c r="UN301" s="91"/>
      <c r="UO301" s="91"/>
      <c r="UP301" s="91"/>
      <c r="UQ301" s="91"/>
      <c r="UR301" s="91"/>
      <c r="US301" s="91"/>
      <c r="UT301" s="91"/>
      <c r="UU301" s="91"/>
      <c r="UV301" s="91"/>
      <c r="UW301" s="91"/>
      <c r="UX301" s="91"/>
      <c r="UY301" s="91"/>
      <c r="UZ301" s="91"/>
      <c r="VA301" s="91"/>
      <c r="VB301" s="91"/>
      <c r="VC301" s="91"/>
    </row>
    <row r="302" spans="1:575" s="55" customFormat="1" ht="42" customHeight="1" x14ac:dyDescent="0.25">
      <c r="A302" s="53" t="s">
        <v>286</v>
      </c>
      <c r="B302" s="102" t="str">
        <f>'дод 2'!A13</f>
        <v>0160</v>
      </c>
      <c r="C302" s="102" t="str">
        <f>'дод 2'!B13</f>
        <v>0111</v>
      </c>
      <c r="D302" s="54" t="str">
        <f>'дод 2'!C13</f>
        <v>Керівництво і управління у відповідній сфері у містах (місті Києві), селищах, селах, об’єднаних територіальних громадах</v>
      </c>
      <c r="E302" s="132">
        <f t="shared" ref="E302:E309" si="65">F302+I302</f>
        <v>20117200</v>
      </c>
      <c r="F302" s="132">
        <f>20171200-40000-14000</f>
        <v>20117200</v>
      </c>
      <c r="G302" s="132">
        <v>15818000</v>
      </c>
      <c r="H302" s="132">
        <f>196300+2491+15750</f>
        <v>214541</v>
      </c>
      <c r="I302" s="132"/>
      <c r="J302" s="132">
        <f t="shared" si="43"/>
        <v>646000</v>
      </c>
      <c r="K302" s="132">
        <f>100000+500000+32000+40000-40000+14000</f>
        <v>646000</v>
      </c>
      <c r="L302" s="132"/>
      <c r="M302" s="132"/>
      <c r="N302" s="132"/>
      <c r="O302" s="132">
        <f>100000+500000+32000+40000-40000+14000</f>
        <v>646000</v>
      </c>
      <c r="P302" s="132">
        <f t="shared" ref="P302:P314" si="66">E302+J302</f>
        <v>20763200</v>
      </c>
      <c r="Q302" s="159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  <c r="SP302" s="61"/>
      <c r="SQ302" s="61"/>
      <c r="SR302" s="61"/>
      <c r="SS302" s="61"/>
      <c r="ST302" s="61"/>
      <c r="SU302" s="61"/>
      <c r="SV302" s="61"/>
      <c r="SW302" s="61"/>
      <c r="SX302" s="61"/>
      <c r="SY302" s="61"/>
      <c r="SZ302" s="61"/>
      <c r="TA302" s="61"/>
      <c r="TB302" s="61"/>
      <c r="TC302" s="61"/>
      <c r="TD302" s="61"/>
      <c r="TE302" s="61"/>
      <c r="TF302" s="61"/>
      <c r="TG302" s="61"/>
      <c r="TH302" s="61"/>
      <c r="TI302" s="61"/>
      <c r="TJ302" s="61"/>
      <c r="TK302" s="61"/>
      <c r="TL302" s="61"/>
      <c r="TM302" s="61"/>
      <c r="TN302" s="61"/>
      <c r="TO302" s="61"/>
      <c r="TP302" s="61"/>
      <c r="TQ302" s="61"/>
      <c r="TR302" s="61"/>
      <c r="TS302" s="61"/>
      <c r="TT302" s="61"/>
      <c r="TU302" s="61"/>
      <c r="TV302" s="61"/>
      <c r="TW302" s="61"/>
      <c r="TX302" s="61"/>
      <c r="TY302" s="61"/>
      <c r="TZ302" s="61"/>
      <c r="UA302" s="61"/>
      <c r="UB302" s="61"/>
      <c r="UC302" s="61"/>
      <c r="UD302" s="61"/>
      <c r="UE302" s="61"/>
      <c r="UF302" s="61"/>
      <c r="UG302" s="61"/>
      <c r="UH302" s="61"/>
      <c r="UI302" s="61"/>
      <c r="UJ302" s="61"/>
      <c r="UK302" s="61"/>
      <c r="UL302" s="61"/>
      <c r="UM302" s="61"/>
      <c r="UN302" s="61"/>
      <c r="UO302" s="61"/>
      <c r="UP302" s="61"/>
      <c r="UQ302" s="61"/>
      <c r="UR302" s="61"/>
      <c r="US302" s="61"/>
      <c r="UT302" s="61"/>
      <c r="UU302" s="61"/>
      <c r="UV302" s="61"/>
      <c r="UW302" s="61"/>
      <c r="UX302" s="61"/>
      <c r="UY302" s="61"/>
      <c r="UZ302" s="61"/>
      <c r="VA302" s="61"/>
      <c r="VB302" s="61"/>
      <c r="VC302" s="61"/>
    </row>
    <row r="303" spans="1:575" s="55" customFormat="1" ht="42" hidden="1" customHeight="1" x14ac:dyDescent="0.25">
      <c r="A303" s="102">
        <v>3717370</v>
      </c>
      <c r="B303" s="102">
        <v>7370</v>
      </c>
      <c r="C303" s="79" t="s">
        <v>112</v>
      </c>
      <c r="D303" s="122" t="s">
        <v>566</v>
      </c>
      <c r="E303" s="132">
        <f t="shared" si="65"/>
        <v>0</v>
      </c>
      <c r="F303" s="132">
        <f>50000-50000</f>
        <v>0</v>
      </c>
      <c r="G303" s="132"/>
      <c r="H303" s="132"/>
      <c r="I303" s="132"/>
      <c r="J303" s="132">
        <f t="shared" si="43"/>
        <v>0</v>
      </c>
      <c r="K303" s="132"/>
      <c r="L303" s="132"/>
      <c r="M303" s="132"/>
      <c r="N303" s="132"/>
      <c r="O303" s="132"/>
      <c r="P303" s="132">
        <f t="shared" si="66"/>
        <v>0</v>
      </c>
      <c r="Q303" s="159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  <c r="SP303" s="61"/>
      <c r="SQ303" s="61"/>
      <c r="SR303" s="61"/>
      <c r="SS303" s="61"/>
      <c r="ST303" s="61"/>
      <c r="SU303" s="61"/>
      <c r="SV303" s="61"/>
      <c r="SW303" s="61"/>
      <c r="SX303" s="61"/>
      <c r="SY303" s="61"/>
      <c r="SZ303" s="61"/>
      <c r="TA303" s="61"/>
      <c r="TB303" s="61"/>
      <c r="TC303" s="61"/>
      <c r="TD303" s="61"/>
      <c r="TE303" s="61"/>
      <c r="TF303" s="61"/>
      <c r="TG303" s="61"/>
      <c r="TH303" s="61"/>
      <c r="TI303" s="61"/>
      <c r="TJ303" s="61"/>
      <c r="TK303" s="61"/>
      <c r="TL303" s="61"/>
      <c r="TM303" s="61"/>
      <c r="TN303" s="61"/>
      <c r="TO303" s="61"/>
      <c r="TP303" s="61"/>
      <c r="TQ303" s="61"/>
      <c r="TR303" s="61"/>
      <c r="TS303" s="61"/>
      <c r="TT303" s="61"/>
      <c r="TU303" s="61"/>
      <c r="TV303" s="61"/>
      <c r="TW303" s="61"/>
      <c r="TX303" s="61"/>
      <c r="TY303" s="61"/>
      <c r="TZ303" s="61"/>
      <c r="UA303" s="61"/>
      <c r="UB303" s="61"/>
      <c r="UC303" s="61"/>
      <c r="UD303" s="61"/>
      <c r="UE303" s="61"/>
      <c r="UF303" s="61"/>
      <c r="UG303" s="61"/>
      <c r="UH303" s="61"/>
      <c r="UI303" s="61"/>
      <c r="UJ303" s="61"/>
      <c r="UK303" s="61"/>
      <c r="UL303" s="61"/>
      <c r="UM303" s="61"/>
      <c r="UN303" s="61"/>
      <c r="UO303" s="61"/>
      <c r="UP303" s="61"/>
      <c r="UQ303" s="61"/>
      <c r="UR303" s="61"/>
      <c r="US303" s="61"/>
      <c r="UT303" s="61"/>
      <c r="UU303" s="61"/>
      <c r="UV303" s="61"/>
      <c r="UW303" s="61"/>
      <c r="UX303" s="61"/>
      <c r="UY303" s="61"/>
      <c r="UZ303" s="61"/>
      <c r="VA303" s="61"/>
      <c r="VB303" s="61"/>
      <c r="VC303" s="61"/>
    </row>
    <row r="304" spans="1:575" s="55" customFormat="1" ht="18.75" customHeight="1" x14ac:dyDescent="0.25">
      <c r="A304" s="53" t="s">
        <v>333</v>
      </c>
      <c r="B304" s="102" t="str">
        <f>'дод 2'!A188</f>
        <v>7640</v>
      </c>
      <c r="C304" s="102" t="str">
        <f>'дод 2'!B188</f>
        <v>0470</v>
      </c>
      <c r="D304" s="56" t="str">
        <f>'дод 2'!C188</f>
        <v>Заходи з енергозбереження</v>
      </c>
      <c r="E304" s="132">
        <f t="shared" si="65"/>
        <v>318700</v>
      </c>
      <c r="F304" s="132">
        <f>245000+40000+21000-13300+26000</f>
        <v>318700</v>
      </c>
      <c r="G304" s="132"/>
      <c r="H304" s="132"/>
      <c r="I304" s="132"/>
      <c r="J304" s="132">
        <f t="shared" si="43"/>
        <v>0</v>
      </c>
      <c r="K304" s="132"/>
      <c r="L304" s="132"/>
      <c r="M304" s="132"/>
      <c r="N304" s="132"/>
      <c r="O304" s="132"/>
      <c r="P304" s="132">
        <f t="shared" si="66"/>
        <v>318700</v>
      </c>
      <c r="Q304" s="159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  <c r="SP304" s="61"/>
      <c r="SQ304" s="61"/>
      <c r="SR304" s="61"/>
      <c r="SS304" s="61"/>
      <c r="ST304" s="61"/>
      <c r="SU304" s="61"/>
      <c r="SV304" s="61"/>
      <c r="SW304" s="61"/>
      <c r="SX304" s="61"/>
      <c r="SY304" s="61"/>
      <c r="SZ304" s="61"/>
      <c r="TA304" s="61"/>
      <c r="TB304" s="61"/>
      <c r="TC304" s="61"/>
      <c r="TD304" s="61"/>
      <c r="TE304" s="61"/>
      <c r="TF304" s="61"/>
      <c r="TG304" s="61"/>
      <c r="TH304" s="61"/>
      <c r="TI304" s="61"/>
      <c r="TJ304" s="61"/>
      <c r="TK304" s="61"/>
      <c r="TL304" s="61"/>
      <c r="TM304" s="61"/>
      <c r="TN304" s="61"/>
      <c r="TO304" s="61"/>
      <c r="TP304" s="61"/>
      <c r="TQ304" s="61"/>
      <c r="TR304" s="61"/>
      <c r="TS304" s="61"/>
      <c r="TT304" s="61"/>
      <c r="TU304" s="61"/>
      <c r="TV304" s="61"/>
      <c r="TW304" s="61"/>
      <c r="TX304" s="61"/>
      <c r="TY304" s="61"/>
      <c r="TZ304" s="61"/>
      <c r="UA304" s="61"/>
      <c r="UB304" s="61"/>
      <c r="UC304" s="61"/>
      <c r="UD304" s="61"/>
      <c r="UE304" s="61"/>
      <c r="UF304" s="61"/>
      <c r="UG304" s="61"/>
      <c r="UH304" s="61"/>
      <c r="UI304" s="61"/>
      <c r="UJ304" s="61"/>
      <c r="UK304" s="61"/>
      <c r="UL304" s="61"/>
      <c r="UM304" s="61"/>
      <c r="UN304" s="61"/>
      <c r="UO304" s="61"/>
      <c r="UP304" s="61"/>
      <c r="UQ304" s="61"/>
      <c r="UR304" s="61"/>
      <c r="US304" s="61"/>
      <c r="UT304" s="61"/>
      <c r="UU304" s="61"/>
      <c r="UV304" s="61"/>
      <c r="UW304" s="61"/>
      <c r="UX304" s="61"/>
      <c r="UY304" s="61"/>
      <c r="UZ304" s="61"/>
      <c r="VA304" s="61"/>
      <c r="VB304" s="61"/>
      <c r="VC304" s="61"/>
    </row>
    <row r="305" spans="1:575" s="55" customFormat="1" ht="24" customHeight="1" x14ac:dyDescent="0.25">
      <c r="A305" s="53" t="s">
        <v>564</v>
      </c>
      <c r="B305" s="102" t="str">
        <f>'дод 2'!A194</f>
        <v>7693</v>
      </c>
      <c r="C305" s="102" t="str">
        <f>'дод 2'!B194</f>
        <v>0490</v>
      </c>
      <c r="D305" s="64" t="str">
        <f>'дод 2'!C194</f>
        <v>Інші заходи, пов'язані з економічною діяльністю</v>
      </c>
      <c r="E305" s="132">
        <f t="shared" si="65"/>
        <v>5810</v>
      </c>
      <c r="F305" s="132">
        <f>70000-64190</f>
        <v>5810</v>
      </c>
      <c r="G305" s="132"/>
      <c r="H305" s="132"/>
      <c r="I305" s="132"/>
      <c r="J305" s="132">
        <f t="shared" si="43"/>
        <v>0</v>
      </c>
      <c r="K305" s="132"/>
      <c r="L305" s="132"/>
      <c r="M305" s="132"/>
      <c r="N305" s="132"/>
      <c r="O305" s="132"/>
      <c r="P305" s="132">
        <f t="shared" si="66"/>
        <v>5810</v>
      </c>
      <c r="Q305" s="159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  <c r="SP305" s="61"/>
      <c r="SQ305" s="61"/>
      <c r="SR305" s="61"/>
      <c r="SS305" s="61"/>
      <c r="ST305" s="61"/>
      <c r="SU305" s="61"/>
      <c r="SV305" s="61"/>
      <c r="SW305" s="61"/>
      <c r="SX305" s="61"/>
      <c r="SY305" s="61"/>
      <c r="SZ305" s="61"/>
      <c r="TA305" s="61"/>
      <c r="TB305" s="61"/>
      <c r="TC305" s="61"/>
      <c r="TD305" s="61"/>
      <c r="TE305" s="61"/>
      <c r="TF305" s="61"/>
      <c r="TG305" s="61"/>
      <c r="TH305" s="61"/>
      <c r="TI305" s="61"/>
      <c r="TJ305" s="61"/>
      <c r="TK305" s="61"/>
      <c r="TL305" s="61"/>
      <c r="TM305" s="61"/>
      <c r="TN305" s="61"/>
      <c r="TO305" s="61"/>
      <c r="TP305" s="61"/>
      <c r="TQ305" s="61"/>
      <c r="TR305" s="61"/>
      <c r="TS305" s="61"/>
      <c r="TT305" s="61"/>
      <c r="TU305" s="61"/>
      <c r="TV305" s="61"/>
      <c r="TW305" s="61"/>
      <c r="TX305" s="61"/>
      <c r="TY305" s="61"/>
      <c r="TZ305" s="61"/>
      <c r="UA305" s="61"/>
      <c r="UB305" s="61"/>
      <c r="UC305" s="61"/>
      <c r="UD305" s="61"/>
      <c r="UE305" s="61"/>
      <c r="UF305" s="61"/>
      <c r="UG305" s="61"/>
      <c r="UH305" s="61"/>
      <c r="UI305" s="61"/>
      <c r="UJ305" s="61"/>
      <c r="UK305" s="61"/>
      <c r="UL305" s="61"/>
      <c r="UM305" s="61"/>
      <c r="UN305" s="61"/>
      <c r="UO305" s="61"/>
      <c r="UP305" s="61"/>
      <c r="UQ305" s="61"/>
      <c r="UR305" s="61"/>
      <c r="US305" s="61"/>
      <c r="UT305" s="61"/>
      <c r="UU305" s="61"/>
      <c r="UV305" s="61"/>
      <c r="UW305" s="61"/>
      <c r="UX305" s="61"/>
      <c r="UY305" s="61"/>
      <c r="UZ305" s="61"/>
      <c r="VA305" s="61"/>
      <c r="VB305" s="61"/>
      <c r="VC305" s="61"/>
    </row>
    <row r="306" spans="1:575" s="55" customFormat="1" ht="26.25" customHeight="1" x14ac:dyDescent="0.25">
      <c r="A306" s="53" t="s">
        <v>287</v>
      </c>
      <c r="B306" s="102" t="str">
        <f>'дод 2'!A206</f>
        <v>8340</v>
      </c>
      <c r="C306" s="79" t="str">
        <f>'дод 2'!B206</f>
        <v>0540</v>
      </c>
      <c r="D306" s="56" t="str">
        <f>'дод 2'!C206</f>
        <v>Природоохоронні заходи за рахунок цільових фондів</v>
      </c>
      <c r="E306" s="132">
        <f t="shared" si="65"/>
        <v>0</v>
      </c>
      <c r="F306" s="132"/>
      <c r="G306" s="132"/>
      <c r="H306" s="132"/>
      <c r="I306" s="132"/>
      <c r="J306" s="132">
        <f t="shared" si="43"/>
        <v>40000</v>
      </c>
      <c r="K306" s="132"/>
      <c r="L306" s="132">
        <v>40000</v>
      </c>
      <c r="M306" s="132"/>
      <c r="N306" s="132"/>
      <c r="O306" s="132"/>
      <c r="P306" s="132">
        <f t="shared" si="66"/>
        <v>40000</v>
      </c>
      <c r="Q306" s="159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  <c r="SP306" s="61"/>
      <c r="SQ306" s="61"/>
      <c r="SR306" s="61"/>
      <c r="SS306" s="61"/>
      <c r="ST306" s="61"/>
      <c r="SU306" s="61"/>
      <c r="SV306" s="61"/>
      <c r="SW306" s="61"/>
      <c r="SX306" s="61"/>
      <c r="SY306" s="61"/>
      <c r="SZ306" s="61"/>
      <c r="TA306" s="61"/>
      <c r="TB306" s="61"/>
      <c r="TC306" s="61"/>
      <c r="TD306" s="61"/>
      <c r="TE306" s="61"/>
      <c r="TF306" s="61"/>
      <c r="TG306" s="61"/>
      <c r="TH306" s="61"/>
      <c r="TI306" s="61"/>
      <c r="TJ306" s="61"/>
      <c r="TK306" s="61"/>
      <c r="TL306" s="61"/>
      <c r="TM306" s="61"/>
      <c r="TN306" s="61"/>
      <c r="TO306" s="61"/>
      <c r="TP306" s="61"/>
      <c r="TQ306" s="61"/>
      <c r="TR306" s="61"/>
      <c r="TS306" s="61"/>
      <c r="TT306" s="61"/>
      <c r="TU306" s="61"/>
      <c r="TV306" s="61"/>
      <c r="TW306" s="61"/>
      <c r="TX306" s="61"/>
      <c r="TY306" s="61"/>
      <c r="TZ306" s="61"/>
      <c r="UA306" s="61"/>
      <c r="UB306" s="61"/>
      <c r="UC306" s="61"/>
      <c r="UD306" s="61"/>
      <c r="UE306" s="61"/>
      <c r="UF306" s="61"/>
      <c r="UG306" s="61"/>
      <c r="UH306" s="61"/>
      <c r="UI306" s="61"/>
      <c r="UJ306" s="61"/>
      <c r="UK306" s="61"/>
      <c r="UL306" s="61"/>
      <c r="UM306" s="61"/>
      <c r="UN306" s="61"/>
      <c r="UO306" s="61"/>
      <c r="UP306" s="61"/>
      <c r="UQ306" s="61"/>
      <c r="UR306" s="61"/>
      <c r="US306" s="61"/>
      <c r="UT306" s="61"/>
      <c r="UU306" s="61"/>
      <c r="UV306" s="61"/>
      <c r="UW306" s="61"/>
      <c r="UX306" s="61"/>
      <c r="UY306" s="61"/>
      <c r="UZ306" s="61"/>
      <c r="VA306" s="61"/>
      <c r="VB306" s="61"/>
      <c r="VC306" s="61"/>
    </row>
    <row r="307" spans="1:575" s="55" customFormat="1" ht="20.25" hidden="1" customHeight="1" x14ac:dyDescent="0.25">
      <c r="A307" s="79">
        <v>3718500</v>
      </c>
      <c r="B307" s="102">
        <v>8500</v>
      </c>
      <c r="C307" s="79" t="s">
        <v>68</v>
      </c>
      <c r="D307" s="56" t="s">
        <v>601</v>
      </c>
      <c r="E307" s="132">
        <f t="shared" si="65"/>
        <v>0</v>
      </c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>
        <f t="shared" si="66"/>
        <v>0</v>
      </c>
      <c r="Q307" s="159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  <c r="SP307" s="61"/>
      <c r="SQ307" s="61"/>
      <c r="SR307" s="61"/>
      <c r="SS307" s="61"/>
      <c r="ST307" s="61"/>
      <c r="SU307" s="61"/>
      <c r="SV307" s="61"/>
      <c r="SW307" s="61"/>
      <c r="SX307" s="61"/>
      <c r="SY307" s="61"/>
      <c r="SZ307" s="61"/>
      <c r="TA307" s="61"/>
      <c r="TB307" s="61"/>
      <c r="TC307" s="61"/>
      <c r="TD307" s="61"/>
      <c r="TE307" s="61"/>
      <c r="TF307" s="61"/>
      <c r="TG307" s="61"/>
      <c r="TH307" s="61"/>
      <c r="TI307" s="61"/>
      <c r="TJ307" s="61"/>
      <c r="TK307" s="61"/>
      <c r="TL307" s="61"/>
      <c r="TM307" s="61"/>
      <c r="TN307" s="61"/>
      <c r="TO307" s="61"/>
      <c r="TP307" s="61"/>
      <c r="TQ307" s="61"/>
      <c r="TR307" s="61"/>
      <c r="TS307" s="61"/>
      <c r="TT307" s="61"/>
      <c r="TU307" s="61"/>
      <c r="TV307" s="61"/>
      <c r="TW307" s="61"/>
      <c r="TX307" s="61"/>
      <c r="TY307" s="61"/>
      <c r="TZ307" s="61"/>
      <c r="UA307" s="61"/>
      <c r="UB307" s="61"/>
      <c r="UC307" s="61"/>
      <c r="UD307" s="61"/>
      <c r="UE307" s="61"/>
      <c r="UF307" s="61"/>
      <c r="UG307" s="61"/>
      <c r="UH307" s="61"/>
      <c r="UI307" s="61"/>
      <c r="UJ307" s="61"/>
      <c r="UK307" s="61"/>
      <c r="UL307" s="61"/>
      <c r="UM307" s="61"/>
      <c r="UN307" s="61"/>
      <c r="UO307" s="61"/>
      <c r="UP307" s="61"/>
      <c r="UQ307" s="61"/>
      <c r="UR307" s="61"/>
      <c r="US307" s="61"/>
      <c r="UT307" s="61"/>
      <c r="UU307" s="61"/>
      <c r="UV307" s="61"/>
      <c r="UW307" s="61"/>
      <c r="UX307" s="61"/>
      <c r="UY307" s="61"/>
      <c r="UZ307" s="61"/>
      <c r="VA307" s="61"/>
      <c r="VB307" s="61"/>
      <c r="VC307" s="61"/>
    </row>
    <row r="308" spans="1:575" s="55" customFormat="1" ht="20.25" hidden="1" customHeight="1" x14ac:dyDescent="0.25">
      <c r="A308" s="53"/>
      <c r="B308" s="102"/>
      <c r="C308" s="102"/>
      <c r="D308" s="54" t="s">
        <v>344</v>
      </c>
      <c r="E308" s="132">
        <f t="shared" si="65"/>
        <v>0</v>
      </c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>
        <f t="shared" si="66"/>
        <v>0</v>
      </c>
      <c r="Q308" s="159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  <c r="SP308" s="61"/>
      <c r="SQ308" s="61"/>
      <c r="SR308" s="61"/>
      <c r="SS308" s="61"/>
      <c r="ST308" s="61"/>
      <c r="SU308" s="61"/>
      <c r="SV308" s="61"/>
      <c r="SW308" s="61"/>
      <c r="SX308" s="61"/>
      <c r="SY308" s="61"/>
      <c r="SZ308" s="61"/>
      <c r="TA308" s="61"/>
      <c r="TB308" s="61"/>
      <c r="TC308" s="61"/>
      <c r="TD308" s="61"/>
      <c r="TE308" s="61"/>
      <c r="TF308" s="61"/>
      <c r="TG308" s="61"/>
      <c r="TH308" s="61"/>
      <c r="TI308" s="61"/>
      <c r="TJ308" s="61"/>
      <c r="TK308" s="61"/>
      <c r="TL308" s="61"/>
      <c r="TM308" s="61"/>
      <c r="TN308" s="61"/>
      <c r="TO308" s="61"/>
      <c r="TP308" s="61"/>
      <c r="TQ308" s="61"/>
      <c r="TR308" s="61"/>
      <c r="TS308" s="61"/>
      <c r="TT308" s="61"/>
      <c r="TU308" s="61"/>
      <c r="TV308" s="61"/>
      <c r="TW308" s="61"/>
      <c r="TX308" s="61"/>
      <c r="TY308" s="61"/>
      <c r="TZ308" s="61"/>
      <c r="UA308" s="61"/>
      <c r="UB308" s="61"/>
      <c r="UC308" s="61"/>
      <c r="UD308" s="61"/>
      <c r="UE308" s="61"/>
      <c r="UF308" s="61"/>
      <c r="UG308" s="61"/>
      <c r="UH308" s="61"/>
      <c r="UI308" s="61"/>
      <c r="UJ308" s="61"/>
      <c r="UK308" s="61"/>
      <c r="UL308" s="61"/>
      <c r="UM308" s="61"/>
      <c r="UN308" s="61"/>
      <c r="UO308" s="61"/>
      <c r="UP308" s="61"/>
      <c r="UQ308" s="61"/>
      <c r="UR308" s="61"/>
      <c r="US308" s="61"/>
      <c r="UT308" s="61"/>
      <c r="UU308" s="61"/>
      <c r="UV308" s="61"/>
      <c r="UW308" s="61"/>
      <c r="UX308" s="61"/>
      <c r="UY308" s="61"/>
      <c r="UZ308" s="61"/>
      <c r="VA308" s="61"/>
      <c r="VB308" s="61"/>
      <c r="VC308" s="61"/>
    </row>
    <row r="309" spans="1:575" s="55" customFormat="1" ht="27" customHeight="1" x14ac:dyDescent="0.25">
      <c r="A309" s="53" t="s">
        <v>288</v>
      </c>
      <c r="B309" s="102" t="str">
        <f>'дод 2'!A211</f>
        <v>8600</v>
      </c>
      <c r="C309" s="102" t="str">
        <f>'дод 2'!B211</f>
        <v>0170</v>
      </c>
      <c r="D309" s="56" t="str">
        <f>'дод 2'!C211</f>
        <v>Обслуговування місцевого боргу</v>
      </c>
      <c r="E309" s="132">
        <f t="shared" si="65"/>
        <v>102992.66</v>
      </c>
      <c r="F309" s="132">
        <f>186527.65+0.01-83535</f>
        <v>102992.66</v>
      </c>
      <c r="G309" s="132"/>
      <c r="H309" s="132"/>
      <c r="I309" s="132"/>
      <c r="J309" s="132">
        <f t="shared" si="43"/>
        <v>0</v>
      </c>
      <c r="K309" s="132"/>
      <c r="L309" s="132"/>
      <c r="M309" s="132"/>
      <c r="N309" s="132"/>
      <c r="O309" s="132"/>
      <c r="P309" s="132">
        <f t="shared" si="66"/>
        <v>102992.66</v>
      </c>
      <c r="Q309" s="159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  <c r="SP309" s="61"/>
      <c r="SQ309" s="61"/>
      <c r="SR309" s="61"/>
      <c r="SS309" s="61"/>
      <c r="ST309" s="61"/>
      <c r="SU309" s="61"/>
      <c r="SV309" s="61"/>
      <c r="SW309" s="61"/>
      <c r="SX309" s="61"/>
      <c r="SY309" s="61"/>
      <c r="SZ309" s="61"/>
      <c r="TA309" s="61"/>
      <c r="TB309" s="61"/>
      <c r="TC309" s="61"/>
      <c r="TD309" s="61"/>
      <c r="TE309" s="61"/>
      <c r="TF309" s="61"/>
      <c r="TG309" s="61"/>
      <c r="TH309" s="61"/>
      <c r="TI309" s="61"/>
      <c r="TJ309" s="61"/>
      <c r="TK309" s="61"/>
      <c r="TL309" s="61"/>
      <c r="TM309" s="61"/>
      <c r="TN309" s="61"/>
      <c r="TO309" s="61"/>
      <c r="TP309" s="61"/>
      <c r="TQ309" s="61"/>
      <c r="TR309" s="61"/>
      <c r="TS309" s="61"/>
      <c r="TT309" s="61"/>
      <c r="TU309" s="61"/>
      <c r="TV309" s="61"/>
      <c r="TW309" s="61"/>
      <c r="TX309" s="61"/>
      <c r="TY309" s="61"/>
      <c r="TZ309" s="61"/>
      <c r="UA309" s="61"/>
      <c r="UB309" s="61"/>
      <c r="UC309" s="61"/>
      <c r="UD309" s="61"/>
      <c r="UE309" s="61"/>
      <c r="UF309" s="61"/>
      <c r="UG309" s="61"/>
      <c r="UH309" s="61"/>
      <c r="UI309" s="61"/>
      <c r="UJ309" s="61"/>
      <c r="UK309" s="61"/>
      <c r="UL309" s="61"/>
      <c r="UM309" s="61"/>
      <c r="UN309" s="61"/>
      <c r="UO309" s="61"/>
      <c r="UP309" s="61"/>
      <c r="UQ309" s="61"/>
      <c r="UR309" s="61"/>
      <c r="US309" s="61"/>
      <c r="UT309" s="61"/>
      <c r="UU309" s="61"/>
      <c r="UV309" s="61"/>
      <c r="UW309" s="61"/>
      <c r="UX309" s="61"/>
      <c r="UY309" s="61"/>
      <c r="UZ309" s="61"/>
      <c r="VA309" s="61"/>
      <c r="VB309" s="61"/>
      <c r="VC309" s="61"/>
    </row>
    <row r="310" spans="1:575" s="55" customFormat="1" ht="21" customHeight="1" x14ac:dyDescent="0.25">
      <c r="A310" s="53" t="s">
        <v>304</v>
      </c>
      <c r="B310" s="102" t="str">
        <f>'дод 2'!A212</f>
        <v>8700</v>
      </c>
      <c r="C310" s="102" t="str">
        <f>'дод 2'!B212</f>
        <v>0133</v>
      </c>
      <c r="D310" s="56" t="str">
        <f>'дод 2'!C212</f>
        <v>Резервний фонд</v>
      </c>
      <c r="E310" s="132">
        <f>18000000+995480+1.02-1000000+87000+172000-0.02-100000-100000-100000-3720260+37510-664072-40000+5000+163450+80000-6950240-3110000-259000-251180-646318.49+5400-427000-650000-50000+31585-112000+114190+37352+487118+40000+1500000+444285.65+532923+3131500+400090</f>
        <v>8084814.1600000001</v>
      </c>
      <c r="F310" s="132"/>
      <c r="G310" s="132"/>
      <c r="H310" s="132"/>
      <c r="I310" s="132"/>
      <c r="J310" s="132">
        <f t="shared" si="43"/>
        <v>0</v>
      </c>
      <c r="K310" s="132"/>
      <c r="L310" s="132"/>
      <c r="M310" s="132"/>
      <c r="N310" s="132"/>
      <c r="O310" s="132"/>
      <c r="P310" s="132">
        <f t="shared" si="66"/>
        <v>8084814.1600000001</v>
      </c>
      <c r="Q310" s="159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  <c r="SP310" s="61"/>
      <c r="SQ310" s="61"/>
      <c r="SR310" s="61"/>
      <c r="SS310" s="61"/>
      <c r="ST310" s="61"/>
      <c r="SU310" s="61"/>
      <c r="SV310" s="61"/>
      <c r="SW310" s="61"/>
      <c r="SX310" s="61"/>
      <c r="SY310" s="61"/>
      <c r="SZ310" s="61"/>
      <c r="TA310" s="61"/>
      <c r="TB310" s="61"/>
      <c r="TC310" s="61"/>
      <c r="TD310" s="61"/>
      <c r="TE310" s="61"/>
      <c r="TF310" s="61"/>
      <c r="TG310" s="61"/>
      <c r="TH310" s="61"/>
      <c r="TI310" s="61"/>
      <c r="TJ310" s="61"/>
      <c r="TK310" s="61"/>
      <c r="TL310" s="61"/>
      <c r="TM310" s="61"/>
      <c r="TN310" s="61"/>
      <c r="TO310" s="61"/>
      <c r="TP310" s="61"/>
      <c r="TQ310" s="61"/>
      <c r="TR310" s="61"/>
      <c r="TS310" s="61"/>
      <c r="TT310" s="61"/>
      <c r="TU310" s="61"/>
      <c r="TV310" s="61"/>
      <c r="TW310" s="61"/>
      <c r="TX310" s="61"/>
      <c r="TY310" s="61"/>
      <c r="TZ310" s="61"/>
      <c r="UA310" s="61"/>
      <c r="UB310" s="61"/>
      <c r="UC310" s="61"/>
      <c r="UD310" s="61"/>
      <c r="UE310" s="61"/>
      <c r="UF310" s="61"/>
      <c r="UG310" s="61"/>
      <c r="UH310" s="61"/>
      <c r="UI310" s="61"/>
      <c r="UJ310" s="61"/>
      <c r="UK310" s="61"/>
      <c r="UL310" s="61"/>
      <c r="UM310" s="61"/>
      <c r="UN310" s="61"/>
      <c r="UO310" s="61"/>
      <c r="UP310" s="61"/>
      <c r="UQ310" s="61"/>
      <c r="UR310" s="61"/>
      <c r="US310" s="61"/>
      <c r="UT310" s="61"/>
      <c r="UU310" s="61"/>
      <c r="UV310" s="61"/>
      <c r="UW310" s="61"/>
      <c r="UX310" s="61"/>
      <c r="UY310" s="61"/>
      <c r="UZ310" s="61"/>
      <c r="VA310" s="61"/>
      <c r="VB310" s="61"/>
      <c r="VC310" s="61"/>
    </row>
    <row r="311" spans="1:575" s="55" customFormat="1" ht="22.5" customHeight="1" x14ac:dyDescent="0.25">
      <c r="A311" s="53" t="s">
        <v>305</v>
      </c>
      <c r="B311" s="102" t="str">
        <f>'дод 2'!A216</f>
        <v>9110</v>
      </c>
      <c r="C311" s="102" t="str">
        <f>'дод 2'!B216</f>
        <v>0180</v>
      </c>
      <c r="D311" s="56" t="str">
        <f>'дод 2'!C216</f>
        <v>Реверсна дотація</v>
      </c>
      <c r="E311" s="132">
        <f>F311+I311</f>
        <v>111090200</v>
      </c>
      <c r="F311" s="132">
        <f>111262200-172000</f>
        <v>111090200</v>
      </c>
      <c r="G311" s="132"/>
      <c r="H311" s="132"/>
      <c r="I311" s="132"/>
      <c r="J311" s="132">
        <f t="shared" ref="J311:J314" si="67">L311+O311</f>
        <v>0</v>
      </c>
      <c r="K311" s="132"/>
      <c r="L311" s="132"/>
      <c r="M311" s="132"/>
      <c r="N311" s="132"/>
      <c r="O311" s="132"/>
      <c r="P311" s="132">
        <f t="shared" si="66"/>
        <v>111090200</v>
      </c>
      <c r="Q311" s="159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  <c r="SP311" s="61"/>
      <c r="SQ311" s="61"/>
      <c r="SR311" s="61"/>
      <c r="SS311" s="61"/>
      <c r="ST311" s="61"/>
      <c r="SU311" s="61"/>
      <c r="SV311" s="61"/>
      <c r="SW311" s="61"/>
      <c r="SX311" s="61"/>
      <c r="SY311" s="61"/>
      <c r="SZ311" s="61"/>
      <c r="TA311" s="61"/>
      <c r="TB311" s="61"/>
      <c r="TC311" s="61"/>
      <c r="TD311" s="61"/>
      <c r="TE311" s="61"/>
      <c r="TF311" s="61"/>
      <c r="TG311" s="61"/>
      <c r="TH311" s="61"/>
      <c r="TI311" s="61"/>
      <c r="TJ311" s="61"/>
      <c r="TK311" s="61"/>
      <c r="TL311" s="61"/>
      <c r="TM311" s="61"/>
      <c r="TN311" s="61"/>
      <c r="TO311" s="61"/>
      <c r="TP311" s="61"/>
      <c r="TQ311" s="61"/>
      <c r="TR311" s="61"/>
      <c r="TS311" s="61"/>
      <c r="TT311" s="61"/>
      <c r="TU311" s="61"/>
      <c r="TV311" s="61"/>
      <c r="TW311" s="61"/>
      <c r="TX311" s="61"/>
      <c r="TY311" s="61"/>
      <c r="TZ311" s="61"/>
      <c r="UA311" s="61"/>
      <c r="UB311" s="61"/>
      <c r="UC311" s="61"/>
      <c r="UD311" s="61"/>
      <c r="UE311" s="61"/>
      <c r="UF311" s="61"/>
      <c r="UG311" s="61"/>
      <c r="UH311" s="61"/>
      <c r="UI311" s="61"/>
      <c r="UJ311" s="61"/>
      <c r="UK311" s="61"/>
      <c r="UL311" s="61"/>
      <c r="UM311" s="61"/>
      <c r="UN311" s="61"/>
      <c r="UO311" s="61"/>
      <c r="UP311" s="61"/>
      <c r="UQ311" s="61"/>
      <c r="UR311" s="61"/>
      <c r="US311" s="61"/>
      <c r="UT311" s="61"/>
      <c r="UU311" s="61"/>
      <c r="UV311" s="61"/>
      <c r="UW311" s="61"/>
      <c r="UX311" s="61"/>
      <c r="UY311" s="61"/>
      <c r="UZ311" s="61"/>
      <c r="VA311" s="61"/>
      <c r="VB311" s="61"/>
      <c r="VC311" s="61"/>
    </row>
    <row r="312" spans="1:575" s="55" customFormat="1" ht="98.25" customHeight="1" x14ac:dyDescent="0.25">
      <c r="A312" s="53" t="s">
        <v>532</v>
      </c>
      <c r="B312" s="102" t="s">
        <v>534</v>
      </c>
      <c r="C312" s="102" t="s">
        <v>68</v>
      </c>
      <c r="D312" s="67" t="s">
        <v>533</v>
      </c>
      <c r="E312" s="132">
        <f>F312+I312</f>
        <v>0</v>
      </c>
      <c r="F312" s="132"/>
      <c r="G312" s="132"/>
      <c r="H312" s="132"/>
      <c r="I312" s="132"/>
      <c r="J312" s="132">
        <f t="shared" si="67"/>
        <v>8000000</v>
      </c>
      <c r="K312" s="132"/>
      <c r="L312" s="132">
        <v>8000000</v>
      </c>
      <c r="M312" s="132"/>
      <c r="N312" s="132"/>
      <c r="O312" s="132"/>
      <c r="P312" s="132">
        <f t="shared" si="66"/>
        <v>8000000</v>
      </c>
      <c r="Q312" s="160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  <c r="SP312" s="61"/>
      <c r="SQ312" s="61"/>
      <c r="SR312" s="61"/>
      <c r="SS312" s="61"/>
      <c r="ST312" s="61"/>
      <c r="SU312" s="61"/>
      <c r="SV312" s="61"/>
      <c r="SW312" s="61"/>
      <c r="SX312" s="61"/>
      <c r="SY312" s="61"/>
      <c r="SZ312" s="61"/>
      <c r="TA312" s="61"/>
      <c r="TB312" s="61"/>
      <c r="TC312" s="61"/>
      <c r="TD312" s="61"/>
      <c r="TE312" s="61"/>
      <c r="TF312" s="61"/>
      <c r="TG312" s="61"/>
      <c r="TH312" s="61"/>
      <c r="TI312" s="61"/>
      <c r="TJ312" s="61"/>
      <c r="TK312" s="61"/>
      <c r="TL312" s="61"/>
      <c r="TM312" s="61"/>
      <c r="TN312" s="61"/>
      <c r="TO312" s="61"/>
      <c r="TP312" s="61"/>
      <c r="TQ312" s="61"/>
      <c r="TR312" s="61"/>
      <c r="TS312" s="61"/>
      <c r="TT312" s="61"/>
      <c r="TU312" s="61"/>
      <c r="TV312" s="61"/>
      <c r="TW312" s="61"/>
      <c r="TX312" s="61"/>
      <c r="TY312" s="61"/>
      <c r="TZ312" s="61"/>
      <c r="UA312" s="61"/>
      <c r="UB312" s="61"/>
      <c r="UC312" s="61"/>
      <c r="UD312" s="61"/>
      <c r="UE312" s="61"/>
      <c r="UF312" s="61"/>
      <c r="UG312" s="61"/>
      <c r="UH312" s="61"/>
      <c r="UI312" s="61"/>
      <c r="UJ312" s="61"/>
      <c r="UK312" s="61"/>
      <c r="UL312" s="61"/>
      <c r="UM312" s="61"/>
      <c r="UN312" s="61"/>
      <c r="UO312" s="61"/>
      <c r="UP312" s="61"/>
      <c r="UQ312" s="61"/>
      <c r="UR312" s="61"/>
      <c r="US312" s="61"/>
      <c r="UT312" s="61"/>
      <c r="UU312" s="61"/>
      <c r="UV312" s="61"/>
      <c r="UW312" s="61"/>
      <c r="UX312" s="61"/>
      <c r="UY312" s="61"/>
      <c r="UZ312" s="61"/>
      <c r="VA312" s="61"/>
      <c r="VB312" s="61"/>
      <c r="VC312" s="61"/>
    </row>
    <row r="313" spans="1:575" s="55" customFormat="1" ht="18.75" customHeight="1" x14ac:dyDescent="0.25">
      <c r="A313" s="53"/>
      <c r="B313" s="102"/>
      <c r="C313" s="102"/>
      <c r="D313" s="54" t="s">
        <v>344</v>
      </c>
      <c r="E313" s="132">
        <f>F313+I313</f>
        <v>0</v>
      </c>
      <c r="F313" s="132"/>
      <c r="G313" s="132"/>
      <c r="H313" s="132"/>
      <c r="I313" s="132"/>
      <c r="J313" s="132">
        <f t="shared" si="67"/>
        <v>8000000</v>
      </c>
      <c r="K313" s="132"/>
      <c r="L313" s="132">
        <v>8000000</v>
      </c>
      <c r="M313" s="132"/>
      <c r="N313" s="132"/>
      <c r="O313" s="132"/>
      <c r="P313" s="132">
        <f t="shared" si="66"/>
        <v>8000000</v>
      </c>
      <c r="Q313" s="160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  <c r="CJ313" s="61"/>
      <c r="CK313" s="61"/>
      <c r="CL313" s="61"/>
      <c r="CM313" s="61"/>
      <c r="CN313" s="61"/>
      <c r="CO313" s="61"/>
      <c r="CP313" s="61"/>
      <c r="CQ313" s="61"/>
      <c r="CR313" s="61"/>
      <c r="CS313" s="61"/>
      <c r="CT313" s="61"/>
      <c r="CU313" s="61"/>
      <c r="CV313" s="61"/>
      <c r="CW313" s="61"/>
      <c r="CX313" s="61"/>
      <c r="CY313" s="61"/>
      <c r="CZ313" s="61"/>
      <c r="DA313" s="61"/>
      <c r="DB313" s="61"/>
      <c r="DC313" s="61"/>
      <c r="DD313" s="61"/>
      <c r="DE313" s="61"/>
      <c r="DF313" s="61"/>
      <c r="DG313" s="61"/>
      <c r="DH313" s="61"/>
      <c r="DI313" s="61"/>
      <c r="DJ313" s="61"/>
      <c r="DK313" s="61"/>
      <c r="DL313" s="61"/>
      <c r="DM313" s="61"/>
      <c r="DN313" s="61"/>
      <c r="DO313" s="61"/>
      <c r="DP313" s="61"/>
      <c r="DQ313" s="61"/>
      <c r="DR313" s="61"/>
      <c r="DS313" s="61"/>
      <c r="DT313" s="61"/>
      <c r="DU313" s="61"/>
      <c r="DV313" s="61"/>
      <c r="DW313" s="61"/>
      <c r="DX313" s="61"/>
      <c r="DY313" s="61"/>
      <c r="DZ313" s="61"/>
      <c r="EA313" s="61"/>
      <c r="EB313" s="61"/>
      <c r="EC313" s="61"/>
      <c r="ED313" s="61"/>
      <c r="EE313" s="61"/>
      <c r="EF313" s="61"/>
      <c r="EG313" s="61"/>
      <c r="EH313" s="61"/>
      <c r="EI313" s="61"/>
      <c r="EJ313" s="61"/>
      <c r="EK313" s="61"/>
      <c r="EL313" s="61"/>
      <c r="EM313" s="61"/>
      <c r="EN313" s="61"/>
      <c r="EO313" s="61"/>
      <c r="EP313" s="61"/>
      <c r="EQ313" s="61"/>
      <c r="ER313" s="61"/>
      <c r="ES313" s="61"/>
      <c r="ET313" s="61"/>
      <c r="EU313" s="61"/>
      <c r="EV313" s="61"/>
      <c r="EW313" s="61"/>
      <c r="EX313" s="61"/>
      <c r="EY313" s="61"/>
      <c r="EZ313" s="61"/>
      <c r="FA313" s="61"/>
      <c r="FB313" s="61"/>
      <c r="FC313" s="61"/>
      <c r="FD313" s="61"/>
      <c r="FE313" s="61"/>
      <c r="FF313" s="61"/>
      <c r="FG313" s="61"/>
      <c r="FH313" s="61"/>
      <c r="FI313" s="61"/>
      <c r="FJ313" s="61"/>
      <c r="FK313" s="61"/>
      <c r="FL313" s="61"/>
      <c r="FM313" s="61"/>
      <c r="FN313" s="61"/>
      <c r="FO313" s="61"/>
      <c r="FP313" s="61"/>
      <c r="FQ313" s="61"/>
      <c r="FR313" s="61"/>
      <c r="FS313" s="61"/>
      <c r="FT313" s="61"/>
      <c r="FU313" s="61"/>
      <c r="FV313" s="61"/>
      <c r="FW313" s="61"/>
      <c r="FX313" s="61"/>
      <c r="FY313" s="61"/>
      <c r="FZ313" s="61"/>
      <c r="GA313" s="61"/>
      <c r="GB313" s="61"/>
      <c r="GC313" s="61"/>
      <c r="GD313" s="61"/>
      <c r="GE313" s="61"/>
      <c r="GF313" s="61"/>
      <c r="GG313" s="61"/>
      <c r="GH313" s="61"/>
      <c r="GI313" s="61"/>
      <c r="GJ313" s="61"/>
      <c r="GK313" s="61"/>
      <c r="GL313" s="61"/>
      <c r="GM313" s="61"/>
      <c r="GN313" s="61"/>
      <c r="GO313" s="61"/>
      <c r="GP313" s="61"/>
      <c r="GQ313" s="61"/>
      <c r="GR313" s="61"/>
      <c r="GS313" s="61"/>
      <c r="GT313" s="61"/>
      <c r="GU313" s="61"/>
      <c r="GV313" s="61"/>
      <c r="GW313" s="61"/>
      <c r="GX313" s="61"/>
      <c r="GY313" s="61"/>
      <c r="GZ313" s="61"/>
      <c r="HA313" s="61"/>
      <c r="HB313" s="61"/>
      <c r="HC313" s="61"/>
      <c r="HD313" s="61"/>
      <c r="HE313" s="61"/>
      <c r="HF313" s="61"/>
      <c r="HG313" s="61"/>
      <c r="HH313" s="61"/>
      <c r="HI313" s="61"/>
      <c r="HJ313" s="61"/>
      <c r="HK313" s="61"/>
      <c r="HL313" s="61"/>
      <c r="HM313" s="61"/>
      <c r="HN313" s="61"/>
      <c r="HO313" s="61"/>
      <c r="HP313" s="61"/>
      <c r="HQ313" s="61"/>
      <c r="HR313" s="61"/>
      <c r="HS313" s="61"/>
      <c r="HT313" s="61"/>
      <c r="HU313" s="61"/>
      <c r="HV313" s="61"/>
      <c r="HW313" s="61"/>
      <c r="HX313" s="61"/>
      <c r="HY313" s="61"/>
      <c r="HZ313" s="61"/>
      <c r="IA313" s="61"/>
      <c r="IB313" s="61"/>
      <c r="IC313" s="61"/>
      <c r="ID313" s="61"/>
      <c r="IE313" s="61"/>
      <c r="IF313" s="61"/>
      <c r="IG313" s="61"/>
      <c r="IH313" s="61"/>
      <c r="II313" s="61"/>
      <c r="IJ313" s="61"/>
      <c r="IK313" s="61"/>
      <c r="IL313" s="61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  <c r="IW313" s="61"/>
      <c r="IX313" s="61"/>
      <c r="IY313" s="61"/>
      <c r="IZ313" s="61"/>
      <c r="JA313" s="61"/>
      <c r="JB313" s="61"/>
      <c r="JC313" s="61"/>
      <c r="JD313" s="61"/>
      <c r="JE313" s="61"/>
      <c r="JF313" s="61"/>
      <c r="JG313" s="61"/>
      <c r="JH313" s="61"/>
      <c r="JI313" s="61"/>
      <c r="JJ313" s="61"/>
      <c r="JK313" s="61"/>
      <c r="JL313" s="61"/>
      <c r="JM313" s="61"/>
      <c r="JN313" s="61"/>
      <c r="JO313" s="61"/>
      <c r="JP313" s="61"/>
      <c r="JQ313" s="61"/>
      <c r="JR313" s="61"/>
      <c r="JS313" s="61"/>
      <c r="JT313" s="61"/>
      <c r="JU313" s="61"/>
      <c r="JV313" s="61"/>
      <c r="JW313" s="61"/>
      <c r="JX313" s="61"/>
      <c r="JY313" s="61"/>
      <c r="JZ313" s="61"/>
      <c r="KA313" s="61"/>
      <c r="KB313" s="61"/>
      <c r="KC313" s="61"/>
      <c r="KD313" s="61"/>
      <c r="KE313" s="61"/>
      <c r="KF313" s="61"/>
      <c r="KG313" s="61"/>
      <c r="KH313" s="61"/>
      <c r="KI313" s="61"/>
      <c r="KJ313" s="61"/>
      <c r="KK313" s="61"/>
      <c r="KL313" s="61"/>
      <c r="KM313" s="61"/>
      <c r="KN313" s="61"/>
      <c r="KO313" s="61"/>
      <c r="KP313" s="61"/>
      <c r="KQ313" s="61"/>
      <c r="KR313" s="61"/>
      <c r="KS313" s="61"/>
      <c r="KT313" s="61"/>
      <c r="KU313" s="61"/>
      <c r="KV313" s="61"/>
      <c r="KW313" s="61"/>
      <c r="KX313" s="61"/>
      <c r="KY313" s="61"/>
      <c r="KZ313" s="61"/>
      <c r="LA313" s="61"/>
      <c r="LB313" s="61"/>
      <c r="LC313" s="61"/>
      <c r="LD313" s="61"/>
      <c r="LE313" s="61"/>
      <c r="LF313" s="61"/>
      <c r="LG313" s="61"/>
      <c r="LH313" s="61"/>
      <c r="LI313" s="61"/>
      <c r="LJ313" s="61"/>
      <c r="LK313" s="61"/>
      <c r="LL313" s="61"/>
      <c r="LM313" s="61"/>
      <c r="LN313" s="61"/>
      <c r="LO313" s="61"/>
      <c r="LP313" s="61"/>
      <c r="LQ313" s="61"/>
      <c r="LR313" s="61"/>
      <c r="LS313" s="61"/>
      <c r="LT313" s="61"/>
      <c r="LU313" s="61"/>
      <c r="LV313" s="61"/>
      <c r="LW313" s="61"/>
      <c r="LX313" s="61"/>
      <c r="LY313" s="61"/>
      <c r="LZ313" s="61"/>
      <c r="MA313" s="61"/>
      <c r="MB313" s="61"/>
      <c r="MC313" s="61"/>
      <c r="MD313" s="61"/>
      <c r="ME313" s="61"/>
      <c r="MF313" s="61"/>
      <c r="MG313" s="61"/>
      <c r="MH313" s="61"/>
      <c r="MI313" s="61"/>
      <c r="MJ313" s="61"/>
      <c r="MK313" s="61"/>
      <c r="ML313" s="61"/>
      <c r="MM313" s="61"/>
      <c r="MN313" s="61"/>
      <c r="MO313" s="61"/>
      <c r="MP313" s="61"/>
      <c r="MQ313" s="61"/>
      <c r="MR313" s="61"/>
      <c r="MS313" s="61"/>
      <c r="MT313" s="61"/>
      <c r="MU313" s="61"/>
      <c r="MV313" s="61"/>
      <c r="MW313" s="61"/>
      <c r="MX313" s="61"/>
      <c r="MY313" s="61"/>
      <c r="MZ313" s="61"/>
      <c r="NA313" s="61"/>
      <c r="NB313" s="61"/>
      <c r="NC313" s="61"/>
      <c r="ND313" s="61"/>
      <c r="NE313" s="61"/>
      <c r="NF313" s="61"/>
      <c r="NG313" s="61"/>
      <c r="NH313" s="61"/>
      <c r="NI313" s="61"/>
      <c r="NJ313" s="61"/>
      <c r="NK313" s="61"/>
      <c r="NL313" s="61"/>
      <c r="NM313" s="61"/>
      <c r="NN313" s="61"/>
      <c r="NO313" s="61"/>
      <c r="NP313" s="61"/>
      <c r="NQ313" s="61"/>
      <c r="NR313" s="61"/>
      <c r="NS313" s="61"/>
      <c r="NT313" s="61"/>
      <c r="NU313" s="61"/>
      <c r="NV313" s="61"/>
      <c r="NW313" s="61"/>
      <c r="NX313" s="61"/>
      <c r="NY313" s="61"/>
      <c r="NZ313" s="61"/>
      <c r="OA313" s="61"/>
      <c r="OB313" s="61"/>
      <c r="OC313" s="61"/>
      <c r="OD313" s="61"/>
      <c r="OE313" s="61"/>
      <c r="OF313" s="61"/>
      <c r="OG313" s="61"/>
      <c r="OH313" s="61"/>
      <c r="OI313" s="61"/>
      <c r="OJ313" s="61"/>
      <c r="OK313" s="61"/>
      <c r="OL313" s="61"/>
      <c r="OM313" s="61"/>
      <c r="ON313" s="61"/>
      <c r="OO313" s="61"/>
      <c r="OP313" s="61"/>
      <c r="OQ313" s="61"/>
      <c r="OR313" s="61"/>
      <c r="OS313" s="61"/>
      <c r="OT313" s="61"/>
      <c r="OU313" s="61"/>
      <c r="OV313" s="61"/>
      <c r="OW313" s="61"/>
      <c r="OX313" s="61"/>
      <c r="OY313" s="61"/>
      <c r="OZ313" s="61"/>
      <c r="PA313" s="61"/>
      <c r="PB313" s="61"/>
      <c r="PC313" s="61"/>
      <c r="PD313" s="61"/>
      <c r="PE313" s="61"/>
      <c r="PF313" s="61"/>
      <c r="PG313" s="61"/>
      <c r="PH313" s="61"/>
      <c r="PI313" s="61"/>
      <c r="PJ313" s="61"/>
      <c r="PK313" s="61"/>
      <c r="PL313" s="61"/>
      <c r="PM313" s="61"/>
      <c r="PN313" s="61"/>
      <c r="PO313" s="61"/>
      <c r="PP313" s="61"/>
      <c r="PQ313" s="61"/>
      <c r="PR313" s="61"/>
      <c r="PS313" s="61"/>
      <c r="PT313" s="61"/>
      <c r="PU313" s="61"/>
      <c r="PV313" s="61"/>
      <c r="PW313" s="61"/>
      <c r="PX313" s="61"/>
      <c r="PY313" s="61"/>
      <c r="PZ313" s="61"/>
      <c r="QA313" s="61"/>
      <c r="QB313" s="61"/>
      <c r="QC313" s="61"/>
      <c r="QD313" s="61"/>
      <c r="QE313" s="61"/>
      <c r="QF313" s="61"/>
      <c r="QG313" s="61"/>
      <c r="QH313" s="61"/>
      <c r="QI313" s="61"/>
      <c r="QJ313" s="61"/>
      <c r="QK313" s="61"/>
      <c r="QL313" s="61"/>
      <c r="QM313" s="61"/>
      <c r="QN313" s="61"/>
      <c r="QO313" s="61"/>
      <c r="QP313" s="61"/>
      <c r="QQ313" s="61"/>
      <c r="QR313" s="61"/>
      <c r="QS313" s="61"/>
      <c r="QT313" s="61"/>
      <c r="QU313" s="61"/>
      <c r="QV313" s="61"/>
      <c r="QW313" s="61"/>
      <c r="QX313" s="61"/>
      <c r="QY313" s="61"/>
      <c r="QZ313" s="61"/>
      <c r="RA313" s="61"/>
      <c r="RB313" s="61"/>
      <c r="RC313" s="61"/>
      <c r="RD313" s="61"/>
      <c r="RE313" s="61"/>
      <c r="RF313" s="61"/>
      <c r="RG313" s="61"/>
      <c r="RH313" s="61"/>
      <c r="RI313" s="61"/>
      <c r="RJ313" s="61"/>
      <c r="RK313" s="61"/>
      <c r="RL313" s="61"/>
      <c r="RM313" s="61"/>
      <c r="RN313" s="61"/>
      <c r="RO313" s="61"/>
      <c r="RP313" s="61"/>
      <c r="RQ313" s="61"/>
      <c r="RR313" s="61"/>
      <c r="RS313" s="61"/>
      <c r="RT313" s="61"/>
      <c r="RU313" s="61"/>
      <c r="RV313" s="61"/>
      <c r="RW313" s="61"/>
      <c r="RX313" s="61"/>
      <c r="RY313" s="61"/>
      <c r="RZ313" s="61"/>
      <c r="SA313" s="61"/>
      <c r="SB313" s="61"/>
      <c r="SC313" s="61"/>
      <c r="SD313" s="61"/>
      <c r="SE313" s="61"/>
      <c r="SF313" s="61"/>
      <c r="SG313" s="61"/>
      <c r="SH313" s="61"/>
      <c r="SI313" s="61"/>
      <c r="SJ313" s="61"/>
      <c r="SK313" s="61"/>
      <c r="SL313" s="61"/>
      <c r="SM313" s="61"/>
      <c r="SN313" s="61"/>
      <c r="SO313" s="61"/>
      <c r="SP313" s="61"/>
      <c r="SQ313" s="61"/>
      <c r="SR313" s="61"/>
      <c r="SS313" s="61"/>
      <c r="ST313" s="61"/>
      <c r="SU313" s="61"/>
      <c r="SV313" s="61"/>
      <c r="SW313" s="61"/>
      <c r="SX313" s="61"/>
      <c r="SY313" s="61"/>
      <c r="SZ313" s="61"/>
      <c r="TA313" s="61"/>
      <c r="TB313" s="61"/>
      <c r="TC313" s="61"/>
      <c r="TD313" s="61"/>
      <c r="TE313" s="61"/>
      <c r="TF313" s="61"/>
      <c r="TG313" s="61"/>
      <c r="TH313" s="61"/>
      <c r="TI313" s="61"/>
      <c r="TJ313" s="61"/>
      <c r="TK313" s="61"/>
      <c r="TL313" s="61"/>
      <c r="TM313" s="61"/>
      <c r="TN313" s="61"/>
      <c r="TO313" s="61"/>
      <c r="TP313" s="61"/>
      <c r="TQ313" s="61"/>
      <c r="TR313" s="61"/>
      <c r="TS313" s="61"/>
      <c r="TT313" s="61"/>
      <c r="TU313" s="61"/>
      <c r="TV313" s="61"/>
      <c r="TW313" s="61"/>
      <c r="TX313" s="61"/>
      <c r="TY313" s="61"/>
      <c r="TZ313" s="61"/>
      <c r="UA313" s="61"/>
      <c r="UB313" s="61"/>
      <c r="UC313" s="61"/>
      <c r="UD313" s="61"/>
      <c r="UE313" s="61"/>
      <c r="UF313" s="61"/>
      <c r="UG313" s="61"/>
      <c r="UH313" s="61"/>
      <c r="UI313" s="61"/>
      <c r="UJ313" s="61"/>
      <c r="UK313" s="61"/>
      <c r="UL313" s="61"/>
      <c r="UM313" s="61"/>
      <c r="UN313" s="61"/>
      <c r="UO313" s="61"/>
      <c r="UP313" s="61"/>
      <c r="UQ313" s="61"/>
      <c r="UR313" s="61"/>
      <c r="US313" s="61"/>
      <c r="UT313" s="61"/>
      <c r="UU313" s="61"/>
      <c r="UV313" s="61"/>
      <c r="UW313" s="61"/>
      <c r="UX313" s="61"/>
      <c r="UY313" s="61"/>
      <c r="UZ313" s="61"/>
      <c r="VA313" s="61"/>
      <c r="VB313" s="61"/>
      <c r="VC313" s="61"/>
    </row>
    <row r="314" spans="1:575" s="55" customFormat="1" ht="26.25" customHeight="1" x14ac:dyDescent="0.25">
      <c r="A314" s="53" t="s">
        <v>416</v>
      </c>
      <c r="B314" s="102" t="str">
        <f>'дод 2'!A226</f>
        <v>9770</v>
      </c>
      <c r="C314" s="102" t="str">
        <f>'дод 2'!B226</f>
        <v>0180</v>
      </c>
      <c r="D314" s="56" t="str">
        <f>'дод 2'!C226</f>
        <v xml:space="preserve">Інші субвенції з місцевого бюджету </v>
      </c>
      <c r="E314" s="132">
        <f>F314+I314</f>
        <v>0</v>
      </c>
      <c r="F314" s="132"/>
      <c r="G314" s="132"/>
      <c r="H314" s="132"/>
      <c r="I314" s="132"/>
      <c r="J314" s="132">
        <f t="shared" si="67"/>
        <v>500000</v>
      </c>
      <c r="K314" s="132">
        <v>500000</v>
      </c>
      <c r="L314" s="132"/>
      <c r="M314" s="132"/>
      <c r="N314" s="132"/>
      <c r="O314" s="132">
        <v>500000</v>
      </c>
      <c r="P314" s="132">
        <f t="shared" si="66"/>
        <v>500000</v>
      </c>
      <c r="Q314" s="160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  <c r="CJ314" s="61"/>
      <c r="CK314" s="61"/>
      <c r="CL314" s="61"/>
      <c r="CM314" s="61"/>
      <c r="CN314" s="61"/>
      <c r="CO314" s="61"/>
      <c r="CP314" s="61"/>
      <c r="CQ314" s="61"/>
      <c r="CR314" s="61"/>
      <c r="CS314" s="61"/>
      <c r="CT314" s="61"/>
      <c r="CU314" s="61"/>
      <c r="CV314" s="61"/>
      <c r="CW314" s="61"/>
      <c r="CX314" s="61"/>
      <c r="CY314" s="61"/>
      <c r="CZ314" s="61"/>
      <c r="DA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  <c r="DP314" s="61"/>
      <c r="DQ314" s="61"/>
      <c r="DR314" s="61"/>
      <c r="DS314" s="61"/>
      <c r="DT314" s="61"/>
      <c r="DU314" s="61"/>
      <c r="DV314" s="61"/>
      <c r="DW314" s="61"/>
      <c r="DX314" s="61"/>
      <c r="DY314" s="61"/>
      <c r="DZ314" s="61"/>
      <c r="EA314" s="61"/>
      <c r="EB314" s="61"/>
      <c r="EC314" s="61"/>
      <c r="ED314" s="61"/>
      <c r="EE314" s="61"/>
      <c r="EF314" s="61"/>
      <c r="EG314" s="61"/>
      <c r="EH314" s="61"/>
      <c r="EI314" s="61"/>
      <c r="EJ314" s="61"/>
      <c r="EK314" s="61"/>
      <c r="EL314" s="61"/>
      <c r="EM314" s="61"/>
      <c r="EN314" s="61"/>
      <c r="EO314" s="61"/>
      <c r="EP314" s="61"/>
      <c r="EQ314" s="61"/>
      <c r="ER314" s="61"/>
      <c r="ES314" s="61"/>
      <c r="ET314" s="61"/>
      <c r="EU314" s="61"/>
      <c r="EV314" s="61"/>
      <c r="EW314" s="61"/>
      <c r="EX314" s="61"/>
      <c r="EY314" s="61"/>
      <c r="EZ314" s="61"/>
      <c r="FA314" s="61"/>
      <c r="FB314" s="61"/>
      <c r="FC314" s="61"/>
      <c r="FD314" s="61"/>
      <c r="FE314" s="61"/>
      <c r="FF314" s="61"/>
      <c r="FG314" s="61"/>
      <c r="FH314" s="61"/>
      <c r="FI314" s="61"/>
      <c r="FJ314" s="61"/>
      <c r="FK314" s="61"/>
      <c r="FL314" s="61"/>
      <c r="FM314" s="61"/>
      <c r="FN314" s="61"/>
      <c r="FO314" s="61"/>
      <c r="FP314" s="61"/>
      <c r="FQ314" s="61"/>
      <c r="FR314" s="61"/>
      <c r="FS314" s="61"/>
      <c r="FT314" s="61"/>
      <c r="FU314" s="61"/>
      <c r="FV314" s="61"/>
      <c r="FW314" s="61"/>
      <c r="FX314" s="61"/>
      <c r="FY314" s="61"/>
      <c r="FZ314" s="61"/>
      <c r="GA314" s="61"/>
      <c r="GB314" s="61"/>
      <c r="GC314" s="61"/>
      <c r="GD314" s="61"/>
      <c r="GE314" s="61"/>
      <c r="GF314" s="61"/>
      <c r="GG314" s="61"/>
      <c r="GH314" s="61"/>
      <c r="GI314" s="61"/>
      <c r="GJ314" s="61"/>
      <c r="GK314" s="61"/>
      <c r="GL314" s="61"/>
      <c r="GM314" s="61"/>
      <c r="GN314" s="61"/>
      <c r="GO314" s="61"/>
      <c r="GP314" s="61"/>
      <c r="GQ314" s="61"/>
      <c r="GR314" s="61"/>
      <c r="GS314" s="61"/>
      <c r="GT314" s="61"/>
      <c r="GU314" s="61"/>
      <c r="GV314" s="61"/>
      <c r="GW314" s="61"/>
      <c r="GX314" s="61"/>
      <c r="GY314" s="61"/>
      <c r="GZ314" s="61"/>
      <c r="HA314" s="61"/>
      <c r="HB314" s="61"/>
      <c r="HC314" s="61"/>
      <c r="HD314" s="61"/>
      <c r="HE314" s="61"/>
      <c r="HF314" s="61"/>
      <c r="HG314" s="61"/>
      <c r="HH314" s="61"/>
      <c r="HI314" s="61"/>
      <c r="HJ314" s="61"/>
      <c r="HK314" s="61"/>
      <c r="HL314" s="61"/>
      <c r="HM314" s="61"/>
      <c r="HN314" s="61"/>
      <c r="HO314" s="61"/>
      <c r="HP314" s="61"/>
      <c r="HQ314" s="61"/>
      <c r="HR314" s="61"/>
      <c r="HS314" s="61"/>
      <c r="HT314" s="61"/>
      <c r="HU314" s="61"/>
      <c r="HV314" s="61"/>
      <c r="HW314" s="61"/>
      <c r="HX314" s="61"/>
      <c r="HY314" s="61"/>
      <c r="HZ314" s="61"/>
      <c r="IA314" s="61"/>
      <c r="IB314" s="61"/>
      <c r="IC314" s="61"/>
      <c r="ID314" s="61"/>
      <c r="IE314" s="61"/>
      <c r="IF314" s="61"/>
      <c r="IG314" s="61"/>
      <c r="IH314" s="61"/>
      <c r="II314" s="61"/>
      <c r="IJ314" s="61"/>
      <c r="IK314" s="61"/>
      <c r="IL314" s="61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  <c r="IW314" s="61"/>
      <c r="IX314" s="61"/>
      <c r="IY314" s="61"/>
      <c r="IZ314" s="61"/>
      <c r="JA314" s="61"/>
      <c r="JB314" s="61"/>
      <c r="JC314" s="61"/>
      <c r="JD314" s="61"/>
      <c r="JE314" s="61"/>
      <c r="JF314" s="61"/>
      <c r="JG314" s="61"/>
      <c r="JH314" s="61"/>
      <c r="JI314" s="61"/>
      <c r="JJ314" s="61"/>
      <c r="JK314" s="61"/>
      <c r="JL314" s="61"/>
      <c r="JM314" s="61"/>
      <c r="JN314" s="61"/>
      <c r="JO314" s="61"/>
      <c r="JP314" s="61"/>
      <c r="JQ314" s="61"/>
      <c r="JR314" s="61"/>
      <c r="JS314" s="61"/>
      <c r="JT314" s="61"/>
      <c r="JU314" s="61"/>
      <c r="JV314" s="61"/>
      <c r="JW314" s="61"/>
      <c r="JX314" s="61"/>
      <c r="JY314" s="61"/>
      <c r="JZ314" s="61"/>
      <c r="KA314" s="61"/>
      <c r="KB314" s="61"/>
      <c r="KC314" s="61"/>
      <c r="KD314" s="61"/>
      <c r="KE314" s="61"/>
      <c r="KF314" s="61"/>
      <c r="KG314" s="61"/>
      <c r="KH314" s="61"/>
      <c r="KI314" s="61"/>
      <c r="KJ314" s="61"/>
      <c r="KK314" s="61"/>
      <c r="KL314" s="61"/>
      <c r="KM314" s="61"/>
      <c r="KN314" s="61"/>
      <c r="KO314" s="61"/>
      <c r="KP314" s="61"/>
      <c r="KQ314" s="61"/>
      <c r="KR314" s="61"/>
      <c r="KS314" s="61"/>
      <c r="KT314" s="61"/>
      <c r="KU314" s="61"/>
      <c r="KV314" s="61"/>
      <c r="KW314" s="61"/>
      <c r="KX314" s="61"/>
      <c r="KY314" s="61"/>
      <c r="KZ314" s="61"/>
      <c r="LA314" s="61"/>
      <c r="LB314" s="61"/>
      <c r="LC314" s="61"/>
      <c r="LD314" s="61"/>
      <c r="LE314" s="61"/>
      <c r="LF314" s="61"/>
      <c r="LG314" s="61"/>
      <c r="LH314" s="61"/>
      <c r="LI314" s="61"/>
      <c r="LJ314" s="61"/>
      <c r="LK314" s="61"/>
      <c r="LL314" s="61"/>
      <c r="LM314" s="61"/>
      <c r="LN314" s="61"/>
      <c r="LO314" s="61"/>
      <c r="LP314" s="61"/>
      <c r="LQ314" s="61"/>
      <c r="LR314" s="61"/>
      <c r="LS314" s="61"/>
      <c r="LT314" s="61"/>
      <c r="LU314" s="61"/>
      <c r="LV314" s="61"/>
      <c r="LW314" s="61"/>
      <c r="LX314" s="61"/>
      <c r="LY314" s="61"/>
      <c r="LZ314" s="61"/>
      <c r="MA314" s="61"/>
      <c r="MB314" s="61"/>
      <c r="MC314" s="61"/>
      <c r="MD314" s="61"/>
      <c r="ME314" s="61"/>
      <c r="MF314" s="61"/>
      <c r="MG314" s="61"/>
      <c r="MH314" s="61"/>
      <c r="MI314" s="61"/>
      <c r="MJ314" s="61"/>
      <c r="MK314" s="61"/>
      <c r="ML314" s="61"/>
      <c r="MM314" s="61"/>
      <c r="MN314" s="61"/>
      <c r="MO314" s="61"/>
      <c r="MP314" s="61"/>
      <c r="MQ314" s="61"/>
      <c r="MR314" s="61"/>
      <c r="MS314" s="61"/>
      <c r="MT314" s="61"/>
      <c r="MU314" s="61"/>
      <c r="MV314" s="61"/>
      <c r="MW314" s="61"/>
      <c r="MX314" s="61"/>
      <c r="MY314" s="61"/>
      <c r="MZ314" s="61"/>
      <c r="NA314" s="61"/>
      <c r="NB314" s="61"/>
      <c r="NC314" s="61"/>
      <c r="ND314" s="61"/>
      <c r="NE314" s="61"/>
      <c r="NF314" s="61"/>
      <c r="NG314" s="61"/>
      <c r="NH314" s="61"/>
      <c r="NI314" s="61"/>
      <c r="NJ314" s="61"/>
      <c r="NK314" s="61"/>
      <c r="NL314" s="61"/>
      <c r="NM314" s="61"/>
      <c r="NN314" s="61"/>
      <c r="NO314" s="61"/>
      <c r="NP314" s="61"/>
      <c r="NQ314" s="61"/>
      <c r="NR314" s="61"/>
      <c r="NS314" s="61"/>
      <c r="NT314" s="61"/>
      <c r="NU314" s="61"/>
      <c r="NV314" s="61"/>
      <c r="NW314" s="61"/>
      <c r="NX314" s="61"/>
      <c r="NY314" s="61"/>
      <c r="NZ314" s="61"/>
      <c r="OA314" s="61"/>
      <c r="OB314" s="61"/>
      <c r="OC314" s="61"/>
      <c r="OD314" s="61"/>
      <c r="OE314" s="61"/>
      <c r="OF314" s="61"/>
      <c r="OG314" s="61"/>
      <c r="OH314" s="61"/>
      <c r="OI314" s="61"/>
      <c r="OJ314" s="61"/>
      <c r="OK314" s="61"/>
      <c r="OL314" s="61"/>
      <c r="OM314" s="61"/>
      <c r="ON314" s="61"/>
      <c r="OO314" s="61"/>
      <c r="OP314" s="61"/>
      <c r="OQ314" s="61"/>
      <c r="OR314" s="61"/>
      <c r="OS314" s="61"/>
      <c r="OT314" s="61"/>
      <c r="OU314" s="61"/>
      <c r="OV314" s="61"/>
      <c r="OW314" s="61"/>
      <c r="OX314" s="61"/>
      <c r="OY314" s="61"/>
      <c r="OZ314" s="61"/>
      <c r="PA314" s="61"/>
      <c r="PB314" s="61"/>
      <c r="PC314" s="61"/>
      <c r="PD314" s="61"/>
      <c r="PE314" s="61"/>
      <c r="PF314" s="61"/>
      <c r="PG314" s="61"/>
      <c r="PH314" s="61"/>
      <c r="PI314" s="61"/>
      <c r="PJ314" s="61"/>
      <c r="PK314" s="61"/>
      <c r="PL314" s="61"/>
      <c r="PM314" s="61"/>
      <c r="PN314" s="61"/>
      <c r="PO314" s="61"/>
      <c r="PP314" s="61"/>
      <c r="PQ314" s="61"/>
      <c r="PR314" s="61"/>
      <c r="PS314" s="61"/>
      <c r="PT314" s="61"/>
      <c r="PU314" s="61"/>
      <c r="PV314" s="61"/>
      <c r="PW314" s="61"/>
      <c r="PX314" s="61"/>
      <c r="PY314" s="61"/>
      <c r="PZ314" s="61"/>
      <c r="QA314" s="61"/>
      <c r="QB314" s="61"/>
      <c r="QC314" s="61"/>
      <c r="QD314" s="61"/>
      <c r="QE314" s="61"/>
      <c r="QF314" s="61"/>
      <c r="QG314" s="61"/>
      <c r="QH314" s="61"/>
      <c r="QI314" s="61"/>
      <c r="QJ314" s="61"/>
      <c r="QK314" s="61"/>
      <c r="QL314" s="61"/>
      <c r="QM314" s="61"/>
      <c r="QN314" s="61"/>
      <c r="QO314" s="61"/>
      <c r="QP314" s="61"/>
      <c r="QQ314" s="61"/>
      <c r="QR314" s="61"/>
      <c r="QS314" s="61"/>
      <c r="QT314" s="61"/>
      <c r="QU314" s="61"/>
      <c r="QV314" s="61"/>
      <c r="QW314" s="61"/>
      <c r="QX314" s="61"/>
      <c r="QY314" s="61"/>
      <c r="QZ314" s="61"/>
      <c r="RA314" s="61"/>
      <c r="RB314" s="61"/>
      <c r="RC314" s="61"/>
      <c r="RD314" s="61"/>
      <c r="RE314" s="61"/>
      <c r="RF314" s="61"/>
      <c r="RG314" s="61"/>
      <c r="RH314" s="61"/>
      <c r="RI314" s="61"/>
      <c r="RJ314" s="61"/>
      <c r="RK314" s="61"/>
      <c r="RL314" s="61"/>
      <c r="RM314" s="61"/>
      <c r="RN314" s="61"/>
      <c r="RO314" s="61"/>
      <c r="RP314" s="61"/>
      <c r="RQ314" s="61"/>
      <c r="RR314" s="61"/>
      <c r="RS314" s="61"/>
      <c r="RT314" s="61"/>
      <c r="RU314" s="61"/>
      <c r="RV314" s="61"/>
      <c r="RW314" s="61"/>
      <c r="RX314" s="61"/>
      <c r="RY314" s="61"/>
      <c r="RZ314" s="61"/>
      <c r="SA314" s="61"/>
      <c r="SB314" s="61"/>
      <c r="SC314" s="61"/>
      <c r="SD314" s="61"/>
      <c r="SE314" s="61"/>
      <c r="SF314" s="61"/>
      <c r="SG314" s="61"/>
      <c r="SH314" s="61"/>
      <c r="SI314" s="61"/>
      <c r="SJ314" s="61"/>
      <c r="SK314" s="61"/>
      <c r="SL314" s="61"/>
      <c r="SM314" s="61"/>
      <c r="SN314" s="61"/>
      <c r="SO314" s="61"/>
      <c r="SP314" s="61"/>
      <c r="SQ314" s="61"/>
      <c r="SR314" s="61"/>
      <c r="SS314" s="61"/>
      <c r="ST314" s="61"/>
      <c r="SU314" s="61"/>
      <c r="SV314" s="61"/>
      <c r="SW314" s="61"/>
      <c r="SX314" s="61"/>
      <c r="SY314" s="61"/>
      <c r="SZ314" s="61"/>
      <c r="TA314" s="61"/>
      <c r="TB314" s="61"/>
      <c r="TC314" s="61"/>
      <c r="TD314" s="61"/>
      <c r="TE314" s="61"/>
      <c r="TF314" s="61"/>
      <c r="TG314" s="61"/>
      <c r="TH314" s="61"/>
      <c r="TI314" s="61"/>
      <c r="TJ314" s="61"/>
      <c r="TK314" s="61"/>
      <c r="TL314" s="61"/>
      <c r="TM314" s="61"/>
      <c r="TN314" s="61"/>
      <c r="TO314" s="61"/>
      <c r="TP314" s="61"/>
      <c r="TQ314" s="61"/>
      <c r="TR314" s="61"/>
      <c r="TS314" s="61"/>
      <c r="TT314" s="61"/>
      <c r="TU314" s="61"/>
      <c r="TV314" s="61"/>
      <c r="TW314" s="61"/>
      <c r="TX314" s="61"/>
      <c r="TY314" s="61"/>
      <c r="TZ314" s="61"/>
      <c r="UA314" s="61"/>
      <c r="UB314" s="61"/>
      <c r="UC314" s="61"/>
      <c r="UD314" s="61"/>
      <c r="UE314" s="61"/>
      <c r="UF314" s="61"/>
      <c r="UG314" s="61"/>
      <c r="UH314" s="61"/>
      <c r="UI314" s="61"/>
      <c r="UJ314" s="61"/>
      <c r="UK314" s="61"/>
      <c r="UL314" s="61"/>
      <c r="UM314" s="61"/>
      <c r="UN314" s="61"/>
      <c r="UO314" s="61"/>
      <c r="UP314" s="61"/>
      <c r="UQ314" s="61"/>
      <c r="UR314" s="61"/>
      <c r="US314" s="61"/>
      <c r="UT314" s="61"/>
      <c r="UU314" s="61"/>
      <c r="UV314" s="61"/>
      <c r="UW314" s="61"/>
      <c r="UX314" s="61"/>
      <c r="UY314" s="61"/>
      <c r="UZ314" s="61"/>
      <c r="VA314" s="61"/>
      <c r="VB314" s="61"/>
      <c r="VC314" s="61"/>
    </row>
    <row r="315" spans="1:575" s="72" customFormat="1" ht="24.75" customHeight="1" x14ac:dyDescent="0.2">
      <c r="A315" s="69"/>
      <c r="B315" s="111"/>
      <c r="C315" s="70"/>
      <c r="D315" s="71" t="s">
        <v>34</v>
      </c>
      <c r="E315" s="134">
        <f>E13+E51+E82+E116+E193+E201+E212+E243+E247+E276+E283+E286+E296+E299</f>
        <v>2574765339.1099997</v>
      </c>
      <c r="F315" s="134">
        <f t="shared" ref="F315:P315" si="68">F13+F51+F82+F116+F193+F201+F212+F243+F247+F276+F283+F286+F296+F299</f>
        <v>2497911241.3999991</v>
      </c>
      <c r="G315" s="134">
        <f t="shared" si="68"/>
        <v>788845466.63</v>
      </c>
      <c r="H315" s="134">
        <f t="shared" si="68"/>
        <v>113631144.59</v>
      </c>
      <c r="I315" s="134">
        <f t="shared" si="68"/>
        <v>68769283.550000012</v>
      </c>
      <c r="J315" s="134">
        <f t="shared" si="68"/>
        <v>659331783.6500001</v>
      </c>
      <c r="K315" s="134">
        <f t="shared" si="68"/>
        <v>489395352.43000007</v>
      </c>
      <c r="L315" s="134">
        <f t="shared" si="68"/>
        <v>123071223.23999999</v>
      </c>
      <c r="M315" s="134">
        <f t="shared" si="68"/>
        <v>7954920</v>
      </c>
      <c r="N315" s="134">
        <f t="shared" si="68"/>
        <v>3315444</v>
      </c>
      <c r="O315" s="134">
        <f t="shared" si="68"/>
        <v>536260560.41000003</v>
      </c>
      <c r="P315" s="134">
        <f t="shared" si="68"/>
        <v>3234097122.7600002</v>
      </c>
      <c r="Q315" s="16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90"/>
      <c r="CM315" s="90"/>
      <c r="CN315" s="90"/>
      <c r="CO315" s="90"/>
      <c r="CP315" s="90"/>
      <c r="CQ315" s="90"/>
      <c r="CR315" s="90"/>
      <c r="CS315" s="90"/>
      <c r="CT315" s="90"/>
      <c r="CU315" s="90"/>
      <c r="CV315" s="90"/>
      <c r="CW315" s="90"/>
      <c r="CX315" s="90"/>
      <c r="CY315" s="90"/>
      <c r="CZ315" s="90"/>
      <c r="DA315" s="90"/>
      <c r="DB315" s="90"/>
      <c r="DC315" s="90"/>
      <c r="DD315" s="90"/>
      <c r="DE315" s="90"/>
      <c r="DF315" s="90"/>
      <c r="DG315" s="90"/>
      <c r="DH315" s="90"/>
      <c r="DI315" s="90"/>
      <c r="DJ315" s="90"/>
      <c r="DK315" s="90"/>
      <c r="DL315" s="90"/>
      <c r="DM315" s="90"/>
      <c r="DN315" s="90"/>
      <c r="DO315" s="90"/>
      <c r="DP315" s="90"/>
      <c r="DQ315" s="90"/>
      <c r="DR315" s="90"/>
      <c r="DS315" s="90"/>
      <c r="DT315" s="90"/>
      <c r="DU315" s="90"/>
      <c r="DV315" s="90"/>
      <c r="DW315" s="90"/>
      <c r="DX315" s="90"/>
      <c r="DY315" s="90"/>
      <c r="DZ315" s="90"/>
      <c r="EA315" s="90"/>
      <c r="EB315" s="90"/>
      <c r="EC315" s="90"/>
      <c r="ED315" s="90"/>
      <c r="EE315" s="90"/>
      <c r="EF315" s="90"/>
      <c r="EG315" s="90"/>
      <c r="EH315" s="90"/>
      <c r="EI315" s="90"/>
      <c r="EJ315" s="90"/>
      <c r="EK315" s="90"/>
      <c r="EL315" s="90"/>
      <c r="EM315" s="90"/>
      <c r="EN315" s="90"/>
      <c r="EO315" s="90"/>
      <c r="EP315" s="90"/>
      <c r="EQ315" s="90"/>
      <c r="ER315" s="90"/>
      <c r="ES315" s="90"/>
      <c r="ET315" s="90"/>
      <c r="EU315" s="90"/>
      <c r="EV315" s="90"/>
      <c r="EW315" s="90"/>
      <c r="EX315" s="90"/>
      <c r="EY315" s="90"/>
      <c r="EZ315" s="90"/>
      <c r="FA315" s="90"/>
      <c r="FB315" s="90"/>
      <c r="FC315" s="90"/>
      <c r="FD315" s="90"/>
      <c r="FE315" s="90"/>
      <c r="FF315" s="90"/>
      <c r="FG315" s="90"/>
      <c r="FH315" s="90"/>
      <c r="FI315" s="90"/>
      <c r="FJ315" s="90"/>
      <c r="FK315" s="90"/>
      <c r="FL315" s="90"/>
      <c r="FM315" s="90"/>
      <c r="FN315" s="90"/>
      <c r="FO315" s="90"/>
      <c r="FP315" s="90"/>
      <c r="FQ315" s="90"/>
      <c r="FR315" s="90"/>
      <c r="FS315" s="90"/>
      <c r="FT315" s="90"/>
      <c r="FU315" s="90"/>
      <c r="FV315" s="90"/>
      <c r="FW315" s="90"/>
      <c r="FX315" s="90"/>
      <c r="FY315" s="90"/>
      <c r="FZ315" s="90"/>
      <c r="GA315" s="90"/>
      <c r="GB315" s="90"/>
      <c r="GC315" s="90"/>
      <c r="GD315" s="90"/>
      <c r="GE315" s="90"/>
      <c r="GF315" s="90"/>
      <c r="GG315" s="90"/>
      <c r="GH315" s="90"/>
      <c r="GI315" s="90"/>
      <c r="GJ315" s="90"/>
      <c r="GK315" s="90"/>
      <c r="GL315" s="90"/>
      <c r="GM315" s="90"/>
      <c r="GN315" s="90"/>
      <c r="GO315" s="90"/>
      <c r="GP315" s="90"/>
      <c r="GQ315" s="90"/>
      <c r="GR315" s="90"/>
      <c r="GS315" s="90"/>
      <c r="GT315" s="90"/>
      <c r="GU315" s="90"/>
      <c r="GV315" s="90"/>
      <c r="GW315" s="90"/>
      <c r="GX315" s="90"/>
      <c r="GY315" s="90"/>
      <c r="GZ315" s="90"/>
      <c r="HA315" s="90"/>
      <c r="HB315" s="90"/>
      <c r="HC315" s="90"/>
      <c r="HD315" s="90"/>
      <c r="HE315" s="90"/>
      <c r="HF315" s="90"/>
      <c r="HG315" s="90"/>
      <c r="HH315" s="90"/>
      <c r="HI315" s="90"/>
      <c r="HJ315" s="90"/>
      <c r="HK315" s="90"/>
      <c r="HL315" s="90"/>
      <c r="HM315" s="90"/>
      <c r="HN315" s="90"/>
      <c r="HO315" s="90"/>
      <c r="HP315" s="90"/>
      <c r="HQ315" s="90"/>
      <c r="HR315" s="90"/>
      <c r="HS315" s="90"/>
      <c r="HT315" s="90"/>
      <c r="HU315" s="90"/>
      <c r="HV315" s="90"/>
      <c r="HW315" s="90"/>
      <c r="HX315" s="90"/>
      <c r="HY315" s="90"/>
      <c r="HZ315" s="90"/>
      <c r="IA315" s="90"/>
      <c r="IB315" s="90"/>
      <c r="IC315" s="90"/>
      <c r="ID315" s="90"/>
      <c r="IE315" s="90"/>
      <c r="IF315" s="90"/>
      <c r="IG315" s="90"/>
      <c r="IH315" s="90"/>
      <c r="II315" s="90"/>
      <c r="IJ315" s="90"/>
      <c r="IK315" s="90"/>
      <c r="IL315" s="90"/>
      <c r="IM315" s="90"/>
      <c r="IN315" s="90"/>
      <c r="IO315" s="90"/>
      <c r="IP315" s="90"/>
      <c r="IQ315" s="90"/>
      <c r="IR315" s="90"/>
      <c r="IS315" s="90"/>
      <c r="IT315" s="90"/>
      <c r="IU315" s="90"/>
      <c r="IV315" s="90"/>
      <c r="IW315" s="90"/>
      <c r="IX315" s="90"/>
      <c r="IY315" s="90"/>
      <c r="IZ315" s="90"/>
      <c r="JA315" s="90"/>
      <c r="JB315" s="90"/>
      <c r="JC315" s="90"/>
      <c r="JD315" s="90"/>
      <c r="JE315" s="90"/>
      <c r="JF315" s="90"/>
      <c r="JG315" s="90"/>
      <c r="JH315" s="90"/>
      <c r="JI315" s="90"/>
      <c r="JJ315" s="90"/>
      <c r="JK315" s="90"/>
      <c r="JL315" s="90"/>
      <c r="JM315" s="90"/>
      <c r="JN315" s="90"/>
      <c r="JO315" s="90"/>
      <c r="JP315" s="90"/>
      <c r="JQ315" s="90"/>
      <c r="JR315" s="90"/>
      <c r="JS315" s="90"/>
      <c r="JT315" s="90"/>
      <c r="JU315" s="90"/>
      <c r="JV315" s="90"/>
      <c r="JW315" s="90"/>
      <c r="JX315" s="90"/>
      <c r="JY315" s="90"/>
      <c r="JZ315" s="90"/>
      <c r="KA315" s="90"/>
      <c r="KB315" s="90"/>
      <c r="KC315" s="90"/>
      <c r="KD315" s="90"/>
      <c r="KE315" s="90"/>
      <c r="KF315" s="90"/>
      <c r="KG315" s="90"/>
      <c r="KH315" s="90"/>
      <c r="KI315" s="90"/>
      <c r="KJ315" s="90"/>
      <c r="KK315" s="90"/>
      <c r="KL315" s="90"/>
      <c r="KM315" s="90"/>
      <c r="KN315" s="90"/>
      <c r="KO315" s="90"/>
      <c r="KP315" s="90"/>
      <c r="KQ315" s="90"/>
      <c r="KR315" s="90"/>
      <c r="KS315" s="90"/>
      <c r="KT315" s="90"/>
      <c r="KU315" s="90"/>
      <c r="KV315" s="90"/>
      <c r="KW315" s="90"/>
      <c r="KX315" s="90"/>
      <c r="KY315" s="90"/>
      <c r="KZ315" s="90"/>
      <c r="LA315" s="90"/>
      <c r="LB315" s="90"/>
      <c r="LC315" s="90"/>
      <c r="LD315" s="90"/>
      <c r="LE315" s="90"/>
      <c r="LF315" s="90"/>
      <c r="LG315" s="90"/>
      <c r="LH315" s="90"/>
      <c r="LI315" s="90"/>
      <c r="LJ315" s="90"/>
      <c r="LK315" s="90"/>
      <c r="LL315" s="90"/>
      <c r="LM315" s="90"/>
      <c r="LN315" s="90"/>
      <c r="LO315" s="90"/>
      <c r="LP315" s="90"/>
      <c r="LQ315" s="90"/>
      <c r="LR315" s="90"/>
      <c r="LS315" s="90"/>
      <c r="LT315" s="90"/>
      <c r="LU315" s="90"/>
      <c r="LV315" s="90"/>
      <c r="LW315" s="90"/>
      <c r="LX315" s="90"/>
      <c r="LY315" s="90"/>
      <c r="LZ315" s="90"/>
      <c r="MA315" s="90"/>
      <c r="MB315" s="90"/>
      <c r="MC315" s="90"/>
      <c r="MD315" s="90"/>
      <c r="ME315" s="90"/>
      <c r="MF315" s="90"/>
      <c r="MG315" s="90"/>
      <c r="MH315" s="90"/>
      <c r="MI315" s="90"/>
      <c r="MJ315" s="90"/>
      <c r="MK315" s="90"/>
      <c r="ML315" s="90"/>
      <c r="MM315" s="90"/>
      <c r="MN315" s="90"/>
      <c r="MO315" s="90"/>
      <c r="MP315" s="90"/>
      <c r="MQ315" s="90"/>
      <c r="MR315" s="90"/>
      <c r="MS315" s="90"/>
      <c r="MT315" s="90"/>
      <c r="MU315" s="90"/>
      <c r="MV315" s="90"/>
      <c r="MW315" s="90"/>
      <c r="MX315" s="90"/>
      <c r="MY315" s="90"/>
      <c r="MZ315" s="90"/>
      <c r="NA315" s="90"/>
      <c r="NB315" s="90"/>
      <c r="NC315" s="90"/>
      <c r="ND315" s="90"/>
      <c r="NE315" s="90"/>
      <c r="NF315" s="90"/>
      <c r="NG315" s="90"/>
      <c r="NH315" s="90"/>
      <c r="NI315" s="90"/>
      <c r="NJ315" s="90"/>
      <c r="NK315" s="90"/>
      <c r="NL315" s="90"/>
      <c r="NM315" s="90"/>
      <c r="NN315" s="90"/>
      <c r="NO315" s="90"/>
      <c r="NP315" s="90"/>
      <c r="NQ315" s="90"/>
      <c r="NR315" s="90"/>
      <c r="NS315" s="90"/>
      <c r="NT315" s="90"/>
      <c r="NU315" s="90"/>
      <c r="NV315" s="90"/>
      <c r="NW315" s="90"/>
      <c r="NX315" s="90"/>
      <c r="NY315" s="90"/>
      <c r="NZ315" s="90"/>
      <c r="OA315" s="90"/>
      <c r="OB315" s="90"/>
      <c r="OC315" s="90"/>
      <c r="OD315" s="90"/>
      <c r="OE315" s="90"/>
      <c r="OF315" s="90"/>
      <c r="OG315" s="90"/>
      <c r="OH315" s="90"/>
      <c r="OI315" s="90"/>
      <c r="OJ315" s="90"/>
      <c r="OK315" s="90"/>
      <c r="OL315" s="90"/>
      <c r="OM315" s="90"/>
      <c r="ON315" s="90"/>
      <c r="OO315" s="90"/>
      <c r="OP315" s="90"/>
      <c r="OQ315" s="90"/>
      <c r="OR315" s="90"/>
      <c r="OS315" s="90"/>
      <c r="OT315" s="90"/>
      <c r="OU315" s="90"/>
      <c r="OV315" s="90"/>
      <c r="OW315" s="90"/>
      <c r="OX315" s="90"/>
      <c r="OY315" s="90"/>
      <c r="OZ315" s="90"/>
      <c r="PA315" s="90"/>
      <c r="PB315" s="90"/>
      <c r="PC315" s="90"/>
      <c r="PD315" s="90"/>
      <c r="PE315" s="90"/>
      <c r="PF315" s="90"/>
      <c r="PG315" s="90"/>
      <c r="PH315" s="90"/>
      <c r="PI315" s="90"/>
      <c r="PJ315" s="90"/>
      <c r="PK315" s="90"/>
      <c r="PL315" s="90"/>
      <c r="PM315" s="90"/>
      <c r="PN315" s="90"/>
      <c r="PO315" s="90"/>
      <c r="PP315" s="90"/>
      <c r="PQ315" s="90"/>
      <c r="PR315" s="90"/>
      <c r="PS315" s="90"/>
      <c r="PT315" s="90"/>
      <c r="PU315" s="90"/>
      <c r="PV315" s="90"/>
      <c r="PW315" s="90"/>
      <c r="PX315" s="90"/>
      <c r="PY315" s="90"/>
      <c r="PZ315" s="90"/>
      <c r="QA315" s="90"/>
      <c r="QB315" s="90"/>
      <c r="QC315" s="90"/>
      <c r="QD315" s="90"/>
      <c r="QE315" s="90"/>
      <c r="QF315" s="90"/>
      <c r="QG315" s="90"/>
      <c r="QH315" s="90"/>
      <c r="QI315" s="90"/>
      <c r="QJ315" s="90"/>
      <c r="QK315" s="90"/>
      <c r="QL315" s="90"/>
      <c r="QM315" s="90"/>
      <c r="QN315" s="90"/>
      <c r="QO315" s="90"/>
      <c r="QP315" s="90"/>
      <c r="QQ315" s="90"/>
      <c r="QR315" s="90"/>
      <c r="QS315" s="90"/>
      <c r="QT315" s="90"/>
      <c r="QU315" s="90"/>
      <c r="QV315" s="90"/>
      <c r="QW315" s="90"/>
      <c r="QX315" s="90"/>
      <c r="QY315" s="90"/>
      <c r="QZ315" s="90"/>
      <c r="RA315" s="90"/>
      <c r="RB315" s="90"/>
      <c r="RC315" s="90"/>
      <c r="RD315" s="90"/>
      <c r="RE315" s="90"/>
      <c r="RF315" s="90"/>
      <c r="RG315" s="90"/>
      <c r="RH315" s="90"/>
      <c r="RI315" s="90"/>
      <c r="RJ315" s="90"/>
      <c r="RK315" s="90"/>
      <c r="RL315" s="90"/>
      <c r="RM315" s="90"/>
      <c r="RN315" s="90"/>
      <c r="RO315" s="90"/>
      <c r="RP315" s="90"/>
      <c r="RQ315" s="90"/>
      <c r="RR315" s="90"/>
      <c r="RS315" s="90"/>
      <c r="RT315" s="90"/>
      <c r="RU315" s="90"/>
      <c r="RV315" s="90"/>
      <c r="RW315" s="90"/>
      <c r="RX315" s="90"/>
      <c r="RY315" s="90"/>
      <c r="RZ315" s="90"/>
      <c r="SA315" s="90"/>
      <c r="SB315" s="90"/>
      <c r="SC315" s="90"/>
      <c r="SD315" s="90"/>
      <c r="SE315" s="90"/>
      <c r="SF315" s="90"/>
      <c r="SG315" s="90"/>
      <c r="SH315" s="90"/>
      <c r="SI315" s="90"/>
      <c r="SJ315" s="90"/>
      <c r="SK315" s="90"/>
      <c r="SL315" s="90"/>
      <c r="SM315" s="90"/>
      <c r="SN315" s="90"/>
      <c r="SO315" s="90"/>
      <c r="SP315" s="90"/>
      <c r="SQ315" s="90"/>
      <c r="SR315" s="90"/>
      <c r="SS315" s="90"/>
      <c r="ST315" s="90"/>
      <c r="SU315" s="90"/>
      <c r="SV315" s="90"/>
      <c r="SW315" s="90"/>
      <c r="SX315" s="90"/>
      <c r="SY315" s="90"/>
      <c r="SZ315" s="90"/>
      <c r="TA315" s="90"/>
      <c r="TB315" s="90"/>
      <c r="TC315" s="90"/>
      <c r="TD315" s="90"/>
      <c r="TE315" s="90"/>
      <c r="TF315" s="90"/>
      <c r="TG315" s="90"/>
      <c r="TH315" s="90"/>
      <c r="TI315" s="90"/>
      <c r="TJ315" s="90"/>
      <c r="TK315" s="90"/>
      <c r="TL315" s="90"/>
      <c r="TM315" s="90"/>
      <c r="TN315" s="90"/>
      <c r="TO315" s="90"/>
      <c r="TP315" s="90"/>
      <c r="TQ315" s="90"/>
      <c r="TR315" s="90"/>
      <c r="TS315" s="90"/>
      <c r="TT315" s="90"/>
      <c r="TU315" s="90"/>
      <c r="TV315" s="90"/>
      <c r="TW315" s="90"/>
      <c r="TX315" s="90"/>
      <c r="TY315" s="90"/>
      <c r="TZ315" s="90"/>
      <c r="UA315" s="90"/>
      <c r="UB315" s="90"/>
      <c r="UC315" s="90"/>
      <c r="UD315" s="90"/>
      <c r="UE315" s="90"/>
      <c r="UF315" s="90"/>
      <c r="UG315" s="90"/>
      <c r="UH315" s="90"/>
      <c r="UI315" s="90"/>
      <c r="UJ315" s="90"/>
      <c r="UK315" s="90"/>
      <c r="UL315" s="90"/>
      <c r="UM315" s="90"/>
      <c r="UN315" s="90"/>
      <c r="UO315" s="90"/>
      <c r="UP315" s="90"/>
      <c r="UQ315" s="90"/>
      <c r="UR315" s="90"/>
      <c r="US315" s="90"/>
      <c r="UT315" s="90"/>
      <c r="UU315" s="90"/>
      <c r="UV315" s="90"/>
      <c r="UW315" s="90"/>
      <c r="UX315" s="90"/>
      <c r="UY315" s="90"/>
      <c r="UZ315" s="90"/>
      <c r="VA315" s="90"/>
      <c r="VB315" s="90"/>
      <c r="VC315" s="90"/>
    </row>
    <row r="316" spans="1:575" s="72" customFormat="1" ht="20.25" customHeight="1" x14ac:dyDescent="0.2">
      <c r="A316" s="69"/>
      <c r="B316" s="111"/>
      <c r="C316" s="70"/>
      <c r="D316" s="71" t="s">
        <v>344</v>
      </c>
      <c r="E316" s="134">
        <f t="shared" ref="E316:P316" si="69">E53+E84+E118+E195+E203+E214+E249+E301</f>
        <v>1054047784.15</v>
      </c>
      <c r="F316" s="134">
        <f t="shared" si="69"/>
        <v>1053757784.15</v>
      </c>
      <c r="G316" s="134">
        <f t="shared" si="69"/>
        <v>256716014</v>
      </c>
      <c r="H316" s="134">
        <f t="shared" si="69"/>
        <v>0</v>
      </c>
      <c r="I316" s="134">
        <f t="shared" si="69"/>
        <v>290000</v>
      </c>
      <c r="J316" s="134">
        <f t="shared" si="69"/>
        <v>112832633.83</v>
      </c>
      <c r="K316" s="134">
        <f t="shared" si="69"/>
        <v>62319645.830000006</v>
      </c>
      <c r="L316" s="134">
        <f t="shared" si="69"/>
        <v>49000000</v>
      </c>
      <c r="M316" s="134">
        <f t="shared" si="69"/>
        <v>0</v>
      </c>
      <c r="N316" s="134">
        <f t="shared" si="69"/>
        <v>0</v>
      </c>
      <c r="O316" s="134">
        <f t="shared" si="69"/>
        <v>63832633.830000006</v>
      </c>
      <c r="P316" s="134">
        <f t="shared" si="69"/>
        <v>1166880417.98</v>
      </c>
      <c r="Q316" s="16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0"/>
      <c r="BN316" s="90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0"/>
      <c r="BZ316" s="90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90"/>
      <c r="CM316" s="90"/>
      <c r="CN316" s="90"/>
      <c r="CO316" s="90"/>
      <c r="CP316" s="90"/>
      <c r="CQ316" s="90"/>
      <c r="CR316" s="90"/>
      <c r="CS316" s="90"/>
      <c r="CT316" s="90"/>
      <c r="CU316" s="90"/>
      <c r="CV316" s="90"/>
      <c r="CW316" s="90"/>
      <c r="CX316" s="90"/>
      <c r="CY316" s="90"/>
      <c r="CZ316" s="90"/>
      <c r="DA316" s="90"/>
      <c r="DB316" s="90"/>
      <c r="DC316" s="90"/>
      <c r="DD316" s="90"/>
      <c r="DE316" s="90"/>
      <c r="DF316" s="90"/>
      <c r="DG316" s="90"/>
      <c r="DH316" s="90"/>
      <c r="DI316" s="90"/>
      <c r="DJ316" s="90"/>
      <c r="DK316" s="90"/>
      <c r="DL316" s="90"/>
      <c r="DM316" s="90"/>
      <c r="DN316" s="90"/>
      <c r="DO316" s="90"/>
      <c r="DP316" s="90"/>
      <c r="DQ316" s="90"/>
      <c r="DR316" s="90"/>
      <c r="DS316" s="90"/>
      <c r="DT316" s="90"/>
      <c r="DU316" s="90"/>
      <c r="DV316" s="90"/>
      <c r="DW316" s="90"/>
      <c r="DX316" s="90"/>
      <c r="DY316" s="90"/>
      <c r="DZ316" s="90"/>
      <c r="EA316" s="90"/>
      <c r="EB316" s="90"/>
      <c r="EC316" s="90"/>
      <c r="ED316" s="90"/>
      <c r="EE316" s="90"/>
      <c r="EF316" s="90"/>
      <c r="EG316" s="90"/>
      <c r="EH316" s="90"/>
      <c r="EI316" s="90"/>
      <c r="EJ316" s="90"/>
      <c r="EK316" s="90"/>
      <c r="EL316" s="90"/>
      <c r="EM316" s="90"/>
      <c r="EN316" s="90"/>
      <c r="EO316" s="90"/>
      <c r="EP316" s="90"/>
      <c r="EQ316" s="90"/>
      <c r="ER316" s="90"/>
      <c r="ES316" s="90"/>
      <c r="ET316" s="90"/>
      <c r="EU316" s="90"/>
      <c r="EV316" s="90"/>
      <c r="EW316" s="90"/>
      <c r="EX316" s="90"/>
      <c r="EY316" s="90"/>
      <c r="EZ316" s="90"/>
      <c r="FA316" s="90"/>
      <c r="FB316" s="90"/>
      <c r="FC316" s="90"/>
      <c r="FD316" s="90"/>
      <c r="FE316" s="90"/>
      <c r="FF316" s="90"/>
      <c r="FG316" s="90"/>
      <c r="FH316" s="90"/>
      <c r="FI316" s="90"/>
      <c r="FJ316" s="90"/>
      <c r="FK316" s="90"/>
      <c r="FL316" s="90"/>
      <c r="FM316" s="90"/>
      <c r="FN316" s="90"/>
      <c r="FO316" s="90"/>
      <c r="FP316" s="90"/>
      <c r="FQ316" s="90"/>
      <c r="FR316" s="90"/>
      <c r="FS316" s="90"/>
      <c r="FT316" s="90"/>
      <c r="FU316" s="90"/>
      <c r="FV316" s="90"/>
      <c r="FW316" s="90"/>
      <c r="FX316" s="90"/>
      <c r="FY316" s="90"/>
      <c r="FZ316" s="90"/>
      <c r="GA316" s="90"/>
      <c r="GB316" s="90"/>
      <c r="GC316" s="90"/>
      <c r="GD316" s="90"/>
      <c r="GE316" s="90"/>
      <c r="GF316" s="90"/>
      <c r="GG316" s="90"/>
      <c r="GH316" s="90"/>
      <c r="GI316" s="90"/>
      <c r="GJ316" s="90"/>
      <c r="GK316" s="90"/>
      <c r="GL316" s="90"/>
      <c r="GM316" s="90"/>
      <c r="GN316" s="90"/>
      <c r="GO316" s="90"/>
      <c r="GP316" s="90"/>
      <c r="GQ316" s="90"/>
      <c r="GR316" s="90"/>
      <c r="GS316" s="90"/>
      <c r="GT316" s="90"/>
      <c r="GU316" s="90"/>
      <c r="GV316" s="90"/>
      <c r="GW316" s="90"/>
      <c r="GX316" s="90"/>
      <c r="GY316" s="90"/>
      <c r="GZ316" s="90"/>
      <c r="HA316" s="90"/>
      <c r="HB316" s="90"/>
      <c r="HC316" s="90"/>
      <c r="HD316" s="90"/>
      <c r="HE316" s="90"/>
      <c r="HF316" s="90"/>
      <c r="HG316" s="90"/>
      <c r="HH316" s="90"/>
      <c r="HI316" s="90"/>
      <c r="HJ316" s="90"/>
      <c r="HK316" s="90"/>
      <c r="HL316" s="90"/>
      <c r="HM316" s="90"/>
      <c r="HN316" s="90"/>
      <c r="HO316" s="90"/>
      <c r="HP316" s="90"/>
      <c r="HQ316" s="90"/>
      <c r="HR316" s="90"/>
      <c r="HS316" s="90"/>
      <c r="HT316" s="90"/>
      <c r="HU316" s="90"/>
      <c r="HV316" s="90"/>
      <c r="HW316" s="90"/>
      <c r="HX316" s="90"/>
      <c r="HY316" s="90"/>
      <c r="HZ316" s="90"/>
      <c r="IA316" s="90"/>
      <c r="IB316" s="90"/>
      <c r="IC316" s="90"/>
      <c r="ID316" s="90"/>
      <c r="IE316" s="90"/>
      <c r="IF316" s="90"/>
      <c r="IG316" s="90"/>
      <c r="IH316" s="90"/>
      <c r="II316" s="90"/>
      <c r="IJ316" s="90"/>
      <c r="IK316" s="90"/>
      <c r="IL316" s="90"/>
      <c r="IM316" s="90"/>
      <c r="IN316" s="90"/>
      <c r="IO316" s="90"/>
      <c r="IP316" s="90"/>
      <c r="IQ316" s="90"/>
      <c r="IR316" s="90"/>
      <c r="IS316" s="90"/>
      <c r="IT316" s="90"/>
      <c r="IU316" s="90"/>
      <c r="IV316" s="90"/>
      <c r="IW316" s="90"/>
      <c r="IX316" s="90"/>
      <c r="IY316" s="90"/>
      <c r="IZ316" s="90"/>
      <c r="JA316" s="90"/>
      <c r="JB316" s="90"/>
      <c r="JC316" s="90"/>
      <c r="JD316" s="90"/>
      <c r="JE316" s="90"/>
      <c r="JF316" s="90"/>
      <c r="JG316" s="90"/>
      <c r="JH316" s="90"/>
      <c r="JI316" s="90"/>
      <c r="JJ316" s="90"/>
      <c r="JK316" s="90"/>
      <c r="JL316" s="90"/>
      <c r="JM316" s="90"/>
      <c r="JN316" s="90"/>
      <c r="JO316" s="90"/>
      <c r="JP316" s="90"/>
      <c r="JQ316" s="90"/>
      <c r="JR316" s="90"/>
      <c r="JS316" s="90"/>
      <c r="JT316" s="90"/>
      <c r="JU316" s="90"/>
      <c r="JV316" s="90"/>
      <c r="JW316" s="90"/>
      <c r="JX316" s="90"/>
      <c r="JY316" s="90"/>
      <c r="JZ316" s="90"/>
      <c r="KA316" s="90"/>
      <c r="KB316" s="90"/>
      <c r="KC316" s="90"/>
      <c r="KD316" s="90"/>
      <c r="KE316" s="90"/>
      <c r="KF316" s="90"/>
      <c r="KG316" s="90"/>
      <c r="KH316" s="90"/>
      <c r="KI316" s="90"/>
      <c r="KJ316" s="90"/>
      <c r="KK316" s="90"/>
      <c r="KL316" s="90"/>
      <c r="KM316" s="90"/>
      <c r="KN316" s="90"/>
      <c r="KO316" s="90"/>
      <c r="KP316" s="90"/>
      <c r="KQ316" s="90"/>
      <c r="KR316" s="90"/>
      <c r="KS316" s="90"/>
      <c r="KT316" s="90"/>
      <c r="KU316" s="90"/>
      <c r="KV316" s="90"/>
      <c r="KW316" s="90"/>
      <c r="KX316" s="90"/>
      <c r="KY316" s="90"/>
      <c r="KZ316" s="90"/>
      <c r="LA316" s="90"/>
      <c r="LB316" s="90"/>
      <c r="LC316" s="90"/>
      <c r="LD316" s="90"/>
      <c r="LE316" s="90"/>
      <c r="LF316" s="90"/>
      <c r="LG316" s="90"/>
      <c r="LH316" s="90"/>
      <c r="LI316" s="90"/>
      <c r="LJ316" s="90"/>
      <c r="LK316" s="90"/>
      <c r="LL316" s="90"/>
      <c r="LM316" s="90"/>
      <c r="LN316" s="90"/>
      <c r="LO316" s="90"/>
      <c r="LP316" s="90"/>
      <c r="LQ316" s="90"/>
      <c r="LR316" s="90"/>
      <c r="LS316" s="90"/>
      <c r="LT316" s="90"/>
      <c r="LU316" s="90"/>
      <c r="LV316" s="90"/>
      <c r="LW316" s="90"/>
      <c r="LX316" s="90"/>
      <c r="LY316" s="90"/>
      <c r="LZ316" s="90"/>
      <c r="MA316" s="90"/>
      <c r="MB316" s="90"/>
      <c r="MC316" s="90"/>
      <c r="MD316" s="90"/>
      <c r="ME316" s="90"/>
      <c r="MF316" s="90"/>
      <c r="MG316" s="90"/>
      <c r="MH316" s="90"/>
      <c r="MI316" s="90"/>
      <c r="MJ316" s="90"/>
      <c r="MK316" s="90"/>
      <c r="ML316" s="90"/>
      <c r="MM316" s="90"/>
      <c r="MN316" s="90"/>
      <c r="MO316" s="90"/>
      <c r="MP316" s="90"/>
      <c r="MQ316" s="90"/>
      <c r="MR316" s="90"/>
      <c r="MS316" s="90"/>
      <c r="MT316" s="90"/>
      <c r="MU316" s="90"/>
      <c r="MV316" s="90"/>
      <c r="MW316" s="90"/>
      <c r="MX316" s="90"/>
      <c r="MY316" s="90"/>
      <c r="MZ316" s="90"/>
      <c r="NA316" s="90"/>
      <c r="NB316" s="90"/>
      <c r="NC316" s="90"/>
      <c r="ND316" s="90"/>
      <c r="NE316" s="90"/>
      <c r="NF316" s="90"/>
      <c r="NG316" s="90"/>
      <c r="NH316" s="90"/>
      <c r="NI316" s="90"/>
      <c r="NJ316" s="90"/>
      <c r="NK316" s="90"/>
      <c r="NL316" s="90"/>
      <c r="NM316" s="90"/>
      <c r="NN316" s="90"/>
      <c r="NO316" s="90"/>
      <c r="NP316" s="90"/>
      <c r="NQ316" s="90"/>
      <c r="NR316" s="90"/>
      <c r="NS316" s="90"/>
      <c r="NT316" s="90"/>
      <c r="NU316" s="90"/>
      <c r="NV316" s="90"/>
      <c r="NW316" s="90"/>
      <c r="NX316" s="90"/>
      <c r="NY316" s="90"/>
      <c r="NZ316" s="90"/>
      <c r="OA316" s="90"/>
      <c r="OB316" s="90"/>
      <c r="OC316" s="90"/>
      <c r="OD316" s="90"/>
      <c r="OE316" s="90"/>
      <c r="OF316" s="90"/>
      <c r="OG316" s="90"/>
      <c r="OH316" s="90"/>
      <c r="OI316" s="90"/>
      <c r="OJ316" s="90"/>
      <c r="OK316" s="90"/>
      <c r="OL316" s="90"/>
      <c r="OM316" s="90"/>
      <c r="ON316" s="90"/>
      <c r="OO316" s="90"/>
      <c r="OP316" s="90"/>
      <c r="OQ316" s="90"/>
      <c r="OR316" s="90"/>
      <c r="OS316" s="90"/>
      <c r="OT316" s="90"/>
      <c r="OU316" s="90"/>
      <c r="OV316" s="90"/>
      <c r="OW316" s="90"/>
      <c r="OX316" s="90"/>
      <c r="OY316" s="90"/>
      <c r="OZ316" s="90"/>
      <c r="PA316" s="90"/>
      <c r="PB316" s="90"/>
      <c r="PC316" s="90"/>
      <c r="PD316" s="90"/>
      <c r="PE316" s="90"/>
      <c r="PF316" s="90"/>
      <c r="PG316" s="90"/>
      <c r="PH316" s="90"/>
      <c r="PI316" s="90"/>
      <c r="PJ316" s="90"/>
      <c r="PK316" s="90"/>
      <c r="PL316" s="90"/>
      <c r="PM316" s="90"/>
      <c r="PN316" s="90"/>
      <c r="PO316" s="90"/>
      <c r="PP316" s="90"/>
      <c r="PQ316" s="90"/>
      <c r="PR316" s="90"/>
      <c r="PS316" s="90"/>
      <c r="PT316" s="90"/>
      <c r="PU316" s="90"/>
      <c r="PV316" s="90"/>
      <c r="PW316" s="90"/>
      <c r="PX316" s="90"/>
      <c r="PY316" s="90"/>
      <c r="PZ316" s="90"/>
      <c r="QA316" s="90"/>
      <c r="QB316" s="90"/>
      <c r="QC316" s="90"/>
      <c r="QD316" s="90"/>
      <c r="QE316" s="90"/>
      <c r="QF316" s="90"/>
      <c r="QG316" s="90"/>
      <c r="QH316" s="90"/>
      <c r="QI316" s="90"/>
      <c r="QJ316" s="90"/>
      <c r="QK316" s="90"/>
      <c r="QL316" s="90"/>
      <c r="QM316" s="90"/>
      <c r="QN316" s="90"/>
      <c r="QO316" s="90"/>
      <c r="QP316" s="90"/>
      <c r="QQ316" s="90"/>
      <c r="QR316" s="90"/>
      <c r="QS316" s="90"/>
      <c r="QT316" s="90"/>
      <c r="QU316" s="90"/>
      <c r="QV316" s="90"/>
      <c r="QW316" s="90"/>
      <c r="QX316" s="90"/>
      <c r="QY316" s="90"/>
      <c r="QZ316" s="90"/>
      <c r="RA316" s="90"/>
      <c r="RB316" s="90"/>
      <c r="RC316" s="90"/>
      <c r="RD316" s="90"/>
      <c r="RE316" s="90"/>
      <c r="RF316" s="90"/>
      <c r="RG316" s="90"/>
      <c r="RH316" s="90"/>
      <c r="RI316" s="90"/>
      <c r="RJ316" s="90"/>
      <c r="RK316" s="90"/>
      <c r="RL316" s="90"/>
      <c r="RM316" s="90"/>
      <c r="RN316" s="90"/>
      <c r="RO316" s="90"/>
      <c r="RP316" s="90"/>
      <c r="RQ316" s="90"/>
      <c r="RR316" s="90"/>
      <c r="RS316" s="90"/>
      <c r="RT316" s="90"/>
      <c r="RU316" s="90"/>
      <c r="RV316" s="90"/>
      <c r="RW316" s="90"/>
      <c r="RX316" s="90"/>
      <c r="RY316" s="90"/>
      <c r="RZ316" s="90"/>
      <c r="SA316" s="90"/>
      <c r="SB316" s="90"/>
      <c r="SC316" s="90"/>
      <c r="SD316" s="90"/>
      <c r="SE316" s="90"/>
      <c r="SF316" s="90"/>
      <c r="SG316" s="90"/>
      <c r="SH316" s="90"/>
      <c r="SI316" s="90"/>
      <c r="SJ316" s="90"/>
      <c r="SK316" s="90"/>
      <c r="SL316" s="90"/>
      <c r="SM316" s="90"/>
      <c r="SN316" s="90"/>
      <c r="SO316" s="90"/>
      <c r="SP316" s="90"/>
      <c r="SQ316" s="90"/>
      <c r="SR316" s="90"/>
      <c r="SS316" s="90"/>
      <c r="ST316" s="90"/>
      <c r="SU316" s="90"/>
      <c r="SV316" s="90"/>
      <c r="SW316" s="90"/>
      <c r="SX316" s="90"/>
      <c r="SY316" s="90"/>
      <c r="SZ316" s="90"/>
      <c r="TA316" s="90"/>
      <c r="TB316" s="90"/>
      <c r="TC316" s="90"/>
      <c r="TD316" s="90"/>
      <c r="TE316" s="90"/>
      <c r="TF316" s="90"/>
      <c r="TG316" s="90"/>
      <c r="TH316" s="90"/>
      <c r="TI316" s="90"/>
      <c r="TJ316" s="90"/>
      <c r="TK316" s="90"/>
      <c r="TL316" s="90"/>
      <c r="TM316" s="90"/>
      <c r="TN316" s="90"/>
      <c r="TO316" s="90"/>
      <c r="TP316" s="90"/>
      <c r="TQ316" s="90"/>
      <c r="TR316" s="90"/>
      <c r="TS316" s="90"/>
      <c r="TT316" s="90"/>
      <c r="TU316" s="90"/>
      <c r="TV316" s="90"/>
      <c r="TW316" s="90"/>
      <c r="TX316" s="90"/>
      <c r="TY316" s="90"/>
      <c r="TZ316" s="90"/>
      <c r="UA316" s="90"/>
      <c r="UB316" s="90"/>
      <c r="UC316" s="90"/>
      <c r="UD316" s="90"/>
      <c r="UE316" s="90"/>
      <c r="UF316" s="90"/>
      <c r="UG316" s="90"/>
      <c r="UH316" s="90"/>
      <c r="UI316" s="90"/>
      <c r="UJ316" s="90"/>
      <c r="UK316" s="90"/>
      <c r="UL316" s="90"/>
      <c r="UM316" s="90"/>
      <c r="UN316" s="90"/>
      <c r="UO316" s="90"/>
      <c r="UP316" s="90"/>
      <c r="UQ316" s="90"/>
      <c r="UR316" s="90"/>
      <c r="US316" s="90"/>
      <c r="UT316" s="90"/>
      <c r="UU316" s="90"/>
      <c r="UV316" s="90"/>
      <c r="UW316" s="90"/>
      <c r="UX316" s="90"/>
      <c r="UY316" s="90"/>
      <c r="UZ316" s="90"/>
      <c r="VA316" s="90"/>
      <c r="VB316" s="90"/>
      <c r="VC316" s="90"/>
    </row>
    <row r="317" spans="1:575" ht="71.25" customHeight="1" x14ac:dyDescent="0.25">
      <c r="D317" s="82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2"/>
      <c r="Q317" s="160"/>
    </row>
    <row r="318" spans="1:575" ht="31.5" customHeight="1" x14ac:dyDescent="0.45">
      <c r="A318" s="143" t="s">
        <v>611</v>
      </c>
      <c r="B318" s="144"/>
      <c r="C318" s="144"/>
      <c r="D318" s="145"/>
      <c r="E318" s="145"/>
      <c r="F318" s="145"/>
      <c r="G318" s="145"/>
      <c r="H318" s="145"/>
      <c r="I318" s="145"/>
      <c r="J318" s="146"/>
      <c r="K318" s="146"/>
      <c r="L318" s="146"/>
      <c r="M318" s="163"/>
      <c r="N318" s="189" t="s">
        <v>612</v>
      </c>
      <c r="O318" s="105"/>
      <c r="P318" s="164"/>
      <c r="Q318" s="160"/>
    </row>
    <row r="319" spans="1:575" ht="16.5" customHeight="1" x14ac:dyDescent="0.45">
      <c r="A319" s="147"/>
      <c r="B319" s="147"/>
      <c r="C319" s="147"/>
      <c r="D319" s="145"/>
      <c r="E319" s="180"/>
      <c r="F319" s="180"/>
      <c r="G319" s="180"/>
      <c r="H319" s="180"/>
      <c r="I319" s="180"/>
      <c r="J319" s="178"/>
      <c r="K319" s="178"/>
      <c r="L319" s="178"/>
      <c r="M319" s="178"/>
      <c r="N319" s="178"/>
      <c r="O319" s="178"/>
      <c r="P319" s="179"/>
      <c r="Q319" s="160"/>
    </row>
    <row r="320" spans="1:575" s="167" customFormat="1" ht="26.25" x14ac:dyDescent="0.4">
      <c r="A320" s="165" t="s">
        <v>606</v>
      </c>
      <c r="B320" s="165"/>
      <c r="C320" s="165"/>
      <c r="D320" s="165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79"/>
      <c r="Q320" s="166"/>
    </row>
    <row r="321" spans="1:17" s="167" customFormat="1" ht="18" customHeight="1" x14ac:dyDescent="0.4">
      <c r="A321" s="188" t="s">
        <v>604</v>
      </c>
      <c r="B321" s="165"/>
      <c r="C321" s="165"/>
      <c r="D321" s="165"/>
      <c r="E321" s="165"/>
      <c r="F321" s="165"/>
      <c r="G321" s="165"/>
      <c r="H321" s="165"/>
      <c r="I321" s="165"/>
      <c r="J321" s="165"/>
      <c r="K321" s="165"/>
      <c r="L321" s="165"/>
      <c r="M321" s="165"/>
      <c r="N321" s="165"/>
      <c r="O321" s="165"/>
      <c r="P321" s="152"/>
      <c r="Q321" s="166"/>
    </row>
    <row r="322" spans="1:17" s="85" customFormat="1" ht="15" x14ac:dyDescent="0.25">
      <c r="A322" s="96"/>
      <c r="B322" s="96"/>
      <c r="C322" s="96"/>
      <c r="D322" s="9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</row>
    <row r="323" spans="1:17" s="85" customFormat="1" x14ac:dyDescent="0.3">
      <c r="A323" s="96"/>
      <c r="B323" s="96"/>
      <c r="C323" s="96"/>
      <c r="D323" s="97"/>
      <c r="E323" s="186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4"/>
      <c r="Q323" s="185"/>
    </row>
    <row r="324" spans="1:17" s="85" customFormat="1" x14ac:dyDescent="0.3">
      <c r="A324" s="96"/>
      <c r="B324" s="96"/>
      <c r="C324" s="96"/>
      <c r="D324" s="97"/>
      <c r="E324" s="182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4"/>
      <c r="Q324" s="185"/>
    </row>
    <row r="325" spans="1:17" s="85" customFormat="1" x14ac:dyDescent="0.3">
      <c r="A325" s="96"/>
      <c r="B325" s="96"/>
      <c r="C325" s="96"/>
      <c r="D325" s="97"/>
      <c r="E325" s="182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4"/>
      <c r="Q325" s="185"/>
    </row>
    <row r="326" spans="1:17" s="85" customFormat="1" x14ac:dyDescent="0.3">
      <c r="A326" s="96"/>
      <c r="B326" s="96"/>
      <c r="C326" s="96"/>
      <c r="D326" s="97"/>
      <c r="E326" s="182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4"/>
      <c r="Q326" s="185"/>
    </row>
    <row r="327" spans="1:17" s="85" customFormat="1" x14ac:dyDescent="0.3">
      <c r="A327" s="96"/>
      <c r="B327" s="96"/>
      <c r="C327" s="96"/>
      <c r="D327" s="97"/>
      <c r="E327" s="182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4"/>
      <c r="Q327" s="185"/>
    </row>
    <row r="328" spans="1:17" s="85" customFormat="1" x14ac:dyDescent="0.3">
      <c r="A328" s="96"/>
      <c r="B328" s="96"/>
      <c r="C328" s="96"/>
      <c r="D328" s="97"/>
      <c r="E328" s="182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4"/>
      <c r="Q328" s="185"/>
    </row>
    <row r="329" spans="1:17" s="85" customFormat="1" x14ac:dyDescent="0.3">
      <c r="A329" s="96"/>
      <c r="B329" s="96"/>
      <c r="C329" s="96"/>
      <c r="D329" s="97"/>
      <c r="E329" s="182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4"/>
      <c r="Q329" s="185"/>
    </row>
    <row r="330" spans="1:17" s="85" customFormat="1" x14ac:dyDescent="0.3">
      <c r="A330" s="96"/>
      <c r="B330" s="96"/>
      <c r="C330" s="96"/>
      <c r="D330" s="97"/>
      <c r="E330" s="186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4"/>
      <c r="Q330" s="185"/>
    </row>
    <row r="331" spans="1:17" s="85" customFormat="1" x14ac:dyDescent="0.3">
      <c r="A331" s="96"/>
      <c r="B331" s="96"/>
      <c r="C331" s="96"/>
      <c r="D331" s="97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4"/>
      <c r="Q331" s="185"/>
    </row>
    <row r="332" spans="1:17" s="85" customFormat="1" x14ac:dyDescent="0.3">
      <c r="A332" s="96"/>
      <c r="B332" s="96"/>
      <c r="C332" s="96"/>
      <c r="D332" s="97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4"/>
      <c r="Q332" s="185"/>
    </row>
    <row r="333" spans="1:17" s="85" customFormat="1" x14ac:dyDescent="0.3">
      <c r="A333" s="96"/>
      <c r="B333" s="96"/>
      <c r="C333" s="96"/>
      <c r="D333" s="97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94"/>
      <c r="Q333" s="156"/>
    </row>
    <row r="334" spans="1:17" s="85" customFormat="1" x14ac:dyDescent="0.3">
      <c r="A334" s="96"/>
      <c r="B334" s="96"/>
      <c r="C334" s="96"/>
      <c r="D334" s="97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94"/>
      <c r="Q334" s="156"/>
    </row>
    <row r="335" spans="1:17" s="85" customFormat="1" x14ac:dyDescent="0.3">
      <c r="A335" s="96"/>
      <c r="B335" s="96"/>
      <c r="C335" s="96"/>
      <c r="D335" s="97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94"/>
      <c r="Q335" s="156"/>
    </row>
    <row r="336" spans="1:17" s="85" customFormat="1" x14ac:dyDescent="0.3">
      <c r="A336" s="96"/>
      <c r="B336" s="96"/>
      <c r="C336" s="96"/>
      <c r="D336" s="97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94"/>
      <c r="Q336" s="156"/>
    </row>
    <row r="337" spans="1:17" s="85" customFormat="1" x14ac:dyDescent="0.3">
      <c r="A337" s="96"/>
      <c r="B337" s="96"/>
      <c r="C337" s="96"/>
      <c r="D337" s="97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94"/>
      <c r="Q337" s="156"/>
    </row>
    <row r="338" spans="1:17" s="85" customFormat="1" x14ac:dyDescent="0.3">
      <c r="A338" s="96"/>
      <c r="B338" s="96"/>
      <c r="C338" s="96"/>
      <c r="D338" s="97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94"/>
      <c r="Q338" s="156"/>
    </row>
    <row r="339" spans="1:17" s="85" customFormat="1" x14ac:dyDescent="0.3">
      <c r="A339" s="96"/>
      <c r="B339" s="96"/>
      <c r="C339" s="96"/>
      <c r="D339" s="97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94"/>
      <c r="Q339" s="156"/>
    </row>
    <row r="340" spans="1:17" s="85" customFormat="1" x14ac:dyDescent="0.3">
      <c r="A340" s="96"/>
      <c r="B340" s="96"/>
      <c r="C340" s="96"/>
      <c r="D340" s="97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94"/>
      <c r="Q340" s="156"/>
    </row>
    <row r="341" spans="1:17" s="85" customFormat="1" x14ac:dyDescent="0.3">
      <c r="A341" s="96"/>
      <c r="B341" s="96"/>
      <c r="C341" s="96"/>
      <c r="D341" s="97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94"/>
      <c r="Q341" s="156"/>
    </row>
    <row r="342" spans="1:17" s="85" customFormat="1" x14ac:dyDescent="0.3">
      <c r="A342" s="96"/>
      <c r="B342" s="96"/>
      <c r="C342" s="96"/>
      <c r="D342" s="97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94"/>
      <c r="Q342" s="156"/>
    </row>
    <row r="343" spans="1:17" s="85" customFormat="1" x14ac:dyDescent="0.3">
      <c r="A343" s="96"/>
      <c r="B343" s="96"/>
      <c r="C343" s="96"/>
      <c r="D343" s="97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94"/>
      <c r="Q343" s="156"/>
    </row>
    <row r="344" spans="1:17" s="85" customFormat="1" x14ac:dyDescent="0.3">
      <c r="A344" s="96"/>
      <c r="B344" s="96"/>
      <c r="C344" s="96"/>
      <c r="D344" s="97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94"/>
      <c r="Q344" s="156"/>
    </row>
    <row r="345" spans="1:17" s="85" customFormat="1" x14ac:dyDescent="0.3">
      <c r="A345" s="96"/>
      <c r="B345" s="96"/>
      <c r="C345" s="96"/>
      <c r="D345" s="97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94"/>
      <c r="Q345" s="156"/>
    </row>
    <row r="346" spans="1:17" s="85" customFormat="1" x14ac:dyDescent="0.3">
      <c r="A346" s="96"/>
      <c r="B346" s="96"/>
      <c r="C346" s="96"/>
      <c r="D346" s="97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94"/>
      <c r="Q346" s="156"/>
    </row>
    <row r="347" spans="1:17" s="85" customFormat="1" x14ac:dyDescent="0.3">
      <c r="A347" s="96"/>
      <c r="B347" s="96"/>
      <c r="C347" s="96"/>
      <c r="D347" s="97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94"/>
      <c r="Q347" s="156"/>
    </row>
    <row r="348" spans="1:17" s="85" customFormat="1" x14ac:dyDescent="0.3">
      <c r="A348" s="96"/>
      <c r="B348" s="96"/>
      <c r="C348" s="96"/>
      <c r="D348" s="97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94"/>
      <c r="Q348" s="156"/>
    </row>
    <row r="349" spans="1:17" s="85" customFormat="1" x14ac:dyDescent="0.3">
      <c r="A349" s="96"/>
      <c r="B349" s="96"/>
      <c r="C349" s="96"/>
      <c r="D349" s="97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94"/>
      <c r="Q349" s="156"/>
    </row>
    <row r="350" spans="1:17" s="85" customFormat="1" x14ac:dyDescent="0.3">
      <c r="A350" s="96"/>
      <c r="B350" s="96"/>
      <c r="C350" s="96"/>
      <c r="D350" s="97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94"/>
      <c r="Q350" s="156"/>
    </row>
    <row r="351" spans="1:17" s="85" customFormat="1" x14ac:dyDescent="0.3">
      <c r="A351" s="96"/>
      <c r="B351" s="96"/>
      <c r="C351" s="96"/>
      <c r="D351" s="97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94"/>
      <c r="Q351" s="156"/>
    </row>
    <row r="352" spans="1:17" s="85" customFormat="1" x14ac:dyDescent="0.3">
      <c r="A352" s="96"/>
      <c r="B352" s="96"/>
      <c r="C352" s="96"/>
      <c r="D352" s="97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94"/>
      <c r="Q352" s="156"/>
    </row>
    <row r="353" spans="1:17" s="85" customFormat="1" x14ac:dyDescent="0.3">
      <c r="A353" s="96"/>
      <c r="B353" s="96"/>
      <c r="C353" s="96"/>
      <c r="D353" s="97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94"/>
      <c r="Q353" s="156"/>
    </row>
    <row r="354" spans="1:17" s="85" customFormat="1" x14ac:dyDescent="0.3">
      <c r="A354" s="96"/>
      <c r="B354" s="96"/>
      <c r="C354" s="96"/>
      <c r="D354" s="97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94"/>
      <c r="Q354" s="156"/>
    </row>
    <row r="355" spans="1:17" s="85" customFormat="1" x14ac:dyDescent="0.3">
      <c r="A355" s="96"/>
      <c r="B355" s="96"/>
      <c r="C355" s="96"/>
      <c r="D355" s="97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94"/>
      <c r="Q355" s="156"/>
    </row>
    <row r="356" spans="1:17" s="85" customFormat="1" x14ac:dyDescent="0.3">
      <c r="A356" s="96"/>
      <c r="B356" s="96"/>
      <c r="C356" s="96"/>
      <c r="D356" s="97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94"/>
      <c r="Q356" s="156"/>
    </row>
    <row r="357" spans="1:17" s="85" customFormat="1" x14ac:dyDescent="0.3">
      <c r="A357" s="96"/>
      <c r="B357" s="96"/>
      <c r="C357" s="96"/>
      <c r="D357" s="97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94"/>
      <c r="Q357" s="156"/>
    </row>
    <row r="358" spans="1:17" s="85" customFormat="1" x14ac:dyDescent="0.3">
      <c r="A358" s="96"/>
      <c r="B358" s="96"/>
      <c r="C358" s="96"/>
      <c r="D358" s="97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94"/>
      <c r="Q358" s="156"/>
    </row>
    <row r="359" spans="1:17" s="85" customFormat="1" x14ac:dyDescent="0.3">
      <c r="A359" s="96"/>
      <c r="B359" s="96"/>
      <c r="C359" s="96"/>
      <c r="D359" s="97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94"/>
      <c r="Q359" s="156"/>
    </row>
    <row r="360" spans="1:17" s="85" customFormat="1" x14ac:dyDescent="0.3">
      <c r="A360" s="96"/>
      <c r="B360" s="96"/>
      <c r="C360" s="96"/>
      <c r="D360" s="97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94"/>
      <c r="Q360" s="156"/>
    </row>
    <row r="361" spans="1:17" s="85" customFormat="1" x14ac:dyDescent="0.3">
      <c r="A361" s="96"/>
      <c r="B361" s="96"/>
      <c r="C361" s="96"/>
      <c r="D361" s="97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94"/>
      <c r="Q361" s="156"/>
    </row>
    <row r="362" spans="1:17" s="85" customFormat="1" x14ac:dyDescent="0.3">
      <c r="A362" s="96"/>
      <c r="B362" s="96"/>
      <c r="C362" s="96"/>
      <c r="D362" s="97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94"/>
      <c r="Q362" s="156"/>
    </row>
    <row r="363" spans="1:17" s="85" customFormat="1" x14ac:dyDescent="0.3">
      <c r="A363" s="96"/>
      <c r="B363" s="96"/>
      <c r="C363" s="96"/>
      <c r="D363" s="97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94"/>
      <c r="Q363" s="156"/>
    </row>
    <row r="364" spans="1:17" s="85" customFormat="1" x14ac:dyDescent="0.3">
      <c r="A364" s="96"/>
      <c r="B364" s="96"/>
      <c r="C364" s="96"/>
      <c r="D364" s="97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94"/>
      <c r="Q364" s="156"/>
    </row>
    <row r="365" spans="1:17" s="85" customFormat="1" x14ac:dyDescent="0.3">
      <c r="A365" s="96"/>
      <c r="B365" s="96"/>
      <c r="C365" s="96"/>
      <c r="D365" s="97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94"/>
      <c r="Q365" s="156"/>
    </row>
    <row r="366" spans="1:17" s="85" customFormat="1" x14ac:dyDescent="0.3">
      <c r="A366" s="96"/>
      <c r="B366" s="96"/>
      <c r="C366" s="96"/>
      <c r="D366" s="97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94"/>
      <c r="Q366" s="156"/>
    </row>
    <row r="367" spans="1:17" s="85" customFormat="1" x14ac:dyDescent="0.3">
      <c r="A367" s="96"/>
      <c r="B367" s="96"/>
      <c r="C367" s="96"/>
      <c r="D367" s="97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94"/>
      <c r="Q367" s="156"/>
    </row>
    <row r="368" spans="1:17" s="85" customFormat="1" x14ac:dyDescent="0.3">
      <c r="A368" s="96"/>
      <c r="B368" s="96"/>
      <c r="C368" s="96"/>
      <c r="D368" s="97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94"/>
      <c r="Q368" s="156"/>
    </row>
    <row r="369" spans="1:17" s="85" customFormat="1" x14ac:dyDescent="0.3">
      <c r="A369" s="96"/>
      <c r="B369" s="96"/>
      <c r="C369" s="96"/>
      <c r="D369" s="97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94"/>
      <c r="Q369" s="156"/>
    </row>
    <row r="370" spans="1:17" s="85" customFormat="1" x14ac:dyDescent="0.3">
      <c r="A370" s="96"/>
      <c r="B370" s="96"/>
      <c r="C370" s="96"/>
      <c r="D370" s="97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94"/>
      <c r="Q370" s="156"/>
    </row>
    <row r="371" spans="1:17" s="85" customFormat="1" x14ac:dyDescent="0.3">
      <c r="A371" s="96"/>
      <c r="B371" s="96"/>
      <c r="C371" s="96"/>
      <c r="D371" s="97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94"/>
      <c r="Q371" s="156"/>
    </row>
    <row r="372" spans="1:17" s="85" customFormat="1" x14ac:dyDescent="0.3">
      <c r="A372" s="96"/>
      <c r="B372" s="96"/>
      <c r="C372" s="96"/>
      <c r="D372" s="97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94"/>
      <c r="Q372" s="156"/>
    </row>
    <row r="373" spans="1:17" s="85" customFormat="1" x14ac:dyDescent="0.3">
      <c r="A373" s="96"/>
      <c r="B373" s="96"/>
      <c r="C373" s="96"/>
      <c r="D373" s="97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94"/>
      <c r="Q373" s="156"/>
    </row>
    <row r="374" spans="1:17" s="85" customFormat="1" x14ac:dyDescent="0.3">
      <c r="A374" s="96"/>
      <c r="B374" s="96"/>
      <c r="C374" s="96"/>
      <c r="D374" s="97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94"/>
      <c r="Q374" s="156"/>
    </row>
    <row r="375" spans="1:17" s="85" customFormat="1" x14ac:dyDescent="0.3">
      <c r="A375" s="96"/>
      <c r="B375" s="96"/>
      <c r="C375" s="96"/>
      <c r="D375" s="97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94"/>
      <c r="Q375" s="156"/>
    </row>
    <row r="376" spans="1:17" s="85" customFormat="1" x14ac:dyDescent="0.3">
      <c r="A376" s="96"/>
      <c r="B376" s="96"/>
      <c r="C376" s="96"/>
      <c r="D376" s="97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94"/>
      <c r="Q376" s="156"/>
    </row>
    <row r="377" spans="1:17" s="85" customFormat="1" x14ac:dyDescent="0.3">
      <c r="A377" s="96"/>
      <c r="B377" s="96"/>
      <c r="C377" s="96"/>
      <c r="D377" s="97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94"/>
      <c r="Q377" s="156"/>
    </row>
    <row r="378" spans="1:17" s="85" customFormat="1" x14ac:dyDescent="0.3">
      <c r="A378" s="96"/>
      <c r="B378" s="96"/>
      <c r="C378" s="96"/>
      <c r="D378" s="97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94"/>
      <c r="Q378" s="156"/>
    </row>
    <row r="379" spans="1:17" s="85" customFormat="1" x14ac:dyDescent="0.3">
      <c r="A379" s="96"/>
      <c r="B379" s="96"/>
      <c r="C379" s="96"/>
      <c r="D379" s="97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94"/>
      <c r="Q379" s="156"/>
    </row>
    <row r="380" spans="1:17" s="85" customFormat="1" x14ac:dyDescent="0.3">
      <c r="A380" s="96"/>
      <c r="B380" s="96"/>
      <c r="C380" s="96"/>
      <c r="D380" s="97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94"/>
      <c r="Q380" s="156"/>
    </row>
    <row r="381" spans="1:17" s="85" customFormat="1" x14ac:dyDescent="0.3">
      <c r="A381" s="96"/>
      <c r="B381" s="96"/>
      <c r="C381" s="96"/>
      <c r="D381" s="97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94"/>
      <c r="Q381" s="156"/>
    </row>
    <row r="382" spans="1:17" s="85" customFormat="1" x14ac:dyDescent="0.3">
      <c r="A382" s="96"/>
      <c r="B382" s="96"/>
      <c r="C382" s="96"/>
      <c r="D382" s="97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94"/>
      <c r="Q382" s="156"/>
    </row>
    <row r="383" spans="1:17" s="85" customFormat="1" x14ac:dyDescent="0.3">
      <c r="A383" s="96"/>
      <c r="B383" s="96"/>
      <c r="C383" s="96"/>
      <c r="D383" s="97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94"/>
      <c r="Q383" s="156"/>
    </row>
    <row r="384" spans="1:17" s="85" customFormat="1" x14ac:dyDescent="0.3">
      <c r="A384" s="96"/>
      <c r="B384" s="96"/>
      <c r="C384" s="96"/>
      <c r="D384" s="97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94"/>
      <c r="Q384" s="156"/>
    </row>
    <row r="385" spans="1:17" s="85" customFormat="1" x14ac:dyDescent="0.3">
      <c r="A385" s="96"/>
      <c r="B385" s="96"/>
      <c r="C385" s="96"/>
      <c r="D385" s="97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94"/>
      <c r="Q385" s="156"/>
    </row>
    <row r="386" spans="1:17" s="85" customFormat="1" x14ac:dyDescent="0.3">
      <c r="A386" s="96"/>
      <c r="B386" s="96"/>
      <c r="C386" s="96"/>
      <c r="D386" s="97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94"/>
      <c r="Q386" s="156"/>
    </row>
    <row r="387" spans="1:17" s="85" customFormat="1" x14ac:dyDescent="0.3">
      <c r="A387" s="96"/>
      <c r="B387" s="96"/>
      <c r="C387" s="96"/>
      <c r="D387" s="97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94"/>
      <c r="Q387" s="156"/>
    </row>
    <row r="388" spans="1:17" s="85" customFormat="1" x14ac:dyDescent="0.3">
      <c r="A388" s="96"/>
      <c r="B388" s="96"/>
      <c r="C388" s="96"/>
      <c r="D388" s="97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94"/>
      <c r="Q388" s="156"/>
    </row>
    <row r="389" spans="1:17" s="85" customFormat="1" x14ac:dyDescent="0.3">
      <c r="A389" s="96"/>
      <c r="B389" s="96"/>
      <c r="C389" s="96"/>
      <c r="D389" s="97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94"/>
      <c r="Q389" s="156"/>
    </row>
    <row r="390" spans="1:17" s="85" customFormat="1" x14ac:dyDescent="0.3">
      <c r="A390" s="96"/>
      <c r="B390" s="96"/>
      <c r="C390" s="96"/>
      <c r="D390" s="97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94"/>
      <c r="Q390" s="156"/>
    </row>
    <row r="391" spans="1:17" s="85" customFormat="1" x14ac:dyDescent="0.3">
      <c r="A391" s="96"/>
      <c r="B391" s="96"/>
      <c r="C391" s="96"/>
      <c r="D391" s="97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94"/>
      <c r="Q391" s="156"/>
    </row>
    <row r="392" spans="1:17" s="85" customFormat="1" x14ac:dyDescent="0.3">
      <c r="A392" s="96"/>
      <c r="B392" s="96"/>
      <c r="C392" s="96"/>
      <c r="D392" s="97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94"/>
      <c r="Q392" s="156"/>
    </row>
    <row r="393" spans="1:17" s="85" customFormat="1" x14ac:dyDescent="0.3">
      <c r="A393" s="96"/>
      <c r="B393" s="96"/>
      <c r="C393" s="96"/>
      <c r="D393" s="97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94"/>
      <c r="Q393" s="156"/>
    </row>
    <row r="394" spans="1:17" s="85" customFormat="1" x14ac:dyDescent="0.3">
      <c r="A394" s="96"/>
      <c r="B394" s="96"/>
      <c r="C394" s="96"/>
      <c r="D394" s="97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94"/>
      <c r="Q394" s="156"/>
    </row>
    <row r="395" spans="1:17" s="85" customFormat="1" x14ac:dyDescent="0.3">
      <c r="A395" s="96"/>
      <c r="B395" s="96"/>
      <c r="C395" s="96"/>
      <c r="D395" s="97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94"/>
      <c r="Q395" s="156"/>
    </row>
    <row r="396" spans="1:17" s="85" customFormat="1" x14ac:dyDescent="0.3">
      <c r="A396" s="96"/>
      <c r="B396" s="96"/>
      <c r="C396" s="96"/>
      <c r="D396" s="97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94"/>
      <c r="Q396" s="156"/>
    </row>
    <row r="397" spans="1:17" s="85" customFormat="1" x14ac:dyDescent="0.3">
      <c r="A397" s="96"/>
      <c r="B397" s="96"/>
      <c r="C397" s="96"/>
      <c r="D397" s="97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94"/>
      <c r="Q397" s="156"/>
    </row>
    <row r="398" spans="1:17" s="85" customFormat="1" x14ac:dyDescent="0.3">
      <c r="A398" s="96"/>
      <c r="B398" s="96"/>
      <c r="C398" s="96"/>
      <c r="D398" s="97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94"/>
      <c r="Q398" s="156"/>
    </row>
    <row r="399" spans="1:17" s="85" customFormat="1" x14ac:dyDescent="0.3">
      <c r="A399" s="96"/>
      <c r="B399" s="96"/>
      <c r="C399" s="96"/>
      <c r="D399" s="97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94"/>
      <c r="Q399" s="156"/>
    </row>
    <row r="400" spans="1:17" s="85" customFormat="1" x14ac:dyDescent="0.3">
      <c r="A400" s="96"/>
      <c r="B400" s="96"/>
      <c r="C400" s="96"/>
      <c r="D400" s="97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94"/>
      <c r="Q400" s="156"/>
    </row>
    <row r="401" spans="1:17" s="85" customFormat="1" x14ac:dyDescent="0.3">
      <c r="A401" s="96"/>
      <c r="B401" s="96"/>
      <c r="C401" s="96"/>
      <c r="D401" s="97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94"/>
      <c r="Q401" s="156"/>
    </row>
    <row r="402" spans="1:17" s="85" customFormat="1" x14ac:dyDescent="0.3">
      <c r="A402" s="96"/>
      <c r="B402" s="96"/>
      <c r="C402" s="96"/>
      <c r="D402" s="97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94"/>
      <c r="Q402" s="156"/>
    </row>
    <row r="403" spans="1:17" s="85" customFormat="1" x14ac:dyDescent="0.3">
      <c r="A403" s="96"/>
      <c r="B403" s="96"/>
      <c r="C403" s="96"/>
      <c r="D403" s="97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94"/>
      <c r="Q403" s="156"/>
    </row>
    <row r="404" spans="1:17" s="85" customFormat="1" x14ac:dyDescent="0.3">
      <c r="A404" s="96"/>
      <c r="B404" s="96"/>
      <c r="C404" s="96"/>
      <c r="D404" s="97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94"/>
      <c r="Q404" s="156"/>
    </row>
    <row r="405" spans="1:17" s="85" customFormat="1" x14ac:dyDescent="0.3">
      <c r="A405" s="96"/>
      <c r="B405" s="96"/>
      <c r="C405" s="96"/>
      <c r="D405" s="97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94"/>
      <c r="Q405" s="156"/>
    </row>
    <row r="406" spans="1:17" s="85" customFormat="1" x14ac:dyDescent="0.3">
      <c r="A406" s="96"/>
      <c r="B406" s="96"/>
      <c r="C406" s="96"/>
      <c r="D406" s="97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94"/>
      <c r="Q406" s="156"/>
    </row>
    <row r="407" spans="1:17" s="85" customFormat="1" x14ac:dyDescent="0.3">
      <c r="A407" s="96"/>
      <c r="B407" s="96"/>
      <c r="C407" s="96"/>
      <c r="D407" s="97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94"/>
      <c r="Q407" s="156"/>
    </row>
    <row r="408" spans="1:17" s="85" customFormat="1" x14ac:dyDescent="0.3">
      <c r="A408" s="96"/>
      <c r="B408" s="96"/>
      <c r="C408" s="96"/>
      <c r="D408" s="97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94"/>
      <c r="Q408" s="156"/>
    </row>
    <row r="409" spans="1:17" s="85" customFormat="1" x14ac:dyDescent="0.3">
      <c r="A409" s="96"/>
      <c r="B409" s="96"/>
      <c r="C409" s="96"/>
      <c r="D409" s="97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94"/>
      <c r="Q409" s="156"/>
    </row>
    <row r="410" spans="1:17" s="85" customFormat="1" x14ac:dyDescent="0.3">
      <c r="A410" s="96"/>
      <c r="B410" s="96"/>
      <c r="C410" s="96"/>
      <c r="D410" s="97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94"/>
      <c r="Q410" s="156"/>
    </row>
    <row r="411" spans="1:17" s="85" customFormat="1" x14ac:dyDescent="0.3">
      <c r="A411" s="96"/>
      <c r="B411" s="96"/>
      <c r="C411" s="96"/>
      <c r="D411" s="97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94"/>
      <c r="Q411" s="156"/>
    </row>
    <row r="412" spans="1:17" s="85" customFormat="1" x14ac:dyDescent="0.3">
      <c r="A412" s="96"/>
      <c r="B412" s="96"/>
      <c r="C412" s="96"/>
      <c r="D412" s="97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94"/>
      <c r="Q412" s="156"/>
    </row>
    <row r="413" spans="1:17" s="85" customFormat="1" x14ac:dyDescent="0.3">
      <c r="A413" s="96"/>
      <c r="B413" s="96"/>
      <c r="C413" s="96"/>
      <c r="D413" s="97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94"/>
      <c r="Q413" s="156"/>
    </row>
    <row r="414" spans="1:17" s="85" customFormat="1" x14ac:dyDescent="0.3">
      <c r="A414" s="96"/>
      <c r="B414" s="96"/>
      <c r="C414" s="96"/>
      <c r="D414" s="97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94"/>
      <c r="Q414" s="156"/>
    </row>
    <row r="415" spans="1:17" s="85" customFormat="1" x14ac:dyDescent="0.3">
      <c r="A415" s="96"/>
      <c r="B415" s="96"/>
      <c r="C415" s="96"/>
      <c r="D415" s="97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94"/>
      <c r="Q415" s="156"/>
    </row>
    <row r="416" spans="1:17" s="85" customFormat="1" x14ac:dyDescent="0.3">
      <c r="A416" s="96"/>
      <c r="B416" s="96"/>
      <c r="C416" s="96"/>
      <c r="D416" s="97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94"/>
      <c r="Q416" s="156"/>
    </row>
    <row r="417" spans="1:17" s="85" customFormat="1" x14ac:dyDescent="0.3">
      <c r="A417" s="96"/>
      <c r="B417" s="96"/>
      <c r="C417" s="96"/>
      <c r="D417" s="97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94"/>
      <c r="Q417" s="156"/>
    </row>
    <row r="418" spans="1:17" s="85" customFormat="1" x14ac:dyDescent="0.3">
      <c r="A418" s="96"/>
      <c r="B418" s="96"/>
      <c r="C418" s="96"/>
      <c r="D418" s="97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94"/>
      <c r="Q418" s="156"/>
    </row>
    <row r="419" spans="1:17" s="85" customFormat="1" x14ac:dyDescent="0.3">
      <c r="A419" s="96"/>
      <c r="B419" s="96"/>
      <c r="C419" s="96"/>
      <c r="D419" s="97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94"/>
      <c r="Q419" s="156"/>
    </row>
    <row r="420" spans="1:17" s="85" customFormat="1" x14ac:dyDescent="0.3">
      <c r="A420" s="96"/>
      <c r="B420" s="96"/>
      <c r="C420" s="96"/>
      <c r="D420" s="97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94"/>
      <c r="Q420" s="156"/>
    </row>
    <row r="421" spans="1:17" s="85" customFormat="1" x14ac:dyDescent="0.3">
      <c r="A421" s="96"/>
      <c r="B421" s="96"/>
      <c r="C421" s="96"/>
      <c r="D421" s="97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94"/>
      <c r="Q421" s="156"/>
    </row>
    <row r="422" spans="1:17" s="85" customFormat="1" x14ac:dyDescent="0.3">
      <c r="A422" s="96"/>
      <c r="B422" s="96"/>
      <c r="C422" s="96"/>
      <c r="D422" s="97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94"/>
      <c r="Q422" s="156"/>
    </row>
    <row r="423" spans="1:17" s="85" customFormat="1" x14ac:dyDescent="0.3">
      <c r="A423" s="96"/>
      <c r="B423" s="96"/>
      <c r="C423" s="96"/>
      <c r="D423" s="97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94"/>
      <c r="Q423" s="156"/>
    </row>
    <row r="424" spans="1:17" s="85" customFormat="1" x14ac:dyDescent="0.3">
      <c r="A424" s="96"/>
      <c r="B424" s="96"/>
      <c r="C424" s="96"/>
      <c r="D424" s="97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94"/>
      <c r="Q424" s="156"/>
    </row>
    <row r="425" spans="1:17" s="85" customFormat="1" x14ac:dyDescent="0.3">
      <c r="A425" s="96"/>
      <c r="B425" s="96"/>
      <c r="C425" s="96"/>
      <c r="D425" s="97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94"/>
      <c r="Q425" s="156"/>
    </row>
    <row r="426" spans="1:17" s="85" customFormat="1" x14ac:dyDescent="0.3">
      <c r="A426" s="96"/>
      <c r="B426" s="96"/>
      <c r="C426" s="96"/>
      <c r="D426" s="97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94"/>
      <c r="Q426" s="156"/>
    </row>
    <row r="427" spans="1:17" s="85" customFormat="1" x14ac:dyDescent="0.3">
      <c r="A427" s="96"/>
      <c r="B427" s="96"/>
      <c r="C427" s="96"/>
      <c r="D427" s="97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94"/>
      <c r="Q427" s="156"/>
    </row>
    <row r="428" spans="1:17" s="85" customFormat="1" x14ac:dyDescent="0.3">
      <c r="A428" s="96"/>
      <c r="B428" s="96"/>
      <c r="C428" s="96"/>
      <c r="D428" s="97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94"/>
      <c r="Q428" s="156"/>
    </row>
    <row r="429" spans="1:17" s="85" customFormat="1" x14ac:dyDescent="0.3">
      <c r="A429" s="96"/>
      <c r="B429" s="96"/>
      <c r="C429" s="96"/>
      <c r="D429" s="97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94"/>
      <c r="Q429" s="156"/>
    </row>
    <row r="430" spans="1:17" s="85" customFormat="1" x14ac:dyDescent="0.3">
      <c r="A430" s="96"/>
      <c r="B430" s="96"/>
      <c r="C430" s="96"/>
      <c r="D430" s="97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94"/>
      <c r="Q430" s="156"/>
    </row>
    <row r="431" spans="1:17" s="85" customFormat="1" x14ac:dyDescent="0.3">
      <c r="A431" s="96"/>
      <c r="B431" s="96"/>
      <c r="C431" s="96"/>
      <c r="D431" s="97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94"/>
      <c r="Q431" s="156"/>
    </row>
    <row r="432" spans="1:17" s="85" customFormat="1" x14ac:dyDescent="0.3">
      <c r="A432" s="96"/>
      <c r="B432" s="96"/>
      <c r="C432" s="96"/>
      <c r="D432" s="97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94"/>
      <c r="Q432" s="156"/>
    </row>
    <row r="433" spans="1:17" s="85" customFormat="1" x14ac:dyDescent="0.3">
      <c r="A433" s="96"/>
      <c r="B433" s="96"/>
      <c r="C433" s="96"/>
      <c r="D433" s="97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94"/>
      <c r="Q433" s="156"/>
    </row>
    <row r="434" spans="1:17" s="85" customFormat="1" x14ac:dyDescent="0.3">
      <c r="A434" s="96"/>
      <c r="B434" s="96"/>
      <c r="C434" s="96"/>
      <c r="D434" s="97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94"/>
      <c r="Q434" s="156"/>
    </row>
    <row r="435" spans="1:17" s="85" customFormat="1" x14ac:dyDescent="0.3">
      <c r="A435" s="96"/>
      <c r="B435" s="96"/>
      <c r="C435" s="96"/>
      <c r="D435" s="97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94"/>
      <c r="Q435" s="156"/>
    </row>
    <row r="436" spans="1:17" s="85" customFormat="1" x14ac:dyDescent="0.3">
      <c r="A436" s="96"/>
      <c r="B436" s="96"/>
      <c r="C436" s="96"/>
      <c r="D436" s="97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94"/>
      <c r="Q436" s="156"/>
    </row>
    <row r="437" spans="1:17" s="85" customFormat="1" x14ac:dyDescent="0.3">
      <c r="A437" s="96"/>
      <c r="B437" s="96"/>
      <c r="C437" s="96"/>
      <c r="D437" s="97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94"/>
      <c r="Q437" s="156"/>
    </row>
    <row r="438" spans="1:17" s="85" customFormat="1" x14ac:dyDescent="0.3">
      <c r="A438" s="96"/>
      <c r="B438" s="96"/>
      <c r="C438" s="96"/>
      <c r="D438" s="97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94"/>
      <c r="Q438" s="156"/>
    </row>
    <row r="439" spans="1:17" s="85" customFormat="1" x14ac:dyDescent="0.3">
      <c r="A439" s="96"/>
      <c r="B439" s="96"/>
      <c r="C439" s="96"/>
      <c r="D439" s="97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94"/>
      <c r="Q439" s="156"/>
    </row>
    <row r="440" spans="1:17" s="85" customFormat="1" x14ac:dyDescent="0.3">
      <c r="A440" s="96"/>
      <c r="B440" s="96"/>
      <c r="C440" s="96"/>
      <c r="D440" s="97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94"/>
      <c r="Q440" s="156"/>
    </row>
    <row r="441" spans="1:17" s="85" customFormat="1" x14ac:dyDescent="0.3">
      <c r="A441" s="96"/>
      <c r="B441" s="96"/>
      <c r="C441" s="96"/>
      <c r="D441" s="97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94"/>
      <c r="Q441" s="156"/>
    </row>
    <row r="442" spans="1:17" s="85" customFormat="1" x14ac:dyDescent="0.3">
      <c r="A442" s="96"/>
      <c r="B442" s="96"/>
      <c r="C442" s="96"/>
      <c r="D442" s="97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94"/>
      <c r="Q442" s="156"/>
    </row>
    <row r="443" spans="1:17" s="85" customFormat="1" x14ac:dyDescent="0.3">
      <c r="A443" s="96"/>
      <c r="B443" s="96"/>
      <c r="C443" s="96"/>
      <c r="D443" s="97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94"/>
      <c r="Q443" s="156"/>
    </row>
    <row r="444" spans="1:17" s="85" customFormat="1" x14ac:dyDescent="0.3">
      <c r="A444" s="96"/>
      <c r="B444" s="96"/>
      <c r="C444" s="96"/>
      <c r="D444" s="97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94"/>
      <c r="Q444" s="156"/>
    </row>
    <row r="445" spans="1:17" s="85" customFormat="1" x14ac:dyDescent="0.3">
      <c r="A445" s="96"/>
      <c r="B445" s="96"/>
      <c r="C445" s="96"/>
      <c r="D445" s="97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94"/>
      <c r="Q445" s="156"/>
    </row>
    <row r="446" spans="1:17" s="85" customFormat="1" x14ac:dyDescent="0.3">
      <c r="A446" s="96"/>
      <c r="B446" s="96"/>
      <c r="C446" s="96"/>
      <c r="D446" s="97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94"/>
      <c r="Q446" s="156"/>
    </row>
    <row r="447" spans="1:17" s="85" customFormat="1" x14ac:dyDescent="0.3">
      <c r="A447" s="96"/>
      <c r="B447" s="96"/>
      <c r="C447" s="96"/>
      <c r="D447" s="97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94"/>
      <c r="Q447" s="156"/>
    </row>
    <row r="448" spans="1:17" s="85" customFormat="1" x14ac:dyDescent="0.3">
      <c r="A448" s="96"/>
      <c r="B448" s="96"/>
      <c r="C448" s="96"/>
      <c r="D448" s="97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94"/>
      <c r="Q448" s="156"/>
    </row>
    <row r="449" spans="1:17" s="85" customFormat="1" x14ac:dyDescent="0.3">
      <c r="A449" s="96"/>
      <c r="B449" s="96"/>
      <c r="C449" s="96"/>
      <c r="D449" s="97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94"/>
      <c r="Q449" s="156"/>
    </row>
    <row r="450" spans="1:17" s="85" customFormat="1" x14ac:dyDescent="0.3">
      <c r="A450" s="96"/>
      <c r="B450" s="96"/>
      <c r="C450" s="96"/>
      <c r="D450" s="97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94"/>
      <c r="Q450" s="156"/>
    </row>
    <row r="451" spans="1:17" s="85" customFormat="1" x14ac:dyDescent="0.3">
      <c r="A451" s="96"/>
      <c r="B451" s="96"/>
      <c r="C451" s="96"/>
      <c r="D451" s="97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94"/>
      <c r="Q451" s="156"/>
    </row>
    <row r="452" spans="1:17" s="85" customFormat="1" x14ac:dyDescent="0.3">
      <c r="A452" s="96"/>
      <c r="B452" s="96"/>
      <c r="C452" s="96"/>
      <c r="D452" s="97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94"/>
      <c r="Q452" s="156"/>
    </row>
    <row r="453" spans="1:17" s="85" customFormat="1" x14ac:dyDescent="0.3">
      <c r="A453" s="96"/>
      <c r="B453" s="96"/>
      <c r="C453" s="96"/>
      <c r="D453" s="97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94"/>
      <c r="Q453" s="156"/>
    </row>
    <row r="454" spans="1:17" s="85" customFormat="1" x14ac:dyDescent="0.3">
      <c r="A454" s="96"/>
      <c r="B454" s="96"/>
      <c r="C454" s="96"/>
      <c r="D454" s="97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94"/>
      <c r="Q454" s="156"/>
    </row>
    <row r="455" spans="1:17" s="85" customFormat="1" x14ac:dyDescent="0.3">
      <c r="A455" s="96"/>
      <c r="B455" s="96"/>
      <c r="C455" s="96"/>
      <c r="D455" s="97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94"/>
      <c r="Q455" s="156"/>
    </row>
    <row r="456" spans="1:17" s="85" customFormat="1" x14ac:dyDescent="0.3">
      <c r="A456" s="96"/>
      <c r="B456" s="96"/>
      <c r="C456" s="96"/>
      <c r="D456" s="97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94"/>
      <c r="Q456" s="156"/>
    </row>
    <row r="457" spans="1:17" s="85" customFormat="1" x14ac:dyDescent="0.3">
      <c r="A457" s="96"/>
      <c r="B457" s="96"/>
      <c r="C457" s="96"/>
      <c r="D457" s="97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94"/>
      <c r="Q457" s="156"/>
    </row>
    <row r="458" spans="1:17" s="85" customFormat="1" x14ac:dyDescent="0.3">
      <c r="A458" s="96"/>
      <c r="B458" s="96"/>
      <c r="C458" s="96"/>
      <c r="D458" s="97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94"/>
      <c r="Q458" s="156"/>
    </row>
    <row r="459" spans="1:17" s="85" customFormat="1" x14ac:dyDescent="0.3">
      <c r="A459" s="96"/>
      <c r="B459" s="96"/>
      <c r="C459" s="96"/>
      <c r="D459" s="97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94"/>
      <c r="Q459" s="156"/>
    </row>
    <row r="460" spans="1:17" s="85" customFormat="1" x14ac:dyDescent="0.3">
      <c r="A460" s="96"/>
      <c r="B460" s="96"/>
      <c r="C460" s="96"/>
      <c r="D460" s="97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94"/>
      <c r="Q460" s="156"/>
    </row>
    <row r="461" spans="1:17" s="85" customFormat="1" x14ac:dyDescent="0.3">
      <c r="A461" s="96"/>
      <c r="B461" s="96"/>
      <c r="C461" s="96"/>
      <c r="D461" s="97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94"/>
      <c r="Q461" s="156"/>
    </row>
    <row r="462" spans="1:17" s="85" customFormat="1" x14ac:dyDescent="0.3">
      <c r="A462" s="96"/>
      <c r="B462" s="96"/>
      <c r="C462" s="96"/>
      <c r="D462" s="97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94"/>
      <c r="Q462" s="156"/>
    </row>
    <row r="463" spans="1:17" s="85" customFormat="1" x14ac:dyDescent="0.3">
      <c r="A463" s="96"/>
      <c r="B463" s="96"/>
      <c r="C463" s="96"/>
      <c r="D463" s="97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94"/>
      <c r="Q463" s="156"/>
    </row>
    <row r="464" spans="1:17" s="85" customFormat="1" x14ac:dyDescent="0.3">
      <c r="A464" s="96"/>
      <c r="B464" s="96"/>
      <c r="C464" s="96"/>
      <c r="D464" s="97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94"/>
      <c r="Q464" s="156"/>
    </row>
    <row r="465" spans="1:17" s="85" customFormat="1" x14ac:dyDescent="0.3">
      <c r="A465" s="96"/>
      <c r="B465" s="96"/>
      <c r="C465" s="96"/>
      <c r="D465" s="97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94"/>
      <c r="Q465" s="156"/>
    </row>
    <row r="466" spans="1:17" s="85" customFormat="1" x14ac:dyDescent="0.3">
      <c r="A466" s="96"/>
      <c r="B466" s="96"/>
      <c r="C466" s="96"/>
      <c r="D466" s="97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94"/>
      <c r="Q466" s="156"/>
    </row>
    <row r="467" spans="1:17" s="85" customFormat="1" x14ac:dyDescent="0.3">
      <c r="A467" s="96"/>
      <c r="B467" s="96"/>
      <c r="C467" s="96"/>
      <c r="D467" s="97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94"/>
      <c r="Q467" s="156"/>
    </row>
    <row r="468" spans="1:17" s="85" customFormat="1" x14ac:dyDescent="0.3">
      <c r="A468" s="96"/>
      <c r="B468" s="96"/>
      <c r="C468" s="96"/>
      <c r="D468" s="97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94"/>
      <c r="Q468" s="156"/>
    </row>
    <row r="469" spans="1:17" s="85" customFormat="1" x14ac:dyDescent="0.3">
      <c r="A469" s="96"/>
      <c r="B469" s="96"/>
      <c r="C469" s="96"/>
      <c r="D469" s="97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94"/>
      <c r="Q469" s="156"/>
    </row>
    <row r="470" spans="1:17" s="85" customFormat="1" x14ac:dyDescent="0.3">
      <c r="A470" s="96"/>
      <c r="B470" s="96"/>
      <c r="C470" s="96"/>
      <c r="D470" s="97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94"/>
      <c r="Q470" s="156"/>
    </row>
    <row r="471" spans="1:17" s="85" customFormat="1" x14ac:dyDescent="0.3">
      <c r="A471" s="96"/>
      <c r="B471" s="96"/>
      <c r="C471" s="96"/>
      <c r="D471" s="97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94"/>
      <c r="Q471" s="156"/>
    </row>
    <row r="472" spans="1:17" s="85" customFormat="1" x14ac:dyDescent="0.3">
      <c r="A472" s="96"/>
      <c r="B472" s="96"/>
      <c r="C472" s="96"/>
      <c r="D472" s="97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94"/>
      <c r="Q472" s="156"/>
    </row>
    <row r="473" spans="1:17" s="85" customFormat="1" x14ac:dyDescent="0.3">
      <c r="A473" s="96"/>
      <c r="B473" s="96"/>
      <c r="C473" s="96"/>
      <c r="D473" s="97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94"/>
      <c r="Q473" s="156"/>
    </row>
    <row r="474" spans="1:17" s="85" customFormat="1" x14ac:dyDescent="0.3">
      <c r="A474" s="96"/>
      <c r="B474" s="96"/>
      <c r="C474" s="96"/>
      <c r="D474" s="97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94"/>
      <c r="Q474" s="156"/>
    </row>
    <row r="475" spans="1:17" s="85" customFormat="1" x14ac:dyDescent="0.3">
      <c r="A475" s="96"/>
      <c r="B475" s="96"/>
      <c r="C475" s="96"/>
      <c r="D475" s="97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94"/>
      <c r="Q475" s="156"/>
    </row>
    <row r="476" spans="1:17" s="85" customFormat="1" x14ac:dyDescent="0.3">
      <c r="A476" s="96"/>
      <c r="B476" s="96"/>
      <c r="C476" s="96"/>
      <c r="D476" s="97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94"/>
      <c r="Q476" s="156"/>
    </row>
    <row r="477" spans="1:17" s="85" customFormat="1" x14ac:dyDescent="0.3">
      <c r="A477" s="96"/>
      <c r="B477" s="96"/>
      <c r="C477" s="96"/>
      <c r="D477" s="97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94"/>
      <c r="Q477" s="156"/>
    </row>
    <row r="478" spans="1:17" s="85" customFormat="1" x14ac:dyDescent="0.3">
      <c r="A478" s="96"/>
      <c r="B478" s="96"/>
      <c r="C478" s="96"/>
      <c r="D478" s="97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94"/>
      <c r="Q478" s="156"/>
    </row>
    <row r="479" spans="1:17" s="85" customFormat="1" x14ac:dyDescent="0.3">
      <c r="A479" s="96"/>
      <c r="B479" s="96"/>
      <c r="C479" s="96"/>
      <c r="D479" s="97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94"/>
      <c r="Q479" s="156"/>
    </row>
    <row r="480" spans="1:17" s="85" customFormat="1" x14ac:dyDescent="0.3">
      <c r="A480" s="96"/>
      <c r="B480" s="96"/>
      <c r="C480" s="96"/>
      <c r="D480" s="97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94"/>
      <c r="Q480" s="156"/>
    </row>
    <row r="481" spans="1:17" s="85" customFormat="1" x14ac:dyDescent="0.3">
      <c r="A481" s="96"/>
      <c r="B481" s="96"/>
      <c r="C481" s="96"/>
      <c r="D481" s="97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94"/>
      <c r="Q481" s="156"/>
    </row>
    <row r="482" spans="1:17" s="85" customFormat="1" x14ac:dyDescent="0.3">
      <c r="A482" s="96"/>
      <c r="B482" s="96"/>
      <c r="C482" s="96"/>
      <c r="D482" s="97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94"/>
      <c r="Q482" s="156"/>
    </row>
    <row r="483" spans="1:17" s="85" customFormat="1" x14ac:dyDescent="0.3">
      <c r="A483" s="96"/>
      <c r="B483" s="96"/>
      <c r="C483" s="96"/>
      <c r="D483" s="97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94"/>
      <c r="Q483" s="156"/>
    </row>
    <row r="484" spans="1:17" s="85" customFormat="1" x14ac:dyDescent="0.3">
      <c r="A484" s="96"/>
      <c r="B484" s="96"/>
      <c r="C484" s="96"/>
      <c r="D484" s="97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94"/>
      <c r="Q484" s="156"/>
    </row>
    <row r="485" spans="1:17" s="85" customFormat="1" x14ac:dyDescent="0.3">
      <c r="A485" s="96"/>
      <c r="B485" s="96"/>
      <c r="C485" s="96"/>
      <c r="D485" s="97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94"/>
      <c r="Q485" s="156"/>
    </row>
    <row r="486" spans="1:17" s="85" customFormat="1" x14ac:dyDescent="0.3">
      <c r="A486" s="96"/>
      <c r="B486" s="96"/>
      <c r="C486" s="96"/>
      <c r="D486" s="97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94"/>
      <c r="Q486" s="156"/>
    </row>
    <row r="487" spans="1:17" s="85" customFormat="1" x14ac:dyDescent="0.3">
      <c r="A487" s="96"/>
      <c r="B487" s="96"/>
      <c r="C487" s="96"/>
      <c r="D487" s="97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94"/>
      <c r="Q487" s="156"/>
    </row>
    <row r="488" spans="1:17" s="85" customFormat="1" x14ac:dyDescent="0.3">
      <c r="A488" s="96"/>
      <c r="B488" s="96"/>
      <c r="C488" s="96"/>
      <c r="D488" s="97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94"/>
      <c r="Q488" s="156"/>
    </row>
    <row r="489" spans="1:17" s="85" customFormat="1" x14ac:dyDescent="0.3">
      <c r="A489" s="96"/>
      <c r="B489" s="96"/>
      <c r="C489" s="96"/>
      <c r="D489" s="97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94"/>
      <c r="Q489" s="156"/>
    </row>
    <row r="490" spans="1:17" s="85" customFormat="1" x14ac:dyDescent="0.3">
      <c r="A490" s="96"/>
      <c r="B490" s="96"/>
      <c r="C490" s="96"/>
      <c r="D490" s="97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94"/>
      <c r="Q490" s="156"/>
    </row>
    <row r="491" spans="1:17" s="85" customFormat="1" x14ac:dyDescent="0.3">
      <c r="A491" s="96"/>
      <c r="B491" s="96"/>
      <c r="C491" s="96"/>
      <c r="D491" s="97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94"/>
      <c r="Q491" s="156"/>
    </row>
    <row r="492" spans="1:17" s="85" customFormat="1" x14ac:dyDescent="0.3">
      <c r="A492" s="96"/>
      <c r="B492" s="96"/>
      <c r="C492" s="96"/>
      <c r="D492" s="97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94"/>
      <c r="Q492" s="156"/>
    </row>
    <row r="493" spans="1:17" s="85" customFormat="1" x14ac:dyDescent="0.3">
      <c r="A493" s="96"/>
      <c r="B493" s="96"/>
      <c r="C493" s="96"/>
      <c r="D493" s="97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94"/>
      <c r="Q493" s="156"/>
    </row>
    <row r="494" spans="1:17" s="85" customFormat="1" x14ac:dyDescent="0.3">
      <c r="A494" s="96"/>
      <c r="B494" s="96"/>
      <c r="C494" s="96"/>
      <c r="D494" s="97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94"/>
      <c r="Q494" s="156"/>
    </row>
    <row r="495" spans="1:17" s="85" customFormat="1" x14ac:dyDescent="0.3">
      <c r="A495" s="96"/>
      <c r="B495" s="96"/>
      <c r="C495" s="96"/>
      <c r="D495" s="97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94"/>
      <c r="Q495" s="156"/>
    </row>
    <row r="496" spans="1:17" s="85" customFormat="1" x14ac:dyDescent="0.3">
      <c r="A496" s="96"/>
      <c r="B496" s="96"/>
      <c r="C496" s="96"/>
      <c r="D496" s="97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94"/>
      <c r="Q496" s="156"/>
    </row>
    <row r="497" spans="1:17" s="85" customFormat="1" x14ac:dyDescent="0.3">
      <c r="A497" s="96"/>
      <c r="B497" s="96"/>
      <c r="C497" s="96"/>
      <c r="D497" s="97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94"/>
      <c r="Q497" s="156"/>
    </row>
    <row r="498" spans="1:17" s="85" customFormat="1" x14ac:dyDescent="0.3">
      <c r="A498" s="96"/>
      <c r="B498" s="96"/>
      <c r="C498" s="96"/>
      <c r="D498" s="97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94"/>
      <c r="Q498" s="156"/>
    </row>
    <row r="499" spans="1:17" s="85" customFormat="1" x14ac:dyDescent="0.3">
      <c r="A499" s="96"/>
      <c r="B499" s="96"/>
      <c r="C499" s="96"/>
      <c r="D499" s="97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94"/>
      <c r="Q499" s="156"/>
    </row>
    <row r="500" spans="1:17" s="85" customFormat="1" x14ac:dyDescent="0.3">
      <c r="A500" s="96"/>
      <c r="B500" s="96"/>
      <c r="C500" s="96"/>
      <c r="D500" s="97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94"/>
      <c r="Q500" s="156"/>
    </row>
    <row r="501" spans="1:17" s="85" customFormat="1" x14ac:dyDescent="0.3">
      <c r="A501" s="96"/>
      <c r="B501" s="96"/>
      <c r="C501" s="96"/>
      <c r="D501" s="97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94"/>
      <c r="Q501" s="156"/>
    </row>
    <row r="502" spans="1:17" s="85" customFormat="1" x14ac:dyDescent="0.3">
      <c r="A502" s="96"/>
      <c r="B502" s="96"/>
      <c r="C502" s="96"/>
      <c r="D502" s="97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94"/>
      <c r="Q502" s="156"/>
    </row>
    <row r="503" spans="1:17" s="85" customFormat="1" x14ac:dyDescent="0.3">
      <c r="A503" s="96"/>
      <c r="B503" s="96"/>
      <c r="C503" s="96"/>
      <c r="D503" s="97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94"/>
      <c r="Q503" s="156"/>
    </row>
    <row r="504" spans="1:17" s="85" customFormat="1" x14ac:dyDescent="0.3">
      <c r="A504" s="96"/>
      <c r="B504" s="96"/>
      <c r="C504" s="96"/>
      <c r="D504" s="97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94"/>
      <c r="Q504" s="156"/>
    </row>
    <row r="505" spans="1:17" s="85" customFormat="1" x14ac:dyDescent="0.3">
      <c r="A505" s="96"/>
      <c r="B505" s="96"/>
      <c r="C505" s="96"/>
      <c r="D505" s="97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94"/>
      <c r="Q505" s="156"/>
    </row>
    <row r="506" spans="1:17" s="85" customFormat="1" x14ac:dyDescent="0.3">
      <c r="A506" s="96"/>
      <c r="B506" s="96"/>
      <c r="C506" s="96"/>
      <c r="D506" s="97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94"/>
      <c r="Q506" s="156"/>
    </row>
    <row r="507" spans="1:17" s="85" customFormat="1" x14ac:dyDescent="0.3">
      <c r="A507" s="96"/>
      <c r="B507" s="96"/>
      <c r="C507" s="96"/>
      <c r="D507" s="97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94"/>
      <c r="Q507" s="156"/>
    </row>
    <row r="508" spans="1:17" s="85" customFormat="1" x14ac:dyDescent="0.3">
      <c r="A508" s="96"/>
      <c r="B508" s="96"/>
      <c r="C508" s="96"/>
      <c r="D508" s="97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94"/>
      <c r="Q508" s="156"/>
    </row>
    <row r="509" spans="1:17" s="85" customFormat="1" x14ac:dyDescent="0.3">
      <c r="A509" s="96"/>
      <c r="B509" s="96"/>
      <c r="C509" s="96"/>
      <c r="D509" s="97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94"/>
      <c r="Q509" s="156"/>
    </row>
    <row r="510" spans="1:17" s="85" customFormat="1" x14ac:dyDescent="0.3">
      <c r="A510" s="96"/>
      <c r="B510" s="96"/>
      <c r="C510" s="96"/>
      <c r="D510" s="97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94"/>
      <c r="Q510" s="156"/>
    </row>
    <row r="511" spans="1:17" s="85" customFormat="1" x14ac:dyDescent="0.3">
      <c r="A511" s="96"/>
      <c r="B511" s="96"/>
      <c r="C511" s="96"/>
      <c r="D511" s="97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94"/>
      <c r="Q511" s="156"/>
    </row>
    <row r="512" spans="1:17" s="85" customFormat="1" x14ac:dyDescent="0.3">
      <c r="A512" s="96"/>
      <c r="B512" s="96"/>
      <c r="C512" s="96"/>
      <c r="D512" s="97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94"/>
      <c r="Q512" s="156"/>
    </row>
    <row r="513" spans="1:17" s="85" customFormat="1" x14ac:dyDescent="0.3">
      <c r="A513" s="96"/>
      <c r="B513" s="96"/>
      <c r="C513" s="96"/>
      <c r="D513" s="97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94"/>
      <c r="Q513" s="156"/>
    </row>
    <row r="514" spans="1:17" s="85" customFormat="1" x14ac:dyDescent="0.3">
      <c r="A514" s="96"/>
      <c r="B514" s="96"/>
      <c r="C514" s="96"/>
      <c r="D514" s="97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94"/>
      <c r="Q514" s="156"/>
    </row>
    <row r="515" spans="1:17" s="85" customFormat="1" x14ac:dyDescent="0.3">
      <c r="A515" s="96"/>
      <c r="B515" s="96"/>
      <c r="C515" s="96"/>
      <c r="D515" s="97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94"/>
      <c r="Q515" s="156"/>
    </row>
    <row r="516" spans="1:17" s="85" customFormat="1" x14ac:dyDescent="0.3">
      <c r="A516" s="96"/>
      <c r="B516" s="96"/>
      <c r="C516" s="96"/>
      <c r="D516" s="97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94"/>
      <c r="Q516" s="156"/>
    </row>
    <row r="517" spans="1:17" s="85" customFormat="1" x14ac:dyDescent="0.3">
      <c r="A517" s="96"/>
      <c r="B517" s="96"/>
      <c r="C517" s="96"/>
      <c r="D517" s="97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94"/>
      <c r="Q517" s="156"/>
    </row>
    <row r="518" spans="1:17" s="85" customFormat="1" x14ac:dyDescent="0.3">
      <c r="A518" s="96"/>
      <c r="B518" s="96"/>
      <c r="C518" s="96"/>
      <c r="D518" s="97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94"/>
      <c r="Q518" s="156"/>
    </row>
    <row r="519" spans="1:17" s="85" customFormat="1" x14ac:dyDescent="0.3">
      <c r="A519" s="96"/>
      <c r="B519" s="96"/>
      <c r="C519" s="96"/>
      <c r="D519" s="97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94"/>
      <c r="Q519" s="156"/>
    </row>
    <row r="520" spans="1:17" s="85" customFormat="1" x14ac:dyDescent="0.3">
      <c r="A520" s="96"/>
      <c r="B520" s="96"/>
      <c r="C520" s="96"/>
      <c r="D520" s="97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94"/>
      <c r="Q520" s="156"/>
    </row>
    <row r="521" spans="1:17" s="85" customFormat="1" x14ac:dyDescent="0.3">
      <c r="A521" s="96"/>
      <c r="B521" s="96"/>
      <c r="C521" s="96"/>
      <c r="D521" s="97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94"/>
      <c r="Q521" s="156"/>
    </row>
    <row r="522" spans="1:17" s="85" customFormat="1" x14ac:dyDescent="0.3">
      <c r="A522" s="96"/>
      <c r="B522" s="96"/>
      <c r="C522" s="96"/>
      <c r="D522" s="97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94"/>
      <c r="Q522" s="156"/>
    </row>
    <row r="523" spans="1:17" s="85" customFormat="1" x14ac:dyDescent="0.3">
      <c r="A523" s="96"/>
      <c r="B523" s="96"/>
      <c r="C523" s="96"/>
      <c r="D523" s="97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94"/>
      <c r="Q523" s="156"/>
    </row>
    <row r="524" spans="1:17" s="85" customFormat="1" x14ac:dyDescent="0.3">
      <c r="A524" s="96"/>
      <c r="B524" s="96"/>
      <c r="C524" s="96"/>
      <c r="D524" s="97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94"/>
      <c r="Q524" s="156"/>
    </row>
    <row r="525" spans="1:17" s="85" customFormat="1" x14ac:dyDescent="0.3">
      <c r="A525" s="96"/>
      <c r="B525" s="96"/>
      <c r="C525" s="96"/>
      <c r="D525" s="97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94"/>
      <c r="Q525" s="156"/>
    </row>
    <row r="526" spans="1:17" s="85" customFormat="1" x14ac:dyDescent="0.3">
      <c r="A526" s="96"/>
      <c r="B526" s="96"/>
      <c r="C526" s="96"/>
      <c r="D526" s="97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94"/>
      <c r="Q526" s="156"/>
    </row>
    <row r="527" spans="1:17" s="85" customFormat="1" x14ac:dyDescent="0.3">
      <c r="A527" s="96"/>
      <c r="B527" s="96"/>
      <c r="C527" s="96"/>
      <c r="D527" s="97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94"/>
      <c r="Q527" s="156"/>
    </row>
    <row r="528" spans="1:17" s="85" customFormat="1" x14ac:dyDescent="0.3">
      <c r="A528" s="96"/>
      <c r="B528" s="96"/>
      <c r="C528" s="96"/>
      <c r="D528" s="97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94"/>
      <c r="Q528" s="156"/>
    </row>
    <row r="529" spans="1:17" s="85" customFormat="1" x14ac:dyDescent="0.3">
      <c r="A529" s="96"/>
      <c r="B529" s="96"/>
      <c r="C529" s="96"/>
      <c r="D529" s="97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94"/>
      <c r="Q529" s="156"/>
    </row>
    <row r="530" spans="1:17" s="85" customFormat="1" x14ac:dyDescent="0.3">
      <c r="A530" s="96"/>
      <c r="B530" s="96"/>
      <c r="C530" s="96"/>
      <c r="D530" s="97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94"/>
      <c r="Q530" s="156"/>
    </row>
    <row r="531" spans="1:17" s="85" customFormat="1" x14ac:dyDescent="0.3">
      <c r="A531" s="96"/>
      <c r="B531" s="96"/>
      <c r="C531" s="96"/>
      <c r="D531" s="97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94"/>
      <c r="Q531" s="156"/>
    </row>
    <row r="532" spans="1:17" s="85" customFormat="1" x14ac:dyDescent="0.3">
      <c r="A532" s="96"/>
      <c r="B532" s="96"/>
      <c r="C532" s="96"/>
      <c r="D532" s="97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94"/>
      <c r="Q532" s="156"/>
    </row>
    <row r="533" spans="1:17" s="85" customFormat="1" x14ac:dyDescent="0.3">
      <c r="A533" s="96"/>
      <c r="B533" s="96"/>
      <c r="C533" s="96"/>
      <c r="D533" s="97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94"/>
      <c r="Q533" s="156"/>
    </row>
    <row r="534" spans="1:17" s="85" customFormat="1" x14ac:dyDescent="0.3">
      <c r="A534" s="96"/>
      <c r="B534" s="96"/>
      <c r="C534" s="96"/>
      <c r="D534" s="97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94"/>
      <c r="Q534" s="156"/>
    </row>
    <row r="535" spans="1:17" s="85" customFormat="1" x14ac:dyDescent="0.3">
      <c r="A535" s="96"/>
      <c r="B535" s="96"/>
      <c r="C535" s="96"/>
      <c r="D535" s="97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94"/>
      <c r="Q535" s="156"/>
    </row>
    <row r="536" spans="1:17" s="85" customFormat="1" x14ac:dyDescent="0.3">
      <c r="A536" s="96"/>
      <c r="B536" s="96"/>
      <c r="C536" s="96"/>
      <c r="D536" s="97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94"/>
      <c r="Q536" s="156"/>
    </row>
    <row r="537" spans="1:17" s="85" customFormat="1" x14ac:dyDescent="0.3">
      <c r="A537" s="96"/>
      <c r="B537" s="96"/>
      <c r="C537" s="96"/>
      <c r="D537" s="97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94"/>
      <c r="Q537" s="156"/>
    </row>
    <row r="538" spans="1:17" s="85" customFormat="1" x14ac:dyDescent="0.3">
      <c r="A538" s="96"/>
      <c r="B538" s="96"/>
      <c r="C538" s="96"/>
      <c r="D538" s="97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94"/>
      <c r="Q538" s="156"/>
    </row>
    <row r="539" spans="1:17" s="85" customFormat="1" x14ac:dyDescent="0.3">
      <c r="A539" s="96"/>
      <c r="B539" s="96"/>
      <c r="C539" s="96"/>
      <c r="D539" s="97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94"/>
      <c r="Q539" s="156"/>
    </row>
    <row r="540" spans="1:17" s="85" customFormat="1" x14ac:dyDescent="0.3">
      <c r="A540" s="96"/>
      <c r="B540" s="96"/>
      <c r="C540" s="96"/>
      <c r="D540" s="97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94"/>
      <c r="Q540" s="156"/>
    </row>
    <row r="541" spans="1:17" s="85" customFormat="1" x14ac:dyDescent="0.3">
      <c r="A541" s="96"/>
      <c r="B541" s="96"/>
      <c r="C541" s="96"/>
      <c r="D541" s="97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94"/>
      <c r="Q541" s="156"/>
    </row>
    <row r="542" spans="1:17" s="85" customFormat="1" x14ac:dyDescent="0.3">
      <c r="A542" s="96"/>
      <c r="B542" s="96"/>
      <c r="C542" s="96"/>
      <c r="D542" s="97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94"/>
      <c r="Q542" s="156"/>
    </row>
    <row r="543" spans="1:17" s="85" customFormat="1" x14ac:dyDescent="0.3">
      <c r="A543" s="96"/>
      <c r="B543" s="96"/>
      <c r="C543" s="96"/>
      <c r="D543" s="97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94"/>
      <c r="Q543" s="156"/>
    </row>
    <row r="544" spans="1:17" s="85" customFormat="1" x14ac:dyDescent="0.3">
      <c r="A544" s="96"/>
      <c r="B544" s="96"/>
      <c r="C544" s="96"/>
      <c r="D544" s="97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94"/>
      <c r="Q544" s="156"/>
    </row>
    <row r="545" spans="1:17" s="85" customFormat="1" x14ac:dyDescent="0.3">
      <c r="A545" s="96"/>
      <c r="B545" s="96"/>
      <c r="C545" s="96"/>
      <c r="D545" s="97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94"/>
      <c r="Q545" s="156"/>
    </row>
    <row r="546" spans="1:17" s="85" customFormat="1" x14ac:dyDescent="0.3">
      <c r="A546" s="96"/>
      <c r="B546" s="96"/>
      <c r="C546" s="96"/>
      <c r="D546" s="97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94"/>
      <c r="Q546" s="156"/>
    </row>
    <row r="547" spans="1:17" s="85" customFormat="1" x14ac:dyDescent="0.3">
      <c r="A547" s="96"/>
      <c r="B547" s="96"/>
      <c r="C547" s="96"/>
      <c r="D547" s="97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94"/>
      <c r="Q547" s="156"/>
    </row>
    <row r="548" spans="1:17" s="85" customFormat="1" x14ac:dyDescent="0.3">
      <c r="A548" s="96"/>
      <c r="B548" s="96"/>
      <c r="C548" s="96"/>
      <c r="D548" s="97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94"/>
      <c r="Q548" s="156"/>
    </row>
    <row r="549" spans="1:17" s="85" customFormat="1" x14ac:dyDescent="0.3">
      <c r="A549" s="96"/>
      <c r="B549" s="96"/>
      <c r="C549" s="96"/>
      <c r="D549" s="97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94"/>
      <c r="Q549" s="156"/>
    </row>
    <row r="550" spans="1:17" s="85" customFormat="1" x14ac:dyDescent="0.3">
      <c r="A550" s="96"/>
      <c r="B550" s="96"/>
      <c r="C550" s="96"/>
      <c r="D550" s="97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94"/>
      <c r="Q550" s="156"/>
    </row>
    <row r="551" spans="1:17" s="85" customFormat="1" x14ac:dyDescent="0.3">
      <c r="A551" s="96"/>
      <c r="B551" s="96"/>
      <c r="C551" s="96"/>
      <c r="D551" s="97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94"/>
      <c r="Q551" s="156"/>
    </row>
    <row r="552" spans="1:17" s="85" customFormat="1" x14ac:dyDescent="0.3">
      <c r="A552" s="96"/>
      <c r="B552" s="96"/>
      <c r="C552" s="96"/>
      <c r="D552" s="97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94"/>
      <c r="Q552" s="156"/>
    </row>
    <row r="553" spans="1:17" s="85" customFormat="1" x14ac:dyDescent="0.3">
      <c r="A553" s="96"/>
      <c r="B553" s="96"/>
      <c r="C553" s="96"/>
      <c r="D553" s="97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94"/>
      <c r="Q553" s="156"/>
    </row>
    <row r="554" spans="1:17" s="85" customFormat="1" x14ac:dyDescent="0.3">
      <c r="A554" s="96"/>
      <c r="B554" s="96"/>
      <c r="C554" s="96"/>
      <c r="D554" s="97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94"/>
      <c r="Q554" s="156"/>
    </row>
    <row r="555" spans="1:17" s="85" customFormat="1" x14ac:dyDescent="0.3">
      <c r="A555" s="96"/>
      <c r="B555" s="96"/>
      <c r="C555" s="96"/>
      <c r="D555" s="97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94"/>
      <c r="Q555" s="156"/>
    </row>
    <row r="556" spans="1:17" s="85" customFormat="1" x14ac:dyDescent="0.3">
      <c r="A556" s="96"/>
      <c r="B556" s="96"/>
      <c r="C556" s="96"/>
      <c r="D556" s="97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94"/>
      <c r="Q556" s="156"/>
    </row>
    <row r="557" spans="1:17" s="85" customFormat="1" x14ac:dyDescent="0.3">
      <c r="A557" s="96"/>
      <c r="B557" s="96"/>
      <c r="C557" s="96"/>
      <c r="D557" s="97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94"/>
      <c r="Q557" s="156"/>
    </row>
    <row r="558" spans="1:17" s="85" customFormat="1" x14ac:dyDescent="0.3">
      <c r="A558" s="96"/>
      <c r="B558" s="96"/>
      <c r="C558" s="96"/>
      <c r="D558" s="97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94"/>
      <c r="Q558" s="156"/>
    </row>
    <row r="559" spans="1:17" s="85" customFormat="1" x14ac:dyDescent="0.3">
      <c r="A559" s="96"/>
      <c r="B559" s="96"/>
      <c r="C559" s="96"/>
      <c r="D559" s="97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94"/>
      <c r="Q559" s="156"/>
    </row>
    <row r="560" spans="1:17" s="85" customFormat="1" x14ac:dyDescent="0.3">
      <c r="A560" s="96"/>
      <c r="B560" s="96"/>
      <c r="C560" s="96"/>
      <c r="D560" s="97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94"/>
      <c r="Q560" s="156"/>
    </row>
    <row r="561" spans="1:17" s="85" customFormat="1" x14ac:dyDescent="0.3">
      <c r="A561" s="96"/>
      <c r="B561" s="96"/>
      <c r="C561" s="96"/>
      <c r="D561" s="97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94"/>
      <c r="Q561" s="156"/>
    </row>
    <row r="562" spans="1:17" s="85" customFormat="1" x14ac:dyDescent="0.3">
      <c r="A562" s="96"/>
      <c r="B562" s="96"/>
      <c r="C562" s="96"/>
      <c r="D562" s="97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94"/>
      <c r="Q562" s="156"/>
    </row>
    <row r="563" spans="1:17" s="85" customFormat="1" x14ac:dyDescent="0.3">
      <c r="A563" s="96"/>
      <c r="B563" s="96"/>
      <c r="C563" s="96"/>
      <c r="D563" s="97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94"/>
      <c r="Q563" s="156"/>
    </row>
    <row r="564" spans="1:17" s="85" customFormat="1" x14ac:dyDescent="0.3">
      <c r="A564" s="96"/>
      <c r="B564" s="96"/>
      <c r="C564" s="96"/>
      <c r="D564" s="97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94"/>
      <c r="Q564" s="156"/>
    </row>
    <row r="565" spans="1:17" s="85" customFormat="1" x14ac:dyDescent="0.3">
      <c r="A565" s="96"/>
      <c r="B565" s="96"/>
      <c r="C565" s="96"/>
      <c r="D565" s="97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94"/>
      <c r="Q565" s="156"/>
    </row>
    <row r="566" spans="1:17" s="85" customFormat="1" x14ac:dyDescent="0.3">
      <c r="A566" s="96"/>
      <c r="B566" s="96"/>
      <c r="C566" s="96"/>
      <c r="D566" s="97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94"/>
      <c r="Q566" s="156"/>
    </row>
    <row r="567" spans="1:17" s="85" customFormat="1" x14ac:dyDescent="0.3">
      <c r="A567" s="96"/>
      <c r="B567" s="96"/>
      <c r="C567" s="96"/>
      <c r="D567" s="97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94"/>
      <c r="Q567" s="156"/>
    </row>
    <row r="568" spans="1:17" s="85" customFormat="1" x14ac:dyDescent="0.3">
      <c r="A568" s="96"/>
      <c r="B568" s="96"/>
      <c r="C568" s="96"/>
      <c r="D568" s="97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94"/>
      <c r="Q568" s="156"/>
    </row>
    <row r="569" spans="1:17" s="85" customFormat="1" x14ac:dyDescent="0.3">
      <c r="A569" s="96"/>
      <c r="B569" s="96"/>
      <c r="C569" s="96"/>
      <c r="D569" s="97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94"/>
      <c r="Q569" s="156"/>
    </row>
    <row r="570" spans="1:17" s="85" customFormat="1" x14ac:dyDescent="0.3">
      <c r="A570" s="96"/>
      <c r="B570" s="96"/>
      <c r="C570" s="96"/>
      <c r="D570" s="97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94"/>
      <c r="Q570" s="156"/>
    </row>
    <row r="571" spans="1:17" s="85" customFormat="1" x14ac:dyDescent="0.3">
      <c r="A571" s="96"/>
      <c r="B571" s="96"/>
      <c r="C571" s="96"/>
      <c r="D571" s="97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94"/>
      <c r="Q571" s="156"/>
    </row>
    <row r="572" spans="1:17" s="85" customFormat="1" x14ac:dyDescent="0.3">
      <c r="A572" s="96"/>
      <c r="B572" s="96"/>
      <c r="C572" s="96"/>
      <c r="D572" s="97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94"/>
      <c r="Q572" s="156"/>
    </row>
    <row r="573" spans="1:17" s="85" customFormat="1" x14ac:dyDescent="0.3">
      <c r="A573" s="96"/>
      <c r="B573" s="96"/>
      <c r="C573" s="96"/>
      <c r="D573" s="97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94"/>
      <c r="Q573" s="156"/>
    </row>
    <row r="574" spans="1:17" s="85" customFormat="1" x14ac:dyDescent="0.3">
      <c r="A574" s="96"/>
      <c r="B574" s="96"/>
      <c r="C574" s="96"/>
      <c r="D574" s="97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94"/>
      <c r="Q574" s="156"/>
    </row>
    <row r="575" spans="1:17" s="85" customFormat="1" x14ac:dyDescent="0.3">
      <c r="A575" s="96"/>
      <c r="B575" s="96"/>
      <c r="C575" s="96"/>
      <c r="D575" s="97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94"/>
      <c r="Q575" s="156"/>
    </row>
    <row r="576" spans="1:17" s="85" customFormat="1" x14ac:dyDescent="0.3">
      <c r="A576" s="96"/>
      <c r="B576" s="96"/>
      <c r="C576" s="96"/>
      <c r="D576" s="97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94"/>
      <c r="Q576" s="156"/>
    </row>
    <row r="577" spans="1:17" s="85" customFormat="1" x14ac:dyDescent="0.3">
      <c r="A577" s="96"/>
      <c r="B577" s="96"/>
      <c r="C577" s="96"/>
      <c r="D577" s="97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94"/>
      <c r="Q577" s="156"/>
    </row>
    <row r="578" spans="1:17" s="85" customFormat="1" x14ac:dyDescent="0.3">
      <c r="A578" s="96"/>
      <c r="B578" s="96"/>
      <c r="C578" s="96"/>
      <c r="D578" s="97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94"/>
      <c r="Q578" s="156"/>
    </row>
    <row r="579" spans="1:17" s="85" customFormat="1" x14ac:dyDescent="0.3">
      <c r="A579" s="96"/>
      <c r="B579" s="96"/>
      <c r="C579" s="96"/>
      <c r="D579" s="97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94"/>
      <c r="Q579" s="156"/>
    </row>
    <row r="580" spans="1:17" s="85" customFormat="1" x14ac:dyDescent="0.3">
      <c r="A580" s="96"/>
      <c r="B580" s="96"/>
      <c r="C580" s="96"/>
      <c r="D580" s="97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94"/>
      <c r="Q580" s="156"/>
    </row>
    <row r="581" spans="1:17" s="85" customFormat="1" x14ac:dyDescent="0.3">
      <c r="A581" s="96"/>
      <c r="B581" s="96"/>
      <c r="C581" s="96"/>
      <c r="D581" s="97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94"/>
      <c r="Q581" s="156"/>
    </row>
    <row r="582" spans="1:17" s="85" customFormat="1" x14ac:dyDescent="0.3">
      <c r="A582" s="96"/>
      <c r="B582" s="96"/>
      <c r="C582" s="96"/>
      <c r="D582" s="97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94"/>
      <c r="Q582" s="156"/>
    </row>
    <row r="583" spans="1:17" s="85" customFormat="1" x14ac:dyDescent="0.3">
      <c r="A583" s="96"/>
      <c r="B583" s="96"/>
      <c r="C583" s="96"/>
      <c r="D583" s="97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94"/>
      <c r="Q583" s="156"/>
    </row>
    <row r="584" spans="1:17" s="85" customFormat="1" x14ac:dyDescent="0.3">
      <c r="A584" s="96"/>
      <c r="B584" s="96"/>
      <c r="C584" s="96"/>
      <c r="D584" s="97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94"/>
      <c r="Q584" s="156"/>
    </row>
    <row r="585" spans="1:17" s="85" customFormat="1" x14ac:dyDescent="0.3">
      <c r="A585" s="96"/>
      <c r="B585" s="96"/>
      <c r="C585" s="96"/>
      <c r="D585" s="97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94"/>
      <c r="Q585" s="156"/>
    </row>
    <row r="586" spans="1:17" s="85" customFormat="1" x14ac:dyDescent="0.3">
      <c r="A586" s="96"/>
      <c r="B586" s="96"/>
      <c r="C586" s="96"/>
      <c r="D586" s="97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94"/>
      <c r="Q586" s="156"/>
    </row>
    <row r="587" spans="1:17" s="85" customFormat="1" x14ac:dyDescent="0.3">
      <c r="A587" s="96"/>
      <c r="B587" s="96"/>
      <c r="C587" s="96"/>
      <c r="D587" s="97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94"/>
      <c r="Q587" s="156"/>
    </row>
    <row r="588" spans="1:17" s="85" customFormat="1" x14ac:dyDescent="0.3">
      <c r="A588" s="96"/>
      <c r="B588" s="96"/>
      <c r="C588" s="96"/>
      <c r="D588" s="97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94"/>
      <c r="Q588" s="156"/>
    </row>
    <row r="589" spans="1:17" s="85" customFormat="1" x14ac:dyDescent="0.3">
      <c r="A589" s="96"/>
      <c r="B589" s="96"/>
      <c r="C589" s="96"/>
      <c r="D589" s="97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94"/>
      <c r="Q589" s="156"/>
    </row>
    <row r="590" spans="1:17" s="85" customFormat="1" x14ac:dyDescent="0.3">
      <c r="A590" s="96"/>
      <c r="B590" s="96"/>
      <c r="C590" s="96"/>
      <c r="D590" s="97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94"/>
      <c r="Q590" s="156"/>
    </row>
    <row r="591" spans="1:17" s="85" customFormat="1" x14ac:dyDescent="0.3">
      <c r="A591" s="96"/>
      <c r="B591" s="96"/>
      <c r="C591" s="96"/>
      <c r="D591" s="97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94"/>
      <c r="Q591" s="156"/>
    </row>
    <row r="592" spans="1:17" s="85" customFormat="1" x14ac:dyDescent="0.3">
      <c r="A592" s="96"/>
      <c r="B592" s="96"/>
      <c r="C592" s="96"/>
      <c r="D592" s="97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94"/>
      <c r="Q592" s="156"/>
    </row>
    <row r="593" spans="1:17" s="85" customFormat="1" x14ac:dyDescent="0.3">
      <c r="A593" s="96"/>
      <c r="B593" s="96"/>
      <c r="C593" s="96"/>
      <c r="D593" s="97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94"/>
      <c r="Q593" s="156"/>
    </row>
    <row r="594" spans="1:17" s="85" customFormat="1" x14ac:dyDescent="0.3">
      <c r="A594" s="96"/>
      <c r="B594" s="96"/>
      <c r="C594" s="96"/>
      <c r="D594" s="97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94"/>
      <c r="Q594" s="156"/>
    </row>
    <row r="595" spans="1:17" s="85" customFormat="1" x14ac:dyDescent="0.3">
      <c r="A595" s="96"/>
      <c r="B595" s="96"/>
      <c r="C595" s="96"/>
      <c r="D595" s="97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94"/>
      <c r="Q595" s="156"/>
    </row>
    <row r="596" spans="1:17" s="85" customFormat="1" x14ac:dyDescent="0.3">
      <c r="A596" s="96"/>
      <c r="B596" s="96"/>
      <c r="C596" s="96"/>
      <c r="D596" s="97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94"/>
      <c r="Q596" s="156"/>
    </row>
    <row r="597" spans="1:17" s="85" customFormat="1" x14ac:dyDescent="0.3">
      <c r="A597" s="96"/>
      <c r="B597" s="96"/>
      <c r="C597" s="96"/>
      <c r="D597" s="97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94"/>
      <c r="Q597" s="156"/>
    </row>
    <row r="598" spans="1:17" s="85" customFormat="1" x14ac:dyDescent="0.3">
      <c r="A598" s="96"/>
      <c r="B598" s="96"/>
      <c r="C598" s="96"/>
      <c r="D598" s="97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94"/>
      <c r="Q598" s="156"/>
    </row>
    <row r="599" spans="1:17" s="85" customFormat="1" x14ac:dyDescent="0.3">
      <c r="A599" s="96"/>
      <c r="B599" s="96"/>
      <c r="C599" s="96"/>
      <c r="D599" s="97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94"/>
      <c r="Q599" s="156"/>
    </row>
    <row r="600" spans="1:17" s="85" customFormat="1" x14ac:dyDescent="0.3">
      <c r="A600" s="96"/>
      <c r="B600" s="96"/>
      <c r="C600" s="96"/>
      <c r="D600" s="97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94"/>
      <c r="Q600" s="156"/>
    </row>
    <row r="601" spans="1:17" s="85" customFormat="1" x14ac:dyDescent="0.3">
      <c r="A601" s="96"/>
      <c r="B601" s="96"/>
      <c r="C601" s="96"/>
      <c r="D601" s="97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94"/>
      <c r="Q601" s="156"/>
    </row>
    <row r="602" spans="1:17" s="85" customFormat="1" x14ac:dyDescent="0.3">
      <c r="A602" s="96"/>
      <c r="B602" s="96"/>
      <c r="C602" s="96"/>
      <c r="D602" s="97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94"/>
      <c r="Q602" s="156"/>
    </row>
    <row r="603" spans="1:17" s="85" customFormat="1" x14ac:dyDescent="0.3">
      <c r="A603" s="96"/>
      <c r="B603" s="96"/>
      <c r="C603" s="96"/>
      <c r="D603" s="97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94"/>
      <c r="Q603" s="156"/>
    </row>
    <row r="604" spans="1:17" s="85" customFormat="1" x14ac:dyDescent="0.3">
      <c r="A604" s="96"/>
      <c r="B604" s="96"/>
      <c r="C604" s="96"/>
      <c r="D604" s="97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94"/>
      <c r="Q604" s="156"/>
    </row>
    <row r="605" spans="1:17" s="85" customFormat="1" x14ac:dyDescent="0.3">
      <c r="A605" s="96"/>
      <c r="B605" s="96"/>
      <c r="C605" s="96"/>
      <c r="D605" s="97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94"/>
      <c r="Q605" s="156"/>
    </row>
    <row r="606" spans="1:17" s="85" customFormat="1" x14ac:dyDescent="0.3">
      <c r="A606" s="96"/>
      <c r="B606" s="96"/>
      <c r="C606" s="96"/>
      <c r="D606" s="97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94"/>
      <c r="Q606" s="156"/>
    </row>
    <row r="607" spans="1:17" s="85" customFormat="1" x14ac:dyDescent="0.3">
      <c r="A607" s="96"/>
      <c r="B607" s="96"/>
      <c r="C607" s="96"/>
      <c r="D607" s="97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94"/>
      <c r="Q607" s="156"/>
    </row>
    <row r="608" spans="1:17" s="85" customFormat="1" x14ac:dyDescent="0.3">
      <c r="A608" s="96"/>
      <c r="B608" s="96"/>
      <c r="C608" s="96"/>
      <c r="D608" s="97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94"/>
      <c r="Q608" s="156"/>
    </row>
    <row r="609" spans="1:17" s="85" customFormat="1" x14ac:dyDescent="0.3">
      <c r="A609" s="96"/>
      <c r="B609" s="96"/>
      <c r="C609" s="96"/>
      <c r="D609" s="97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94"/>
      <c r="Q609" s="156"/>
    </row>
    <row r="610" spans="1:17" s="85" customFormat="1" x14ac:dyDescent="0.3">
      <c r="A610" s="96"/>
      <c r="B610" s="96"/>
      <c r="C610" s="96"/>
      <c r="D610" s="97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94"/>
      <c r="Q610" s="156"/>
    </row>
    <row r="611" spans="1:17" s="85" customFormat="1" x14ac:dyDescent="0.3">
      <c r="A611" s="96"/>
      <c r="B611" s="96"/>
      <c r="C611" s="96"/>
      <c r="D611" s="97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94"/>
      <c r="Q611" s="156"/>
    </row>
    <row r="612" spans="1:17" s="85" customFormat="1" x14ac:dyDescent="0.3">
      <c r="A612" s="96"/>
      <c r="B612" s="96"/>
      <c r="C612" s="96"/>
      <c r="D612" s="97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94"/>
      <c r="Q612" s="156"/>
    </row>
    <row r="613" spans="1:17" s="85" customFormat="1" x14ac:dyDescent="0.3">
      <c r="A613" s="96"/>
      <c r="B613" s="96"/>
      <c r="C613" s="96"/>
      <c r="D613" s="97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94"/>
      <c r="Q613" s="156"/>
    </row>
    <row r="614" spans="1:17" s="85" customFormat="1" x14ac:dyDescent="0.3">
      <c r="A614" s="96"/>
      <c r="B614" s="96"/>
      <c r="C614" s="96"/>
      <c r="D614" s="97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94"/>
      <c r="Q614" s="156"/>
    </row>
    <row r="615" spans="1:17" s="85" customFormat="1" x14ac:dyDescent="0.3">
      <c r="A615" s="96"/>
      <c r="B615" s="96"/>
      <c r="C615" s="96"/>
      <c r="D615" s="97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94"/>
      <c r="Q615" s="156"/>
    </row>
    <row r="616" spans="1:17" s="85" customFormat="1" x14ac:dyDescent="0.3">
      <c r="A616" s="96"/>
      <c r="B616" s="96"/>
      <c r="C616" s="96"/>
      <c r="D616" s="97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94"/>
      <c r="Q616" s="156"/>
    </row>
    <row r="617" spans="1:17" s="85" customFormat="1" x14ac:dyDescent="0.3">
      <c r="A617" s="96"/>
      <c r="B617" s="96"/>
      <c r="C617" s="96"/>
      <c r="D617" s="97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94"/>
      <c r="Q617" s="156"/>
    </row>
    <row r="618" spans="1:17" s="85" customFormat="1" x14ac:dyDescent="0.3">
      <c r="A618" s="96"/>
      <c r="B618" s="96"/>
      <c r="C618" s="96"/>
      <c r="D618" s="97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94"/>
      <c r="Q618" s="156"/>
    </row>
    <row r="619" spans="1:17" s="85" customFormat="1" x14ac:dyDescent="0.3">
      <c r="A619" s="96"/>
      <c r="B619" s="96"/>
      <c r="C619" s="96"/>
      <c r="D619" s="97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94"/>
      <c r="Q619" s="156"/>
    </row>
    <row r="620" spans="1:17" s="85" customFormat="1" x14ac:dyDescent="0.3">
      <c r="A620" s="96"/>
      <c r="B620" s="96"/>
      <c r="C620" s="96"/>
      <c r="D620" s="97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94"/>
      <c r="Q620" s="156"/>
    </row>
    <row r="621" spans="1:17" s="85" customFormat="1" x14ac:dyDescent="0.3">
      <c r="A621" s="96"/>
      <c r="B621" s="96"/>
      <c r="C621" s="96"/>
      <c r="D621" s="97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94"/>
      <c r="Q621" s="156"/>
    </row>
    <row r="622" spans="1:17" s="85" customFormat="1" x14ac:dyDescent="0.3">
      <c r="A622" s="96"/>
      <c r="B622" s="96"/>
      <c r="C622" s="96"/>
      <c r="D622" s="97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94"/>
      <c r="Q622" s="156"/>
    </row>
    <row r="623" spans="1:17" s="85" customFormat="1" x14ac:dyDescent="0.3">
      <c r="A623" s="96"/>
      <c r="B623" s="96"/>
      <c r="C623" s="96"/>
      <c r="D623" s="97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94"/>
      <c r="Q623" s="156"/>
    </row>
    <row r="624" spans="1:17" s="85" customFormat="1" x14ac:dyDescent="0.3">
      <c r="A624" s="96"/>
      <c r="B624" s="96"/>
      <c r="C624" s="96"/>
      <c r="D624" s="97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94"/>
      <c r="Q624" s="156"/>
    </row>
    <row r="625" spans="1:17" s="85" customFormat="1" x14ac:dyDescent="0.3">
      <c r="A625" s="96"/>
      <c r="B625" s="96"/>
      <c r="C625" s="96"/>
      <c r="D625" s="97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94"/>
      <c r="Q625" s="156"/>
    </row>
    <row r="626" spans="1:17" s="85" customFormat="1" x14ac:dyDescent="0.3">
      <c r="A626" s="96"/>
      <c r="B626" s="96"/>
      <c r="C626" s="96"/>
      <c r="D626" s="97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94"/>
      <c r="Q626" s="156"/>
    </row>
    <row r="627" spans="1:17" s="85" customFormat="1" x14ac:dyDescent="0.3">
      <c r="A627" s="96"/>
      <c r="B627" s="96"/>
      <c r="C627" s="96"/>
      <c r="D627" s="97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94"/>
      <c r="Q627" s="156"/>
    </row>
    <row r="628" spans="1:17" s="85" customFormat="1" x14ac:dyDescent="0.3">
      <c r="A628" s="96"/>
      <c r="B628" s="96"/>
      <c r="C628" s="96"/>
      <c r="D628" s="97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94"/>
      <c r="Q628" s="156"/>
    </row>
    <row r="629" spans="1:17" s="85" customFormat="1" x14ac:dyDescent="0.3">
      <c r="A629" s="96"/>
      <c r="B629" s="96"/>
      <c r="C629" s="96"/>
      <c r="D629" s="97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94"/>
      <c r="Q629" s="156"/>
    </row>
    <row r="630" spans="1:17" s="85" customFormat="1" x14ac:dyDescent="0.3">
      <c r="A630" s="96"/>
      <c r="B630" s="96"/>
      <c r="C630" s="96"/>
      <c r="D630" s="97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94"/>
      <c r="Q630" s="156"/>
    </row>
    <row r="631" spans="1:17" s="85" customFormat="1" x14ac:dyDescent="0.3">
      <c r="A631" s="96"/>
      <c r="B631" s="96"/>
      <c r="C631" s="96"/>
      <c r="D631" s="97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94"/>
      <c r="Q631" s="156"/>
    </row>
    <row r="632" spans="1:17" s="85" customFormat="1" x14ac:dyDescent="0.3">
      <c r="A632" s="96"/>
      <c r="B632" s="96"/>
      <c r="C632" s="96"/>
      <c r="D632" s="97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94"/>
      <c r="Q632" s="156"/>
    </row>
    <row r="633" spans="1:17" s="85" customFormat="1" x14ac:dyDescent="0.3">
      <c r="A633" s="96"/>
      <c r="B633" s="96"/>
      <c r="C633" s="96"/>
      <c r="D633" s="97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94"/>
      <c r="Q633" s="156"/>
    </row>
    <row r="634" spans="1:17" s="85" customFormat="1" x14ac:dyDescent="0.3">
      <c r="A634" s="96"/>
      <c r="B634" s="96"/>
      <c r="C634" s="96"/>
      <c r="D634" s="97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94"/>
      <c r="Q634" s="156"/>
    </row>
    <row r="635" spans="1:17" s="85" customFormat="1" x14ac:dyDescent="0.3">
      <c r="A635" s="96"/>
      <c r="B635" s="96"/>
      <c r="C635" s="96"/>
      <c r="D635" s="97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94"/>
      <c r="Q635" s="156"/>
    </row>
    <row r="636" spans="1:17" s="85" customFormat="1" x14ac:dyDescent="0.3">
      <c r="A636" s="96"/>
      <c r="B636" s="96"/>
      <c r="C636" s="96"/>
      <c r="D636" s="97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94"/>
      <c r="Q636" s="156"/>
    </row>
    <row r="637" spans="1:17" s="85" customFormat="1" x14ac:dyDescent="0.3">
      <c r="A637" s="96"/>
      <c r="B637" s="96"/>
      <c r="C637" s="96"/>
      <c r="D637" s="97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94"/>
      <c r="Q637" s="156"/>
    </row>
    <row r="638" spans="1:17" s="85" customFormat="1" x14ac:dyDescent="0.3">
      <c r="A638" s="96"/>
      <c r="B638" s="96"/>
      <c r="C638" s="96"/>
      <c r="D638" s="97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94"/>
      <c r="Q638" s="156"/>
    </row>
    <row r="639" spans="1:17" s="85" customFormat="1" x14ac:dyDescent="0.3">
      <c r="A639" s="96"/>
      <c r="B639" s="96"/>
      <c r="C639" s="96"/>
      <c r="D639" s="97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94"/>
      <c r="Q639" s="156"/>
    </row>
    <row r="640" spans="1:17" s="85" customFormat="1" x14ac:dyDescent="0.3">
      <c r="A640" s="96"/>
      <c r="B640" s="96"/>
      <c r="C640" s="96"/>
      <c r="D640" s="97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94"/>
      <c r="Q640" s="156"/>
    </row>
    <row r="641" spans="1:17" s="85" customFormat="1" x14ac:dyDescent="0.3">
      <c r="A641" s="96"/>
      <c r="B641" s="96"/>
      <c r="C641" s="96"/>
      <c r="D641" s="97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94"/>
      <c r="Q641" s="156"/>
    </row>
    <row r="642" spans="1:17" s="85" customFormat="1" x14ac:dyDescent="0.3">
      <c r="A642" s="96"/>
      <c r="B642" s="96"/>
      <c r="C642" s="96"/>
      <c r="D642" s="97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94"/>
      <c r="Q642" s="156"/>
    </row>
    <row r="643" spans="1:17" s="85" customFormat="1" x14ac:dyDescent="0.3">
      <c r="A643" s="96"/>
      <c r="B643" s="96"/>
      <c r="C643" s="96"/>
      <c r="D643" s="97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94"/>
      <c r="Q643" s="156"/>
    </row>
    <row r="644" spans="1:17" s="85" customFormat="1" x14ac:dyDescent="0.3">
      <c r="A644" s="96"/>
      <c r="B644" s="96"/>
      <c r="C644" s="96"/>
      <c r="D644" s="97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94"/>
      <c r="Q644" s="156"/>
    </row>
    <row r="645" spans="1:17" s="85" customFormat="1" x14ac:dyDescent="0.3">
      <c r="A645" s="96"/>
      <c r="B645" s="96"/>
      <c r="C645" s="96"/>
      <c r="D645" s="97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94"/>
      <c r="Q645" s="156"/>
    </row>
    <row r="646" spans="1:17" s="85" customFormat="1" x14ac:dyDescent="0.3">
      <c r="A646" s="96"/>
      <c r="B646" s="96"/>
      <c r="C646" s="96"/>
      <c r="D646" s="97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94"/>
      <c r="Q646" s="156"/>
    </row>
    <row r="647" spans="1:17" s="85" customFormat="1" x14ac:dyDescent="0.3">
      <c r="A647" s="96"/>
      <c r="B647" s="96"/>
      <c r="C647" s="96"/>
      <c r="D647" s="97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94"/>
      <c r="Q647" s="156"/>
    </row>
    <row r="648" spans="1:17" s="85" customFormat="1" x14ac:dyDescent="0.3">
      <c r="A648" s="96"/>
      <c r="B648" s="96"/>
      <c r="C648" s="96"/>
      <c r="D648" s="97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94"/>
      <c r="Q648" s="156"/>
    </row>
    <row r="649" spans="1:17" s="85" customFormat="1" x14ac:dyDescent="0.3">
      <c r="A649" s="96"/>
      <c r="B649" s="96"/>
      <c r="C649" s="96"/>
      <c r="D649" s="97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94"/>
      <c r="Q649" s="156"/>
    </row>
    <row r="650" spans="1:17" s="85" customFormat="1" x14ac:dyDescent="0.3">
      <c r="A650" s="96"/>
      <c r="B650" s="96"/>
      <c r="C650" s="96"/>
      <c r="D650" s="97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94"/>
      <c r="Q650" s="156"/>
    </row>
    <row r="651" spans="1:17" s="85" customFormat="1" x14ac:dyDescent="0.3">
      <c r="A651" s="96"/>
      <c r="B651" s="96"/>
      <c r="C651" s="96"/>
      <c r="D651" s="97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94"/>
      <c r="Q651" s="156"/>
    </row>
    <row r="652" spans="1:17" s="85" customFormat="1" x14ac:dyDescent="0.3">
      <c r="A652" s="96"/>
      <c r="B652" s="96"/>
      <c r="C652" s="96"/>
      <c r="D652" s="97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94"/>
      <c r="Q652" s="156"/>
    </row>
    <row r="653" spans="1:17" s="85" customFormat="1" x14ac:dyDescent="0.3">
      <c r="A653" s="96"/>
      <c r="B653" s="96"/>
      <c r="C653" s="96"/>
      <c r="D653" s="97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94"/>
      <c r="Q653" s="156"/>
    </row>
    <row r="654" spans="1:17" s="85" customFormat="1" x14ac:dyDescent="0.3">
      <c r="A654" s="96"/>
      <c r="B654" s="96"/>
      <c r="C654" s="96"/>
      <c r="D654" s="97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94"/>
      <c r="Q654" s="156"/>
    </row>
    <row r="655" spans="1:17" s="85" customFormat="1" x14ac:dyDescent="0.3">
      <c r="A655" s="96"/>
      <c r="B655" s="96"/>
      <c r="C655" s="96"/>
      <c r="D655" s="97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94"/>
      <c r="Q655" s="156"/>
    </row>
    <row r="656" spans="1:17" s="85" customFormat="1" x14ac:dyDescent="0.3">
      <c r="A656" s="96"/>
      <c r="B656" s="96"/>
      <c r="C656" s="96"/>
      <c r="D656" s="97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94"/>
      <c r="Q656" s="156"/>
    </row>
    <row r="657" spans="1:17" s="85" customFormat="1" x14ac:dyDescent="0.3">
      <c r="A657" s="96"/>
      <c r="B657" s="96"/>
      <c r="C657" s="96"/>
      <c r="D657" s="97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94"/>
      <c r="Q657" s="156"/>
    </row>
    <row r="658" spans="1:17" s="85" customFormat="1" x14ac:dyDescent="0.3">
      <c r="A658" s="96"/>
      <c r="B658" s="96"/>
      <c r="C658" s="96"/>
      <c r="D658" s="97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94"/>
      <c r="Q658" s="156"/>
    </row>
    <row r="659" spans="1:17" s="85" customFormat="1" x14ac:dyDescent="0.3">
      <c r="A659" s="96"/>
      <c r="B659" s="96"/>
      <c r="C659" s="96"/>
      <c r="D659" s="97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94"/>
      <c r="Q659" s="156"/>
    </row>
    <row r="660" spans="1:17" s="85" customFormat="1" x14ac:dyDescent="0.3">
      <c r="A660" s="96"/>
      <c r="B660" s="96"/>
      <c r="C660" s="96"/>
      <c r="D660" s="97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94"/>
      <c r="Q660" s="156"/>
    </row>
    <row r="661" spans="1:17" s="85" customFormat="1" x14ac:dyDescent="0.3">
      <c r="A661" s="96"/>
      <c r="B661" s="96"/>
      <c r="C661" s="96"/>
      <c r="D661" s="97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94"/>
      <c r="Q661" s="156"/>
    </row>
    <row r="662" spans="1:17" s="85" customFormat="1" x14ac:dyDescent="0.3">
      <c r="A662" s="96"/>
      <c r="B662" s="96"/>
      <c r="C662" s="96"/>
      <c r="D662" s="97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94"/>
      <c r="Q662" s="156"/>
    </row>
    <row r="663" spans="1:17" s="85" customFormat="1" x14ac:dyDescent="0.3">
      <c r="A663" s="96"/>
      <c r="B663" s="96"/>
      <c r="C663" s="96"/>
      <c r="D663" s="97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94"/>
      <c r="Q663" s="156"/>
    </row>
    <row r="664" spans="1:17" s="85" customFormat="1" x14ac:dyDescent="0.3">
      <c r="A664" s="96"/>
      <c r="B664" s="96"/>
      <c r="C664" s="96"/>
      <c r="D664" s="97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94"/>
      <c r="Q664" s="156"/>
    </row>
    <row r="665" spans="1:17" s="85" customFormat="1" x14ac:dyDescent="0.3">
      <c r="A665" s="96"/>
      <c r="B665" s="96"/>
      <c r="C665" s="96"/>
      <c r="D665" s="97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94"/>
      <c r="Q665" s="156"/>
    </row>
    <row r="666" spans="1:17" s="85" customFormat="1" x14ac:dyDescent="0.3">
      <c r="A666" s="96"/>
      <c r="B666" s="96"/>
      <c r="C666" s="96"/>
      <c r="D666" s="97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94"/>
      <c r="Q666" s="156"/>
    </row>
    <row r="667" spans="1:17" s="85" customFormat="1" x14ac:dyDescent="0.3">
      <c r="A667" s="96"/>
      <c r="B667" s="96"/>
      <c r="C667" s="96"/>
      <c r="D667" s="97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94"/>
      <c r="Q667" s="156"/>
    </row>
    <row r="668" spans="1:17" s="85" customFormat="1" x14ac:dyDescent="0.3">
      <c r="A668" s="96"/>
      <c r="B668" s="96"/>
      <c r="C668" s="96"/>
      <c r="D668" s="97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94"/>
      <c r="Q668" s="156"/>
    </row>
    <row r="669" spans="1:17" s="85" customFormat="1" x14ac:dyDescent="0.3">
      <c r="A669" s="96"/>
      <c r="B669" s="96"/>
      <c r="C669" s="96"/>
      <c r="D669" s="97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94"/>
      <c r="Q669" s="156"/>
    </row>
    <row r="670" spans="1:17" s="85" customFormat="1" x14ac:dyDescent="0.3">
      <c r="A670" s="96"/>
      <c r="B670" s="96"/>
      <c r="C670" s="96"/>
      <c r="D670" s="97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94"/>
      <c r="Q670" s="156"/>
    </row>
    <row r="671" spans="1:17" s="85" customFormat="1" x14ac:dyDescent="0.3">
      <c r="A671" s="96"/>
      <c r="B671" s="96"/>
      <c r="C671" s="96"/>
      <c r="D671" s="97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94"/>
      <c r="Q671" s="156"/>
    </row>
    <row r="672" spans="1:17" s="85" customFormat="1" x14ac:dyDescent="0.3">
      <c r="A672" s="96"/>
      <c r="B672" s="96"/>
      <c r="C672" s="96"/>
      <c r="D672" s="97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94"/>
      <c r="Q672" s="156"/>
    </row>
    <row r="673" spans="1:17" s="85" customFormat="1" x14ac:dyDescent="0.3">
      <c r="A673" s="96"/>
      <c r="B673" s="96"/>
      <c r="C673" s="96"/>
      <c r="D673" s="97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94"/>
      <c r="Q673" s="156"/>
    </row>
    <row r="674" spans="1:17" s="85" customFormat="1" x14ac:dyDescent="0.3">
      <c r="A674" s="96"/>
      <c r="B674" s="96"/>
      <c r="C674" s="96"/>
      <c r="D674" s="97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94"/>
      <c r="Q674" s="156"/>
    </row>
    <row r="675" spans="1:17" s="85" customFormat="1" x14ac:dyDescent="0.3">
      <c r="A675" s="96"/>
      <c r="B675" s="96"/>
      <c r="C675" s="96"/>
      <c r="D675" s="97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94"/>
      <c r="Q675" s="156"/>
    </row>
    <row r="676" spans="1:17" s="85" customFormat="1" x14ac:dyDescent="0.3">
      <c r="A676" s="96"/>
      <c r="B676" s="96"/>
      <c r="C676" s="96"/>
      <c r="D676" s="97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94"/>
      <c r="Q676" s="156"/>
    </row>
    <row r="677" spans="1:17" s="85" customFormat="1" x14ac:dyDescent="0.3">
      <c r="A677" s="96"/>
      <c r="B677" s="96"/>
      <c r="C677" s="96"/>
      <c r="D677" s="97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94"/>
      <c r="Q677" s="156"/>
    </row>
    <row r="678" spans="1:17" s="85" customFormat="1" x14ac:dyDescent="0.3">
      <c r="A678" s="96"/>
      <c r="B678" s="96"/>
      <c r="C678" s="96"/>
      <c r="D678" s="97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94"/>
      <c r="Q678" s="156"/>
    </row>
    <row r="679" spans="1:17" s="85" customFormat="1" x14ac:dyDescent="0.3">
      <c r="A679" s="96"/>
      <c r="B679" s="96"/>
      <c r="C679" s="96"/>
      <c r="D679" s="97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94"/>
      <c r="Q679" s="156"/>
    </row>
    <row r="680" spans="1:17" s="85" customFormat="1" x14ac:dyDescent="0.3">
      <c r="A680" s="96"/>
      <c r="B680" s="96"/>
      <c r="C680" s="96"/>
      <c r="D680" s="97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94"/>
      <c r="Q680" s="156"/>
    </row>
    <row r="681" spans="1:17" s="85" customFormat="1" x14ac:dyDescent="0.3">
      <c r="A681" s="96"/>
      <c r="B681" s="96"/>
      <c r="C681" s="96"/>
      <c r="D681" s="97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94"/>
      <c r="Q681" s="156"/>
    </row>
    <row r="682" spans="1:17" s="85" customFormat="1" x14ac:dyDescent="0.3">
      <c r="A682" s="96"/>
      <c r="B682" s="96"/>
      <c r="C682" s="96"/>
      <c r="D682" s="97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94"/>
      <c r="Q682" s="156"/>
    </row>
    <row r="683" spans="1:17" s="85" customFormat="1" x14ac:dyDescent="0.3">
      <c r="A683" s="96"/>
      <c r="B683" s="96"/>
      <c r="C683" s="96"/>
      <c r="D683" s="97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94"/>
      <c r="Q683" s="156"/>
    </row>
    <row r="684" spans="1:17" s="85" customFormat="1" x14ac:dyDescent="0.3">
      <c r="A684" s="96"/>
      <c r="B684" s="96"/>
      <c r="C684" s="96"/>
      <c r="D684" s="97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94"/>
      <c r="Q684" s="156"/>
    </row>
    <row r="685" spans="1:17" s="85" customFormat="1" x14ac:dyDescent="0.3">
      <c r="A685" s="96"/>
      <c r="B685" s="96"/>
      <c r="C685" s="96"/>
      <c r="D685" s="97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94"/>
      <c r="Q685" s="156"/>
    </row>
    <row r="686" spans="1:17" s="85" customFormat="1" x14ac:dyDescent="0.3">
      <c r="A686" s="96"/>
      <c r="B686" s="96"/>
      <c r="C686" s="96"/>
      <c r="D686" s="97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94"/>
      <c r="Q686" s="156"/>
    </row>
    <row r="687" spans="1:17" s="85" customFormat="1" x14ac:dyDescent="0.3">
      <c r="A687" s="96"/>
      <c r="B687" s="96"/>
      <c r="C687" s="96"/>
      <c r="D687" s="97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94"/>
      <c r="Q687" s="156"/>
    </row>
    <row r="688" spans="1:17" s="85" customFormat="1" x14ac:dyDescent="0.3">
      <c r="A688" s="96"/>
      <c r="B688" s="96"/>
      <c r="C688" s="96"/>
      <c r="D688" s="97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94"/>
      <c r="Q688" s="156"/>
    </row>
    <row r="689" spans="1:17" s="85" customFormat="1" x14ac:dyDescent="0.3">
      <c r="A689" s="96"/>
      <c r="B689" s="96"/>
      <c r="C689" s="96"/>
      <c r="D689" s="97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94"/>
      <c r="Q689" s="156"/>
    </row>
    <row r="690" spans="1:17" s="85" customFormat="1" x14ac:dyDescent="0.3">
      <c r="A690" s="96"/>
      <c r="B690" s="96"/>
      <c r="C690" s="96"/>
      <c r="D690" s="97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94"/>
      <c r="Q690" s="156"/>
    </row>
    <row r="691" spans="1:17" s="85" customFormat="1" x14ac:dyDescent="0.3">
      <c r="A691" s="96"/>
      <c r="B691" s="96"/>
      <c r="C691" s="96"/>
      <c r="D691" s="97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94"/>
      <c r="Q691" s="156"/>
    </row>
    <row r="692" spans="1:17" s="85" customFormat="1" x14ac:dyDescent="0.3">
      <c r="A692" s="96"/>
      <c r="B692" s="96"/>
      <c r="C692" s="96"/>
      <c r="D692" s="97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94"/>
      <c r="Q692" s="156"/>
    </row>
    <row r="693" spans="1:17" s="85" customFormat="1" x14ac:dyDescent="0.3">
      <c r="A693" s="96"/>
      <c r="B693" s="96"/>
      <c r="C693" s="96"/>
      <c r="D693" s="97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94"/>
      <c r="Q693" s="156"/>
    </row>
    <row r="694" spans="1:17" s="85" customFormat="1" x14ac:dyDescent="0.3">
      <c r="A694" s="96"/>
      <c r="B694" s="96"/>
      <c r="C694" s="96"/>
      <c r="D694" s="97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94"/>
      <c r="Q694" s="156"/>
    </row>
    <row r="695" spans="1:17" s="85" customFormat="1" x14ac:dyDescent="0.3">
      <c r="A695" s="96"/>
      <c r="B695" s="96"/>
      <c r="C695" s="96"/>
      <c r="D695" s="97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94"/>
      <c r="Q695" s="156"/>
    </row>
    <row r="696" spans="1:17" s="85" customFormat="1" x14ac:dyDescent="0.3">
      <c r="A696" s="96"/>
      <c r="B696" s="96"/>
      <c r="C696" s="96"/>
      <c r="D696" s="97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94"/>
      <c r="Q696" s="156"/>
    </row>
    <row r="697" spans="1:17" s="85" customFormat="1" x14ac:dyDescent="0.3">
      <c r="A697" s="96"/>
      <c r="B697" s="96"/>
      <c r="C697" s="96"/>
      <c r="D697" s="97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94"/>
      <c r="Q697" s="156"/>
    </row>
    <row r="698" spans="1:17" s="85" customFormat="1" x14ac:dyDescent="0.3">
      <c r="A698" s="96"/>
      <c r="B698" s="96"/>
      <c r="C698" s="96"/>
      <c r="D698" s="97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94"/>
      <c r="Q698" s="156"/>
    </row>
    <row r="699" spans="1:17" s="85" customFormat="1" x14ac:dyDescent="0.3">
      <c r="A699" s="96"/>
      <c r="B699" s="96"/>
      <c r="C699" s="96"/>
      <c r="D699" s="97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94"/>
      <c r="Q699" s="156"/>
    </row>
    <row r="700" spans="1:17" s="85" customFormat="1" x14ac:dyDescent="0.3">
      <c r="A700" s="96"/>
      <c r="B700" s="96"/>
      <c r="C700" s="96"/>
      <c r="D700" s="97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94"/>
      <c r="Q700" s="156"/>
    </row>
    <row r="701" spans="1:17" s="85" customFormat="1" x14ac:dyDescent="0.3">
      <c r="A701" s="96"/>
      <c r="B701" s="96"/>
      <c r="C701" s="96"/>
      <c r="D701" s="97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94"/>
      <c r="Q701" s="156"/>
    </row>
    <row r="702" spans="1:17" s="85" customFormat="1" x14ac:dyDescent="0.3">
      <c r="A702" s="96"/>
      <c r="B702" s="96"/>
      <c r="C702" s="96"/>
      <c r="D702" s="97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94"/>
      <c r="Q702" s="156"/>
    </row>
    <row r="703" spans="1:17" s="85" customFormat="1" x14ac:dyDescent="0.3">
      <c r="A703" s="96"/>
      <c r="B703" s="96"/>
      <c r="C703" s="96"/>
      <c r="D703" s="97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94"/>
      <c r="Q703" s="156"/>
    </row>
    <row r="704" spans="1:17" s="85" customFormat="1" x14ac:dyDescent="0.3">
      <c r="A704" s="96"/>
      <c r="B704" s="96"/>
      <c r="C704" s="96"/>
      <c r="D704" s="97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94"/>
      <c r="Q704" s="156"/>
    </row>
    <row r="705" spans="1:17" s="85" customFormat="1" x14ac:dyDescent="0.3">
      <c r="A705" s="96"/>
      <c r="B705" s="96"/>
      <c r="C705" s="96"/>
      <c r="D705" s="97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94"/>
      <c r="Q705" s="156"/>
    </row>
    <row r="706" spans="1:17" s="85" customFormat="1" x14ac:dyDescent="0.3">
      <c r="A706" s="96"/>
      <c r="B706" s="96"/>
      <c r="C706" s="96"/>
      <c r="D706" s="97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94"/>
      <c r="Q706" s="156"/>
    </row>
    <row r="707" spans="1:17" s="85" customFormat="1" x14ac:dyDescent="0.3">
      <c r="A707" s="96"/>
      <c r="B707" s="96"/>
      <c r="C707" s="96"/>
      <c r="D707" s="97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94"/>
      <c r="Q707" s="156"/>
    </row>
    <row r="708" spans="1:17" s="85" customFormat="1" x14ac:dyDescent="0.3">
      <c r="A708" s="96"/>
      <c r="B708" s="96"/>
      <c r="C708" s="96"/>
      <c r="D708" s="97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94"/>
      <c r="Q708" s="156"/>
    </row>
    <row r="709" spans="1:17" s="85" customFormat="1" x14ac:dyDescent="0.3">
      <c r="A709" s="96"/>
      <c r="B709" s="96"/>
      <c r="C709" s="96"/>
      <c r="D709" s="97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94"/>
      <c r="Q709" s="156"/>
    </row>
    <row r="710" spans="1:17" s="85" customFormat="1" x14ac:dyDescent="0.3">
      <c r="A710" s="96"/>
      <c r="B710" s="96"/>
      <c r="C710" s="96"/>
      <c r="D710" s="97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94"/>
      <c r="Q710" s="156"/>
    </row>
    <row r="711" spans="1:17" s="85" customFormat="1" x14ac:dyDescent="0.3">
      <c r="A711" s="96"/>
      <c r="B711" s="96"/>
      <c r="C711" s="96"/>
      <c r="D711" s="97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94"/>
      <c r="Q711" s="156"/>
    </row>
    <row r="712" spans="1:17" s="85" customFormat="1" x14ac:dyDescent="0.3">
      <c r="A712" s="96"/>
      <c r="B712" s="96"/>
      <c r="C712" s="96"/>
      <c r="D712" s="97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94"/>
      <c r="Q712" s="156"/>
    </row>
    <row r="713" spans="1:17" s="85" customFormat="1" x14ac:dyDescent="0.3">
      <c r="A713" s="96"/>
      <c r="B713" s="96"/>
      <c r="C713" s="96"/>
      <c r="D713" s="97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94"/>
      <c r="Q713" s="156"/>
    </row>
    <row r="714" spans="1:17" s="85" customFormat="1" x14ac:dyDescent="0.3">
      <c r="A714" s="96"/>
      <c r="B714" s="96"/>
      <c r="C714" s="96"/>
      <c r="D714" s="97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94"/>
      <c r="Q714" s="156"/>
    </row>
    <row r="715" spans="1:17" s="85" customFormat="1" x14ac:dyDescent="0.3">
      <c r="A715" s="96"/>
      <c r="B715" s="96"/>
      <c r="C715" s="96"/>
      <c r="D715" s="97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94"/>
      <c r="Q715" s="156"/>
    </row>
    <row r="716" spans="1:17" s="85" customFormat="1" x14ac:dyDescent="0.3">
      <c r="A716" s="96"/>
      <c r="B716" s="96"/>
      <c r="C716" s="96"/>
      <c r="D716" s="97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94"/>
      <c r="Q716" s="156"/>
    </row>
    <row r="717" spans="1:17" s="85" customFormat="1" x14ac:dyDescent="0.3">
      <c r="A717" s="96"/>
      <c r="B717" s="96"/>
      <c r="C717" s="96"/>
      <c r="D717" s="97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94"/>
      <c r="Q717" s="156"/>
    </row>
    <row r="718" spans="1:17" s="85" customFormat="1" x14ac:dyDescent="0.3">
      <c r="A718" s="96"/>
      <c r="B718" s="96"/>
      <c r="C718" s="96"/>
      <c r="D718" s="97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94"/>
      <c r="Q718" s="156"/>
    </row>
    <row r="719" spans="1:17" s="85" customFormat="1" x14ac:dyDescent="0.3">
      <c r="A719" s="96"/>
      <c r="B719" s="96"/>
      <c r="C719" s="96"/>
      <c r="D719" s="97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94"/>
      <c r="Q719" s="156"/>
    </row>
    <row r="720" spans="1:17" s="85" customFormat="1" x14ac:dyDescent="0.3">
      <c r="A720" s="96"/>
      <c r="B720" s="96"/>
      <c r="C720" s="96"/>
      <c r="D720" s="97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94"/>
      <c r="Q720" s="156"/>
    </row>
    <row r="721" spans="1:17" s="85" customFormat="1" x14ac:dyDescent="0.3">
      <c r="A721" s="96"/>
      <c r="B721" s="96"/>
      <c r="C721" s="96"/>
      <c r="D721" s="97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94"/>
      <c r="Q721" s="156"/>
    </row>
    <row r="722" spans="1:17" s="85" customFormat="1" x14ac:dyDescent="0.3">
      <c r="A722" s="96"/>
      <c r="B722" s="96"/>
      <c r="C722" s="96"/>
      <c r="D722" s="97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94"/>
      <c r="Q722" s="156"/>
    </row>
    <row r="723" spans="1:17" s="85" customFormat="1" x14ac:dyDescent="0.3">
      <c r="A723" s="96"/>
      <c r="B723" s="96"/>
      <c r="C723" s="96"/>
      <c r="D723" s="97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94"/>
      <c r="Q723" s="156"/>
    </row>
    <row r="724" spans="1:17" s="85" customFormat="1" x14ac:dyDescent="0.3">
      <c r="A724" s="96"/>
      <c r="B724" s="96"/>
      <c r="C724" s="96"/>
      <c r="D724" s="97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94"/>
      <c r="Q724" s="156"/>
    </row>
    <row r="725" spans="1:17" s="85" customFormat="1" x14ac:dyDescent="0.3">
      <c r="A725" s="96"/>
      <c r="B725" s="96"/>
      <c r="C725" s="96"/>
      <c r="D725" s="97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94"/>
      <c r="Q725" s="156"/>
    </row>
    <row r="726" spans="1:17" s="85" customFormat="1" x14ac:dyDescent="0.3">
      <c r="A726" s="96"/>
      <c r="B726" s="96"/>
      <c r="C726" s="96"/>
      <c r="D726" s="97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94"/>
      <c r="Q726" s="156"/>
    </row>
    <row r="727" spans="1:17" s="85" customFormat="1" x14ac:dyDescent="0.3">
      <c r="A727" s="96"/>
      <c r="B727" s="96"/>
      <c r="C727" s="96"/>
      <c r="D727" s="97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94"/>
      <c r="Q727" s="156"/>
    </row>
    <row r="728" spans="1:17" s="85" customFormat="1" x14ac:dyDescent="0.3">
      <c r="A728" s="96"/>
      <c r="B728" s="96"/>
      <c r="C728" s="96"/>
      <c r="D728" s="97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94"/>
      <c r="Q728" s="156"/>
    </row>
    <row r="729" spans="1:17" s="85" customFormat="1" x14ac:dyDescent="0.3">
      <c r="A729" s="96"/>
      <c r="B729" s="96"/>
      <c r="C729" s="96"/>
      <c r="D729" s="97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94"/>
      <c r="Q729" s="156"/>
    </row>
    <row r="730" spans="1:17" s="85" customFormat="1" x14ac:dyDescent="0.3">
      <c r="A730" s="96"/>
      <c r="B730" s="96"/>
      <c r="C730" s="96"/>
      <c r="D730" s="97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94"/>
      <c r="Q730" s="156"/>
    </row>
    <row r="731" spans="1:17" s="85" customFormat="1" x14ac:dyDescent="0.3">
      <c r="A731" s="96"/>
      <c r="B731" s="96"/>
      <c r="C731" s="96"/>
      <c r="D731" s="97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94"/>
      <c r="Q731" s="156"/>
    </row>
    <row r="732" spans="1:17" s="85" customFormat="1" x14ac:dyDescent="0.3">
      <c r="A732" s="96"/>
      <c r="B732" s="96"/>
      <c r="C732" s="96"/>
      <c r="D732" s="97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94"/>
      <c r="Q732" s="156"/>
    </row>
    <row r="733" spans="1:17" s="85" customFormat="1" x14ac:dyDescent="0.3">
      <c r="A733" s="96"/>
      <c r="B733" s="96"/>
      <c r="C733" s="96"/>
      <c r="D733" s="97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94"/>
      <c r="Q733" s="156"/>
    </row>
    <row r="734" spans="1:17" s="85" customFormat="1" x14ac:dyDescent="0.3">
      <c r="A734" s="96"/>
      <c r="B734" s="96"/>
      <c r="C734" s="96"/>
      <c r="D734" s="97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94"/>
      <c r="Q734" s="156"/>
    </row>
    <row r="735" spans="1:17" s="85" customFormat="1" x14ac:dyDescent="0.3">
      <c r="A735" s="96"/>
      <c r="B735" s="96"/>
      <c r="C735" s="96"/>
      <c r="D735" s="97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94"/>
      <c r="Q735" s="156"/>
    </row>
    <row r="736" spans="1:17" s="85" customFormat="1" x14ac:dyDescent="0.3">
      <c r="A736" s="96"/>
      <c r="B736" s="96"/>
      <c r="C736" s="96"/>
      <c r="D736" s="97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94"/>
      <c r="Q736" s="156"/>
    </row>
    <row r="737" spans="1:17" s="85" customFormat="1" x14ac:dyDescent="0.3">
      <c r="A737" s="96"/>
      <c r="B737" s="96"/>
      <c r="C737" s="96"/>
      <c r="D737" s="97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94"/>
      <c r="Q737" s="156"/>
    </row>
    <row r="738" spans="1:17" s="85" customFormat="1" x14ac:dyDescent="0.3">
      <c r="A738" s="96"/>
      <c r="B738" s="96"/>
      <c r="C738" s="96"/>
      <c r="D738" s="97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94"/>
      <c r="Q738" s="156"/>
    </row>
    <row r="739" spans="1:17" s="85" customFormat="1" x14ac:dyDescent="0.3">
      <c r="A739" s="96"/>
      <c r="B739" s="96"/>
      <c r="C739" s="96"/>
      <c r="D739" s="97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94"/>
      <c r="Q739" s="156"/>
    </row>
    <row r="740" spans="1:17" s="85" customFormat="1" x14ac:dyDescent="0.3">
      <c r="A740" s="96"/>
      <c r="B740" s="96"/>
      <c r="C740" s="96"/>
      <c r="D740" s="97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94"/>
      <c r="Q740" s="156"/>
    </row>
    <row r="741" spans="1:17" s="85" customFormat="1" x14ac:dyDescent="0.3">
      <c r="A741" s="96"/>
      <c r="B741" s="96"/>
      <c r="C741" s="96"/>
      <c r="D741" s="97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94"/>
      <c r="Q741" s="156"/>
    </row>
    <row r="742" spans="1:17" s="85" customFormat="1" x14ac:dyDescent="0.3">
      <c r="A742" s="96"/>
      <c r="B742" s="96"/>
      <c r="C742" s="96"/>
      <c r="D742" s="97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94"/>
      <c r="Q742" s="156"/>
    </row>
    <row r="743" spans="1:17" s="85" customFormat="1" x14ac:dyDescent="0.3">
      <c r="A743" s="96"/>
      <c r="B743" s="96"/>
      <c r="C743" s="96"/>
      <c r="D743" s="97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94"/>
      <c r="Q743" s="156"/>
    </row>
    <row r="744" spans="1:17" s="85" customFormat="1" x14ac:dyDescent="0.3">
      <c r="A744" s="96"/>
      <c r="B744" s="96"/>
      <c r="C744" s="96"/>
      <c r="D744" s="97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94"/>
      <c r="Q744" s="156"/>
    </row>
    <row r="745" spans="1:17" s="85" customFormat="1" x14ac:dyDescent="0.3">
      <c r="A745" s="96"/>
      <c r="B745" s="96"/>
      <c r="C745" s="96"/>
      <c r="D745" s="97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94"/>
      <c r="Q745" s="156"/>
    </row>
    <row r="746" spans="1:17" s="85" customFormat="1" x14ac:dyDescent="0.3">
      <c r="A746" s="96"/>
      <c r="B746" s="96"/>
      <c r="C746" s="96"/>
      <c r="D746" s="97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94"/>
      <c r="Q746" s="156"/>
    </row>
    <row r="747" spans="1:17" s="85" customFormat="1" x14ac:dyDescent="0.3">
      <c r="A747" s="96"/>
      <c r="B747" s="96"/>
      <c r="C747" s="96"/>
      <c r="D747" s="97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94"/>
      <c r="Q747" s="156"/>
    </row>
    <row r="748" spans="1:17" s="85" customFormat="1" x14ac:dyDescent="0.3">
      <c r="A748" s="96"/>
      <c r="B748" s="96"/>
      <c r="C748" s="96"/>
      <c r="D748" s="97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94"/>
      <c r="Q748" s="156"/>
    </row>
    <row r="749" spans="1:17" s="85" customFormat="1" x14ac:dyDescent="0.3">
      <c r="A749" s="96"/>
      <c r="B749" s="96"/>
      <c r="C749" s="96"/>
      <c r="D749" s="97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94"/>
      <c r="Q749" s="156"/>
    </row>
    <row r="750" spans="1:17" s="85" customFormat="1" x14ac:dyDescent="0.3">
      <c r="A750" s="96"/>
      <c r="B750" s="96"/>
      <c r="C750" s="96"/>
      <c r="D750" s="97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94"/>
      <c r="Q750" s="156"/>
    </row>
    <row r="751" spans="1:17" s="85" customFormat="1" x14ac:dyDescent="0.3">
      <c r="A751" s="96"/>
      <c r="B751" s="96"/>
      <c r="C751" s="96"/>
      <c r="D751" s="97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94"/>
      <c r="Q751" s="156"/>
    </row>
    <row r="752" spans="1:17" s="85" customFormat="1" x14ac:dyDescent="0.3">
      <c r="A752" s="96"/>
      <c r="B752" s="96"/>
      <c r="C752" s="96"/>
      <c r="D752" s="97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94"/>
      <c r="Q752" s="156"/>
    </row>
    <row r="753" spans="1:17" s="85" customFormat="1" x14ac:dyDescent="0.3">
      <c r="A753" s="96"/>
      <c r="B753" s="96"/>
      <c r="C753" s="96"/>
      <c r="D753" s="97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94"/>
      <c r="Q753" s="156"/>
    </row>
    <row r="754" spans="1:17" s="85" customFormat="1" x14ac:dyDescent="0.3">
      <c r="A754" s="96"/>
      <c r="B754" s="96"/>
      <c r="C754" s="96"/>
      <c r="D754" s="97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94"/>
      <c r="Q754" s="156"/>
    </row>
    <row r="755" spans="1:17" s="85" customFormat="1" x14ac:dyDescent="0.3">
      <c r="A755" s="96"/>
      <c r="B755" s="96"/>
      <c r="C755" s="96"/>
      <c r="D755" s="97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94"/>
      <c r="Q755" s="156"/>
    </row>
    <row r="756" spans="1:17" s="85" customFormat="1" x14ac:dyDescent="0.3">
      <c r="A756" s="96"/>
      <c r="B756" s="96"/>
      <c r="C756" s="96"/>
      <c r="D756" s="97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94"/>
      <c r="Q756" s="156"/>
    </row>
    <row r="757" spans="1:17" s="85" customFormat="1" x14ac:dyDescent="0.3">
      <c r="A757" s="96"/>
      <c r="B757" s="96"/>
      <c r="C757" s="96"/>
      <c r="D757" s="97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94"/>
      <c r="Q757" s="156"/>
    </row>
    <row r="758" spans="1:17" s="85" customFormat="1" x14ac:dyDescent="0.3">
      <c r="A758" s="96"/>
      <c r="B758" s="96"/>
      <c r="C758" s="96"/>
      <c r="D758" s="97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94"/>
      <c r="Q758" s="156"/>
    </row>
    <row r="759" spans="1:17" s="85" customFormat="1" x14ac:dyDescent="0.3">
      <c r="A759" s="96"/>
      <c r="B759" s="96"/>
      <c r="C759" s="96"/>
      <c r="D759" s="97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94"/>
      <c r="Q759" s="156"/>
    </row>
    <row r="760" spans="1:17" s="85" customFormat="1" x14ac:dyDescent="0.3">
      <c r="A760" s="96"/>
      <c r="B760" s="96"/>
      <c r="C760" s="96"/>
      <c r="D760" s="97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94"/>
      <c r="Q760" s="156"/>
    </row>
    <row r="761" spans="1:17" s="85" customFormat="1" x14ac:dyDescent="0.3">
      <c r="A761" s="96"/>
      <c r="B761" s="96"/>
      <c r="C761" s="96"/>
      <c r="D761" s="97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94"/>
      <c r="Q761" s="156"/>
    </row>
    <row r="762" spans="1:17" s="85" customFormat="1" x14ac:dyDescent="0.3">
      <c r="A762" s="96"/>
      <c r="B762" s="96"/>
      <c r="C762" s="96"/>
      <c r="D762" s="97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94"/>
      <c r="Q762" s="156"/>
    </row>
    <row r="763" spans="1:17" s="85" customFormat="1" x14ac:dyDescent="0.3">
      <c r="A763" s="96"/>
      <c r="B763" s="96"/>
      <c r="C763" s="96"/>
      <c r="D763" s="97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94"/>
      <c r="Q763" s="156"/>
    </row>
    <row r="764" spans="1:17" s="85" customFormat="1" x14ac:dyDescent="0.3">
      <c r="A764" s="96"/>
      <c r="B764" s="96"/>
      <c r="C764" s="96"/>
      <c r="D764" s="97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94"/>
      <c r="Q764" s="156"/>
    </row>
    <row r="765" spans="1:17" s="85" customFormat="1" x14ac:dyDescent="0.3">
      <c r="A765" s="96"/>
      <c r="B765" s="96"/>
      <c r="C765" s="96"/>
      <c r="D765" s="97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94"/>
      <c r="Q765" s="156"/>
    </row>
    <row r="766" spans="1:17" s="85" customFormat="1" x14ac:dyDescent="0.3">
      <c r="A766" s="96"/>
      <c r="B766" s="96"/>
      <c r="C766" s="96"/>
      <c r="D766" s="97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94"/>
      <c r="Q766" s="156"/>
    </row>
    <row r="767" spans="1:17" s="85" customFormat="1" x14ac:dyDescent="0.3">
      <c r="A767" s="96"/>
      <c r="B767" s="96"/>
      <c r="C767" s="96"/>
      <c r="D767" s="97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94"/>
      <c r="Q767" s="156"/>
    </row>
    <row r="768" spans="1:17" s="85" customFormat="1" x14ac:dyDescent="0.3">
      <c r="A768" s="96"/>
      <c r="B768" s="96"/>
      <c r="C768" s="96"/>
      <c r="D768" s="97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94"/>
      <c r="Q768" s="156"/>
    </row>
    <row r="769" spans="1:17" s="85" customFormat="1" x14ac:dyDescent="0.3">
      <c r="A769" s="96"/>
      <c r="B769" s="96"/>
      <c r="C769" s="96"/>
      <c r="D769" s="97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94"/>
      <c r="Q769" s="156"/>
    </row>
    <row r="770" spans="1:17" s="85" customFormat="1" x14ac:dyDescent="0.3">
      <c r="A770" s="96"/>
      <c r="B770" s="96"/>
      <c r="C770" s="96"/>
      <c r="D770" s="97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94"/>
      <c r="Q770" s="156"/>
    </row>
    <row r="771" spans="1:17" s="85" customFormat="1" x14ac:dyDescent="0.3">
      <c r="A771" s="96"/>
      <c r="B771" s="96"/>
      <c r="C771" s="96"/>
      <c r="D771" s="97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94"/>
      <c r="Q771" s="156"/>
    </row>
    <row r="772" spans="1:17" s="85" customFormat="1" x14ac:dyDescent="0.3">
      <c r="A772" s="96"/>
      <c r="B772" s="96"/>
      <c r="C772" s="96"/>
      <c r="D772" s="97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94"/>
      <c r="Q772" s="156"/>
    </row>
    <row r="773" spans="1:17" s="85" customFormat="1" x14ac:dyDescent="0.3">
      <c r="A773" s="96"/>
      <c r="B773" s="96"/>
      <c r="C773" s="96"/>
      <c r="D773" s="97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94"/>
      <c r="Q773" s="156"/>
    </row>
    <row r="774" spans="1:17" s="85" customFormat="1" x14ac:dyDescent="0.3">
      <c r="A774" s="96"/>
      <c r="B774" s="96"/>
      <c r="C774" s="96"/>
      <c r="D774" s="97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94"/>
      <c r="Q774" s="156"/>
    </row>
    <row r="775" spans="1:17" s="85" customFormat="1" x14ac:dyDescent="0.3">
      <c r="A775" s="96"/>
      <c r="B775" s="96"/>
      <c r="C775" s="96"/>
      <c r="D775" s="97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94"/>
      <c r="Q775" s="156"/>
    </row>
    <row r="776" spans="1:17" s="85" customFormat="1" x14ac:dyDescent="0.3">
      <c r="A776" s="96"/>
      <c r="B776" s="96"/>
      <c r="C776" s="96"/>
      <c r="D776" s="97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94"/>
      <c r="Q776" s="156"/>
    </row>
    <row r="777" spans="1:17" s="85" customFormat="1" x14ac:dyDescent="0.3">
      <c r="A777" s="96"/>
      <c r="B777" s="96"/>
      <c r="C777" s="96"/>
      <c r="D777" s="97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94"/>
      <c r="Q777" s="156"/>
    </row>
    <row r="778" spans="1:17" s="85" customFormat="1" x14ac:dyDescent="0.3">
      <c r="A778" s="96"/>
      <c r="B778" s="96"/>
      <c r="C778" s="96"/>
      <c r="D778" s="97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94"/>
      <c r="Q778" s="156"/>
    </row>
    <row r="779" spans="1:17" s="85" customFormat="1" x14ac:dyDescent="0.3">
      <c r="A779" s="96"/>
      <c r="B779" s="96"/>
      <c r="C779" s="96"/>
      <c r="D779" s="97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94"/>
      <c r="Q779" s="156"/>
    </row>
    <row r="780" spans="1:17" s="85" customFormat="1" x14ac:dyDescent="0.3">
      <c r="A780" s="96"/>
      <c r="B780" s="96"/>
      <c r="C780" s="96"/>
      <c r="D780" s="97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94"/>
      <c r="Q780" s="156"/>
    </row>
    <row r="781" spans="1:17" s="85" customFormat="1" x14ac:dyDescent="0.3">
      <c r="A781" s="96"/>
      <c r="B781" s="96"/>
      <c r="C781" s="96"/>
      <c r="D781" s="97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94"/>
      <c r="Q781" s="156"/>
    </row>
    <row r="782" spans="1:17" s="85" customFormat="1" x14ac:dyDescent="0.3">
      <c r="A782" s="96"/>
      <c r="B782" s="96"/>
      <c r="C782" s="96"/>
      <c r="D782" s="97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94"/>
      <c r="Q782" s="156"/>
    </row>
    <row r="783" spans="1:17" s="85" customFormat="1" x14ac:dyDescent="0.3">
      <c r="A783" s="96"/>
      <c r="B783" s="96"/>
      <c r="C783" s="96"/>
      <c r="D783" s="97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94"/>
      <c r="Q783" s="156"/>
    </row>
    <row r="784" spans="1:17" s="85" customFormat="1" x14ac:dyDescent="0.3">
      <c r="A784" s="96"/>
      <c r="B784" s="96"/>
      <c r="C784" s="96"/>
      <c r="D784" s="97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94"/>
      <c r="Q784" s="156"/>
    </row>
    <row r="785" spans="1:17" s="85" customFormat="1" x14ac:dyDescent="0.3">
      <c r="A785" s="96"/>
      <c r="B785" s="96"/>
      <c r="C785" s="96"/>
      <c r="D785" s="97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94"/>
      <c r="Q785" s="156"/>
    </row>
    <row r="786" spans="1:17" s="85" customFormat="1" x14ac:dyDescent="0.3">
      <c r="A786" s="96"/>
      <c r="B786" s="96"/>
      <c r="C786" s="96"/>
      <c r="D786" s="97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94"/>
      <c r="Q786" s="156"/>
    </row>
    <row r="787" spans="1:17" s="85" customFormat="1" x14ac:dyDescent="0.3">
      <c r="A787" s="96"/>
      <c r="B787" s="96"/>
      <c r="C787" s="96"/>
      <c r="D787" s="97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94"/>
      <c r="Q787" s="156"/>
    </row>
    <row r="788" spans="1:17" s="85" customFormat="1" x14ac:dyDescent="0.3">
      <c r="A788" s="96"/>
      <c r="B788" s="96"/>
      <c r="C788" s="96"/>
      <c r="D788" s="97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94"/>
      <c r="Q788" s="156"/>
    </row>
    <row r="789" spans="1:17" s="85" customFormat="1" x14ac:dyDescent="0.3">
      <c r="A789" s="96"/>
      <c r="B789" s="96"/>
      <c r="C789" s="96"/>
      <c r="D789" s="97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94"/>
      <c r="Q789" s="156"/>
    </row>
    <row r="790" spans="1:17" s="85" customFormat="1" x14ac:dyDescent="0.3">
      <c r="A790" s="96"/>
      <c r="B790" s="96"/>
      <c r="C790" s="96"/>
      <c r="D790" s="97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94"/>
      <c r="Q790" s="156"/>
    </row>
    <row r="791" spans="1:17" s="85" customFormat="1" x14ac:dyDescent="0.3">
      <c r="A791" s="96"/>
      <c r="B791" s="96"/>
      <c r="C791" s="96"/>
      <c r="D791" s="97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94"/>
      <c r="Q791" s="156"/>
    </row>
    <row r="792" spans="1:17" s="85" customFormat="1" x14ac:dyDescent="0.3">
      <c r="A792" s="96"/>
      <c r="B792" s="96"/>
      <c r="C792" s="96"/>
      <c r="D792" s="97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94"/>
      <c r="Q792" s="156"/>
    </row>
    <row r="793" spans="1:17" s="85" customFormat="1" x14ac:dyDescent="0.3">
      <c r="A793" s="96"/>
      <c r="B793" s="96"/>
      <c r="C793" s="96"/>
      <c r="D793" s="97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94"/>
      <c r="Q793" s="156"/>
    </row>
    <row r="794" spans="1:17" s="85" customFormat="1" x14ac:dyDescent="0.3">
      <c r="A794" s="96"/>
      <c r="B794" s="96"/>
      <c r="C794" s="96"/>
      <c r="D794" s="97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94"/>
      <c r="Q794" s="156"/>
    </row>
    <row r="795" spans="1:17" s="85" customFormat="1" x14ac:dyDescent="0.3">
      <c r="A795" s="96"/>
      <c r="B795" s="96"/>
      <c r="C795" s="96"/>
      <c r="D795" s="97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94"/>
      <c r="Q795" s="156"/>
    </row>
    <row r="796" spans="1:17" s="85" customFormat="1" x14ac:dyDescent="0.3">
      <c r="A796" s="96"/>
      <c r="B796" s="96"/>
      <c r="C796" s="96"/>
      <c r="D796" s="97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94"/>
      <c r="Q796" s="156"/>
    </row>
    <row r="797" spans="1:17" s="85" customFormat="1" x14ac:dyDescent="0.3">
      <c r="A797" s="96"/>
      <c r="B797" s="96"/>
      <c r="C797" s="96"/>
      <c r="D797" s="97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94"/>
      <c r="Q797" s="156"/>
    </row>
    <row r="798" spans="1:17" s="85" customFormat="1" x14ac:dyDescent="0.3">
      <c r="A798" s="96"/>
      <c r="B798" s="96"/>
      <c r="C798" s="96"/>
      <c r="D798" s="97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94"/>
      <c r="Q798" s="156"/>
    </row>
    <row r="799" spans="1:17" s="85" customFormat="1" x14ac:dyDescent="0.3">
      <c r="A799" s="96"/>
      <c r="B799" s="96"/>
      <c r="C799" s="96"/>
      <c r="D799" s="97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94"/>
      <c r="Q799" s="156"/>
    </row>
    <row r="800" spans="1:17" s="85" customFormat="1" x14ac:dyDescent="0.3">
      <c r="A800" s="96"/>
      <c r="B800" s="96"/>
      <c r="C800" s="96"/>
      <c r="D800" s="97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94"/>
      <c r="Q800" s="156"/>
    </row>
    <row r="801" spans="1:17" s="85" customFormat="1" x14ac:dyDescent="0.3">
      <c r="A801" s="96"/>
      <c r="B801" s="96"/>
      <c r="C801" s="96"/>
      <c r="D801" s="97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94"/>
      <c r="Q801" s="156"/>
    </row>
    <row r="802" spans="1:17" s="85" customFormat="1" x14ac:dyDescent="0.3">
      <c r="A802" s="96"/>
      <c r="B802" s="96"/>
      <c r="C802" s="96"/>
      <c r="D802" s="97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94"/>
      <c r="Q802" s="156"/>
    </row>
    <row r="803" spans="1:17" s="85" customFormat="1" x14ac:dyDescent="0.3">
      <c r="A803" s="96"/>
      <c r="B803" s="96"/>
      <c r="C803" s="96"/>
      <c r="D803" s="97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94"/>
      <c r="Q803" s="156"/>
    </row>
    <row r="804" spans="1:17" s="85" customFormat="1" x14ac:dyDescent="0.3">
      <c r="A804" s="96"/>
      <c r="B804" s="96"/>
      <c r="C804" s="96"/>
      <c r="D804" s="97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94"/>
      <c r="Q804" s="156"/>
    </row>
    <row r="805" spans="1:17" s="85" customFormat="1" x14ac:dyDescent="0.3">
      <c r="A805" s="96"/>
      <c r="B805" s="96"/>
      <c r="C805" s="96"/>
      <c r="D805" s="97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94"/>
      <c r="Q805" s="156"/>
    </row>
    <row r="806" spans="1:17" s="85" customFormat="1" x14ac:dyDescent="0.3">
      <c r="A806" s="96"/>
      <c r="B806" s="96"/>
      <c r="C806" s="96"/>
      <c r="D806" s="97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94"/>
      <c r="Q806" s="156"/>
    </row>
    <row r="807" spans="1:17" s="85" customFormat="1" x14ac:dyDescent="0.3">
      <c r="A807" s="96"/>
      <c r="B807" s="96"/>
      <c r="C807" s="96"/>
      <c r="D807" s="97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94"/>
      <c r="Q807" s="156"/>
    </row>
    <row r="808" spans="1:17" s="85" customFormat="1" x14ac:dyDescent="0.3">
      <c r="A808" s="96"/>
      <c r="B808" s="96"/>
      <c r="C808" s="96"/>
      <c r="D808" s="97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94"/>
      <c r="Q808" s="156"/>
    </row>
    <row r="809" spans="1:17" s="85" customFormat="1" x14ac:dyDescent="0.3">
      <c r="A809" s="96"/>
      <c r="B809" s="96"/>
      <c r="C809" s="96"/>
      <c r="D809" s="97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94"/>
      <c r="Q809" s="156"/>
    </row>
    <row r="810" spans="1:17" s="85" customFormat="1" x14ac:dyDescent="0.3">
      <c r="A810" s="96"/>
      <c r="B810" s="96"/>
      <c r="C810" s="96"/>
      <c r="D810" s="97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94"/>
      <c r="Q810" s="156"/>
    </row>
    <row r="811" spans="1:17" s="85" customFormat="1" x14ac:dyDescent="0.3">
      <c r="A811" s="96"/>
      <c r="B811" s="96"/>
      <c r="C811" s="96"/>
      <c r="D811" s="97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94"/>
      <c r="Q811" s="156"/>
    </row>
    <row r="812" spans="1:17" s="85" customFormat="1" x14ac:dyDescent="0.3">
      <c r="A812" s="96"/>
      <c r="B812" s="96"/>
      <c r="C812" s="96"/>
      <c r="D812" s="97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94"/>
      <c r="Q812" s="156"/>
    </row>
    <row r="813" spans="1:17" s="85" customFormat="1" x14ac:dyDescent="0.3">
      <c r="A813" s="96"/>
      <c r="B813" s="96"/>
      <c r="C813" s="96"/>
      <c r="D813" s="97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94"/>
      <c r="Q813" s="156"/>
    </row>
    <row r="814" spans="1:17" s="85" customFormat="1" x14ac:dyDescent="0.3">
      <c r="A814" s="96"/>
      <c r="B814" s="96"/>
      <c r="C814" s="96"/>
      <c r="D814" s="97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94"/>
      <c r="Q814" s="156"/>
    </row>
    <row r="815" spans="1:17" s="85" customFormat="1" x14ac:dyDescent="0.3">
      <c r="A815" s="96"/>
      <c r="B815" s="96"/>
      <c r="C815" s="96"/>
      <c r="D815" s="97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94"/>
      <c r="Q815" s="156"/>
    </row>
    <row r="816" spans="1:17" s="85" customFormat="1" x14ac:dyDescent="0.3">
      <c r="A816" s="96"/>
      <c r="B816" s="96"/>
      <c r="C816" s="96"/>
      <c r="D816" s="97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94"/>
      <c r="Q816" s="156"/>
    </row>
    <row r="817" spans="1:17" s="85" customFormat="1" x14ac:dyDescent="0.3">
      <c r="A817" s="96"/>
      <c r="B817" s="96"/>
      <c r="C817" s="96"/>
      <c r="D817" s="97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94"/>
      <c r="Q817" s="156"/>
    </row>
    <row r="818" spans="1:17" s="85" customFormat="1" x14ac:dyDescent="0.3">
      <c r="A818" s="96"/>
      <c r="B818" s="96"/>
      <c r="C818" s="96"/>
      <c r="D818" s="97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94"/>
      <c r="Q818" s="156"/>
    </row>
    <row r="819" spans="1:17" s="85" customFormat="1" x14ac:dyDescent="0.3">
      <c r="A819" s="96"/>
      <c r="B819" s="96"/>
      <c r="C819" s="96"/>
      <c r="D819" s="97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94"/>
      <c r="Q819" s="156"/>
    </row>
    <row r="820" spans="1:17" s="85" customFormat="1" x14ac:dyDescent="0.3">
      <c r="A820" s="96"/>
      <c r="B820" s="96"/>
      <c r="C820" s="96"/>
      <c r="D820" s="97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94"/>
      <c r="Q820" s="156"/>
    </row>
    <row r="821" spans="1:17" s="85" customFormat="1" x14ac:dyDescent="0.3">
      <c r="A821" s="96"/>
      <c r="B821" s="96"/>
      <c r="C821" s="96"/>
      <c r="D821" s="97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94"/>
      <c r="Q821" s="156"/>
    </row>
    <row r="822" spans="1:17" s="85" customFormat="1" x14ac:dyDescent="0.3">
      <c r="A822" s="96"/>
      <c r="B822" s="96"/>
      <c r="C822" s="96"/>
      <c r="D822" s="97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94"/>
      <c r="Q822" s="156"/>
    </row>
    <row r="823" spans="1:17" s="85" customFormat="1" x14ac:dyDescent="0.3">
      <c r="A823" s="96"/>
      <c r="B823" s="96"/>
      <c r="C823" s="96"/>
      <c r="D823" s="97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94"/>
      <c r="Q823" s="156"/>
    </row>
    <row r="824" spans="1:17" s="85" customFormat="1" x14ac:dyDescent="0.3">
      <c r="A824" s="96"/>
      <c r="B824" s="96"/>
      <c r="C824" s="96"/>
      <c r="D824" s="97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94"/>
      <c r="Q824" s="156"/>
    </row>
    <row r="825" spans="1:17" s="85" customFormat="1" x14ac:dyDescent="0.3">
      <c r="A825" s="96"/>
      <c r="B825" s="96"/>
      <c r="C825" s="96"/>
      <c r="D825" s="97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94"/>
      <c r="Q825" s="156"/>
    </row>
    <row r="826" spans="1:17" s="85" customFormat="1" x14ac:dyDescent="0.3">
      <c r="A826" s="96"/>
      <c r="B826" s="96"/>
      <c r="C826" s="96"/>
      <c r="D826" s="97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94"/>
      <c r="Q826" s="156"/>
    </row>
    <row r="827" spans="1:17" s="85" customFormat="1" x14ac:dyDescent="0.3">
      <c r="A827" s="96"/>
      <c r="B827" s="96"/>
      <c r="C827" s="96"/>
      <c r="D827" s="97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94"/>
      <c r="Q827" s="156"/>
    </row>
    <row r="828" spans="1:17" s="85" customFormat="1" x14ac:dyDescent="0.3">
      <c r="A828" s="96"/>
      <c r="B828" s="96"/>
      <c r="C828" s="96"/>
      <c r="D828" s="97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94"/>
      <c r="Q828" s="156"/>
    </row>
    <row r="829" spans="1:17" s="85" customFormat="1" x14ac:dyDescent="0.3">
      <c r="A829" s="96"/>
      <c r="B829" s="96"/>
      <c r="C829" s="96"/>
      <c r="D829" s="97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94"/>
      <c r="Q829" s="156"/>
    </row>
    <row r="830" spans="1:17" s="85" customFormat="1" x14ac:dyDescent="0.3">
      <c r="A830" s="96"/>
      <c r="B830" s="96"/>
      <c r="C830" s="96"/>
      <c r="D830" s="97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94"/>
      <c r="Q830" s="156"/>
    </row>
    <row r="831" spans="1:17" s="85" customFormat="1" x14ac:dyDescent="0.3">
      <c r="A831" s="96"/>
      <c r="B831" s="96"/>
      <c r="C831" s="96"/>
      <c r="D831" s="97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94"/>
      <c r="Q831" s="156"/>
    </row>
    <row r="832" spans="1:17" s="85" customFormat="1" x14ac:dyDescent="0.3">
      <c r="A832" s="96"/>
      <c r="B832" s="96"/>
      <c r="C832" s="96"/>
      <c r="D832" s="97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94"/>
      <c r="Q832" s="156"/>
    </row>
    <row r="833" spans="1:17" s="85" customFormat="1" x14ac:dyDescent="0.3">
      <c r="A833" s="96"/>
      <c r="B833" s="96"/>
      <c r="C833" s="96"/>
      <c r="D833" s="97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94"/>
      <c r="Q833" s="156"/>
    </row>
    <row r="834" spans="1:17" s="85" customFormat="1" x14ac:dyDescent="0.3">
      <c r="A834" s="96"/>
      <c r="B834" s="96"/>
      <c r="C834" s="96"/>
      <c r="D834" s="97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94"/>
      <c r="Q834" s="156"/>
    </row>
    <row r="835" spans="1:17" s="85" customFormat="1" x14ac:dyDescent="0.3">
      <c r="A835" s="96"/>
      <c r="B835" s="96"/>
      <c r="C835" s="96"/>
      <c r="D835" s="97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94"/>
      <c r="Q835" s="156"/>
    </row>
    <row r="836" spans="1:17" s="85" customFormat="1" x14ac:dyDescent="0.3">
      <c r="A836" s="96"/>
      <c r="B836" s="96"/>
      <c r="C836" s="96"/>
      <c r="D836" s="97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94"/>
      <c r="Q836" s="156"/>
    </row>
    <row r="837" spans="1:17" s="85" customFormat="1" x14ac:dyDescent="0.3">
      <c r="A837" s="96"/>
      <c r="B837" s="96"/>
      <c r="C837" s="96"/>
      <c r="D837" s="97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94"/>
      <c r="Q837" s="156"/>
    </row>
    <row r="838" spans="1:17" s="85" customFormat="1" x14ac:dyDescent="0.3">
      <c r="A838" s="96"/>
      <c r="B838" s="96"/>
      <c r="C838" s="96"/>
      <c r="D838" s="97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94"/>
      <c r="Q838" s="156"/>
    </row>
    <row r="839" spans="1:17" s="85" customFormat="1" x14ac:dyDescent="0.3">
      <c r="A839" s="96"/>
      <c r="B839" s="96"/>
      <c r="C839" s="96"/>
      <c r="D839" s="97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94"/>
      <c r="Q839" s="156"/>
    </row>
    <row r="840" spans="1:17" s="85" customFormat="1" x14ac:dyDescent="0.3">
      <c r="A840" s="96"/>
      <c r="B840" s="96"/>
      <c r="C840" s="96"/>
      <c r="D840" s="97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94"/>
      <c r="Q840" s="156"/>
    </row>
    <row r="841" spans="1:17" s="85" customFormat="1" x14ac:dyDescent="0.3">
      <c r="A841" s="96"/>
      <c r="B841" s="96"/>
      <c r="C841" s="96"/>
      <c r="D841" s="97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94"/>
      <c r="Q841" s="156"/>
    </row>
    <row r="842" spans="1:17" s="85" customFormat="1" x14ac:dyDescent="0.3">
      <c r="A842" s="96"/>
      <c r="B842" s="96"/>
      <c r="C842" s="96"/>
      <c r="D842" s="97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94"/>
      <c r="Q842" s="156"/>
    </row>
    <row r="843" spans="1:17" s="85" customFormat="1" x14ac:dyDescent="0.3">
      <c r="A843" s="96"/>
      <c r="B843" s="96"/>
      <c r="C843" s="96"/>
      <c r="D843" s="97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94"/>
      <c r="Q843" s="156"/>
    </row>
    <row r="844" spans="1:17" s="85" customFormat="1" x14ac:dyDescent="0.3">
      <c r="A844" s="96"/>
      <c r="B844" s="96"/>
      <c r="C844" s="96"/>
      <c r="D844" s="97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94"/>
      <c r="Q844" s="156"/>
    </row>
    <row r="845" spans="1:17" s="85" customFormat="1" x14ac:dyDescent="0.3">
      <c r="A845" s="96"/>
      <c r="B845" s="96"/>
      <c r="C845" s="96"/>
      <c r="D845" s="97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94"/>
      <c r="Q845" s="156"/>
    </row>
    <row r="846" spans="1:17" s="85" customFormat="1" x14ac:dyDescent="0.3">
      <c r="A846" s="96"/>
      <c r="B846" s="96"/>
      <c r="C846" s="96"/>
      <c r="D846" s="97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94"/>
      <c r="Q846" s="156"/>
    </row>
    <row r="847" spans="1:17" s="85" customFormat="1" x14ac:dyDescent="0.3">
      <c r="A847" s="96"/>
      <c r="B847" s="96"/>
      <c r="C847" s="96"/>
      <c r="D847" s="97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94"/>
      <c r="Q847" s="156"/>
    </row>
    <row r="848" spans="1:17" s="85" customFormat="1" x14ac:dyDescent="0.3">
      <c r="A848" s="96"/>
      <c r="B848" s="96"/>
      <c r="C848" s="96"/>
      <c r="D848" s="97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94"/>
      <c r="Q848" s="156"/>
    </row>
    <row r="849" spans="1:17" s="85" customFormat="1" x14ac:dyDescent="0.3">
      <c r="A849" s="96"/>
      <c r="B849" s="96"/>
      <c r="C849" s="96"/>
      <c r="D849" s="97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94"/>
      <c r="Q849" s="156"/>
    </row>
    <row r="850" spans="1:17" s="85" customFormat="1" x14ac:dyDescent="0.3">
      <c r="A850" s="96"/>
      <c r="B850" s="96"/>
      <c r="C850" s="96"/>
      <c r="D850" s="97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94"/>
      <c r="Q850" s="156"/>
    </row>
    <row r="851" spans="1:17" s="85" customFormat="1" x14ac:dyDescent="0.3">
      <c r="A851" s="96"/>
      <c r="B851" s="96"/>
      <c r="C851" s="96"/>
      <c r="D851" s="97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94"/>
      <c r="Q851" s="156"/>
    </row>
    <row r="852" spans="1:17" s="85" customFormat="1" x14ac:dyDescent="0.3">
      <c r="A852" s="96"/>
      <c r="B852" s="96"/>
      <c r="C852" s="96"/>
      <c r="D852" s="97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94"/>
      <c r="Q852" s="156"/>
    </row>
    <row r="853" spans="1:17" s="85" customFormat="1" x14ac:dyDescent="0.3">
      <c r="A853" s="96"/>
      <c r="B853" s="96"/>
      <c r="C853" s="96"/>
      <c r="D853" s="97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94"/>
      <c r="Q853" s="156"/>
    </row>
    <row r="854" spans="1:17" s="85" customFormat="1" x14ac:dyDescent="0.3">
      <c r="A854" s="96"/>
      <c r="B854" s="96"/>
      <c r="C854" s="96"/>
      <c r="D854" s="97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94"/>
      <c r="Q854" s="156"/>
    </row>
    <row r="855" spans="1:17" s="85" customFormat="1" x14ac:dyDescent="0.3">
      <c r="A855" s="96"/>
      <c r="B855" s="96"/>
      <c r="C855" s="96"/>
      <c r="D855" s="97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94"/>
      <c r="Q855" s="156"/>
    </row>
    <row r="856" spans="1:17" s="85" customFormat="1" x14ac:dyDescent="0.3">
      <c r="A856" s="96"/>
      <c r="B856" s="96"/>
      <c r="C856" s="96"/>
      <c r="D856" s="97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94"/>
      <c r="Q856" s="156"/>
    </row>
    <row r="857" spans="1:17" s="85" customFormat="1" x14ac:dyDescent="0.3">
      <c r="A857" s="96"/>
      <c r="B857" s="96"/>
      <c r="C857" s="96"/>
      <c r="D857" s="97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94"/>
      <c r="Q857" s="156"/>
    </row>
    <row r="858" spans="1:17" s="85" customFormat="1" x14ac:dyDescent="0.3">
      <c r="A858" s="96"/>
      <c r="B858" s="96"/>
      <c r="C858" s="96"/>
      <c r="D858" s="97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94"/>
      <c r="Q858" s="156"/>
    </row>
    <row r="859" spans="1:17" s="85" customFormat="1" x14ac:dyDescent="0.3">
      <c r="A859" s="96"/>
      <c r="B859" s="96"/>
      <c r="C859" s="96"/>
      <c r="D859" s="97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94"/>
      <c r="Q859" s="156"/>
    </row>
    <row r="860" spans="1:17" s="85" customFormat="1" x14ac:dyDescent="0.3">
      <c r="A860" s="96"/>
      <c r="B860" s="96"/>
      <c r="C860" s="96"/>
      <c r="D860" s="97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94"/>
      <c r="Q860" s="156"/>
    </row>
    <row r="861" spans="1:17" s="85" customFormat="1" x14ac:dyDescent="0.3">
      <c r="A861" s="96"/>
      <c r="B861" s="96"/>
      <c r="C861" s="96"/>
      <c r="D861" s="97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94"/>
      <c r="Q861" s="156"/>
    </row>
    <row r="862" spans="1:17" s="85" customFormat="1" x14ac:dyDescent="0.3">
      <c r="A862" s="96"/>
      <c r="B862" s="96"/>
      <c r="C862" s="96"/>
      <c r="D862" s="97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94"/>
      <c r="Q862" s="156"/>
    </row>
    <row r="863" spans="1:17" s="85" customFormat="1" x14ac:dyDescent="0.3">
      <c r="A863" s="96"/>
      <c r="B863" s="96"/>
      <c r="C863" s="96"/>
      <c r="D863" s="97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94"/>
      <c r="Q863" s="156"/>
    </row>
    <row r="864" spans="1:17" s="85" customFormat="1" x14ac:dyDescent="0.3">
      <c r="A864" s="96"/>
      <c r="B864" s="96"/>
      <c r="C864" s="96"/>
      <c r="D864" s="97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94"/>
      <c r="Q864" s="156"/>
    </row>
    <row r="865" spans="1:17" s="85" customFormat="1" x14ac:dyDescent="0.3">
      <c r="A865" s="96"/>
      <c r="B865" s="96"/>
      <c r="C865" s="96"/>
      <c r="D865" s="97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94"/>
      <c r="Q865" s="156"/>
    </row>
    <row r="866" spans="1:17" s="85" customFormat="1" x14ac:dyDescent="0.3">
      <c r="A866" s="96"/>
      <c r="B866" s="96"/>
      <c r="C866" s="96"/>
      <c r="D866" s="97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94"/>
      <c r="Q866" s="156"/>
    </row>
    <row r="867" spans="1:17" s="85" customFormat="1" x14ac:dyDescent="0.3">
      <c r="A867" s="96"/>
      <c r="B867" s="96"/>
      <c r="C867" s="96"/>
      <c r="D867" s="97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94"/>
      <c r="Q867" s="156"/>
    </row>
  </sheetData>
  <mergeCells count="19">
    <mergeCell ref="I11:I12"/>
    <mergeCell ref="L11:L12"/>
    <mergeCell ref="F11:F12"/>
    <mergeCell ref="P10:P12"/>
    <mergeCell ref="O11:O12"/>
    <mergeCell ref="J10:O10"/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9"/>
  <sheetViews>
    <sheetView showGridLines="0" showZeros="0" tabSelected="1" view="pageBreakPreview" topLeftCell="D1" zoomScale="80" zoomScaleNormal="80" zoomScaleSheetLayoutView="80" workbookViewId="0">
      <selection activeCell="D242" sqref="D242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6" width="20.5" style="2" customWidth="1"/>
    <col min="7" max="7" width="20.1640625" style="2" customWidth="1"/>
    <col min="8" max="8" width="19.5" style="2" customWidth="1"/>
    <col min="9" max="9" width="20" style="2" customWidth="1"/>
    <col min="10" max="10" width="20.83203125" style="2" customWidth="1"/>
    <col min="11" max="11" width="21" style="2" customWidth="1"/>
    <col min="12" max="12" width="17" style="2" customWidth="1"/>
    <col min="13" max="13" width="16.83203125" style="2" customWidth="1"/>
    <col min="14" max="14" width="21.1640625" style="2" customWidth="1"/>
    <col min="15" max="15" width="22.1640625" style="2" customWidth="1"/>
    <col min="16" max="16" width="10.6640625" style="157" customWidth="1"/>
    <col min="17" max="16384" width="9.1640625" style="2"/>
  </cols>
  <sheetData>
    <row r="1" spans="1:16" ht="26.25" customHeight="1" x14ac:dyDescent="0.25">
      <c r="A1" s="9"/>
      <c r="J1" s="206" t="s">
        <v>610</v>
      </c>
      <c r="K1" s="206"/>
      <c r="L1" s="206"/>
      <c r="M1" s="206"/>
      <c r="N1" s="206"/>
      <c r="O1" s="103"/>
      <c r="P1" s="154"/>
    </row>
    <row r="2" spans="1:16" ht="26.25" customHeight="1" x14ac:dyDescent="0.4">
      <c r="A2" s="9"/>
      <c r="J2" s="150" t="s">
        <v>618</v>
      </c>
      <c r="K2" s="151"/>
      <c r="L2" s="150"/>
      <c r="M2" s="150"/>
      <c r="N2" s="150"/>
      <c r="O2" s="84"/>
      <c r="P2" s="154"/>
    </row>
    <row r="3" spans="1:16" ht="26.25" customHeight="1" x14ac:dyDescent="0.4">
      <c r="A3" s="9"/>
      <c r="J3" s="195" t="s">
        <v>619</v>
      </c>
      <c r="K3" s="195"/>
      <c r="L3" s="195"/>
      <c r="M3" s="195"/>
      <c r="N3" s="195"/>
      <c r="O3" s="128"/>
      <c r="P3" s="154"/>
    </row>
    <row r="4" spans="1:16" ht="26.25" customHeight="1" x14ac:dyDescent="0.4">
      <c r="A4" s="9"/>
      <c r="J4" s="151" t="s">
        <v>613</v>
      </c>
      <c r="K4" s="150"/>
      <c r="L4" s="150"/>
      <c r="M4" s="150"/>
      <c r="N4" s="150"/>
      <c r="O4" s="103"/>
      <c r="P4" s="154"/>
    </row>
    <row r="5" spans="1:16" ht="26.25" customHeight="1" x14ac:dyDescent="0.4">
      <c r="A5" s="9"/>
      <c r="J5" s="151" t="s">
        <v>617</v>
      </c>
      <c r="K5" s="162"/>
      <c r="L5" s="162"/>
      <c r="M5" s="162"/>
      <c r="N5" s="162"/>
      <c r="O5" s="83"/>
      <c r="P5" s="154"/>
    </row>
    <row r="6" spans="1:16" ht="15.75" x14ac:dyDescent="0.25">
      <c r="A6" s="9"/>
      <c r="P6" s="154"/>
    </row>
    <row r="7" spans="1:16" ht="60.75" customHeight="1" x14ac:dyDescent="0.25">
      <c r="A7" s="207" t="s">
        <v>554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154"/>
    </row>
    <row r="8" spans="1:16" s="44" customFormat="1" ht="24" customHeight="1" x14ac:dyDescent="0.4">
      <c r="A8" s="41"/>
      <c r="B8" s="42"/>
      <c r="C8" s="43"/>
      <c r="O8" s="153" t="s">
        <v>303</v>
      </c>
      <c r="P8" s="154"/>
    </row>
    <row r="9" spans="1:16" s="12" customFormat="1" ht="21.75" customHeight="1" x14ac:dyDescent="0.25">
      <c r="A9" s="202" t="s">
        <v>559</v>
      </c>
      <c r="B9" s="202" t="s">
        <v>560</v>
      </c>
      <c r="C9" s="202" t="s">
        <v>563</v>
      </c>
      <c r="D9" s="202" t="s">
        <v>295</v>
      </c>
      <c r="E9" s="202"/>
      <c r="F9" s="202"/>
      <c r="G9" s="202"/>
      <c r="H9" s="202"/>
      <c r="I9" s="203" t="s">
        <v>296</v>
      </c>
      <c r="J9" s="204"/>
      <c r="K9" s="204"/>
      <c r="L9" s="204"/>
      <c r="M9" s="204"/>
      <c r="N9" s="205"/>
      <c r="O9" s="202" t="s">
        <v>297</v>
      </c>
      <c r="P9" s="154"/>
    </row>
    <row r="10" spans="1:16" s="12" customFormat="1" ht="29.25" customHeight="1" x14ac:dyDescent="0.25">
      <c r="A10" s="202"/>
      <c r="B10" s="202"/>
      <c r="C10" s="202"/>
      <c r="D10" s="202" t="s">
        <v>561</v>
      </c>
      <c r="E10" s="202" t="s">
        <v>298</v>
      </c>
      <c r="F10" s="204" t="s">
        <v>299</v>
      </c>
      <c r="G10" s="205"/>
      <c r="H10" s="202" t="s">
        <v>300</v>
      </c>
      <c r="I10" s="202" t="s">
        <v>561</v>
      </c>
      <c r="J10" s="208" t="s">
        <v>562</v>
      </c>
      <c r="K10" s="202" t="s">
        <v>298</v>
      </c>
      <c r="L10" s="202" t="s">
        <v>299</v>
      </c>
      <c r="M10" s="202"/>
      <c r="N10" s="202" t="s">
        <v>300</v>
      </c>
      <c r="O10" s="202"/>
      <c r="P10" s="154"/>
    </row>
    <row r="11" spans="1:16" s="12" customFormat="1" ht="75.75" customHeight="1" x14ac:dyDescent="0.25">
      <c r="A11" s="202"/>
      <c r="B11" s="202"/>
      <c r="C11" s="202"/>
      <c r="D11" s="202"/>
      <c r="E11" s="202"/>
      <c r="F11" s="176" t="s">
        <v>301</v>
      </c>
      <c r="G11" s="176" t="s">
        <v>302</v>
      </c>
      <c r="H11" s="202"/>
      <c r="I11" s="202"/>
      <c r="J11" s="209"/>
      <c r="K11" s="202"/>
      <c r="L11" s="176" t="s">
        <v>301</v>
      </c>
      <c r="M11" s="176" t="s">
        <v>302</v>
      </c>
      <c r="N11" s="202"/>
      <c r="O11" s="202"/>
      <c r="P11" s="154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6">
        <f>D13+D14</f>
        <v>222098789.49000001</v>
      </c>
      <c r="E12" s="136">
        <f t="shared" ref="E12:O12" si="0">E13+E14</f>
        <v>222098789.49000001</v>
      </c>
      <c r="F12" s="136">
        <f t="shared" si="0"/>
        <v>168575000.63</v>
      </c>
      <c r="G12" s="136">
        <f t="shared" si="0"/>
        <v>4476008</v>
      </c>
      <c r="H12" s="136">
        <f t="shared" si="0"/>
        <v>0</v>
      </c>
      <c r="I12" s="136">
        <f t="shared" si="0"/>
        <v>7598858</v>
      </c>
      <c r="J12" s="136">
        <f t="shared" ref="J12" si="1">J13+J14</f>
        <v>4598858</v>
      </c>
      <c r="K12" s="136">
        <f t="shared" si="0"/>
        <v>3000000</v>
      </c>
      <c r="L12" s="136">
        <f t="shared" si="0"/>
        <v>2217000</v>
      </c>
      <c r="M12" s="136">
        <f t="shared" si="0"/>
        <v>90900</v>
      </c>
      <c r="N12" s="136">
        <f t="shared" si="0"/>
        <v>4598858</v>
      </c>
      <c r="O12" s="136">
        <f t="shared" si="0"/>
        <v>229697647.49000001</v>
      </c>
      <c r="P12" s="154"/>
    </row>
    <row r="13" spans="1:16" ht="57.75" customHeight="1" x14ac:dyDescent="0.25">
      <c r="A13" s="113" t="s">
        <v>152</v>
      </c>
      <c r="B13" s="113" t="s">
        <v>69</v>
      </c>
      <c r="C13" s="10" t="s">
        <v>153</v>
      </c>
      <c r="D13" s="137">
        <f>'дод 1'!E15+'дод 1'!E54+'дод 1'!E85+'дод 1'!E119+'дод 1'!E196+'дод 1'!E204+'дод 1'!E215+'дод 1'!E245+'дод 1'!E250+'дод 1'!E278+'дод 1'!E285+'дод 1'!E288+'дод 1'!E302+'дод 1'!E298</f>
        <v>221795489.49000001</v>
      </c>
      <c r="E13" s="137">
        <f>'дод 1'!F15+'дод 1'!F54+'дод 1'!F85+'дод 1'!F119+'дод 1'!F196+'дод 1'!F204+'дод 1'!F215+'дод 1'!F245+'дод 1'!F250+'дод 1'!F278+'дод 1'!F285+'дод 1'!F288+'дод 1'!F302+'дод 1'!F298</f>
        <v>221795489.49000001</v>
      </c>
      <c r="F13" s="137">
        <f>'дод 1'!G15+'дод 1'!G54+'дод 1'!G85+'дод 1'!G119+'дод 1'!G196+'дод 1'!G204+'дод 1'!G215+'дод 1'!G245+'дод 1'!G250+'дод 1'!G278+'дод 1'!G285+'дод 1'!G288+'дод 1'!G302+'дод 1'!G298</f>
        <v>168575000.63</v>
      </c>
      <c r="G13" s="137">
        <f>'дод 1'!H15+'дод 1'!H54+'дод 1'!H85+'дод 1'!H119+'дод 1'!H196+'дод 1'!H204+'дод 1'!H215+'дод 1'!H245+'дод 1'!H250+'дод 1'!H278+'дод 1'!H285+'дод 1'!H288+'дод 1'!H302+'дод 1'!H298</f>
        <v>4476008</v>
      </c>
      <c r="H13" s="137">
        <f>'дод 1'!I15+'дод 1'!I54+'дод 1'!I85+'дод 1'!I119+'дод 1'!I196+'дод 1'!I204+'дод 1'!I215+'дод 1'!I245+'дод 1'!I250+'дод 1'!I278+'дод 1'!I285+'дод 1'!I288+'дод 1'!I302+'дод 1'!I298</f>
        <v>0</v>
      </c>
      <c r="I13" s="137">
        <f>'дод 1'!J15+'дод 1'!J54+'дод 1'!J85+'дод 1'!J119+'дод 1'!J196+'дод 1'!J204+'дод 1'!J215+'дод 1'!J245+'дод 1'!J250+'дод 1'!J278+'дод 1'!J285+'дод 1'!J288+'дод 1'!J302+'дод 1'!J298</f>
        <v>7598858</v>
      </c>
      <c r="J13" s="137">
        <f>'дод 1'!K15+'дод 1'!K54+'дод 1'!K85+'дод 1'!K119+'дод 1'!K196+'дод 1'!K204+'дод 1'!K215+'дод 1'!K245+'дод 1'!K250+'дод 1'!K278+'дод 1'!K285+'дод 1'!K288+'дод 1'!K302+'дод 1'!K298</f>
        <v>4598858</v>
      </c>
      <c r="K13" s="137">
        <f>'дод 1'!L15+'дод 1'!L54+'дод 1'!L85+'дод 1'!L119+'дод 1'!L196+'дод 1'!L204+'дод 1'!L215+'дод 1'!L245+'дод 1'!L250+'дод 1'!L278+'дод 1'!L285+'дод 1'!L288+'дод 1'!L302+'дод 1'!L298</f>
        <v>3000000</v>
      </c>
      <c r="L13" s="137">
        <f>'дод 1'!M15+'дод 1'!M54+'дод 1'!M85+'дод 1'!M119+'дод 1'!M196+'дод 1'!M204+'дод 1'!M215+'дод 1'!M245+'дод 1'!M250+'дод 1'!M278+'дод 1'!M285+'дод 1'!M288+'дод 1'!M302+'дод 1'!M298</f>
        <v>2217000</v>
      </c>
      <c r="M13" s="137">
        <f>'дод 1'!N15+'дод 1'!N54+'дод 1'!N85+'дод 1'!N119+'дод 1'!N196+'дод 1'!N204+'дод 1'!N215+'дод 1'!N245+'дод 1'!N250+'дод 1'!N278+'дод 1'!N285+'дод 1'!N288+'дод 1'!N302+'дод 1'!N298</f>
        <v>90900</v>
      </c>
      <c r="N13" s="137">
        <f>'дод 1'!O15+'дод 1'!O54+'дод 1'!O85+'дод 1'!O119+'дод 1'!O196+'дод 1'!O204+'дод 1'!O215+'дод 1'!O245+'дод 1'!O250+'дод 1'!O278+'дод 1'!O285+'дод 1'!O288+'дод 1'!O302+'дод 1'!O298</f>
        <v>4598858</v>
      </c>
      <c r="O13" s="137">
        <f>'дод 1'!P15+'дод 1'!P54+'дод 1'!P85+'дод 1'!P119+'дод 1'!P196+'дод 1'!P204+'дод 1'!P215+'дод 1'!P245+'дод 1'!P250+'дод 1'!P278+'дод 1'!P285+'дод 1'!P288+'дод 1'!P302+'дод 1'!P298</f>
        <v>229394347.49000001</v>
      </c>
      <c r="P13" s="154"/>
    </row>
    <row r="14" spans="1:16" ht="27" customHeight="1" x14ac:dyDescent="0.25">
      <c r="A14" s="113" t="s">
        <v>68</v>
      </c>
      <c r="B14" s="113" t="s">
        <v>125</v>
      </c>
      <c r="C14" s="10" t="s">
        <v>316</v>
      </c>
      <c r="D14" s="137">
        <f>'дод 1'!E16</f>
        <v>303300</v>
      </c>
      <c r="E14" s="137">
        <f>'дод 1'!F16</f>
        <v>303300</v>
      </c>
      <c r="F14" s="137">
        <f>'дод 1'!G16</f>
        <v>0</v>
      </c>
      <c r="G14" s="137">
        <f>'дод 1'!H16</f>
        <v>0</v>
      </c>
      <c r="H14" s="137">
        <f>'дод 1'!I16</f>
        <v>0</v>
      </c>
      <c r="I14" s="137">
        <f>'дод 1'!J16</f>
        <v>0</v>
      </c>
      <c r="J14" s="137">
        <f>'дод 1'!K16</f>
        <v>0</v>
      </c>
      <c r="K14" s="137">
        <f>'дод 1'!L16</f>
        <v>0</v>
      </c>
      <c r="L14" s="137">
        <f>'дод 1'!M16</f>
        <v>0</v>
      </c>
      <c r="M14" s="137">
        <f>'дод 1'!N16</f>
        <v>0</v>
      </c>
      <c r="N14" s="137">
        <f>'дод 1'!O16</f>
        <v>0</v>
      </c>
      <c r="O14" s="137">
        <f>'дод 1'!P16</f>
        <v>303300</v>
      </c>
      <c r="P14" s="154"/>
    </row>
    <row r="15" spans="1:16" s="12" customFormat="1" ht="24" customHeight="1" x14ac:dyDescent="0.25">
      <c r="A15" s="114" t="s">
        <v>70</v>
      </c>
      <c r="B15" s="115"/>
      <c r="C15" s="16" t="s">
        <v>71</v>
      </c>
      <c r="D15" s="136">
        <f>D17+D19+D21+D23+D25+D26+D27+D29+D30+D32+D33</f>
        <v>875366737.57999992</v>
      </c>
      <c r="E15" s="136">
        <f t="shared" ref="E15:O15" si="2">E17+E19+E21+E23+E25+E26+E27+E29+E30+E32+E33</f>
        <v>875366737.57999992</v>
      </c>
      <c r="F15" s="136">
        <f t="shared" si="2"/>
        <v>575653734</v>
      </c>
      <c r="G15" s="136">
        <f t="shared" si="2"/>
        <v>77965382</v>
      </c>
      <c r="H15" s="136">
        <f t="shared" si="2"/>
        <v>0</v>
      </c>
      <c r="I15" s="136">
        <f t="shared" si="2"/>
        <v>72154510.310000002</v>
      </c>
      <c r="J15" s="136">
        <f t="shared" si="2"/>
        <v>26674091.310000002</v>
      </c>
      <c r="K15" s="136">
        <f t="shared" si="2"/>
        <v>45358699</v>
      </c>
      <c r="L15" s="136">
        <f t="shared" si="2"/>
        <v>5498925</v>
      </c>
      <c r="M15" s="136">
        <f t="shared" si="2"/>
        <v>2628089</v>
      </c>
      <c r="N15" s="136">
        <f t="shared" si="2"/>
        <v>26795811.310000002</v>
      </c>
      <c r="O15" s="136">
        <f t="shared" si="2"/>
        <v>947521247.8900001</v>
      </c>
      <c r="P15" s="154"/>
    </row>
    <row r="16" spans="1:16" s="14" customFormat="1" ht="24" customHeight="1" x14ac:dyDescent="0.25">
      <c r="A16" s="114"/>
      <c r="B16" s="115"/>
      <c r="C16" s="6" t="s">
        <v>344</v>
      </c>
      <c r="D16" s="136">
        <f>D18+D20+D22+D24+D31+D28+D34</f>
        <v>322153689.97999996</v>
      </c>
      <c r="E16" s="136">
        <f t="shared" ref="E16:O16" si="3">E18+E20+E22+E24+E31+E28+E34</f>
        <v>322153689.97999996</v>
      </c>
      <c r="F16" s="136">
        <f t="shared" si="3"/>
        <v>256716014</v>
      </c>
      <c r="G16" s="136">
        <f t="shared" si="3"/>
        <v>0</v>
      </c>
      <c r="H16" s="136">
        <f t="shared" si="3"/>
        <v>0</v>
      </c>
      <c r="I16" s="136">
        <f t="shared" si="3"/>
        <v>5949418.25</v>
      </c>
      <c r="J16" s="136">
        <f t="shared" si="3"/>
        <v>5949418.25</v>
      </c>
      <c r="K16" s="136">
        <f t="shared" si="3"/>
        <v>0</v>
      </c>
      <c r="L16" s="136">
        <f t="shared" si="3"/>
        <v>0</v>
      </c>
      <c r="M16" s="136">
        <f t="shared" si="3"/>
        <v>0</v>
      </c>
      <c r="N16" s="136">
        <f t="shared" si="3"/>
        <v>5949418.25</v>
      </c>
      <c r="O16" s="136">
        <f t="shared" si="3"/>
        <v>328103108.23000002</v>
      </c>
      <c r="P16" s="154"/>
    </row>
    <row r="17" spans="1:16" ht="27" customHeight="1" x14ac:dyDescent="0.25">
      <c r="A17" s="113" t="s">
        <v>72</v>
      </c>
      <c r="B17" s="113" t="s">
        <v>73</v>
      </c>
      <c r="C17" s="10" t="s">
        <v>188</v>
      </c>
      <c r="D17" s="137">
        <f>'дод 1'!E55</f>
        <v>212905915</v>
      </c>
      <c r="E17" s="137">
        <f>'дод 1'!F55</f>
        <v>212905915</v>
      </c>
      <c r="F17" s="137">
        <f>'дод 1'!G55</f>
        <v>134467050</v>
      </c>
      <c r="G17" s="137">
        <f>'дод 1'!H55</f>
        <v>24898736</v>
      </c>
      <c r="H17" s="137">
        <f>'дод 1'!I55</f>
        <v>0</v>
      </c>
      <c r="I17" s="137">
        <f>'дод 1'!J55</f>
        <v>22599017</v>
      </c>
      <c r="J17" s="137">
        <f>'дод 1'!K55</f>
        <v>6349706</v>
      </c>
      <c r="K17" s="137">
        <f>'дод 1'!L55</f>
        <v>16249311</v>
      </c>
      <c r="L17" s="137">
        <f>'дод 1'!M55</f>
        <v>0</v>
      </c>
      <c r="M17" s="137">
        <f>'дод 1'!N55</f>
        <v>0</v>
      </c>
      <c r="N17" s="137">
        <f>'дод 1'!O55</f>
        <v>6349706</v>
      </c>
      <c r="O17" s="137">
        <f>'дод 1'!P55</f>
        <v>235504932</v>
      </c>
      <c r="P17" s="154"/>
    </row>
    <row r="18" spans="1:16" ht="27" customHeight="1" x14ac:dyDescent="0.25">
      <c r="A18" s="113"/>
      <c r="B18" s="113"/>
      <c r="C18" s="7" t="s">
        <v>344</v>
      </c>
      <c r="D18" s="137">
        <f>SUM('дод 1'!E56)</f>
        <v>33000</v>
      </c>
      <c r="E18" s="137">
        <f>SUM('дод 1'!F56)</f>
        <v>33000</v>
      </c>
      <c r="F18" s="137">
        <f>SUM('дод 1'!G56)</f>
        <v>27050</v>
      </c>
      <c r="G18" s="137">
        <f>SUM('дод 1'!H56)</f>
        <v>0</v>
      </c>
      <c r="H18" s="137">
        <f>SUM('дод 1'!I56)</f>
        <v>0</v>
      </c>
      <c r="I18" s="137">
        <f>SUM('дод 1'!J56)</f>
        <v>18000</v>
      </c>
      <c r="J18" s="137">
        <f>SUM('дод 1'!K56)</f>
        <v>18000</v>
      </c>
      <c r="K18" s="137">
        <f>SUM('дод 1'!L56)</f>
        <v>0</v>
      </c>
      <c r="L18" s="137">
        <f>SUM('дод 1'!M56)</f>
        <v>0</v>
      </c>
      <c r="M18" s="137">
        <f>SUM('дод 1'!N56)</f>
        <v>0</v>
      </c>
      <c r="N18" s="137">
        <f>SUM('дод 1'!O56)</f>
        <v>18000</v>
      </c>
      <c r="O18" s="137">
        <f>SUM('дод 1'!P56)</f>
        <v>51000</v>
      </c>
      <c r="P18" s="154"/>
    </row>
    <row r="19" spans="1:16" ht="71.25" customHeight="1" x14ac:dyDescent="0.25">
      <c r="A19" s="113" t="s">
        <v>74</v>
      </c>
      <c r="B19" s="113" t="s">
        <v>75</v>
      </c>
      <c r="C19" s="10" t="s">
        <v>479</v>
      </c>
      <c r="D19" s="137">
        <f>'дод 1'!E57</f>
        <v>474185493.31</v>
      </c>
      <c r="E19" s="137">
        <f>'дод 1'!F57</f>
        <v>474185493.31</v>
      </c>
      <c r="F19" s="137">
        <f>'дод 1'!G57</f>
        <v>321286780</v>
      </c>
      <c r="G19" s="137">
        <f>'дод 1'!H57</f>
        <v>36935545</v>
      </c>
      <c r="H19" s="137">
        <f>'дод 1'!I57</f>
        <v>0</v>
      </c>
      <c r="I19" s="137">
        <f>'дод 1'!J57</f>
        <v>33720971.859999999</v>
      </c>
      <c r="J19" s="137">
        <f>'дод 1'!K57</f>
        <v>14713949.860000003</v>
      </c>
      <c r="K19" s="137">
        <f>'дод 1'!L57</f>
        <v>19007022</v>
      </c>
      <c r="L19" s="137">
        <f>'дод 1'!M57</f>
        <v>939364</v>
      </c>
      <c r="M19" s="137">
        <f>'дод 1'!N57</f>
        <v>38709</v>
      </c>
      <c r="N19" s="137">
        <f>'дод 1'!O57</f>
        <v>14713949.860000003</v>
      </c>
      <c r="O19" s="137">
        <f>'дод 1'!P57</f>
        <v>507906465.17000002</v>
      </c>
      <c r="P19" s="154"/>
    </row>
    <row r="20" spans="1:16" ht="28.5" customHeight="1" x14ac:dyDescent="0.25">
      <c r="A20" s="113"/>
      <c r="B20" s="113"/>
      <c r="C20" s="7" t="s">
        <v>344</v>
      </c>
      <c r="D20" s="137">
        <f>'дод 1'!E58</f>
        <v>299354846.70999998</v>
      </c>
      <c r="E20" s="137">
        <f>'дод 1'!F58</f>
        <v>299354846.70999998</v>
      </c>
      <c r="F20" s="137">
        <f>'дод 1'!G58</f>
        <v>240545900</v>
      </c>
      <c r="G20" s="137">
        <f>'дод 1'!H58</f>
        <v>0</v>
      </c>
      <c r="H20" s="137">
        <f>'дод 1'!I58</f>
        <v>0</v>
      </c>
      <c r="I20" s="137">
        <f>'дод 1'!J58</f>
        <v>1110382.8</v>
      </c>
      <c r="J20" s="137">
        <f>'дод 1'!K58</f>
        <v>1110382.8</v>
      </c>
      <c r="K20" s="137">
        <f>'дод 1'!L58</f>
        <v>0</v>
      </c>
      <c r="L20" s="137">
        <f>'дод 1'!M58</f>
        <v>0</v>
      </c>
      <c r="M20" s="137">
        <f>'дод 1'!N58</f>
        <v>0</v>
      </c>
      <c r="N20" s="137">
        <f>'дод 1'!O58</f>
        <v>1110382.8</v>
      </c>
      <c r="O20" s="137">
        <f>'дод 1'!P58</f>
        <v>300465229.50999999</v>
      </c>
      <c r="P20" s="154"/>
    </row>
    <row r="21" spans="1:16" ht="42.75" customHeight="1" x14ac:dyDescent="0.25">
      <c r="A21" s="113" t="s">
        <v>76</v>
      </c>
      <c r="B21" s="113" t="s">
        <v>75</v>
      </c>
      <c r="C21" s="10" t="s">
        <v>42</v>
      </c>
      <c r="D21" s="137">
        <f>'дод 1'!E59</f>
        <v>1038650</v>
      </c>
      <c r="E21" s="137">
        <f>'дод 1'!F59</f>
        <v>1038650</v>
      </c>
      <c r="F21" s="137">
        <f>'дод 1'!G59</f>
        <v>861000</v>
      </c>
      <c r="G21" s="137">
        <f>'дод 1'!H59</f>
        <v>0</v>
      </c>
      <c r="H21" s="137">
        <f>'дод 1'!I59</f>
        <v>0</v>
      </c>
      <c r="I21" s="137">
        <f>'дод 1'!J59</f>
        <v>0</v>
      </c>
      <c r="J21" s="137">
        <f>'дод 1'!K59</f>
        <v>0</v>
      </c>
      <c r="K21" s="137">
        <f>'дод 1'!L59</f>
        <v>0</v>
      </c>
      <c r="L21" s="137">
        <f>'дод 1'!M59</f>
        <v>0</v>
      </c>
      <c r="M21" s="137">
        <f>'дод 1'!N59</f>
        <v>0</v>
      </c>
      <c r="N21" s="137">
        <f>'дод 1'!O59</f>
        <v>0</v>
      </c>
      <c r="O21" s="137">
        <f>'дод 1'!P59</f>
        <v>1038650</v>
      </c>
      <c r="P21" s="154"/>
    </row>
    <row r="22" spans="1:16" ht="24.75" customHeight="1" x14ac:dyDescent="0.25">
      <c r="A22" s="113"/>
      <c r="B22" s="113"/>
      <c r="C22" s="7" t="s">
        <v>344</v>
      </c>
      <c r="D22" s="137">
        <f>'дод 1'!E60</f>
        <v>945500</v>
      </c>
      <c r="E22" s="137">
        <f>'дод 1'!F60</f>
        <v>945500</v>
      </c>
      <c r="F22" s="137">
        <f>'дод 1'!G60</f>
        <v>775000</v>
      </c>
      <c r="G22" s="137">
        <f>'дод 1'!H60</f>
        <v>0</v>
      </c>
      <c r="H22" s="137">
        <f>'дод 1'!I60</f>
        <v>0</v>
      </c>
      <c r="I22" s="137">
        <f>'дод 1'!J60</f>
        <v>0</v>
      </c>
      <c r="J22" s="137">
        <f>'дод 1'!K60</f>
        <v>0</v>
      </c>
      <c r="K22" s="137">
        <f>'дод 1'!L60</f>
        <v>0</v>
      </c>
      <c r="L22" s="137">
        <f>'дод 1'!M60</f>
        <v>0</v>
      </c>
      <c r="M22" s="137">
        <f>'дод 1'!N60</f>
        <v>0</v>
      </c>
      <c r="N22" s="137">
        <f>'дод 1'!O60</f>
        <v>0</v>
      </c>
      <c r="O22" s="137">
        <f>'дод 1'!P60</f>
        <v>945500</v>
      </c>
      <c r="P22" s="154"/>
    </row>
    <row r="23" spans="1:16" ht="87" customHeight="1" x14ac:dyDescent="0.25">
      <c r="A23" s="113" t="s">
        <v>78</v>
      </c>
      <c r="B23" s="113" t="s">
        <v>79</v>
      </c>
      <c r="C23" s="10" t="s">
        <v>154</v>
      </c>
      <c r="D23" s="137">
        <f>'дод 1'!E61</f>
        <v>8979284</v>
      </c>
      <c r="E23" s="137">
        <f>'дод 1'!F61</f>
        <v>8979284</v>
      </c>
      <c r="F23" s="137">
        <f>'дод 1'!G61</f>
        <v>6256400</v>
      </c>
      <c r="G23" s="137">
        <f>'дод 1'!H61</f>
        <v>760530</v>
      </c>
      <c r="H23" s="137">
        <f>'дод 1'!I61</f>
        <v>0</v>
      </c>
      <c r="I23" s="137">
        <f>'дод 1'!J61</f>
        <v>236202.49</v>
      </c>
      <c r="J23" s="137">
        <f>'дод 1'!K61</f>
        <v>236202.49</v>
      </c>
      <c r="K23" s="137">
        <f>'дод 1'!L61</f>
        <v>0</v>
      </c>
      <c r="L23" s="137">
        <f>'дод 1'!M61</f>
        <v>0</v>
      </c>
      <c r="M23" s="137">
        <f>'дод 1'!N61</f>
        <v>0</v>
      </c>
      <c r="N23" s="137">
        <f>'дод 1'!O61</f>
        <v>236202.49</v>
      </c>
      <c r="O23" s="137">
        <f>'дод 1'!P61</f>
        <v>9215486.4900000002</v>
      </c>
      <c r="P23" s="154"/>
    </row>
    <row r="24" spans="1:16" ht="21.75" customHeight="1" x14ac:dyDescent="0.25">
      <c r="A24" s="113"/>
      <c r="B24" s="113"/>
      <c r="C24" s="7" t="s">
        <v>344</v>
      </c>
      <c r="D24" s="137">
        <f>'дод 1'!E62</f>
        <v>6105244</v>
      </c>
      <c r="E24" s="137">
        <f>'дод 1'!F62</f>
        <v>6105244</v>
      </c>
      <c r="F24" s="137">
        <f>'дод 1'!G62</f>
        <v>4975700</v>
      </c>
      <c r="G24" s="137">
        <f>'дод 1'!H62</f>
        <v>0</v>
      </c>
      <c r="H24" s="137">
        <f>'дод 1'!I62</f>
        <v>0</v>
      </c>
      <c r="I24" s="137">
        <f>'дод 1'!J62</f>
        <v>11302.49</v>
      </c>
      <c r="J24" s="137">
        <f>'дод 1'!K62</f>
        <v>11302.49</v>
      </c>
      <c r="K24" s="137">
        <f>'дод 1'!L62</f>
        <v>0</v>
      </c>
      <c r="L24" s="137">
        <f>'дод 1'!M62</f>
        <v>0</v>
      </c>
      <c r="M24" s="137">
        <f>'дод 1'!N62</f>
        <v>0</v>
      </c>
      <c r="N24" s="137">
        <f>'дод 1'!O62</f>
        <v>11302.49</v>
      </c>
      <c r="O24" s="137">
        <f>'дод 1'!P62</f>
        <v>6116546.4900000002</v>
      </c>
      <c r="P24" s="154"/>
    </row>
    <row r="25" spans="1:16" ht="33" customHeight="1" x14ac:dyDescent="0.25">
      <c r="A25" s="113" t="s">
        <v>80</v>
      </c>
      <c r="B25" s="113" t="s">
        <v>81</v>
      </c>
      <c r="C25" s="10" t="s">
        <v>189</v>
      </c>
      <c r="D25" s="137">
        <f>'дод 1'!E63</f>
        <v>25146125</v>
      </c>
      <c r="E25" s="137">
        <f>'дод 1'!F63</f>
        <v>25146125</v>
      </c>
      <c r="F25" s="137">
        <f>'дод 1'!G63</f>
        <v>17544640</v>
      </c>
      <c r="G25" s="137">
        <f>'дод 1'!H63</f>
        <v>3230522</v>
      </c>
      <c r="H25" s="137">
        <f>'дод 1'!I63</f>
        <v>0</v>
      </c>
      <c r="I25" s="137">
        <f>'дод 1'!J63</f>
        <v>300000</v>
      </c>
      <c r="J25" s="137">
        <f>'дод 1'!K63</f>
        <v>300000</v>
      </c>
      <c r="K25" s="137">
        <f>'дод 1'!L63</f>
        <v>0</v>
      </c>
      <c r="L25" s="137">
        <f>'дод 1'!M63</f>
        <v>0</v>
      </c>
      <c r="M25" s="137">
        <f>'дод 1'!N63</f>
        <v>0</v>
      </c>
      <c r="N25" s="137">
        <f>'дод 1'!O63</f>
        <v>300000</v>
      </c>
      <c r="O25" s="137">
        <f>'дод 1'!P63</f>
        <v>25446125</v>
      </c>
      <c r="P25" s="154"/>
    </row>
    <row r="26" spans="1:16" ht="57.75" customHeight="1" x14ac:dyDescent="0.25">
      <c r="A26" s="113" t="s">
        <v>82</v>
      </c>
      <c r="B26" s="113" t="s">
        <v>81</v>
      </c>
      <c r="C26" s="10" t="s">
        <v>26</v>
      </c>
      <c r="D26" s="137">
        <f>'дод 1'!E205</f>
        <v>34729300</v>
      </c>
      <c r="E26" s="137">
        <f>'дод 1'!F205</f>
        <v>34729300</v>
      </c>
      <c r="F26" s="137">
        <f>'дод 1'!G205</f>
        <v>27174000</v>
      </c>
      <c r="G26" s="137">
        <f>'дод 1'!H205</f>
        <v>970836</v>
      </c>
      <c r="H26" s="137">
        <f>'дод 1'!I205</f>
        <v>0</v>
      </c>
      <c r="I26" s="137">
        <f>'дод 1'!J205</f>
        <v>2586580</v>
      </c>
      <c r="J26" s="137">
        <f>'дод 1'!K205</f>
        <v>80000</v>
      </c>
      <c r="K26" s="137">
        <f>'дод 1'!L205</f>
        <v>2501860</v>
      </c>
      <c r="L26" s="137">
        <f>'дод 1'!M205</f>
        <v>2043504</v>
      </c>
      <c r="M26" s="137">
        <f>'дод 1'!N205</f>
        <v>0</v>
      </c>
      <c r="N26" s="137">
        <f>'дод 1'!O205</f>
        <v>84720</v>
      </c>
      <c r="O26" s="137">
        <f>'дод 1'!P205</f>
        <v>37315880</v>
      </c>
      <c r="P26" s="154"/>
    </row>
    <row r="27" spans="1:16" ht="39.75" customHeight="1" x14ac:dyDescent="0.25">
      <c r="A27" s="113" t="s">
        <v>290</v>
      </c>
      <c r="B27" s="113" t="s">
        <v>83</v>
      </c>
      <c r="C27" s="10" t="s">
        <v>155</v>
      </c>
      <c r="D27" s="137">
        <f>'дод 1'!E64</f>
        <v>105776700.27000001</v>
      </c>
      <c r="E27" s="137">
        <f>'дод 1'!F64</f>
        <v>105776700.27000001</v>
      </c>
      <c r="F27" s="137">
        <f>'дод 1'!G64</f>
        <v>58962800</v>
      </c>
      <c r="G27" s="137">
        <f>'дод 1'!H64</f>
        <v>10406026</v>
      </c>
      <c r="H27" s="137">
        <f>'дод 1'!I64</f>
        <v>0</v>
      </c>
      <c r="I27" s="137">
        <f>'дод 1'!J64</f>
        <v>12527238.960000001</v>
      </c>
      <c r="J27" s="137">
        <f>'дод 1'!K64</f>
        <v>4809732.96</v>
      </c>
      <c r="K27" s="137">
        <f>'дод 1'!L64</f>
        <v>7600506</v>
      </c>
      <c r="L27" s="137">
        <f>'дод 1'!M64</f>
        <v>2516057</v>
      </c>
      <c r="M27" s="137">
        <f>'дод 1'!N64</f>
        <v>2589380</v>
      </c>
      <c r="N27" s="137">
        <f>'дод 1'!O64</f>
        <v>4926732.96</v>
      </c>
      <c r="O27" s="137">
        <f>'дод 1'!P64</f>
        <v>118303939.23000002</v>
      </c>
      <c r="P27" s="154"/>
    </row>
    <row r="28" spans="1:16" ht="21" customHeight="1" x14ac:dyDescent="0.25">
      <c r="A28" s="113"/>
      <c r="B28" s="113"/>
      <c r="C28" s="7" t="s">
        <v>344</v>
      </c>
      <c r="D28" s="137">
        <f>'дод 1'!E65</f>
        <v>14536379.27</v>
      </c>
      <c r="E28" s="137">
        <f>'дод 1'!F65</f>
        <v>14536379.27</v>
      </c>
      <c r="F28" s="137">
        <f>'дод 1'!G65</f>
        <v>9426200</v>
      </c>
      <c r="G28" s="137">
        <f>'дод 1'!H65</f>
        <v>0</v>
      </c>
      <c r="H28" s="137">
        <f>'дод 1'!I65</f>
        <v>0</v>
      </c>
      <c r="I28" s="137">
        <f>'дод 1'!J65</f>
        <v>4809732.96</v>
      </c>
      <c r="J28" s="137">
        <f>'дод 1'!K65</f>
        <v>4809732.96</v>
      </c>
      <c r="K28" s="137">
        <f>'дод 1'!L65</f>
        <v>0</v>
      </c>
      <c r="L28" s="137">
        <f>'дод 1'!M65</f>
        <v>0</v>
      </c>
      <c r="M28" s="137">
        <f>'дод 1'!N65</f>
        <v>0</v>
      </c>
      <c r="N28" s="137">
        <f>'дод 1'!O65</f>
        <v>4809732.96</v>
      </c>
      <c r="O28" s="137">
        <f>'дод 1'!P65</f>
        <v>19346112.23</v>
      </c>
      <c r="P28" s="154"/>
    </row>
    <row r="29" spans="1:16" ht="33" customHeight="1" x14ac:dyDescent="0.25">
      <c r="A29" s="113" t="s">
        <v>156</v>
      </c>
      <c r="B29" s="113" t="s">
        <v>84</v>
      </c>
      <c r="C29" s="10" t="s">
        <v>480</v>
      </c>
      <c r="D29" s="137">
        <f>'дод 1'!E66</f>
        <v>2847270</v>
      </c>
      <c r="E29" s="137">
        <f>'дод 1'!F66</f>
        <v>2847270</v>
      </c>
      <c r="F29" s="137">
        <f>'дод 1'!G66</f>
        <v>2189100</v>
      </c>
      <c r="G29" s="137">
        <f>'дод 1'!H66</f>
        <v>128898</v>
      </c>
      <c r="H29" s="137">
        <f>'дод 1'!I66</f>
        <v>0</v>
      </c>
      <c r="I29" s="137">
        <f>'дод 1'!J66</f>
        <v>6500</v>
      </c>
      <c r="J29" s="137">
        <f>'дод 1'!K66</f>
        <v>6500</v>
      </c>
      <c r="K29" s="137">
        <f>'дод 1'!L66</f>
        <v>0</v>
      </c>
      <c r="L29" s="137">
        <f>'дод 1'!M66</f>
        <v>0</v>
      </c>
      <c r="M29" s="137">
        <f>'дод 1'!N66</f>
        <v>0</v>
      </c>
      <c r="N29" s="137">
        <f>'дод 1'!O66</f>
        <v>6500</v>
      </c>
      <c r="O29" s="137">
        <f>'дод 1'!P66</f>
        <v>2853770</v>
      </c>
      <c r="P29" s="154"/>
    </row>
    <row r="30" spans="1:16" ht="36" customHeight="1" x14ac:dyDescent="0.25">
      <c r="A30" s="113" t="s">
        <v>368</v>
      </c>
      <c r="B30" s="113" t="s">
        <v>84</v>
      </c>
      <c r="C30" s="10" t="s">
        <v>370</v>
      </c>
      <c r="D30" s="137">
        <f>'дод 1'!E67</f>
        <v>8216180</v>
      </c>
      <c r="E30" s="137">
        <f>'дод 1'!F67</f>
        <v>8216180</v>
      </c>
      <c r="F30" s="137">
        <f>'дод 1'!G67</f>
        <v>5861200</v>
      </c>
      <c r="G30" s="137">
        <f>'дод 1'!H67</f>
        <v>542229</v>
      </c>
      <c r="H30" s="137">
        <f>'дод 1'!I67</f>
        <v>0</v>
      </c>
      <c r="I30" s="137">
        <f>'дод 1'!J67</f>
        <v>148000</v>
      </c>
      <c r="J30" s="137">
        <f>'дод 1'!K67</f>
        <v>148000</v>
      </c>
      <c r="K30" s="137">
        <f>'дод 1'!L67</f>
        <v>0</v>
      </c>
      <c r="L30" s="137">
        <f>'дод 1'!M67</f>
        <v>0</v>
      </c>
      <c r="M30" s="137">
        <f>'дод 1'!N67</f>
        <v>0</v>
      </c>
      <c r="N30" s="137">
        <f>'дод 1'!O67</f>
        <v>148000</v>
      </c>
      <c r="O30" s="137">
        <f>'дод 1'!P67</f>
        <v>8364180</v>
      </c>
      <c r="P30" s="154"/>
    </row>
    <row r="31" spans="1:16" ht="21" hidden="1" customHeight="1" x14ac:dyDescent="0.25">
      <c r="A31" s="113"/>
      <c r="B31" s="113"/>
      <c r="C31" s="7" t="s">
        <v>344</v>
      </c>
      <c r="D31" s="137">
        <f>'дод 1'!E68</f>
        <v>0</v>
      </c>
      <c r="E31" s="137">
        <f>'дод 1'!F68</f>
        <v>0</v>
      </c>
      <c r="F31" s="137">
        <f>'дод 1'!G68</f>
        <v>0</v>
      </c>
      <c r="G31" s="137">
        <f>'дод 1'!H68</f>
        <v>0</v>
      </c>
      <c r="H31" s="137">
        <f>'дод 1'!I68</f>
        <v>0</v>
      </c>
      <c r="I31" s="137">
        <f>'дод 1'!J68</f>
        <v>0</v>
      </c>
      <c r="J31" s="137">
        <f>'дод 1'!K68</f>
        <v>0</v>
      </c>
      <c r="K31" s="137">
        <f>'дод 1'!L68</f>
        <v>0</v>
      </c>
      <c r="L31" s="137">
        <f>'дод 1'!M68</f>
        <v>0</v>
      </c>
      <c r="M31" s="137">
        <f>'дод 1'!N68</f>
        <v>0</v>
      </c>
      <c r="N31" s="137">
        <f>'дод 1'!O68</f>
        <v>0</v>
      </c>
      <c r="O31" s="137">
        <f>'дод 1'!P68</f>
        <v>0</v>
      </c>
      <c r="P31" s="154"/>
    </row>
    <row r="32" spans="1:16" ht="25.5" customHeight="1" x14ac:dyDescent="0.25">
      <c r="A32" s="113" t="s">
        <v>369</v>
      </c>
      <c r="B32" s="113" t="s">
        <v>84</v>
      </c>
      <c r="C32" s="10" t="s">
        <v>371</v>
      </c>
      <c r="D32" s="137">
        <f>'дод 1'!E69</f>
        <v>90400</v>
      </c>
      <c r="E32" s="137">
        <f>'дод 1'!F69</f>
        <v>90400</v>
      </c>
      <c r="F32" s="137">
        <f>'дод 1'!G69</f>
        <v>0</v>
      </c>
      <c r="G32" s="137">
        <f>'дод 1'!H69</f>
        <v>0</v>
      </c>
      <c r="H32" s="137">
        <f>'дод 1'!I69</f>
        <v>0</v>
      </c>
      <c r="I32" s="137">
        <f>'дод 1'!J69</f>
        <v>0</v>
      </c>
      <c r="J32" s="137">
        <f>'дод 1'!K69</f>
        <v>0</v>
      </c>
      <c r="K32" s="137">
        <f>'дод 1'!L69</f>
        <v>0</v>
      </c>
      <c r="L32" s="137">
        <f>'дод 1'!M69</f>
        <v>0</v>
      </c>
      <c r="M32" s="137">
        <f>'дод 1'!N69</f>
        <v>0</v>
      </c>
      <c r="N32" s="137">
        <f>'дод 1'!O69</f>
        <v>0</v>
      </c>
      <c r="O32" s="137">
        <f>'дод 1'!P69</f>
        <v>90400</v>
      </c>
      <c r="P32" s="154"/>
    </row>
    <row r="33" spans="1:16" ht="25.5" customHeight="1" x14ac:dyDescent="0.25">
      <c r="A33" s="113" t="s">
        <v>574</v>
      </c>
      <c r="B33" s="113" t="s">
        <v>84</v>
      </c>
      <c r="C33" s="98" t="s">
        <v>573</v>
      </c>
      <c r="D33" s="137">
        <f>SUM('дод 1'!E71)</f>
        <v>1451420</v>
      </c>
      <c r="E33" s="137">
        <f>SUM('дод 1'!F71)</f>
        <v>1451420</v>
      </c>
      <c r="F33" s="137">
        <f>SUM('дод 1'!G71)</f>
        <v>1050764</v>
      </c>
      <c r="G33" s="137">
        <f>SUM('дод 1'!H71)</f>
        <v>92060</v>
      </c>
      <c r="H33" s="137">
        <f>SUM('дод 1'!I71)</f>
        <v>0</v>
      </c>
      <c r="I33" s="137">
        <f>SUM('дод 1'!J71)</f>
        <v>30000</v>
      </c>
      <c r="J33" s="137">
        <f>SUM('дод 1'!K71)</f>
        <v>30000</v>
      </c>
      <c r="K33" s="137">
        <f>SUM('дод 1'!L71)</f>
        <v>0</v>
      </c>
      <c r="L33" s="137">
        <f>SUM('дод 1'!M71)</f>
        <v>0</v>
      </c>
      <c r="M33" s="137">
        <f>SUM('дод 1'!N71)</f>
        <v>0</v>
      </c>
      <c r="N33" s="137">
        <f>SUM('дод 1'!O71)</f>
        <v>30000</v>
      </c>
      <c r="O33" s="137">
        <f>SUM('дод 1'!P71)</f>
        <v>1481420</v>
      </c>
      <c r="P33" s="154"/>
    </row>
    <row r="34" spans="1:16" ht="21.75" customHeight="1" x14ac:dyDescent="0.25">
      <c r="A34" s="113"/>
      <c r="B34" s="113"/>
      <c r="C34" s="7" t="s">
        <v>344</v>
      </c>
      <c r="D34" s="137">
        <f>SUM('дод 1'!E72)</f>
        <v>1178720</v>
      </c>
      <c r="E34" s="137">
        <f>SUM('дод 1'!F72)</f>
        <v>1178720</v>
      </c>
      <c r="F34" s="137">
        <f>SUM('дод 1'!G72)</f>
        <v>966164</v>
      </c>
      <c r="G34" s="137">
        <f>SUM('дод 1'!H72)</f>
        <v>0</v>
      </c>
      <c r="H34" s="137">
        <f>SUM('дод 1'!I72)</f>
        <v>0</v>
      </c>
      <c r="I34" s="137">
        <f>SUM('дод 1'!J72)</f>
        <v>0</v>
      </c>
      <c r="J34" s="137">
        <f>SUM('дод 1'!K72)</f>
        <v>0</v>
      </c>
      <c r="K34" s="137">
        <f>SUM('дод 1'!L72)</f>
        <v>0</v>
      </c>
      <c r="L34" s="137">
        <f>SUM('дод 1'!M72)</f>
        <v>0</v>
      </c>
      <c r="M34" s="137">
        <f>SUM('дод 1'!N72)</f>
        <v>0</v>
      </c>
      <c r="N34" s="137">
        <f>SUM('дод 1'!O72)</f>
        <v>0</v>
      </c>
      <c r="O34" s="137">
        <f>SUM('дод 1'!P72)</f>
        <v>1178720</v>
      </c>
      <c r="P34" s="154"/>
    </row>
    <row r="35" spans="1:16" s="12" customFormat="1" ht="23.25" customHeight="1" x14ac:dyDescent="0.25">
      <c r="A35" s="114" t="s">
        <v>85</v>
      </c>
      <c r="B35" s="115"/>
      <c r="C35" s="16" t="s">
        <v>86</v>
      </c>
      <c r="D35" s="136">
        <f>D37+D39+D41+D43+D45+D47+D49+D51+D53+D55</f>
        <v>345867675.66000003</v>
      </c>
      <c r="E35" s="136">
        <f t="shared" ref="E35:O35" si="4">E37+E39+E41+E43+E45+E47+E49+E51+E53+E55</f>
        <v>345867675.66000003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40854012.299999997</v>
      </c>
      <c r="J35" s="136">
        <f t="shared" si="4"/>
        <v>19965334.300000001</v>
      </c>
      <c r="K35" s="136">
        <f t="shared" si="4"/>
        <v>20888678</v>
      </c>
      <c r="L35" s="136">
        <f t="shared" si="4"/>
        <v>0</v>
      </c>
      <c r="M35" s="136">
        <f t="shared" si="4"/>
        <v>0</v>
      </c>
      <c r="N35" s="136">
        <f t="shared" si="4"/>
        <v>19965334.300000001</v>
      </c>
      <c r="O35" s="136">
        <f t="shared" si="4"/>
        <v>386721687.96000004</v>
      </c>
      <c r="P35" s="159"/>
    </row>
    <row r="36" spans="1:16" s="12" customFormat="1" ht="23.25" customHeight="1" x14ac:dyDescent="0.25">
      <c r="A36" s="114"/>
      <c r="B36" s="115"/>
      <c r="C36" s="6" t="s">
        <v>344</v>
      </c>
      <c r="D36" s="136">
        <f>D38+D40+D42+D44+D46+D48+D50+D52+D54+D56</f>
        <v>214027355.66</v>
      </c>
      <c r="E36" s="136">
        <f t="shared" ref="E36:O36" si="5">E38+E40+E42+E44+E46+E48+E50+E52+E54+E56</f>
        <v>214027355.66</v>
      </c>
      <c r="F36" s="136">
        <f t="shared" si="5"/>
        <v>0</v>
      </c>
      <c r="G36" s="136">
        <f t="shared" si="5"/>
        <v>0</v>
      </c>
      <c r="H36" s="136">
        <f t="shared" si="5"/>
        <v>0</v>
      </c>
      <c r="I36" s="136">
        <f t="shared" si="5"/>
        <v>0</v>
      </c>
      <c r="J36" s="136">
        <f t="shared" si="5"/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214027355.66</v>
      </c>
      <c r="P36" s="159"/>
    </row>
    <row r="37" spans="1:16" ht="31.5" x14ac:dyDescent="0.25">
      <c r="A37" s="113" t="s">
        <v>87</v>
      </c>
      <c r="B37" s="113" t="s">
        <v>88</v>
      </c>
      <c r="C37" s="10" t="s">
        <v>46</v>
      </c>
      <c r="D37" s="137">
        <f>'дод 1'!E86</f>
        <v>270066168.66000003</v>
      </c>
      <c r="E37" s="137">
        <f>'дод 1'!F86</f>
        <v>270066168.66000003</v>
      </c>
      <c r="F37" s="137">
        <f>'дод 1'!G86</f>
        <v>0</v>
      </c>
      <c r="G37" s="137">
        <f>'дод 1'!H86</f>
        <v>0</v>
      </c>
      <c r="H37" s="137">
        <f>'дод 1'!I86</f>
        <v>0</v>
      </c>
      <c r="I37" s="137">
        <f>'дод 1'!J86</f>
        <v>26434879.300000001</v>
      </c>
      <c r="J37" s="137">
        <f>'дод 1'!K86</f>
        <v>13218011.300000001</v>
      </c>
      <c r="K37" s="137">
        <f>'дод 1'!L86</f>
        <v>13216868</v>
      </c>
      <c r="L37" s="137">
        <f>'дод 1'!M86</f>
        <v>0</v>
      </c>
      <c r="M37" s="137">
        <f>'дод 1'!N86</f>
        <v>0</v>
      </c>
      <c r="N37" s="137">
        <f>'дод 1'!O86</f>
        <v>13218011.300000001</v>
      </c>
      <c r="O37" s="137">
        <f>'дод 1'!P86</f>
        <v>296501047.96000004</v>
      </c>
      <c r="P37" s="159"/>
    </row>
    <row r="38" spans="1:16" ht="15.75" customHeight="1" x14ac:dyDescent="0.25">
      <c r="A38" s="113"/>
      <c r="B38" s="113"/>
      <c r="C38" s="7" t="s">
        <v>344</v>
      </c>
      <c r="D38" s="137">
        <f>'дод 1'!E87</f>
        <v>180256155.66</v>
      </c>
      <c r="E38" s="137">
        <f>'дод 1'!F87</f>
        <v>180256155.66</v>
      </c>
      <c r="F38" s="137">
        <f>'дод 1'!G87</f>
        <v>0</v>
      </c>
      <c r="G38" s="137">
        <f>'дод 1'!H87</f>
        <v>0</v>
      </c>
      <c r="H38" s="137">
        <f>'дод 1'!I87</f>
        <v>0</v>
      </c>
      <c r="I38" s="137">
        <f>'дод 1'!J87</f>
        <v>0</v>
      </c>
      <c r="J38" s="137">
        <f>'дод 1'!K87</f>
        <v>0</v>
      </c>
      <c r="K38" s="137">
        <f>'дод 1'!L87</f>
        <v>0</v>
      </c>
      <c r="L38" s="137">
        <f>'дод 1'!M87</f>
        <v>0</v>
      </c>
      <c r="M38" s="137">
        <f>'дод 1'!N87</f>
        <v>0</v>
      </c>
      <c r="N38" s="137">
        <f>'дод 1'!O87</f>
        <v>0</v>
      </c>
      <c r="O38" s="137">
        <f>'дод 1'!P87</f>
        <v>180256155.66</v>
      </c>
      <c r="P38" s="159"/>
    </row>
    <row r="39" spans="1:16" ht="42.75" customHeight="1" x14ac:dyDescent="0.25">
      <c r="A39" s="113" t="s">
        <v>157</v>
      </c>
      <c r="B39" s="113" t="s">
        <v>89</v>
      </c>
      <c r="C39" s="10" t="s">
        <v>158</v>
      </c>
      <c r="D39" s="137">
        <f>'дод 1'!E88</f>
        <v>37835381</v>
      </c>
      <c r="E39" s="137">
        <f>'дод 1'!F88</f>
        <v>37835381</v>
      </c>
      <c r="F39" s="137">
        <f>'дод 1'!G88</f>
        <v>0</v>
      </c>
      <c r="G39" s="137">
        <f>'дод 1'!H88</f>
        <v>0</v>
      </c>
      <c r="H39" s="137">
        <f>'дод 1'!I88</f>
        <v>0</v>
      </c>
      <c r="I39" s="137">
        <f>'дод 1'!J88</f>
        <v>353908</v>
      </c>
      <c r="J39" s="137">
        <f>'дод 1'!K88</f>
        <v>316508</v>
      </c>
      <c r="K39" s="137">
        <f>'дод 1'!L88</f>
        <v>37400</v>
      </c>
      <c r="L39" s="137">
        <f>'дод 1'!M88</f>
        <v>0</v>
      </c>
      <c r="M39" s="137">
        <f>'дод 1'!N88</f>
        <v>0</v>
      </c>
      <c r="N39" s="137">
        <f>'дод 1'!O88</f>
        <v>316508</v>
      </c>
      <c r="O39" s="137">
        <f>'дод 1'!P88</f>
        <v>38189289</v>
      </c>
      <c r="P39" s="159"/>
    </row>
    <row r="40" spans="1:16" ht="24" customHeight="1" x14ac:dyDescent="0.25">
      <c r="A40" s="113"/>
      <c r="B40" s="113"/>
      <c r="C40" s="7" t="s">
        <v>344</v>
      </c>
      <c r="D40" s="137">
        <f>'дод 1'!E89</f>
        <v>23624600</v>
      </c>
      <c r="E40" s="137">
        <f>'дод 1'!F89</f>
        <v>23624600</v>
      </c>
      <c r="F40" s="137">
        <f>'дод 1'!G89</f>
        <v>0</v>
      </c>
      <c r="G40" s="137">
        <f>'дод 1'!H89</f>
        <v>0</v>
      </c>
      <c r="H40" s="137">
        <f>'дод 1'!I89</f>
        <v>0</v>
      </c>
      <c r="I40" s="137">
        <f>'дод 1'!J89</f>
        <v>0</v>
      </c>
      <c r="J40" s="137">
        <f>'дод 1'!K89</f>
        <v>0</v>
      </c>
      <c r="K40" s="137">
        <f>'дод 1'!L89</f>
        <v>0</v>
      </c>
      <c r="L40" s="137">
        <f>'дод 1'!M89</f>
        <v>0</v>
      </c>
      <c r="M40" s="137">
        <f>'дод 1'!N89</f>
        <v>0</v>
      </c>
      <c r="N40" s="137">
        <f>'дод 1'!O89</f>
        <v>0</v>
      </c>
      <c r="O40" s="137">
        <f>'дод 1'!P89</f>
        <v>23624600</v>
      </c>
      <c r="P40" s="159"/>
    </row>
    <row r="41" spans="1:16" ht="33" hidden="1" customHeight="1" x14ac:dyDescent="0.25">
      <c r="A41" s="113" t="s">
        <v>159</v>
      </c>
      <c r="B41" s="113" t="s">
        <v>90</v>
      </c>
      <c r="C41" s="10" t="s">
        <v>412</v>
      </c>
      <c r="D41" s="137">
        <f>'дод 1'!E90</f>
        <v>0</v>
      </c>
      <c r="E41" s="137">
        <f>'дод 1'!F90</f>
        <v>0</v>
      </c>
      <c r="F41" s="137">
        <f>'дод 1'!G90</f>
        <v>0</v>
      </c>
      <c r="G41" s="137">
        <f>'дод 1'!H90</f>
        <v>0</v>
      </c>
      <c r="H41" s="137">
        <f>'дод 1'!I90</f>
        <v>0</v>
      </c>
      <c r="I41" s="137">
        <f>'дод 1'!J90</f>
        <v>0</v>
      </c>
      <c r="J41" s="137">
        <f>'дод 1'!K90</f>
        <v>0</v>
      </c>
      <c r="K41" s="137">
        <f>'дод 1'!L90</f>
        <v>0</v>
      </c>
      <c r="L41" s="137">
        <f>'дод 1'!M90</f>
        <v>0</v>
      </c>
      <c r="M41" s="137">
        <f>'дод 1'!N90</f>
        <v>0</v>
      </c>
      <c r="N41" s="137">
        <f>'дод 1'!O90</f>
        <v>0</v>
      </c>
      <c r="O41" s="137">
        <f>'дод 1'!P90</f>
        <v>0</v>
      </c>
      <c r="P41" s="159"/>
    </row>
    <row r="42" spans="1:16" ht="27" hidden="1" customHeight="1" x14ac:dyDescent="0.25">
      <c r="A42" s="113"/>
      <c r="B42" s="113"/>
      <c r="C42" s="7" t="s">
        <v>344</v>
      </c>
      <c r="D42" s="137">
        <f>'дод 1'!E91</f>
        <v>0</v>
      </c>
      <c r="E42" s="137">
        <f>'дод 1'!F91</f>
        <v>0</v>
      </c>
      <c r="F42" s="137">
        <f>'дод 1'!G91</f>
        <v>0</v>
      </c>
      <c r="G42" s="137">
        <f>'дод 1'!H91</f>
        <v>0</v>
      </c>
      <c r="H42" s="137">
        <f>'дод 1'!I91</f>
        <v>0</v>
      </c>
      <c r="I42" s="137">
        <f>'дод 1'!J91</f>
        <v>0</v>
      </c>
      <c r="J42" s="137">
        <f>'дод 1'!K91</f>
        <v>0</v>
      </c>
      <c r="K42" s="137">
        <f>'дод 1'!L91</f>
        <v>0</v>
      </c>
      <c r="L42" s="137">
        <f>'дод 1'!M91</f>
        <v>0</v>
      </c>
      <c r="M42" s="137">
        <f>'дод 1'!N91</f>
        <v>0</v>
      </c>
      <c r="N42" s="137">
        <f>'дод 1'!O91</f>
        <v>0</v>
      </c>
      <c r="O42" s="137">
        <f>'дод 1'!P91</f>
        <v>0</v>
      </c>
      <c r="P42" s="159"/>
    </row>
    <row r="43" spans="1:16" ht="25.5" customHeight="1" x14ac:dyDescent="0.25">
      <c r="A43" s="113" t="s">
        <v>160</v>
      </c>
      <c r="B43" s="113" t="s">
        <v>91</v>
      </c>
      <c r="C43" s="10" t="s">
        <v>161</v>
      </c>
      <c r="D43" s="137">
        <f>'дод 1'!E92</f>
        <v>6293457</v>
      </c>
      <c r="E43" s="137">
        <f>'дод 1'!F92</f>
        <v>6293457</v>
      </c>
      <c r="F43" s="137">
        <f>'дод 1'!G92</f>
        <v>0</v>
      </c>
      <c r="G43" s="137">
        <f>'дод 1'!H92</f>
        <v>0</v>
      </c>
      <c r="H43" s="137">
        <f>'дод 1'!I92</f>
        <v>0</v>
      </c>
      <c r="I43" s="137">
        <f>'дод 1'!J92</f>
        <v>8044410</v>
      </c>
      <c r="J43" s="137">
        <f>'дод 1'!K92</f>
        <v>410000</v>
      </c>
      <c r="K43" s="137">
        <f>'дод 1'!L92</f>
        <v>7634410</v>
      </c>
      <c r="L43" s="137">
        <f>'дод 1'!M92</f>
        <v>0</v>
      </c>
      <c r="M43" s="137">
        <f>'дод 1'!N92</f>
        <v>0</v>
      </c>
      <c r="N43" s="137">
        <f>'дод 1'!O92</f>
        <v>410000</v>
      </c>
      <c r="O43" s="137">
        <f>'дод 1'!P92</f>
        <v>14337867</v>
      </c>
      <c r="P43" s="159"/>
    </row>
    <row r="44" spans="1:16" ht="25.5" customHeight="1" x14ac:dyDescent="0.25">
      <c r="A44" s="113"/>
      <c r="B44" s="113"/>
      <c r="C44" s="7" t="s">
        <v>344</v>
      </c>
      <c r="D44" s="137">
        <f>'дод 1'!E93</f>
        <v>4109800</v>
      </c>
      <c r="E44" s="137">
        <f>'дод 1'!F93</f>
        <v>4109800</v>
      </c>
      <c r="F44" s="137">
        <f>'дод 1'!G93</f>
        <v>0</v>
      </c>
      <c r="G44" s="137">
        <f>'дод 1'!H93</f>
        <v>0</v>
      </c>
      <c r="H44" s="137">
        <f>'дод 1'!I93</f>
        <v>0</v>
      </c>
      <c r="I44" s="137">
        <f>'дод 1'!J93</f>
        <v>0</v>
      </c>
      <c r="J44" s="137">
        <f>'дод 1'!K93</f>
        <v>0</v>
      </c>
      <c r="K44" s="137">
        <f>'дод 1'!L93</f>
        <v>0</v>
      </c>
      <c r="L44" s="137">
        <f>'дод 1'!M93</f>
        <v>0</v>
      </c>
      <c r="M44" s="137">
        <f>'дод 1'!N93</f>
        <v>0</v>
      </c>
      <c r="N44" s="137">
        <f>'дод 1'!O93</f>
        <v>0</v>
      </c>
      <c r="O44" s="137">
        <f>'дод 1'!P93</f>
        <v>4109800</v>
      </c>
      <c r="P44" s="159"/>
    </row>
    <row r="45" spans="1:16" ht="54" customHeight="1" x14ac:dyDescent="0.25">
      <c r="A45" s="113" t="s">
        <v>162</v>
      </c>
      <c r="B45" s="113" t="s">
        <v>413</v>
      </c>
      <c r="C45" s="10" t="s">
        <v>163</v>
      </c>
      <c r="D45" s="137">
        <f>'дод 1'!E94</f>
        <v>2341800</v>
      </c>
      <c r="E45" s="137">
        <f>'дод 1'!F94</f>
        <v>2341800</v>
      </c>
      <c r="F45" s="137">
        <f>'дод 1'!G94</f>
        <v>0</v>
      </c>
      <c r="G45" s="137">
        <f>'дод 1'!H94</f>
        <v>0</v>
      </c>
      <c r="H45" s="137">
        <f>'дод 1'!I94</f>
        <v>0</v>
      </c>
      <c r="I45" s="137">
        <f>'дод 1'!J94</f>
        <v>3020815</v>
      </c>
      <c r="J45" s="137">
        <f>'дод 1'!K94</f>
        <v>3020815</v>
      </c>
      <c r="K45" s="137">
        <f>'дод 1'!L94</f>
        <v>0</v>
      </c>
      <c r="L45" s="137">
        <f>'дод 1'!M94</f>
        <v>0</v>
      </c>
      <c r="M45" s="137">
        <f>'дод 1'!N94</f>
        <v>0</v>
      </c>
      <c r="N45" s="137">
        <f>'дод 1'!O94</f>
        <v>3020815</v>
      </c>
      <c r="O45" s="137">
        <f>'дод 1'!P94</f>
        <v>5362615</v>
      </c>
      <c r="P45" s="159"/>
    </row>
    <row r="46" spans="1:16" ht="21.75" hidden="1" customHeight="1" x14ac:dyDescent="0.25">
      <c r="A46" s="113"/>
      <c r="B46" s="113"/>
      <c r="C46" s="7" t="s">
        <v>344</v>
      </c>
      <c r="D46" s="137">
        <f>'дод 1'!E95</f>
        <v>0</v>
      </c>
      <c r="E46" s="137">
        <f>'дод 1'!F95</f>
        <v>0</v>
      </c>
      <c r="F46" s="137">
        <f>'дод 1'!G95</f>
        <v>0</v>
      </c>
      <c r="G46" s="137">
        <f>'дод 1'!H95</f>
        <v>0</v>
      </c>
      <c r="H46" s="137">
        <f>'дод 1'!I95</f>
        <v>0</v>
      </c>
      <c r="I46" s="137">
        <f>'дод 1'!J95</f>
        <v>0</v>
      </c>
      <c r="J46" s="137">
        <f>'дод 1'!K95</f>
        <v>0</v>
      </c>
      <c r="K46" s="137">
        <f>'дод 1'!L95</f>
        <v>0</v>
      </c>
      <c r="L46" s="137">
        <f>'дод 1'!M95</f>
        <v>0</v>
      </c>
      <c r="M46" s="137">
        <f>'дод 1'!N95</f>
        <v>0</v>
      </c>
      <c r="N46" s="137">
        <f>'дод 1'!O95</f>
        <v>0</v>
      </c>
      <c r="O46" s="137">
        <f>'дод 1'!P95</f>
        <v>0</v>
      </c>
      <c r="P46" s="159"/>
    </row>
    <row r="47" spans="1:16" ht="52.5" hidden="1" customHeight="1" x14ac:dyDescent="0.25">
      <c r="A47" s="113" t="s">
        <v>483</v>
      </c>
      <c r="B47" s="113" t="s">
        <v>90</v>
      </c>
      <c r="C47" s="10" t="s">
        <v>481</v>
      </c>
      <c r="D47" s="137">
        <f>'дод 1'!E96</f>
        <v>0</v>
      </c>
      <c r="E47" s="137">
        <f>'дод 1'!F96</f>
        <v>0</v>
      </c>
      <c r="F47" s="137">
        <f>'дод 1'!G96</f>
        <v>0</v>
      </c>
      <c r="G47" s="137">
        <f>'дод 1'!H96</f>
        <v>0</v>
      </c>
      <c r="H47" s="137">
        <f>'дод 1'!I96</f>
        <v>0</v>
      </c>
      <c r="I47" s="137">
        <f>'дод 1'!J96</f>
        <v>0</v>
      </c>
      <c r="J47" s="137">
        <f>'дод 1'!K96</f>
        <v>0</v>
      </c>
      <c r="K47" s="137">
        <f>'дод 1'!L96</f>
        <v>0</v>
      </c>
      <c r="L47" s="137">
        <f>'дод 1'!M96</f>
        <v>0</v>
      </c>
      <c r="M47" s="137">
        <f>'дод 1'!N96</f>
        <v>0</v>
      </c>
      <c r="N47" s="137">
        <f>'дод 1'!O96</f>
        <v>0</v>
      </c>
      <c r="O47" s="137">
        <f>'дод 1'!P96</f>
        <v>0</v>
      </c>
      <c r="P47" s="159"/>
    </row>
    <row r="48" spans="1:16" ht="21.75" hidden="1" customHeight="1" x14ac:dyDescent="0.25">
      <c r="A48" s="113"/>
      <c r="B48" s="113"/>
      <c r="C48" s="7" t="s">
        <v>344</v>
      </c>
      <c r="D48" s="137">
        <f>'дод 1'!E97</f>
        <v>0</v>
      </c>
      <c r="E48" s="137">
        <f>'дод 1'!F97</f>
        <v>0</v>
      </c>
      <c r="F48" s="137">
        <f>'дод 1'!G97</f>
        <v>0</v>
      </c>
      <c r="G48" s="137">
        <f>'дод 1'!H97</f>
        <v>0</v>
      </c>
      <c r="H48" s="137">
        <f>'дод 1'!I97</f>
        <v>0</v>
      </c>
      <c r="I48" s="137">
        <f>'дод 1'!J97</f>
        <v>0</v>
      </c>
      <c r="J48" s="137">
        <f>'дод 1'!K97</f>
        <v>0</v>
      </c>
      <c r="K48" s="137">
        <f>'дод 1'!L97</f>
        <v>0</v>
      </c>
      <c r="L48" s="137">
        <f>'дод 1'!M97</f>
        <v>0</v>
      </c>
      <c r="M48" s="137">
        <f>'дод 1'!N97</f>
        <v>0</v>
      </c>
      <c r="N48" s="137">
        <f>'дод 1'!O97</f>
        <v>0</v>
      </c>
      <c r="O48" s="137">
        <f>'дод 1'!P97</f>
        <v>0</v>
      </c>
      <c r="P48" s="159"/>
    </row>
    <row r="49" spans="1:16" ht="36.75" customHeight="1" x14ac:dyDescent="0.25">
      <c r="A49" s="116">
        <v>2144</v>
      </c>
      <c r="B49" s="113" t="s">
        <v>92</v>
      </c>
      <c r="C49" s="17" t="s">
        <v>164</v>
      </c>
      <c r="D49" s="137">
        <f>'дод 1'!E98</f>
        <v>9985500</v>
      </c>
      <c r="E49" s="137">
        <f>'дод 1'!F98</f>
        <v>9985500</v>
      </c>
      <c r="F49" s="137">
        <f>'дод 1'!G98</f>
        <v>0</v>
      </c>
      <c r="G49" s="137">
        <f>'дод 1'!H98</f>
        <v>0</v>
      </c>
      <c r="H49" s="137">
        <f>'дод 1'!I98</f>
        <v>0</v>
      </c>
      <c r="I49" s="137">
        <f>'дод 1'!J98</f>
        <v>0</v>
      </c>
      <c r="J49" s="137">
        <f>'дод 1'!K98</f>
        <v>0</v>
      </c>
      <c r="K49" s="137">
        <f>'дод 1'!L98</f>
        <v>0</v>
      </c>
      <c r="L49" s="137">
        <f>'дод 1'!M98</f>
        <v>0</v>
      </c>
      <c r="M49" s="137">
        <f>'дод 1'!N98</f>
        <v>0</v>
      </c>
      <c r="N49" s="137">
        <f>'дод 1'!O98</f>
        <v>0</v>
      </c>
      <c r="O49" s="137">
        <f>'дод 1'!P98</f>
        <v>9985500</v>
      </c>
      <c r="P49" s="159"/>
    </row>
    <row r="50" spans="1:16" ht="24.75" customHeight="1" x14ac:dyDescent="0.25">
      <c r="A50" s="116"/>
      <c r="B50" s="113"/>
      <c r="C50" s="7" t="s">
        <v>344</v>
      </c>
      <c r="D50" s="137">
        <f>'дод 1'!E99</f>
        <v>4580500</v>
      </c>
      <c r="E50" s="137">
        <f>'дод 1'!F99</f>
        <v>4580500</v>
      </c>
      <c r="F50" s="137">
        <f>'дод 1'!G99</f>
        <v>0</v>
      </c>
      <c r="G50" s="137">
        <f>'дод 1'!H99</f>
        <v>0</v>
      </c>
      <c r="H50" s="137">
        <f>'дод 1'!I99</f>
        <v>0</v>
      </c>
      <c r="I50" s="137">
        <f>'дод 1'!J99</f>
        <v>0</v>
      </c>
      <c r="J50" s="137">
        <f>'дод 1'!K99</f>
        <v>0</v>
      </c>
      <c r="K50" s="137">
        <f>'дод 1'!L99</f>
        <v>0</v>
      </c>
      <c r="L50" s="137">
        <f>'дод 1'!M99</f>
        <v>0</v>
      </c>
      <c r="M50" s="137">
        <f>'дод 1'!N99</f>
        <v>0</v>
      </c>
      <c r="N50" s="137">
        <f>'дод 1'!O99</f>
        <v>0</v>
      </c>
      <c r="O50" s="137">
        <f>'дод 1'!P99</f>
        <v>4580500</v>
      </c>
      <c r="P50" s="159"/>
    </row>
    <row r="51" spans="1:16" ht="32.25" customHeight="1" x14ac:dyDescent="0.25">
      <c r="A51" s="116">
        <v>2146</v>
      </c>
      <c r="B51" s="113" t="s">
        <v>92</v>
      </c>
      <c r="C51" s="17" t="s">
        <v>426</v>
      </c>
      <c r="D51" s="137">
        <f>'дод 1'!E100</f>
        <v>1456300</v>
      </c>
      <c r="E51" s="137">
        <f>'дод 1'!F100</f>
        <v>1456300</v>
      </c>
      <c r="F51" s="137">
        <f>'дод 1'!G100</f>
        <v>0</v>
      </c>
      <c r="G51" s="137">
        <f>'дод 1'!H100</f>
        <v>0</v>
      </c>
      <c r="H51" s="137">
        <f>'дод 1'!I100</f>
        <v>0</v>
      </c>
      <c r="I51" s="137">
        <f>'дод 1'!J100</f>
        <v>0</v>
      </c>
      <c r="J51" s="137">
        <f>'дод 1'!K100</f>
        <v>0</v>
      </c>
      <c r="K51" s="137">
        <f>'дод 1'!L100</f>
        <v>0</v>
      </c>
      <c r="L51" s="137">
        <f>'дод 1'!M100</f>
        <v>0</v>
      </c>
      <c r="M51" s="137">
        <f>'дод 1'!N100</f>
        <v>0</v>
      </c>
      <c r="N51" s="137">
        <f>'дод 1'!O100</f>
        <v>0</v>
      </c>
      <c r="O51" s="137">
        <f>'дод 1'!P100</f>
        <v>1456300</v>
      </c>
      <c r="P51" s="159"/>
    </row>
    <row r="52" spans="1:16" ht="24.75" customHeight="1" x14ac:dyDescent="0.25">
      <c r="A52" s="116"/>
      <c r="B52" s="113"/>
      <c r="C52" s="7" t="s">
        <v>344</v>
      </c>
      <c r="D52" s="137">
        <f>'дод 1'!E101</f>
        <v>1456300</v>
      </c>
      <c r="E52" s="137">
        <f>'дод 1'!F101</f>
        <v>1456300</v>
      </c>
      <c r="F52" s="137">
        <f>'дод 1'!G101</f>
        <v>0</v>
      </c>
      <c r="G52" s="137">
        <f>'дод 1'!H101</f>
        <v>0</v>
      </c>
      <c r="H52" s="137">
        <f>'дод 1'!I101</f>
        <v>0</v>
      </c>
      <c r="I52" s="137">
        <f>'дод 1'!J101</f>
        <v>0</v>
      </c>
      <c r="J52" s="137">
        <f>'дод 1'!K101</f>
        <v>0</v>
      </c>
      <c r="K52" s="137">
        <f>'дод 1'!L101</f>
        <v>0</v>
      </c>
      <c r="L52" s="137">
        <f>'дод 1'!M101</f>
        <v>0</v>
      </c>
      <c r="M52" s="137">
        <f>'дод 1'!N101</f>
        <v>0</v>
      </c>
      <c r="N52" s="137">
        <f>'дод 1'!O101</f>
        <v>0</v>
      </c>
      <c r="O52" s="137">
        <f>'дод 1'!P101</f>
        <v>1456300</v>
      </c>
      <c r="P52" s="159"/>
    </row>
    <row r="53" spans="1:16" ht="37.5" customHeight="1" x14ac:dyDescent="0.25">
      <c r="A53" s="113" t="s">
        <v>372</v>
      </c>
      <c r="B53" s="113" t="s">
        <v>92</v>
      </c>
      <c r="C53" s="7" t="s">
        <v>374</v>
      </c>
      <c r="D53" s="137">
        <f>'дод 1'!E102</f>
        <v>2602469</v>
      </c>
      <c r="E53" s="137">
        <f>'дод 1'!F102</f>
        <v>2602469</v>
      </c>
      <c r="F53" s="137">
        <f>'дод 1'!G102</f>
        <v>0</v>
      </c>
      <c r="G53" s="137">
        <f>'дод 1'!H102</f>
        <v>0</v>
      </c>
      <c r="H53" s="137">
        <f>'дод 1'!I102</f>
        <v>0</v>
      </c>
      <c r="I53" s="137">
        <f>'дод 1'!J102</f>
        <v>0</v>
      </c>
      <c r="J53" s="137">
        <f>'дод 1'!K102</f>
        <v>0</v>
      </c>
      <c r="K53" s="137">
        <f>'дод 1'!L102</f>
        <v>0</v>
      </c>
      <c r="L53" s="137">
        <f>'дод 1'!M102</f>
        <v>0</v>
      </c>
      <c r="M53" s="137">
        <f>'дод 1'!N102</f>
        <v>0</v>
      </c>
      <c r="N53" s="137">
        <f>'дод 1'!O102</f>
        <v>0</v>
      </c>
      <c r="O53" s="137">
        <f>'дод 1'!P102</f>
        <v>2602469</v>
      </c>
      <c r="P53" s="159"/>
    </row>
    <row r="54" spans="1:16" ht="21.75" hidden="1" customHeight="1" x14ac:dyDescent="0.25">
      <c r="A54" s="113"/>
      <c r="B54" s="113"/>
      <c r="C54" s="7" t="s">
        <v>344</v>
      </c>
      <c r="D54" s="137">
        <f>'дод 1'!E103</f>
        <v>0</v>
      </c>
      <c r="E54" s="137">
        <f>'дод 1'!F103</f>
        <v>0</v>
      </c>
      <c r="F54" s="137">
        <f>'дод 1'!G103</f>
        <v>0</v>
      </c>
      <c r="G54" s="137">
        <f>'дод 1'!H103</f>
        <v>0</v>
      </c>
      <c r="H54" s="137">
        <f>'дод 1'!I103</f>
        <v>0</v>
      </c>
      <c r="I54" s="137">
        <f>'дод 1'!J103</f>
        <v>0</v>
      </c>
      <c r="J54" s="137">
        <f>'дод 1'!K103</f>
        <v>0</v>
      </c>
      <c r="K54" s="137">
        <f>'дод 1'!L103</f>
        <v>0</v>
      </c>
      <c r="L54" s="137">
        <f>'дод 1'!M103</f>
        <v>0</v>
      </c>
      <c r="M54" s="137">
        <f>'дод 1'!N103</f>
        <v>0</v>
      </c>
      <c r="N54" s="137">
        <f>'дод 1'!O103</f>
        <v>0</v>
      </c>
      <c r="O54" s="137">
        <f>'дод 1'!P103</f>
        <v>0</v>
      </c>
      <c r="P54" s="159"/>
    </row>
    <row r="55" spans="1:16" ht="21.75" customHeight="1" x14ac:dyDescent="0.25">
      <c r="A55" s="113" t="s">
        <v>373</v>
      </c>
      <c r="B55" s="113" t="s">
        <v>92</v>
      </c>
      <c r="C55" s="7" t="s">
        <v>375</v>
      </c>
      <c r="D55" s="137">
        <f>'дод 1'!E104</f>
        <v>15286600</v>
      </c>
      <c r="E55" s="137">
        <f>'дод 1'!F104</f>
        <v>15286600</v>
      </c>
      <c r="F55" s="137">
        <f>'дод 1'!G104</f>
        <v>0</v>
      </c>
      <c r="G55" s="137">
        <f>'дод 1'!H104</f>
        <v>0</v>
      </c>
      <c r="H55" s="137">
        <f>'дод 1'!I104</f>
        <v>0</v>
      </c>
      <c r="I55" s="137">
        <f>'дод 1'!J104</f>
        <v>3000000</v>
      </c>
      <c r="J55" s="137">
        <f>'дод 1'!K104</f>
        <v>3000000</v>
      </c>
      <c r="K55" s="137">
        <f>'дод 1'!L104</f>
        <v>0</v>
      </c>
      <c r="L55" s="137">
        <f>'дод 1'!M104</f>
        <v>0</v>
      </c>
      <c r="M55" s="137">
        <f>'дод 1'!N104</f>
        <v>0</v>
      </c>
      <c r="N55" s="137">
        <f>'дод 1'!O104</f>
        <v>3000000</v>
      </c>
      <c r="O55" s="137">
        <f>'дод 1'!P104</f>
        <v>18286600</v>
      </c>
      <c r="P55" s="159"/>
    </row>
    <row r="56" spans="1:16" ht="21.75" hidden="1" customHeight="1" x14ac:dyDescent="0.25">
      <c r="A56" s="113"/>
      <c r="B56" s="113"/>
      <c r="C56" s="7" t="s">
        <v>344</v>
      </c>
      <c r="D56" s="137">
        <f>'дод 1'!E105</f>
        <v>0</v>
      </c>
      <c r="E56" s="137">
        <f>'дод 1'!F105</f>
        <v>0</v>
      </c>
      <c r="F56" s="137">
        <f>'дод 1'!G105</f>
        <v>0</v>
      </c>
      <c r="G56" s="137">
        <f>'дод 1'!H105</f>
        <v>0</v>
      </c>
      <c r="H56" s="137">
        <f>'дод 1'!I105</f>
        <v>0</v>
      </c>
      <c r="I56" s="137">
        <f>'дод 1'!J105</f>
        <v>0</v>
      </c>
      <c r="J56" s="137">
        <f>'дод 1'!K105</f>
        <v>0</v>
      </c>
      <c r="K56" s="137">
        <f>'дод 1'!L105</f>
        <v>0</v>
      </c>
      <c r="L56" s="137">
        <f>'дод 1'!M105</f>
        <v>0</v>
      </c>
      <c r="M56" s="137">
        <f>'дод 1'!N105</f>
        <v>0</v>
      </c>
      <c r="N56" s="137">
        <f>'дод 1'!O105</f>
        <v>0</v>
      </c>
      <c r="O56" s="137">
        <f>'дод 1'!P105</f>
        <v>0</v>
      </c>
      <c r="P56" s="159"/>
    </row>
    <row r="57" spans="1:16" s="12" customFormat="1" ht="34.5" customHeight="1" x14ac:dyDescent="0.25">
      <c r="A57" s="114" t="s">
        <v>93</v>
      </c>
      <c r="B57" s="117"/>
      <c r="C57" s="6" t="s">
        <v>94</v>
      </c>
      <c r="D57" s="136">
        <f t="shared" ref="D57:H57" si="6">SUM(D59+D61+D63+D65+D67+D68+D69+D70+D71+D72+D74+D76+D78+D80+D82+D84+D86+D88+D89+D91+D93+D95+D97+D99+D101+D103+D104+D105+D106+D107+D108+D109+D110+D111+D112+D113+D114+D115+D116+D117+D126+D128+D129+D124+D118+D122+D120)</f>
        <v>662021838.32999992</v>
      </c>
      <c r="E57" s="136">
        <f t="shared" si="6"/>
        <v>662021838.32999992</v>
      </c>
      <c r="F57" s="136">
        <f t="shared" si="6"/>
        <v>14307321</v>
      </c>
      <c r="G57" s="136">
        <f t="shared" si="6"/>
        <v>968952</v>
      </c>
      <c r="H57" s="136">
        <f t="shared" si="6"/>
        <v>0</v>
      </c>
      <c r="I57" s="136">
        <f>SUM(I59+I61+I63+I65+I67+I68+I69+I70+I71+I72+I74+I76+I78+I80+I82+I84+I86+I88+I89+I91+I93+I95+I97+I99+I101+I103+I104+I105+I106+I107+I108+I109+I110+I111+I112+I113+I114+I115+I116+I117+I126+I128+I129+I124+I118+I122+I120)</f>
        <v>7322007.9100000001</v>
      </c>
      <c r="J57" s="136">
        <f>SUM(J59+J61+J63+J65+J67+J68+J69+J70+J71+J72+J74+J76+J78+J80+J82+J84+J86+J88+J89+J91+J93+J95+J97+J99+J101+J103+J104+J105+J106+J107+J108+J109+J110+J111+J112+J113+J114+J115+J116+J117+J126+J128+J129+J124+J118+J122+J120)</f>
        <v>5713489.9100000001</v>
      </c>
      <c r="K57" s="136">
        <f t="shared" ref="K57:N57" si="7">SUM(K59+K61+K63+K65+K67+K68+K69+K70+K71+K72+K74+K76+K78+K80+K82+K84+K86+K88+K89+K91+K93+K95+K97+K99+K101+K103+K104+K105+K106+K107+K108+K109+K110+K111+K112+K113+K114+K115+K116+K117+K126+K128+K129+K124+K118+K122+K120)</f>
        <v>95530</v>
      </c>
      <c r="L57" s="136">
        <f t="shared" si="7"/>
        <v>75100</v>
      </c>
      <c r="M57" s="136">
        <f t="shared" si="7"/>
        <v>0</v>
      </c>
      <c r="N57" s="136">
        <f t="shared" si="7"/>
        <v>7226477.9100000001</v>
      </c>
      <c r="O57" s="136">
        <f>SUM(O59+O61+O63+O65+O67+O68+O69+O70+O71+O72+O74+O76+O78+O80+O82+O84+O86+O88+O89+O91+O93+O95+O97+O99+O101+O103+O104+O105+O106+O107+O108+O109+O110+O111+O112+O113+O114+O115+O116+O117+O126+O128+O129+O124+O118+O122+O120)</f>
        <v>669343846.23999989</v>
      </c>
      <c r="P57" s="159"/>
    </row>
    <row r="58" spans="1:16" s="12" customFormat="1" ht="21.75" customHeight="1" x14ac:dyDescent="0.25">
      <c r="A58" s="114"/>
      <c r="B58" s="117"/>
      <c r="C58" s="6" t="s">
        <v>344</v>
      </c>
      <c r="D58" s="136">
        <f>SUM(D60+D62+D64+D66+D73+D75+D77+D79+D81+D83+D85+D87+D90+D92+D94+D96+D98+D100+D102+D127+D125+D119+D123+D121)</f>
        <v>517576738.50999999</v>
      </c>
      <c r="E58" s="136">
        <f t="shared" ref="E58:O58" si="8">SUM(E60+E62+E64+E66+E73+E75+E77+E79+E81+E83+E85+E87+E90+E92+E94+E96+E98+E100+E102+E127+E125+E119+E123+E121)</f>
        <v>517576738.50999999</v>
      </c>
      <c r="F58" s="136">
        <f t="shared" si="8"/>
        <v>0</v>
      </c>
      <c r="G58" s="136">
        <f t="shared" si="8"/>
        <v>0</v>
      </c>
      <c r="H58" s="136">
        <f t="shared" si="8"/>
        <v>0</v>
      </c>
      <c r="I58" s="136">
        <f t="shared" si="8"/>
        <v>6355177.9100000001</v>
      </c>
      <c r="J58" s="136">
        <f t="shared" si="8"/>
        <v>4842189.91</v>
      </c>
      <c r="K58" s="136">
        <f t="shared" si="8"/>
        <v>0</v>
      </c>
      <c r="L58" s="136">
        <f t="shared" si="8"/>
        <v>0</v>
      </c>
      <c r="M58" s="136">
        <f t="shared" si="8"/>
        <v>0</v>
      </c>
      <c r="N58" s="136">
        <f t="shared" si="8"/>
        <v>6355177.9100000001</v>
      </c>
      <c r="O58" s="136">
        <f t="shared" si="8"/>
        <v>523931916.42000002</v>
      </c>
      <c r="P58" s="159"/>
    </row>
    <row r="59" spans="1:16" ht="49.5" customHeight="1" x14ac:dyDescent="0.25">
      <c r="A59" s="113" t="s">
        <v>428</v>
      </c>
      <c r="B59" s="118">
        <v>1030</v>
      </c>
      <c r="C59" s="7" t="s">
        <v>432</v>
      </c>
      <c r="D59" s="137">
        <f>'дод 1'!E120</f>
        <v>67044871.689999998</v>
      </c>
      <c r="E59" s="137">
        <f>'дод 1'!F120</f>
        <v>67044871.689999998</v>
      </c>
      <c r="F59" s="137">
        <f>'дод 1'!G120</f>
        <v>0</v>
      </c>
      <c r="G59" s="137">
        <f>'дод 1'!H120</f>
        <v>0</v>
      </c>
      <c r="H59" s="137">
        <f>'дод 1'!I120</f>
        <v>0</v>
      </c>
      <c r="I59" s="137">
        <f>'дод 1'!J120</f>
        <v>0</v>
      </c>
      <c r="J59" s="137">
        <f>'дод 1'!K120</f>
        <v>0</v>
      </c>
      <c r="K59" s="137">
        <f>'дод 1'!L120</f>
        <v>0</v>
      </c>
      <c r="L59" s="137">
        <f>'дод 1'!M120</f>
        <v>0</v>
      </c>
      <c r="M59" s="137">
        <f>'дод 1'!N120</f>
        <v>0</v>
      </c>
      <c r="N59" s="137">
        <f>'дод 1'!O120</f>
        <v>0</v>
      </c>
      <c r="O59" s="137">
        <f>'дод 1'!P120</f>
        <v>67044871.689999998</v>
      </c>
      <c r="P59" s="159"/>
    </row>
    <row r="60" spans="1:16" ht="21.75" customHeight="1" x14ac:dyDescent="0.25">
      <c r="A60" s="113"/>
      <c r="B60" s="118"/>
      <c r="C60" s="7" t="s">
        <v>344</v>
      </c>
      <c r="D60" s="137">
        <f>'дод 1'!E121</f>
        <v>67044871.689999998</v>
      </c>
      <c r="E60" s="137">
        <f>'дод 1'!F121</f>
        <v>67044871.689999998</v>
      </c>
      <c r="F60" s="137">
        <f>'дод 1'!G121</f>
        <v>0</v>
      </c>
      <c r="G60" s="137">
        <f>'дод 1'!H121</f>
        <v>0</v>
      </c>
      <c r="H60" s="137">
        <f>'дод 1'!I121</f>
        <v>0</v>
      </c>
      <c r="I60" s="137">
        <f>'дод 1'!J121</f>
        <v>0</v>
      </c>
      <c r="J60" s="137">
        <f>'дод 1'!K121</f>
        <v>0</v>
      </c>
      <c r="K60" s="137">
        <f>'дод 1'!L121</f>
        <v>0</v>
      </c>
      <c r="L60" s="137">
        <f>'дод 1'!M121</f>
        <v>0</v>
      </c>
      <c r="M60" s="137">
        <f>'дод 1'!N121</f>
        <v>0</v>
      </c>
      <c r="N60" s="137">
        <f>'дод 1'!O121</f>
        <v>0</v>
      </c>
      <c r="O60" s="137">
        <f>'дод 1'!P121</f>
        <v>67044871.689999998</v>
      </c>
      <c r="P60" s="159"/>
    </row>
    <row r="61" spans="1:16" ht="33" customHeight="1" x14ac:dyDescent="0.25">
      <c r="A61" s="113" t="s">
        <v>429</v>
      </c>
      <c r="B61" s="118">
        <v>1060</v>
      </c>
      <c r="C61" s="7" t="s">
        <v>433</v>
      </c>
      <c r="D61" s="137">
        <f>'дод 1'!E122</f>
        <v>107964966.81999999</v>
      </c>
      <c r="E61" s="137">
        <f>'дод 1'!F122</f>
        <v>107964966.81999999</v>
      </c>
      <c r="F61" s="137">
        <f>'дод 1'!G122</f>
        <v>0</v>
      </c>
      <c r="G61" s="137">
        <f>'дод 1'!H122</f>
        <v>0</v>
      </c>
      <c r="H61" s="137">
        <f>'дод 1'!I122</f>
        <v>0</v>
      </c>
      <c r="I61" s="137">
        <f>'дод 1'!J122</f>
        <v>0</v>
      </c>
      <c r="J61" s="137">
        <f>'дод 1'!K122</f>
        <v>0</v>
      </c>
      <c r="K61" s="137">
        <f>'дод 1'!L122</f>
        <v>0</v>
      </c>
      <c r="L61" s="137">
        <f>'дод 1'!M122</f>
        <v>0</v>
      </c>
      <c r="M61" s="137">
        <f>'дод 1'!N122</f>
        <v>0</v>
      </c>
      <c r="N61" s="137">
        <f>'дод 1'!O122</f>
        <v>0</v>
      </c>
      <c r="O61" s="137">
        <f>'дод 1'!P122</f>
        <v>107964966.81999999</v>
      </c>
      <c r="P61" s="159"/>
    </row>
    <row r="62" spans="1:16" ht="21.75" customHeight="1" x14ac:dyDescent="0.25">
      <c r="A62" s="113"/>
      <c r="B62" s="119"/>
      <c r="C62" s="7" t="s">
        <v>344</v>
      </c>
      <c r="D62" s="137">
        <f>'дод 1'!E123</f>
        <v>107964966.81999999</v>
      </c>
      <c r="E62" s="137">
        <f>'дод 1'!F123</f>
        <v>107964966.81999999</v>
      </c>
      <c r="F62" s="137">
        <f>'дод 1'!G123</f>
        <v>0</v>
      </c>
      <c r="G62" s="137">
        <f>'дод 1'!H123</f>
        <v>0</v>
      </c>
      <c r="H62" s="137">
        <f>'дод 1'!I123</f>
        <v>0</v>
      </c>
      <c r="I62" s="137">
        <f>'дод 1'!J123</f>
        <v>0</v>
      </c>
      <c r="J62" s="137">
        <f>'дод 1'!K123</f>
        <v>0</v>
      </c>
      <c r="K62" s="137">
        <f>'дод 1'!L123</f>
        <v>0</v>
      </c>
      <c r="L62" s="137">
        <f>'дод 1'!M123</f>
        <v>0</v>
      </c>
      <c r="M62" s="137">
        <f>'дод 1'!N123</f>
        <v>0</v>
      </c>
      <c r="N62" s="137">
        <f>'дод 1'!O123</f>
        <v>0</v>
      </c>
      <c r="O62" s="137">
        <f>'дод 1'!P123</f>
        <v>107964966.81999999</v>
      </c>
      <c r="P62" s="159"/>
    </row>
    <row r="63" spans="1:16" ht="64.5" customHeight="1" x14ac:dyDescent="0.25">
      <c r="A63" s="113" t="s">
        <v>430</v>
      </c>
      <c r="B63" s="118">
        <v>1030</v>
      </c>
      <c r="C63" s="7" t="s">
        <v>434</v>
      </c>
      <c r="D63" s="137">
        <f>'дод 1'!E124</f>
        <v>60013</v>
      </c>
      <c r="E63" s="137">
        <f>'дод 1'!F124</f>
        <v>60013</v>
      </c>
      <c r="F63" s="137">
        <f>'дод 1'!G124</f>
        <v>0</v>
      </c>
      <c r="G63" s="137">
        <f>'дод 1'!H124</f>
        <v>0</v>
      </c>
      <c r="H63" s="137">
        <f>'дод 1'!I124</f>
        <v>0</v>
      </c>
      <c r="I63" s="137">
        <f>'дод 1'!J124</f>
        <v>0</v>
      </c>
      <c r="J63" s="137">
        <f>'дод 1'!K124</f>
        <v>0</v>
      </c>
      <c r="K63" s="137">
        <f>'дод 1'!L124</f>
        <v>0</v>
      </c>
      <c r="L63" s="137">
        <f>'дод 1'!M124</f>
        <v>0</v>
      </c>
      <c r="M63" s="137">
        <f>'дод 1'!N124</f>
        <v>0</v>
      </c>
      <c r="N63" s="137">
        <f>'дод 1'!O124</f>
        <v>0</v>
      </c>
      <c r="O63" s="137">
        <f>'дод 1'!P124</f>
        <v>60013</v>
      </c>
      <c r="P63" s="159"/>
    </row>
    <row r="64" spans="1:16" ht="21.75" customHeight="1" x14ac:dyDescent="0.25">
      <c r="A64" s="113"/>
      <c r="B64" s="119"/>
      <c r="C64" s="7" t="s">
        <v>344</v>
      </c>
      <c r="D64" s="137">
        <f>'дод 1'!E125</f>
        <v>60013</v>
      </c>
      <c r="E64" s="137">
        <f>'дод 1'!F125</f>
        <v>60013</v>
      </c>
      <c r="F64" s="137">
        <f>'дод 1'!G125</f>
        <v>0</v>
      </c>
      <c r="G64" s="137">
        <f>'дод 1'!H125</f>
        <v>0</v>
      </c>
      <c r="H64" s="137">
        <f>'дод 1'!I125</f>
        <v>0</v>
      </c>
      <c r="I64" s="137">
        <f>'дод 1'!J125</f>
        <v>0</v>
      </c>
      <c r="J64" s="137">
        <f>'дод 1'!K125</f>
        <v>0</v>
      </c>
      <c r="K64" s="137">
        <f>'дод 1'!L125</f>
        <v>0</v>
      </c>
      <c r="L64" s="137">
        <f>'дод 1'!M125</f>
        <v>0</v>
      </c>
      <c r="M64" s="137">
        <f>'дод 1'!N125</f>
        <v>0</v>
      </c>
      <c r="N64" s="137">
        <f>'дод 1'!O125</f>
        <v>0</v>
      </c>
      <c r="O64" s="137">
        <f>'дод 1'!P125</f>
        <v>60013</v>
      </c>
      <c r="P64" s="159"/>
    </row>
    <row r="65" spans="1:16" ht="55.5" customHeight="1" x14ac:dyDescent="0.25">
      <c r="A65" s="113" t="s">
        <v>431</v>
      </c>
      <c r="B65" s="118">
        <v>1060</v>
      </c>
      <c r="C65" s="7" t="s">
        <v>435</v>
      </c>
      <c r="D65" s="137">
        <f>'дод 1'!E126</f>
        <v>292387</v>
      </c>
      <c r="E65" s="137">
        <f>'дод 1'!F126</f>
        <v>292387</v>
      </c>
      <c r="F65" s="137">
        <f>'дод 1'!G126</f>
        <v>0</v>
      </c>
      <c r="G65" s="137">
        <f>'дод 1'!H126</f>
        <v>0</v>
      </c>
      <c r="H65" s="137">
        <f>'дод 1'!I126</f>
        <v>0</v>
      </c>
      <c r="I65" s="137">
        <f>'дод 1'!J126</f>
        <v>0</v>
      </c>
      <c r="J65" s="137">
        <f>'дод 1'!K126</f>
        <v>0</v>
      </c>
      <c r="K65" s="137">
        <f>'дод 1'!L126</f>
        <v>0</v>
      </c>
      <c r="L65" s="137">
        <f>'дод 1'!M126</f>
        <v>0</v>
      </c>
      <c r="M65" s="137">
        <f>'дод 1'!N126</f>
        <v>0</v>
      </c>
      <c r="N65" s="137">
        <f>'дод 1'!O126</f>
        <v>0</v>
      </c>
      <c r="O65" s="137">
        <f>'дод 1'!P126</f>
        <v>292387</v>
      </c>
      <c r="P65" s="159"/>
    </row>
    <row r="66" spans="1:16" ht="21.75" customHeight="1" x14ac:dyDescent="0.25">
      <c r="A66" s="113"/>
      <c r="B66" s="119"/>
      <c r="C66" s="7" t="s">
        <v>344</v>
      </c>
      <c r="D66" s="137">
        <f>'дод 1'!E127</f>
        <v>292387</v>
      </c>
      <c r="E66" s="137">
        <f>'дод 1'!F127</f>
        <v>292387</v>
      </c>
      <c r="F66" s="137">
        <f>'дод 1'!G127</f>
        <v>0</v>
      </c>
      <c r="G66" s="137">
        <f>'дод 1'!H127</f>
        <v>0</v>
      </c>
      <c r="H66" s="137">
        <f>'дод 1'!I127</f>
        <v>0</v>
      </c>
      <c r="I66" s="137">
        <f>'дод 1'!J127</f>
        <v>0</v>
      </c>
      <c r="J66" s="137">
        <f>'дод 1'!K127</f>
        <v>0</v>
      </c>
      <c r="K66" s="137">
        <f>'дод 1'!L127</f>
        <v>0</v>
      </c>
      <c r="L66" s="137">
        <f>'дод 1'!M127</f>
        <v>0</v>
      </c>
      <c r="M66" s="137">
        <f>'дод 1'!N127</f>
        <v>0</v>
      </c>
      <c r="N66" s="137">
        <f>'дод 1'!O127</f>
        <v>0</v>
      </c>
      <c r="O66" s="137">
        <f>'дод 1'!P127</f>
        <v>292387</v>
      </c>
      <c r="P66" s="159"/>
    </row>
    <row r="67" spans="1:16" ht="45" customHeight="1" x14ac:dyDescent="0.25">
      <c r="A67" s="113" t="s">
        <v>130</v>
      </c>
      <c r="B67" s="113" t="s">
        <v>76</v>
      </c>
      <c r="C67" s="7" t="s">
        <v>165</v>
      </c>
      <c r="D67" s="137">
        <f>'дод 1'!E128</f>
        <v>563976</v>
      </c>
      <c r="E67" s="137">
        <f>'дод 1'!F128</f>
        <v>563976</v>
      </c>
      <c r="F67" s="137">
        <f>'дод 1'!G128</f>
        <v>0</v>
      </c>
      <c r="G67" s="137">
        <f>'дод 1'!H128</f>
        <v>0</v>
      </c>
      <c r="H67" s="137">
        <f>'дод 1'!I128</f>
        <v>0</v>
      </c>
      <c r="I67" s="137">
        <f>'дод 1'!J128</f>
        <v>0</v>
      </c>
      <c r="J67" s="137">
        <f>'дод 1'!K128</f>
        <v>0</v>
      </c>
      <c r="K67" s="137">
        <f>'дод 1'!L128</f>
        <v>0</v>
      </c>
      <c r="L67" s="137">
        <f>'дод 1'!M128</f>
        <v>0</v>
      </c>
      <c r="M67" s="137">
        <f>'дод 1'!N128</f>
        <v>0</v>
      </c>
      <c r="N67" s="137">
        <f>'дод 1'!O128</f>
        <v>0</v>
      </c>
      <c r="O67" s="137">
        <f>'дод 1'!P128</f>
        <v>563976</v>
      </c>
      <c r="P67" s="159"/>
    </row>
    <row r="68" spans="1:16" ht="32.25" customHeight="1" x14ac:dyDescent="0.25">
      <c r="A68" s="113" t="s">
        <v>167</v>
      </c>
      <c r="B68" s="113" t="s">
        <v>78</v>
      </c>
      <c r="C68" s="7" t="s">
        <v>166</v>
      </c>
      <c r="D68" s="137">
        <f>'дод 1'!E129</f>
        <v>1342557</v>
      </c>
      <c r="E68" s="137">
        <f>'дод 1'!F129</f>
        <v>1342557</v>
      </c>
      <c r="F68" s="137">
        <f>'дод 1'!G129</f>
        <v>0</v>
      </c>
      <c r="G68" s="137">
        <f>'дод 1'!H129</f>
        <v>0</v>
      </c>
      <c r="H68" s="137">
        <f>'дод 1'!I129</f>
        <v>0</v>
      </c>
      <c r="I68" s="137">
        <f>'дод 1'!J129</f>
        <v>0</v>
      </c>
      <c r="J68" s="137">
        <f>'дод 1'!K129</f>
        <v>0</v>
      </c>
      <c r="K68" s="137">
        <f>'дод 1'!L129</f>
        <v>0</v>
      </c>
      <c r="L68" s="137">
        <f>'дод 1'!M129</f>
        <v>0</v>
      </c>
      <c r="M68" s="137">
        <f>'дод 1'!N129</f>
        <v>0</v>
      </c>
      <c r="N68" s="137">
        <f>'дод 1'!O129</f>
        <v>0</v>
      </c>
      <c r="O68" s="137">
        <f>'дод 1'!P129</f>
        <v>1342557</v>
      </c>
      <c r="P68" s="159"/>
    </row>
    <row r="69" spans="1:16" ht="54.75" customHeight="1" x14ac:dyDescent="0.25">
      <c r="A69" s="113" t="s">
        <v>131</v>
      </c>
      <c r="B69" s="113" t="s">
        <v>78</v>
      </c>
      <c r="C69" s="7" t="s">
        <v>64</v>
      </c>
      <c r="D69" s="137">
        <f>'дод 1'!E130+'дод 1'!E17</f>
        <v>24275978.820000004</v>
      </c>
      <c r="E69" s="137">
        <f>'дод 1'!F130+'дод 1'!F17</f>
        <v>24275978.820000004</v>
      </c>
      <c r="F69" s="137">
        <f>'дод 1'!G130+'дод 1'!G17</f>
        <v>0</v>
      </c>
      <c r="G69" s="137">
        <f>'дод 1'!H130+'дод 1'!H17</f>
        <v>0</v>
      </c>
      <c r="H69" s="137">
        <f>'дод 1'!I130+'дод 1'!I17</f>
        <v>0</v>
      </c>
      <c r="I69" s="137">
        <f>'дод 1'!J130+'дод 1'!J17</f>
        <v>0</v>
      </c>
      <c r="J69" s="137">
        <f>'дод 1'!K130+'дод 1'!K17</f>
        <v>0</v>
      </c>
      <c r="K69" s="137">
        <f>'дод 1'!L130+'дод 1'!L17</f>
        <v>0</v>
      </c>
      <c r="L69" s="137">
        <f>'дод 1'!M130+'дод 1'!M17</f>
        <v>0</v>
      </c>
      <c r="M69" s="137">
        <f>'дод 1'!N130+'дод 1'!N17</f>
        <v>0</v>
      </c>
      <c r="N69" s="137">
        <f>'дод 1'!O130+'дод 1'!O17</f>
        <v>0</v>
      </c>
      <c r="O69" s="137">
        <f>'дод 1'!P130+'дод 1'!P17</f>
        <v>24275978.820000004</v>
      </c>
      <c r="P69" s="159"/>
    </row>
    <row r="70" spans="1:16" ht="31.5" x14ac:dyDescent="0.25">
      <c r="A70" s="113" t="s">
        <v>494</v>
      </c>
      <c r="B70" s="113" t="s">
        <v>78</v>
      </c>
      <c r="C70" s="7" t="s">
        <v>493</v>
      </c>
      <c r="D70" s="137">
        <f>'дод 1'!E131</f>
        <v>2000000</v>
      </c>
      <c r="E70" s="137">
        <f>'дод 1'!F131</f>
        <v>2000000</v>
      </c>
      <c r="F70" s="137">
        <f>'дод 1'!G131</f>
        <v>0</v>
      </c>
      <c r="G70" s="137">
        <f>'дод 1'!H131</f>
        <v>0</v>
      </c>
      <c r="H70" s="137">
        <f>'дод 1'!I131</f>
        <v>0</v>
      </c>
      <c r="I70" s="137">
        <f>'дод 1'!J131</f>
        <v>0</v>
      </c>
      <c r="J70" s="137">
        <f>'дод 1'!K131</f>
        <v>0</v>
      </c>
      <c r="K70" s="137">
        <f>'дод 1'!L131</f>
        <v>0</v>
      </c>
      <c r="L70" s="137">
        <f>'дод 1'!M131</f>
        <v>0</v>
      </c>
      <c r="M70" s="137">
        <f>'дод 1'!N131</f>
        <v>0</v>
      </c>
      <c r="N70" s="137">
        <f>'дод 1'!O131</f>
        <v>0</v>
      </c>
      <c r="O70" s="137">
        <f>'дод 1'!P131</f>
        <v>2000000</v>
      </c>
      <c r="P70" s="159"/>
    </row>
    <row r="71" spans="1:16" ht="45" customHeight="1" x14ac:dyDescent="0.25">
      <c r="A71" s="113" t="s">
        <v>168</v>
      </c>
      <c r="B71" s="113" t="s">
        <v>78</v>
      </c>
      <c r="C71" s="7" t="s">
        <v>32</v>
      </c>
      <c r="D71" s="137">
        <f>'дод 1'!E132+'дод 1'!E18</f>
        <v>39142478</v>
      </c>
      <c r="E71" s="137">
        <f>'дод 1'!F132+'дод 1'!F18</f>
        <v>39142478</v>
      </c>
      <c r="F71" s="137">
        <f>'дод 1'!G132+'дод 1'!G18</f>
        <v>0</v>
      </c>
      <c r="G71" s="137">
        <f>'дод 1'!H132+'дод 1'!H18</f>
        <v>0</v>
      </c>
      <c r="H71" s="137">
        <f>'дод 1'!I132+'дод 1'!I18</f>
        <v>0</v>
      </c>
      <c r="I71" s="137">
        <f>'дод 1'!J132+'дод 1'!J18</f>
        <v>0</v>
      </c>
      <c r="J71" s="137">
        <f>'дод 1'!K132+'дод 1'!K18</f>
        <v>0</v>
      </c>
      <c r="K71" s="137">
        <f>'дод 1'!L132+'дод 1'!L18</f>
        <v>0</v>
      </c>
      <c r="L71" s="137">
        <f>'дод 1'!M132+'дод 1'!M18</f>
        <v>0</v>
      </c>
      <c r="M71" s="137">
        <f>'дод 1'!N132+'дод 1'!N18</f>
        <v>0</v>
      </c>
      <c r="N71" s="137">
        <f>'дод 1'!O132+'дод 1'!O18</f>
        <v>0</v>
      </c>
      <c r="O71" s="137">
        <f>'дод 1'!P132+'дод 1'!P18</f>
        <v>39142478</v>
      </c>
      <c r="P71" s="159"/>
    </row>
    <row r="72" spans="1:16" ht="27" customHeight="1" x14ac:dyDescent="0.25">
      <c r="A72" s="113" t="s">
        <v>440</v>
      </c>
      <c r="B72" s="113" t="s">
        <v>132</v>
      </c>
      <c r="C72" s="7" t="s">
        <v>447</v>
      </c>
      <c r="D72" s="137">
        <f>'дод 1'!E133</f>
        <v>2680550</v>
      </c>
      <c r="E72" s="137">
        <f>'дод 1'!F133</f>
        <v>2680550</v>
      </c>
      <c r="F72" s="137">
        <f>'дод 1'!G133</f>
        <v>0</v>
      </c>
      <c r="G72" s="137">
        <f>'дод 1'!H133</f>
        <v>0</v>
      </c>
      <c r="H72" s="137">
        <f>'дод 1'!I133</f>
        <v>0</v>
      </c>
      <c r="I72" s="137">
        <f>'дод 1'!J133</f>
        <v>0</v>
      </c>
      <c r="J72" s="137">
        <f>'дод 1'!K133</f>
        <v>0</v>
      </c>
      <c r="K72" s="137">
        <f>'дод 1'!L133</f>
        <v>0</v>
      </c>
      <c r="L72" s="137">
        <f>'дод 1'!M133</f>
        <v>0</v>
      </c>
      <c r="M72" s="137">
        <f>'дод 1'!N133</f>
        <v>0</v>
      </c>
      <c r="N72" s="137">
        <f>'дод 1'!O133</f>
        <v>0</v>
      </c>
      <c r="O72" s="137">
        <f>'дод 1'!P133</f>
        <v>2680550</v>
      </c>
      <c r="P72" s="159"/>
    </row>
    <row r="73" spans="1:16" ht="21.75" customHeight="1" x14ac:dyDescent="0.25">
      <c r="A73" s="113"/>
      <c r="B73" s="113"/>
      <c r="C73" s="7" t="s">
        <v>344</v>
      </c>
      <c r="D73" s="137">
        <f>'дод 1'!E134</f>
        <v>2680550</v>
      </c>
      <c r="E73" s="137">
        <f>'дод 1'!F134</f>
        <v>2680550</v>
      </c>
      <c r="F73" s="137">
        <f>'дод 1'!G134</f>
        <v>0</v>
      </c>
      <c r="G73" s="137">
        <f>'дод 1'!H134</f>
        <v>0</v>
      </c>
      <c r="H73" s="137">
        <f>'дод 1'!I134</f>
        <v>0</v>
      </c>
      <c r="I73" s="137">
        <f>'дод 1'!J134</f>
        <v>0</v>
      </c>
      <c r="J73" s="137">
        <f>'дод 1'!K134</f>
        <v>0</v>
      </c>
      <c r="K73" s="137">
        <f>'дод 1'!L134</f>
        <v>0</v>
      </c>
      <c r="L73" s="137">
        <f>'дод 1'!M134</f>
        <v>0</v>
      </c>
      <c r="M73" s="137">
        <f>'дод 1'!N134</f>
        <v>0</v>
      </c>
      <c r="N73" s="137">
        <f>'дод 1'!O134</f>
        <v>0</v>
      </c>
      <c r="O73" s="137">
        <f>'дод 1'!P134</f>
        <v>2680550</v>
      </c>
      <c r="P73" s="159"/>
    </row>
    <row r="74" spans="1:16" ht="27" customHeight="1" x14ac:dyDescent="0.25">
      <c r="A74" s="113" t="s">
        <v>441</v>
      </c>
      <c r="B74" s="113" t="s">
        <v>132</v>
      </c>
      <c r="C74" s="7" t="s">
        <v>448</v>
      </c>
      <c r="D74" s="137">
        <f>'дод 1'!E135</f>
        <v>516000</v>
      </c>
      <c r="E74" s="137">
        <f>'дод 1'!F135</f>
        <v>516000</v>
      </c>
      <c r="F74" s="137">
        <f>'дод 1'!G135</f>
        <v>0</v>
      </c>
      <c r="G74" s="137">
        <f>'дод 1'!H135</f>
        <v>0</v>
      </c>
      <c r="H74" s="137">
        <f>'дод 1'!I135</f>
        <v>0</v>
      </c>
      <c r="I74" s="137">
        <f>'дод 1'!J135</f>
        <v>0</v>
      </c>
      <c r="J74" s="137">
        <f>'дод 1'!K135</f>
        <v>0</v>
      </c>
      <c r="K74" s="137">
        <f>'дод 1'!L135</f>
        <v>0</v>
      </c>
      <c r="L74" s="137">
        <f>'дод 1'!M135</f>
        <v>0</v>
      </c>
      <c r="M74" s="137">
        <f>'дод 1'!N135</f>
        <v>0</v>
      </c>
      <c r="N74" s="137">
        <f>'дод 1'!O135</f>
        <v>0</v>
      </c>
      <c r="O74" s="137">
        <f>'дод 1'!P135</f>
        <v>516000</v>
      </c>
      <c r="P74" s="159"/>
    </row>
    <row r="75" spans="1:16" ht="25.5" customHeight="1" x14ac:dyDescent="0.25">
      <c r="A75" s="113"/>
      <c r="B75" s="113"/>
      <c r="C75" s="7" t="s">
        <v>344</v>
      </c>
      <c r="D75" s="137">
        <f>'дод 1'!E136</f>
        <v>516000</v>
      </c>
      <c r="E75" s="137">
        <f>'дод 1'!F136</f>
        <v>516000</v>
      </c>
      <c r="F75" s="137">
        <f>'дод 1'!G136</f>
        <v>0</v>
      </c>
      <c r="G75" s="137">
        <f>'дод 1'!H136</f>
        <v>0</v>
      </c>
      <c r="H75" s="137">
        <f>'дод 1'!I136</f>
        <v>0</v>
      </c>
      <c r="I75" s="137">
        <f>'дод 1'!J136</f>
        <v>0</v>
      </c>
      <c r="J75" s="137">
        <f>'дод 1'!K136</f>
        <v>0</v>
      </c>
      <c r="K75" s="137">
        <f>'дод 1'!L136</f>
        <v>0</v>
      </c>
      <c r="L75" s="137">
        <f>'дод 1'!M136</f>
        <v>0</v>
      </c>
      <c r="M75" s="137">
        <f>'дод 1'!N136</f>
        <v>0</v>
      </c>
      <c r="N75" s="137">
        <f>'дод 1'!O136</f>
        <v>0</v>
      </c>
      <c r="O75" s="137">
        <f>'дод 1'!P136</f>
        <v>516000</v>
      </c>
      <c r="P75" s="159"/>
    </row>
    <row r="76" spans="1:16" ht="27" customHeight="1" x14ac:dyDescent="0.25">
      <c r="A76" s="113" t="s">
        <v>442</v>
      </c>
      <c r="B76" s="113" t="s">
        <v>132</v>
      </c>
      <c r="C76" s="7" t="s">
        <v>449</v>
      </c>
      <c r="D76" s="137">
        <f>'дод 1'!E137</f>
        <v>122211100</v>
      </c>
      <c r="E76" s="137">
        <f>'дод 1'!F137</f>
        <v>122211100</v>
      </c>
      <c r="F76" s="137">
        <f>'дод 1'!G137</f>
        <v>0</v>
      </c>
      <c r="G76" s="137">
        <f>'дод 1'!H137</f>
        <v>0</v>
      </c>
      <c r="H76" s="137">
        <f>'дод 1'!I137</f>
        <v>0</v>
      </c>
      <c r="I76" s="137">
        <f>'дод 1'!J137</f>
        <v>0</v>
      </c>
      <c r="J76" s="137">
        <f>'дод 1'!K137</f>
        <v>0</v>
      </c>
      <c r="K76" s="137">
        <f>'дод 1'!L137</f>
        <v>0</v>
      </c>
      <c r="L76" s="137">
        <f>'дод 1'!M137</f>
        <v>0</v>
      </c>
      <c r="M76" s="137">
        <f>'дод 1'!N137</f>
        <v>0</v>
      </c>
      <c r="N76" s="137">
        <f>'дод 1'!O137</f>
        <v>0</v>
      </c>
      <c r="O76" s="137">
        <f>'дод 1'!P137</f>
        <v>122211100</v>
      </c>
      <c r="P76" s="159"/>
    </row>
    <row r="77" spans="1:16" ht="19.5" customHeight="1" x14ac:dyDescent="0.25">
      <c r="A77" s="113"/>
      <c r="B77" s="113"/>
      <c r="C77" s="7" t="s">
        <v>344</v>
      </c>
      <c r="D77" s="137">
        <f>'дод 1'!E138</f>
        <v>122211100</v>
      </c>
      <c r="E77" s="137">
        <f>'дод 1'!F138</f>
        <v>122211100</v>
      </c>
      <c r="F77" s="137">
        <f>'дод 1'!G138</f>
        <v>0</v>
      </c>
      <c r="G77" s="137">
        <f>'дод 1'!H138</f>
        <v>0</v>
      </c>
      <c r="H77" s="137">
        <f>'дод 1'!I138</f>
        <v>0</v>
      </c>
      <c r="I77" s="137">
        <f>'дод 1'!J138</f>
        <v>0</v>
      </c>
      <c r="J77" s="137">
        <f>'дод 1'!K138</f>
        <v>0</v>
      </c>
      <c r="K77" s="137">
        <f>'дод 1'!L138</f>
        <v>0</v>
      </c>
      <c r="L77" s="137">
        <f>'дод 1'!M138</f>
        <v>0</v>
      </c>
      <c r="M77" s="137">
        <f>'дод 1'!N138</f>
        <v>0</v>
      </c>
      <c r="N77" s="137">
        <f>'дод 1'!O138</f>
        <v>0</v>
      </c>
      <c r="O77" s="137">
        <f>'дод 1'!P138</f>
        <v>122211100</v>
      </c>
      <c r="P77" s="159"/>
    </row>
    <row r="78" spans="1:16" ht="36" customHeight="1" x14ac:dyDescent="0.25">
      <c r="A78" s="113" t="s">
        <v>443</v>
      </c>
      <c r="B78" s="113" t="s">
        <v>132</v>
      </c>
      <c r="C78" s="7" t="s">
        <v>450</v>
      </c>
      <c r="D78" s="137">
        <f>'дод 1'!E139</f>
        <v>10189800</v>
      </c>
      <c r="E78" s="137">
        <f>'дод 1'!F139</f>
        <v>10189800</v>
      </c>
      <c r="F78" s="137">
        <f>'дод 1'!G139</f>
        <v>0</v>
      </c>
      <c r="G78" s="137">
        <f>'дод 1'!H139</f>
        <v>0</v>
      </c>
      <c r="H78" s="137">
        <f>'дод 1'!I139</f>
        <v>0</v>
      </c>
      <c r="I78" s="137">
        <f>'дод 1'!J139</f>
        <v>0</v>
      </c>
      <c r="J78" s="137">
        <f>'дод 1'!K139</f>
        <v>0</v>
      </c>
      <c r="K78" s="137">
        <f>'дод 1'!L139</f>
        <v>0</v>
      </c>
      <c r="L78" s="137">
        <f>'дод 1'!M139</f>
        <v>0</v>
      </c>
      <c r="M78" s="137">
        <f>'дод 1'!N139</f>
        <v>0</v>
      </c>
      <c r="N78" s="137">
        <f>'дод 1'!O139</f>
        <v>0</v>
      </c>
      <c r="O78" s="137">
        <f>'дод 1'!P139</f>
        <v>10189800</v>
      </c>
      <c r="P78" s="159"/>
    </row>
    <row r="79" spans="1:16" ht="15.75" x14ac:dyDescent="0.25">
      <c r="A79" s="113"/>
      <c r="B79" s="113"/>
      <c r="C79" s="7" t="s">
        <v>344</v>
      </c>
      <c r="D79" s="137">
        <f>'дод 1'!E140</f>
        <v>10189800</v>
      </c>
      <c r="E79" s="137">
        <f>'дод 1'!F140</f>
        <v>10189800</v>
      </c>
      <c r="F79" s="137">
        <f>'дод 1'!G140</f>
        <v>0</v>
      </c>
      <c r="G79" s="137">
        <f>'дод 1'!H140</f>
        <v>0</v>
      </c>
      <c r="H79" s="137">
        <f>'дод 1'!I140</f>
        <v>0</v>
      </c>
      <c r="I79" s="137">
        <f>'дод 1'!J140</f>
        <v>0</v>
      </c>
      <c r="J79" s="137">
        <f>'дод 1'!K140</f>
        <v>0</v>
      </c>
      <c r="K79" s="137">
        <f>'дод 1'!L140</f>
        <v>0</v>
      </c>
      <c r="L79" s="137">
        <f>'дод 1'!M140</f>
        <v>0</v>
      </c>
      <c r="M79" s="137">
        <f>'дод 1'!N140</f>
        <v>0</v>
      </c>
      <c r="N79" s="137">
        <f>'дод 1'!O140</f>
        <v>0</v>
      </c>
      <c r="O79" s="137">
        <f>'дод 1'!P140</f>
        <v>10189800</v>
      </c>
      <c r="P79" s="159"/>
    </row>
    <row r="80" spans="1:16" ht="27" customHeight="1" x14ac:dyDescent="0.25">
      <c r="A80" s="113" t="s">
        <v>444</v>
      </c>
      <c r="B80" s="113" t="s">
        <v>132</v>
      </c>
      <c r="C80" s="7" t="s">
        <v>451</v>
      </c>
      <c r="D80" s="137">
        <f>'дод 1'!E141</f>
        <v>45396740</v>
      </c>
      <c r="E80" s="137">
        <f>'дод 1'!F141</f>
        <v>45396740</v>
      </c>
      <c r="F80" s="137">
        <f>'дод 1'!G141</f>
        <v>0</v>
      </c>
      <c r="G80" s="137">
        <f>'дод 1'!H141</f>
        <v>0</v>
      </c>
      <c r="H80" s="137">
        <f>'дод 1'!I141</f>
        <v>0</v>
      </c>
      <c r="I80" s="137">
        <f>'дод 1'!J141</f>
        <v>0</v>
      </c>
      <c r="J80" s="137">
        <f>'дод 1'!K141</f>
        <v>0</v>
      </c>
      <c r="K80" s="137">
        <f>'дод 1'!L141</f>
        <v>0</v>
      </c>
      <c r="L80" s="137">
        <f>'дод 1'!M141</f>
        <v>0</v>
      </c>
      <c r="M80" s="137">
        <f>'дод 1'!N141</f>
        <v>0</v>
      </c>
      <c r="N80" s="137">
        <f>'дод 1'!O141</f>
        <v>0</v>
      </c>
      <c r="O80" s="137">
        <f>'дод 1'!P141</f>
        <v>45396740</v>
      </c>
      <c r="P80" s="159"/>
    </row>
    <row r="81" spans="1:16" ht="17.25" customHeight="1" x14ac:dyDescent="0.25">
      <c r="A81" s="113"/>
      <c r="B81" s="113"/>
      <c r="C81" s="7" t="s">
        <v>344</v>
      </c>
      <c r="D81" s="137">
        <f>'дод 1'!E142</f>
        <v>45396740</v>
      </c>
      <c r="E81" s="137">
        <f>'дод 1'!F142</f>
        <v>45396740</v>
      </c>
      <c r="F81" s="137">
        <f>'дод 1'!G142</f>
        <v>0</v>
      </c>
      <c r="G81" s="137">
        <f>'дод 1'!H142</f>
        <v>0</v>
      </c>
      <c r="H81" s="137">
        <f>'дод 1'!I142</f>
        <v>0</v>
      </c>
      <c r="I81" s="137">
        <f>'дод 1'!J142</f>
        <v>0</v>
      </c>
      <c r="J81" s="137">
        <f>'дод 1'!K142</f>
        <v>0</v>
      </c>
      <c r="K81" s="137">
        <f>'дод 1'!L142</f>
        <v>0</v>
      </c>
      <c r="L81" s="137">
        <f>'дод 1'!M142</f>
        <v>0</v>
      </c>
      <c r="M81" s="137">
        <f>'дод 1'!N142</f>
        <v>0</v>
      </c>
      <c r="N81" s="137">
        <f>'дод 1'!O142</f>
        <v>0</v>
      </c>
      <c r="O81" s="137">
        <f>'дод 1'!P142</f>
        <v>45396740</v>
      </c>
      <c r="P81" s="159"/>
    </row>
    <row r="82" spans="1:16" ht="27" customHeight="1" x14ac:dyDescent="0.25">
      <c r="A82" s="113" t="s">
        <v>445</v>
      </c>
      <c r="B82" s="113" t="s">
        <v>132</v>
      </c>
      <c r="C82" s="7" t="s">
        <v>452</v>
      </c>
      <c r="D82" s="137">
        <f>'дод 1'!E143</f>
        <v>973500</v>
      </c>
      <c r="E82" s="137">
        <f>'дод 1'!F143</f>
        <v>973500</v>
      </c>
      <c r="F82" s="137">
        <f>'дод 1'!G143</f>
        <v>0</v>
      </c>
      <c r="G82" s="137">
        <f>'дод 1'!H143</f>
        <v>0</v>
      </c>
      <c r="H82" s="137">
        <f>'дод 1'!I143</f>
        <v>0</v>
      </c>
      <c r="I82" s="137">
        <f>'дод 1'!J143</f>
        <v>0</v>
      </c>
      <c r="J82" s="137">
        <f>'дод 1'!K143</f>
        <v>0</v>
      </c>
      <c r="K82" s="137">
        <f>'дод 1'!L143</f>
        <v>0</v>
      </c>
      <c r="L82" s="137">
        <f>'дод 1'!M143</f>
        <v>0</v>
      </c>
      <c r="M82" s="137">
        <f>'дод 1'!N143</f>
        <v>0</v>
      </c>
      <c r="N82" s="137">
        <f>'дод 1'!O143</f>
        <v>0</v>
      </c>
      <c r="O82" s="137">
        <f>'дод 1'!P143</f>
        <v>973500</v>
      </c>
      <c r="P82" s="159"/>
    </row>
    <row r="83" spans="1:16" ht="24.75" customHeight="1" x14ac:dyDescent="0.25">
      <c r="A83" s="113"/>
      <c r="B83" s="113"/>
      <c r="C83" s="7" t="s">
        <v>344</v>
      </c>
      <c r="D83" s="137">
        <f>'дод 1'!E144</f>
        <v>973500</v>
      </c>
      <c r="E83" s="137">
        <f>'дод 1'!F144</f>
        <v>973500</v>
      </c>
      <c r="F83" s="137">
        <f>'дод 1'!G144</f>
        <v>0</v>
      </c>
      <c r="G83" s="137">
        <f>'дод 1'!H144</f>
        <v>0</v>
      </c>
      <c r="H83" s="137">
        <f>'дод 1'!I144</f>
        <v>0</v>
      </c>
      <c r="I83" s="137">
        <f>'дод 1'!J144</f>
        <v>0</v>
      </c>
      <c r="J83" s="137">
        <f>'дод 1'!K144</f>
        <v>0</v>
      </c>
      <c r="K83" s="137">
        <f>'дод 1'!L144</f>
        <v>0</v>
      </c>
      <c r="L83" s="137">
        <f>'дод 1'!M144</f>
        <v>0</v>
      </c>
      <c r="M83" s="137">
        <f>'дод 1'!N144</f>
        <v>0</v>
      </c>
      <c r="N83" s="137">
        <f>'дод 1'!O144</f>
        <v>0</v>
      </c>
      <c r="O83" s="137">
        <f>'дод 1'!P144</f>
        <v>973500</v>
      </c>
      <c r="P83" s="159"/>
    </row>
    <row r="84" spans="1:16" ht="32.25" customHeight="1" x14ac:dyDescent="0.25">
      <c r="A84" s="113" t="s">
        <v>446</v>
      </c>
      <c r="B84" s="113" t="s">
        <v>132</v>
      </c>
      <c r="C84" s="7" t="s">
        <v>453</v>
      </c>
      <c r="D84" s="137">
        <f>'дод 1'!E145</f>
        <v>44264925</v>
      </c>
      <c r="E84" s="137">
        <f>'дод 1'!F145</f>
        <v>44264925</v>
      </c>
      <c r="F84" s="137">
        <f>'дод 1'!G145</f>
        <v>0</v>
      </c>
      <c r="G84" s="137">
        <f>'дод 1'!H145</f>
        <v>0</v>
      </c>
      <c r="H84" s="137">
        <f>'дод 1'!I145</f>
        <v>0</v>
      </c>
      <c r="I84" s="137">
        <f>'дод 1'!J145</f>
        <v>0</v>
      </c>
      <c r="J84" s="137">
        <f>'дод 1'!K145</f>
        <v>0</v>
      </c>
      <c r="K84" s="137">
        <f>'дод 1'!L145</f>
        <v>0</v>
      </c>
      <c r="L84" s="137">
        <f>'дод 1'!M145</f>
        <v>0</v>
      </c>
      <c r="M84" s="137">
        <f>'дод 1'!N145</f>
        <v>0</v>
      </c>
      <c r="N84" s="137">
        <f>'дод 1'!O145</f>
        <v>0</v>
      </c>
      <c r="O84" s="137">
        <f>'дод 1'!P145</f>
        <v>44264925</v>
      </c>
      <c r="P84" s="159"/>
    </row>
    <row r="85" spans="1:16" ht="22.5" customHeight="1" x14ac:dyDescent="0.25">
      <c r="A85" s="113"/>
      <c r="B85" s="113"/>
      <c r="C85" s="7" t="s">
        <v>344</v>
      </c>
      <c r="D85" s="137">
        <f>'дод 1'!E146</f>
        <v>44264925</v>
      </c>
      <c r="E85" s="137">
        <f>'дод 1'!F146</f>
        <v>44264925</v>
      </c>
      <c r="F85" s="137">
        <f>'дод 1'!G146</f>
        <v>0</v>
      </c>
      <c r="G85" s="137">
        <f>'дод 1'!H146</f>
        <v>0</v>
      </c>
      <c r="H85" s="137">
        <f>'дод 1'!I146</f>
        <v>0</v>
      </c>
      <c r="I85" s="137">
        <f>'дод 1'!J146</f>
        <v>0</v>
      </c>
      <c r="J85" s="137">
        <f>'дод 1'!K146</f>
        <v>0</v>
      </c>
      <c r="K85" s="137">
        <f>'дод 1'!L146</f>
        <v>0</v>
      </c>
      <c r="L85" s="137">
        <f>'дод 1'!M146</f>
        <v>0</v>
      </c>
      <c r="M85" s="137">
        <f>'дод 1'!N146</f>
        <v>0</v>
      </c>
      <c r="N85" s="137">
        <f>'дод 1'!O146</f>
        <v>0</v>
      </c>
      <c r="O85" s="137">
        <f>'дод 1'!P146</f>
        <v>44264925</v>
      </c>
      <c r="P85" s="159"/>
    </row>
    <row r="86" spans="1:16" ht="31.5" x14ac:dyDescent="0.25">
      <c r="A86" s="113" t="s">
        <v>585</v>
      </c>
      <c r="B86" s="113" t="s">
        <v>132</v>
      </c>
      <c r="C86" s="100" t="s">
        <v>587</v>
      </c>
      <c r="D86" s="137">
        <f>SUM('дод 1'!E147)</f>
        <v>834585</v>
      </c>
      <c r="E86" s="137">
        <f>SUM('дод 1'!F147)</f>
        <v>834585</v>
      </c>
      <c r="F86" s="137">
        <f>SUM('дод 1'!G147)</f>
        <v>0</v>
      </c>
      <c r="G86" s="137">
        <f>SUM('дод 1'!H147)</f>
        <v>0</v>
      </c>
      <c r="H86" s="137">
        <f>SUM('дод 1'!I147)</f>
        <v>0</v>
      </c>
      <c r="I86" s="137">
        <f>SUM('дод 1'!J147)</f>
        <v>0</v>
      </c>
      <c r="J86" s="137">
        <f>SUM('дод 1'!K147)</f>
        <v>0</v>
      </c>
      <c r="K86" s="137">
        <f>SUM('дод 1'!L147)</f>
        <v>0</v>
      </c>
      <c r="L86" s="137">
        <f>SUM('дод 1'!M147)</f>
        <v>0</v>
      </c>
      <c r="M86" s="137">
        <f>SUM('дод 1'!N147)</f>
        <v>0</v>
      </c>
      <c r="N86" s="137">
        <f>SUM('дод 1'!O147)</f>
        <v>0</v>
      </c>
      <c r="O86" s="137">
        <f>SUM('дод 1'!P147)</f>
        <v>834585</v>
      </c>
      <c r="P86" s="159"/>
    </row>
    <row r="87" spans="1:16" ht="22.5" customHeight="1" x14ac:dyDescent="0.25">
      <c r="A87" s="113"/>
      <c r="B87" s="113"/>
      <c r="C87" s="7" t="s">
        <v>344</v>
      </c>
      <c r="D87" s="137">
        <f>SUM('дод 1'!E148)</f>
        <v>834585</v>
      </c>
      <c r="E87" s="137">
        <f>SUM('дод 1'!F148)</f>
        <v>834585</v>
      </c>
      <c r="F87" s="137">
        <f>SUM('дод 1'!G148)</f>
        <v>0</v>
      </c>
      <c r="G87" s="137">
        <f>SUM('дод 1'!H148)</f>
        <v>0</v>
      </c>
      <c r="H87" s="137">
        <f>SUM('дод 1'!I148)</f>
        <v>0</v>
      </c>
      <c r="I87" s="137">
        <f>SUM('дод 1'!J148)</f>
        <v>0</v>
      </c>
      <c r="J87" s="137">
        <f>SUM('дод 1'!K148)</f>
        <v>0</v>
      </c>
      <c r="K87" s="137">
        <f>SUM('дод 1'!L148)</f>
        <v>0</v>
      </c>
      <c r="L87" s="137">
        <f>SUM('дод 1'!M148)</f>
        <v>0</v>
      </c>
      <c r="M87" s="137">
        <f>SUM('дод 1'!N148)</f>
        <v>0</v>
      </c>
      <c r="N87" s="137">
        <f>SUM('дод 1'!O148)</f>
        <v>0</v>
      </c>
      <c r="O87" s="137">
        <f>SUM('дод 1'!P148)</f>
        <v>834585</v>
      </c>
      <c r="P87" s="159"/>
    </row>
    <row r="88" spans="1:16" ht="40.5" customHeight="1" x14ac:dyDescent="0.25">
      <c r="A88" s="113" t="s">
        <v>133</v>
      </c>
      <c r="B88" s="113" t="s">
        <v>78</v>
      </c>
      <c r="C88" s="7" t="s">
        <v>49</v>
      </c>
      <c r="D88" s="137">
        <f>'дод 1'!E149</f>
        <v>686000</v>
      </c>
      <c r="E88" s="137">
        <f>'дод 1'!F149</f>
        <v>686000</v>
      </c>
      <c r="F88" s="137">
        <f>'дод 1'!G149</f>
        <v>0</v>
      </c>
      <c r="G88" s="137">
        <f>'дод 1'!H149</f>
        <v>0</v>
      </c>
      <c r="H88" s="137">
        <f>'дод 1'!I149</f>
        <v>0</v>
      </c>
      <c r="I88" s="137">
        <f>'дод 1'!J149</f>
        <v>0</v>
      </c>
      <c r="J88" s="137">
        <f>'дод 1'!K149</f>
        <v>0</v>
      </c>
      <c r="K88" s="137">
        <f>'дод 1'!L149</f>
        <v>0</v>
      </c>
      <c r="L88" s="137">
        <f>'дод 1'!M149</f>
        <v>0</v>
      </c>
      <c r="M88" s="137">
        <f>'дод 1'!N149</f>
        <v>0</v>
      </c>
      <c r="N88" s="137">
        <f>'дод 1'!O149</f>
        <v>0</v>
      </c>
      <c r="O88" s="137">
        <f>'дод 1'!P149</f>
        <v>686000</v>
      </c>
      <c r="P88" s="159"/>
    </row>
    <row r="89" spans="1:16" ht="40.5" customHeight="1" x14ac:dyDescent="0.25">
      <c r="A89" s="113" t="s">
        <v>461</v>
      </c>
      <c r="B89" s="113" t="s">
        <v>72</v>
      </c>
      <c r="C89" s="7" t="s">
        <v>467</v>
      </c>
      <c r="D89" s="137">
        <f>'дод 1'!E150</f>
        <v>70995980</v>
      </c>
      <c r="E89" s="137">
        <f>'дод 1'!F150</f>
        <v>70995980</v>
      </c>
      <c r="F89" s="137">
        <f>'дод 1'!G150</f>
        <v>0</v>
      </c>
      <c r="G89" s="137">
        <f>'дод 1'!H150</f>
        <v>0</v>
      </c>
      <c r="H89" s="137">
        <f>'дод 1'!I150</f>
        <v>0</v>
      </c>
      <c r="I89" s="137">
        <f>'дод 1'!J150</f>
        <v>0</v>
      </c>
      <c r="J89" s="137">
        <f>'дод 1'!K150</f>
        <v>0</v>
      </c>
      <c r="K89" s="137">
        <f>'дод 1'!L150</f>
        <v>0</v>
      </c>
      <c r="L89" s="137">
        <f>'дод 1'!M150</f>
        <v>0</v>
      </c>
      <c r="M89" s="137">
        <f>'дод 1'!N150</f>
        <v>0</v>
      </c>
      <c r="N89" s="137">
        <f>'дод 1'!O150</f>
        <v>0</v>
      </c>
      <c r="O89" s="137">
        <f>'дод 1'!P150</f>
        <v>70995980</v>
      </c>
      <c r="P89" s="159"/>
    </row>
    <row r="90" spans="1:16" ht="27" customHeight="1" x14ac:dyDescent="0.25">
      <c r="A90" s="113"/>
      <c r="B90" s="113"/>
      <c r="C90" s="7" t="s">
        <v>344</v>
      </c>
      <c r="D90" s="137">
        <f>'дод 1'!E151</f>
        <v>70995980</v>
      </c>
      <c r="E90" s="137">
        <f>'дод 1'!F151</f>
        <v>70995980</v>
      </c>
      <c r="F90" s="137">
        <f>'дод 1'!G151</f>
        <v>0</v>
      </c>
      <c r="G90" s="137">
        <f>'дод 1'!H151</f>
        <v>0</v>
      </c>
      <c r="H90" s="137">
        <f>'дод 1'!I151</f>
        <v>0</v>
      </c>
      <c r="I90" s="137">
        <f>'дод 1'!J151</f>
        <v>0</v>
      </c>
      <c r="J90" s="137">
        <f>'дод 1'!K151</f>
        <v>0</v>
      </c>
      <c r="K90" s="137">
        <f>'дод 1'!L151</f>
        <v>0</v>
      </c>
      <c r="L90" s="137">
        <f>'дод 1'!M151</f>
        <v>0</v>
      </c>
      <c r="M90" s="137">
        <f>'дод 1'!N151</f>
        <v>0</v>
      </c>
      <c r="N90" s="137">
        <f>'дод 1'!O151</f>
        <v>0</v>
      </c>
      <c r="O90" s="137">
        <f>'дод 1'!P151</f>
        <v>70995980</v>
      </c>
      <c r="P90" s="159"/>
    </row>
    <row r="91" spans="1:16" ht="51.75" customHeight="1" x14ac:dyDescent="0.25">
      <c r="A91" s="113" t="s">
        <v>462</v>
      </c>
      <c r="B91" s="113" t="s">
        <v>72</v>
      </c>
      <c r="C91" s="7" t="s">
        <v>468</v>
      </c>
      <c r="D91" s="137">
        <f>'дод 1'!E152</f>
        <v>11172650</v>
      </c>
      <c r="E91" s="137">
        <f>'дод 1'!F152</f>
        <v>11172650</v>
      </c>
      <c r="F91" s="137">
        <f>'дод 1'!G152</f>
        <v>0</v>
      </c>
      <c r="G91" s="137">
        <f>'дод 1'!H152</f>
        <v>0</v>
      </c>
      <c r="H91" s="137">
        <f>'дод 1'!I152</f>
        <v>0</v>
      </c>
      <c r="I91" s="137">
        <f>'дод 1'!J152</f>
        <v>0</v>
      </c>
      <c r="J91" s="137">
        <f>'дод 1'!K152</f>
        <v>0</v>
      </c>
      <c r="K91" s="137">
        <f>'дод 1'!L152</f>
        <v>0</v>
      </c>
      <c r="L91" s="137">
        <f>'дод 1'!M152</f>
        <v>0</v>
      </c>
      <c r="M91" s="137">
        <f>'дод 1'!N152</f>
        <v>0</v>
      </c>
      <c r="N91" s="137">
        <f>'дод 1'!O152</f>
        <v>0</v>
      </c>
      <c r="O91" s="137">
        <f>'дод 1'!P152</f>
        <v>11172650</v>
      </c>
      <c r="P91" s="159"/>
    </row>
    <row r="92" spans="1:16" ht="27" customHeight="1" x14ac:dyDescent="0.25">
      <c r="A92" s="113"/>
      <c r="B92" s="113"/>
      <c r="C92" s="7" t="s">
        <v>344</v>
      </c>
      <c r="D92" s="137">
        <f>'дод 1'!E153</f>
        <v>11172650</v>
      </c>
      <c r="E92" s="137">
        <f>'дод 1'!F153</f>
        <v>11172650</v>
      </c>
      <c r="F92" s="137">
        <f>'дод 1'!G153</f>
        <v>0</v>
      </c>
      <c r="G92" s="137">
        <f>'дод 1'!H153</f>
        <v>0</v>
      </c>
      <c r="H92" s="137">
        <f>'дод 1'!I153</f>
        <v>0</v>
      </c>
      <c r="I92" s="137">
        <f>'дод 1'!J153</f>
        <v>0</v>
      </c>
      <c r="J92" s="137">
        <f>'дод 1'!K153</f>
        <v>0</v>
      </c>
      <c r="K92" s="137">
        <f>'дод 1'!L153</f>
        <v>0</v>
      </c>
      <c r="L92" s="137">
        <f>'дод 1'!M153</f>
        <v>0</v>
      </c>
      <c r="M92" s="137">
        <f>'дод 1'!N153</f>
        <v>0</v>
      </c>
      <c r="N92" s="137">
        <f>'дод 1'!O153</f>
        <v>0</v>
      </c>
      <c r="O92" s="137">
        <f>'дод 1'!P153</f>
        <v>11172650</v>
      </c>
      <c r="P92" s="159"/>
    </row>
    <row r="93" spans="1:16" ht="37.5" customHeight="1" x14ac:dyDescent="0.25">
      <c r="A93" s="113" t="s">
        <v>463</v>
      </c>
      <c r="B93" s="113" t="s">
        <v>72</v>
      </c>
      <c r="C93" s="7" t="s">
        <v>469</v>
      </c>
      <c r="D93" s="137">
        <f>'дод 1'!E154</f>
        <v>12253970</v>
      </c>
      <c r="E93" s="137">
        <f>'дод 1'!F154</f>
        <v>12253970</v>
      </c>
      <c r="F93" s="137">
        <f>'дод 1'!G154</f>
        <v>0</v>
      </c>
      <c r="G93" s="137">
        <f>'дод 1'!H154</f>
        <v>0</v>
      </c>
      <c r="H93" s="137">
        <f>'дод 1'!I154</f>
        <v>0</v>
      </c>
      <c r="I93" s="137">
        <f>'дод 1'!J154</f>
        <v>0</v>
      </c>
      <c r="J93" s="137">
        <f>'дод 1'!K154</f>
        <v>0</v>
      </c>
      <c r="K93" s="137">
        <f>'дод 1'!L154</f>
        <v>0</v>
      </c>
      <c r="L93" s="137">
        <f>'дод 1'!M154</f>
        <v>0</v>
      </c>
      <c r="M93" s="137">
        <f>'дод 1'!N154</f>
        <v>0</v>
      </c>
      <c r="N93" s="137">
        <f>'дод 1'!O154</f>
        <v>0</v>
      </c>
      <c r="O93" s="137">
        <f>'дод 1'!P154</f>
        <v>12253970</v>
      </c>
      <c r="P93" s="159"/>
    </row>
    <row r="94" spans="1:16" ht="27" customHeight="1" x14ac:dyDescent="0.25">
      <c r="A94" s="113"/>
      <c r="B94" s="113"/>
      <c r="C94" s="7" t="s">
        <v>344</v>
      </c>
      <c r="D94" s="137">
        <f>'дод 1'!E155</f>
        <v>12253970</v>
      </c>
      <c r="E94" s="137">
        <f>'дод 1'!F155</f>
        <v>12253970</v>
      </c>
      <c r="F94" s="137">
        <f>'дод 1'!G155</f>
        <v>0</v>
      </c>
      <c r="G94" s="137">
        <f>'дод 1'!H155</f>
        <v>0</v>
      </c>
      <c r="H94" s="137">
        <f>'дод 1'!I155</f>
        <v>0</v>
      </c>
      <c r="I94" s="137">
        <f>'дод 1'!J155</f>
        <v>0</v>
      </c>
      <c r="J94" s="137">
        <f>'дод 1'!K155</f>
        <v>0</v>
      </c>
      <c r="K94" s="137">
        <f>'дод 1'!L155</f>
        <v>0</v>
      </c>
      <c r="L94" s="137">
        <f>'дод 1'!M155</f>
        <v>0</v>
      </c>
      <c r="M94" s="137">
        <f>'дод 1'!N155</f>
        <v>0</v>
      </c>
      <c r="N94" s="137">
        <f>'дод 1'!O155</f>
        <v>0</v>
      </c>
      <c r="O94" s="137">
        <f>'дод 1'!P155</f>
        <v>12253970</v>
      </c>
      <c r="P94" s="159"/>
    </row>
    <row r="95" spans="1:16" ht="57.75" customHeight="1" x14ac:dyDescent="0.25">
      <c r="A95" s="113" t="s">
        <v>464</v>
      </c>
      <c r="B95" s="113" t="s">
        <v>132</v>
      </c>
      <c r="C95" s="7" t="s">
        <v>470</v>
      </c>
      <c r="D95" s="137">
        <f>'дод 1'!E156</f>
        <v>1859870</v>
      </c>
      <c r="E95" s="137">
        <f>'дод 1'!F156</f>
        <v>1859870</v>
      </c>
      <c r="F95" s="137">
        <f>'дод 1'!G156</f>
        <v>0</v>
      </c>
      <c r="G95" s="137">
        <f>'дод 1'!H156</f>
        <v>0</v>
      </c>
      <c r="H95" s="137">
        <f>'дод 1'!I156</f>
        <v>0</v>
      </c>
      <c r="I95" s="137">
        <f>'дод 1'!J156</f>
        <v>0</v>
      </c>
      <c r="J95" s="137">
        <f>'дод 1'!K156</f>
        <v>0</v>
      </c>
      <c r="K95" s="137">
        <f>'дод 1'!L156</f>
        <v>0</v>
      </c>
      <c r="L95" s="137">
        <f>'дод 1'!M156</f>
        <v>0</v>
      </c>
      <c r="M95" s="137">
        <f>'дод 1'!N156</f>
        <v>0</v>
      </c>
      <c r="N95" s="137">
        <f>'дод 1'!O156</f>
        <v>0</v>
      </c>
      <c r="O95" s="137">
        <f>'дод 1'!P156</f>
        <v>1859870</v>
      </c>
      <c r="P95" s="159"/>
    </row>
    <row r="96" spans="1:16" ht="27" customHeight="1" x14ac:dyDescent="0.25">
      <c r="A96" s="113"/>
      <c r="B96" s="113"/>
      <c r="C96" s="7" t="s">
        <v>344</v>
      </c>
      <c r="D96" s="137">
        <f>'дод 1'!E157</f>
        <v>1859870</v>
      </c>
      <c r="E96" s="137">
        <f>'дод 1'!F157</f>
        <v>1859870</v>
      </c>
      <c r="F96" s="137">
        <f>'дод 1'!G157</f>
        <v>0</v>
      </c>
      <c r="G96" s="137">
        <f>'дод 1'!H157</f>
        <v>0</v>
      </c>
      <c r="H96" s="137">
        <f>'дод 1'!I157</f>
        <v>0</v>
      </c>
      <c r="I96" s="137">
        <f>'дод 1'!J157</f>
        <v>0</v>
      </c>
      <c r="J96" s="137">
        <f>'дод 1'!K157</f>
        <v>0</v>
      </c>
      <c r="K96" s="137">
        <f>'дод 1'!L157</f>
        <v>0</v>
      </c>
      <c r="L96" s="137">
        <f>'дод 1'!M157</f>
        <v>0</v>
      </c>
      <c r="M96" s="137">
        <f>'дод 1'!N157</f>
        <v>0</v>
      </c>
      <c r="N96" s="137">
        <f>'дод 1'!O157</f>
        <v>0</v>
      </c>
      <c r="O96" s="137">
        <f>'дод 1'!P157</f>
        <v>1859870</v>
      </c>
      <c r="P96" s="159"/>
    </row>
    <row r="97" spans="1:16" ht="64.5" customHeight="1" x14ac:dyDescent="0.25">
      <c r="A97" s="113" t="s">
        <v>465</v>
      </c>
      <c r="B97" s="113" t="s">
        <v>72</v>
      </c>
      <c r="C97" s="7" t="s">
        <v>471</v>
      </c>
      <c r="D97" s="137">
        <f>'дод 1'!E158</f>
        <v>190380</v>
      </c>
      <c r="E97" s="137">
        <f>'дод 1'!F158</f>
        <v>190380</v>
      </c>
      <c r="F97" s="137">
        <f>'дод 1'!G158</f>
        <v>0</v>
      </c>
      <c r="G97" s="137">
        <f>'дод 1'!H158</f>
        <v>0</v>
      </c>
      <c r="H97" s="137">
        <f>'дод 1'!I158</f>
        <v>0</v>
      </c>
      <c r="I97" s="137">
        <f>'дод 1'!J158</f>
        <v>0</v>
      </c>
      <c r="J97" s="137">
        <f>'дод 1'!K158</f>
        <v>0</v>
      </c>
      <c r="K97" s="137">
        <f>'дод 1'!L158</f>
        <v>0</v>
      </c>
      <c r="L97" s="137">
        <f>'дод 1'!M158</f>
        <v>0</v>
      </c>
      <c r="M97" s="137">
        <f>'дод 1'!N158</f>
        <v>0</v>
      </c>
      <c r="N97" s="137">
        <f>'дод 1'!O158</f>
        <v>0</v>
      </c>
      <c r="O97" s="137">
        <f>'дод 1'!P158</f>
        <v>190380</v>
      </c>
      <c r="P97" s="159"/>
    </row>
    <row r="98" spans="1:16" ht="27" customHeight="1" x14ac:dyDescent="0.25">
      <c r="A98" s="113"/>
      <c r="B98" s="113"/>
      <c r="C98" s="7" t="s">
        <v>344</v>
      </c>
      <c r="D98" s="137">
        <f>'дод 1'!E159</f>
        <v>190380</v>
      </c>
      <c r="E98" s="137">
        <f>'дод 1'!F159</f>
        <v>190380</v>
      </c>
      <c r="F98" s="137">
        <f>'дод 1'!G159</f>
        <v>0</v>
      </c>
      <c r="G98" s="137">
        <f>'дод 1'!H159</f>
        <v>0</v>
      </c>
      <c r="H98" s="137">
        <f>'дод 1'!I159</f>
        <v>0</v>
      </c>
      <c r="I98" s="137">
        <f>'дод 1'!J159</f>
        <v>0</v>
      </c>
      <c r="J98" s="137">
        <f>'дод 1'!K159</f>
        <v>0</v>
      </c>
      <c r="K98" s="137">
        <f>'дод 1'!L159</f>
        <v>0</v>
      </c>
      <c r="L98" s="137">
        <f>'дод 1'!M159</f>
        <v>0</v>
      </c>
      <c r="M98" s="137">
        <f>'дод 1'!N159</f>
        <v>0</v>
      </c>
      <c r="N98" s="137">
        <f>'дод 1'!O159</f>
        <v>0</v>
      </c>
      <c r="O98" s="137">
        <f>'дод 1'!P159</f>
        <v>190380</v>
      </c>
      <c r="P98" s="159"/>
    </row>
    <row r="99" spans="1:16" ht="174.75" customHeight="1" x14ac:dyDescent="0.25">
      <c r="A99" s="113" t="s">
        <v>583</v>
      </c>
      <c r="B99" s="113" t="s">
        <v>132</v>
      </c>
      <c r="C99" s="100" t="s">
        <v>588</v>
      </c>
      <c r="D99" s="137">
        <f>SUM('дод 1'!E160)</f>
        <v>253550</v>
      </c>
      <c r="E99" s="137">
        <f>SUM('дод 1'!F160)</f>
        <v>253550</v>
      </c>
      <c r="F99" s="137">
        <f>SUM('дод 1'!G160)</f>
        <v>0</v>
      </c>
      <c r="G99" s="137">
        <f>SUM('дод 1'!H160)</f>
        <v>0</v>
      </c>
      <c r="H99" s="137">
        <f>SUM('дод 1'!I160)</f>
        <v>0</v>
      </c>
      <c r="I99" s="137">
        <f>SUM('дод 1'!J160)</f>
        <v>0</v>
      </c>
      <c r="J99" s="137">
        <f>SUM('дод 1'!K160)</f>
        <v>0</v>
      </c>
      <c r="K99" s="137">
        <f>SUM('дод 1'!L160)</f>
        <v>0</v>
      </c>
      <c r="L99" s="137">
        <f>SUM('дод 1'!M160)</f>
        <v>0</v>
      </c>
      <c r="M99" s="137">
        <f>SUM('дод 1'!N160)</f>
        <v>0</v>
      </c>
      <c r="N99" s="137">
        <f>SUM('дод 1'!O160)</f>
        <v>0</v>
      </c>
      <c r="O99" s="137">
        <f>SUM('дод 1'!P160)</f>
        <v>253550</v>
      </c>
      <c r="P99" s="159"/>
    </row>
    <row r="100" spans="1:16" ht="27" customHeight="1" x14ac:dyDescent="0.25">
      <c r="A100" s="113"/>
      <c r="B100" s="113"/>
      <c r="C100" s="7" t="s">
        <v>344</v>
      </c>
      <c r="D100" s="137">
        <f>SUM('дод 1'!E161)</f>
        <v>253550</v>
      </c>
      <c r="E100" s="137">
        <f>SUM('дод 1'!F161)</f>
        <v>253550</v>
      </c>
      <c r="F100" s="137">
        <f>SUM('дод 1'!G161)</f>
        <v>0</v>
      </c>
      <c r="G100" s="137">
        <f>SUM('дод 1'!H161)</f>
        <v>0</v>
      </c>
      <c r="H100" s="137">
        <f>SUM('дод 1'!I161)</f>
        <v>0</v>
      </c>
      <c r="I100" s="137">
        <f>SUM('дод 1'!J161)</f>
        <v>0</v>
      </c>
      <c r="J100" s="137">
        <f>SUM('дод 1'!K161)</f>
        <v>0</v>
      </c>
      <c r="K100" s="137">
        <f>SUM('дод 1'!L161)</f>
        <v>0</v>
      </c>
      <c r="L100" s="137">
        <f>SUM('дод 1'!M161)</f>
        <v>0</v>
      </c>
      <c r="M100" s="137">
        <f>SUM('дод 1'!N161)</f>
        <v>0</v>
      </c>
      <c r="N100" s="137">
        <f>SUM('дод 1'!O161)</f>
        <v>0</v>
      </c>
      <c r="O100" s="137">
        <f>SUM('дод 1'!P161)</f>
        <v>253550</v>
      </c>
      <c r="P100" s="159"/>
    </row>
    <row r="101" spans="1:16" ht="35.25" customHeight="1" x14ac:dyDescent="0.25">
      <c r="A101" s="113">
        <v>3087</v>
      </c>
      <c r="B101" s="113">
        <v>1040</v>
      </c>
      <c r="C101" s="100" t="s">
        <v>598</v>
      </c>
      <c r="D101" s="137">
        <f>SUM('дод 1'!E162)</f>
        <v>15300000</v>
      </c>
      <c r="E101" s="137">
        <f>SUM('дод 1'!F162)</f>
        <v>15300000</v>
      </c>
      <c r="F101" s="137">
        <f>SUM('дод 1'!G162)</f>
        <v>0</v>
      </c>
      <c r="G101" s="137">
        <f>SUM('дод 1'!H162)</f>
        <v>0</v>
      </c>
      <c r="H101" s="137">
        <f>SUM('дод 1'!I162)</f>
        <v>0</v>
      </c>
      <c r="I101" s="137">
        <f>SUM('дод 1'!J162)</f>
        <v>0</v>
      </c>
      <c r="J101" s="137">
        <f>SUM('дод 1'!K162)</f>
        <v>0</v>
      </c>
      <c r="K101" s="137">
        <f>SUM('дод 1'!L162)</f>
        <v>0</v>
      </c>
      <c r="L101" s="137">
        <f>SUM('дод 1'!M162)</f>
        <v>0</v>
      </c>
      <c r="M101" s="137">
        <f>SUM('дод 1'!N162)</f>
        <v>0</v>
      </c>
      <c r="N101" s="137">
        <f>SUM('дод 1'!O162)</f>
        <v>0</v>
      </c>
      <c r="O101" s="137">
        <f>SUM('дод 1'!P162)</f>
        <v>15300000</v>
      </c>
      <c r="P101" s="159"/>
    </row>
    <row r="102" spans="1:16" ht="22.5" customHeight="1" x14ac:dyDescent="0.25">
      <c r="A102" s="113"/>
      <c r="B102" s="113"/>
      <c r="C102" s="100" t="s">
        <v>344</v>
      </c>
      <c r="D102" s="137">
        <f>SUM('дод 1'!E163)</f>
        <v>15300000</v>
      </c>
      <c r="E102" s="137">
        <f>SUM('дод 1'!F163)</f>
        <v>15300000</v>
      </c>
      <c r="F102" s="137">
        <f>SUM('дод 1'!G163)</f>
        <v>0</v>
      </c>
      <c r="G102" s="137">
        <f>SUM('дод 1'!H163)</f>
        <v>0</v>
      </c>
      <c r="H102" s="137">
        <f>SUM('дод 1'!I163)</f>
        <v>0</v>
      </c>
      <c r="I102" s="137">
        <f>SUM('дод 1'!J163)</f>
        <v>0</v>
      </c>
      <c r="J102" s="137">
        <f>SUM('дод 1'!K163)</f>
        <v>0</v>
      </c>
      <c r="K102" s="137">
        <f>SUM('дод 1'!L163)</f>
        <v>0</v>
      </c>
      <c r="L102" s="137">
        <f>SUM('дод 1'!M163)</f>
        <v>0</v>
      </c>
      <c r="M102" s="137">
        <f>SUM('дод 1'!N163)</f>
        <v>0</v>
      </c>
      <c r="N102" s="137">
        <f>SUM('дод 1'!O163)</f>
        <v>0</v>
      </c>
      <c r="O102" s="137">
        <f>SUM('дод 1'!P163)</f>
        <v>15300000</v>
      </c>
      <c r="P102" s="159"/>
    </row>
    <row r="103" spans="1:16" ht="40.5" customHeight="1" x14ac:dyDescent="0.25">
      <c r="A103" s="113" t="s">
        <v>418</v>
      </c>
      <c r="B103" s="113" t="s">
        <v>76</v>
      </c>
      <c r="C103" s="7" t="s">
        <v>419</v>
      </c>
      <c r="D103" s="137">
        <f>'дод 1'!E164</f>
        <v>215500</v>
      </c>
      <c r="E103" s="137">
        <f>'дод 1'!F164</f>
        <v>215500</v>
      </c>
      <c r="F103" s="137">
        <f>'дод 1'!G164</f>
        <v>0</v>
      </c>
      <c r="G103" s="137">
        <f>'дод 1'!H164</f>
        <v>0</v>
      </c>
      <c r="H103" s="137">
        <f>'дод 1'!I164</f>
        <v>0</v>
      </c>
      <c r="I103" s="137">
        <f>'дод 1'!J164</f>
        <v>0</v>
      </c>
      <c r="J103" s="137">
        <f>'дод 1'!K164</f>
        <v>0</v>
      </c>
      <c r="K103" s="137">
        <f>'дод 1'!L164</f>
        <v>0</v>
      </c>
      <c r="L103" s="137">
        <f>'дод 1'!M164</f>
        <v>0</v>
      </c>
      <c r="M103" s="137">
        <f>'дод 1'!N164</f>
        <v>0</v>
      </c>
      <c r="N103" s="137">
        <f>'дод 1'!O164</f>
        <v>0</v>
      </c>
      <c r="O103" s="137">
        <f>'дод 1'!P164</f>
        <v>215500</v>
      </c>
      <c r="P103" s="159"/>
    </row>
    <row r="104" spans="1:16" ht="74.25" customHeight="1" x14ac:dyDescent="0.25">
      <c r="A104" s="113" t="s">
        <v>134</v>
      </c>
      <c r="B104" s="113" t="s">
        <v>74</v>
      </c>
      <c r="C104" s="7" t="s">
        <v>50</v>
      </c>
      <c r="D104" s="137">
        <f>'дод 1'!E165</f>
        <v>11565600</v>
      </c>
      <c r="E104" s="137">
        <f>'дод 1'!F165</f>
        <v>11565600</v>
      </c>
      <c r="F104" s="137">
        <f>'дод 1'!G165</f>
        <v>8737044</v>
      </c>
      <c r="G104" s="137">
        <f>'дод 1'!H165</f>
        <v>254614</v>
      </c>
      <c r="H104" s="137">
        <f>'дод 1'!I165</f>
        <v>0</v>
      </c>
      <c r="I104" s="137">
        <f>'дод 1'!J165</f>
        <v>105530</v>
      </c>
      <c r="J104" s="137">
        <f>'дод 1'!K165</f>
        <v>10000</v>
      </c>
      <c r="K104" s="137">
        <f>'дод 1'!L165</f>
        <v>95530</v>
      </c>
      <c r="L104" s="137">
        <f>'дод 1'!M165</f>
        <v>75100</v>
      </c>
      <c r="M104" s="137">
        <f>'дод 1'!N165</f>
        <v>0</v>
      </c>
      <c r="N104" s="137">
        <f>'дод 1'!O165</f>
        <v>10000</v>
      </c>
      <c r="O104" s="137">
        <f>'дод 1'!P165</f>
        <v>11671130</v>
      </c>
      <c r="P104" s="159"/>
    </row>
    <row r="105" spans="1:16" ht="69.75" customHeight="1" x14ac:dyDescent="0.25">
      <c r="A105" s="113" t="s">
        <v>580</v>
      </c>
      <c r="B105" s="113" t="s">
        <v>132</v>
      </c>
      <c r="C105" s="98" t="s">
        <v>589</v>
      </c>
      <c r="D105" s="137">
        <f>SUM('дод 1'!E197)</f>
        <v>88440</v>
      </c>
      <c r="E105" s="137">
        <f>SUM('дод 1'!F197)</f>
        <v>88440</v>
      </c>
      <c r="F105" s="137">
        <f>SUM('дод 1'!G197)</f>
        <v>0</v>
      </c>
      <c r="G105" s="137">
        <f>SUM('дод 1'!H197)</f>
        <v>0</v>
      </c>
      <c r="H105" s="137">
        <f>SUM('дод 1'!I197)</f>
        <v>0</v>
      </c>
      <c r="I105" s="137">
        <f>SUM('дод 1'!J197)</f>
        <v>40300</v>
      </c>
      <c r="J105" s="137">
        <f>SUM('дод 1'!K197)</f>
        <v>40300</v>
      </c>
      <c r="K105" s="137">
        <f>SUM('дод 1'!L197)</f>
        <v>0</v>
      </c>
      <c r="L105" s="137">
        <f>SUM('дод 1'!M197)</f>
        <v>0</v>
      </c>
      <c r="M105" s="137">
        <f>SUM('дод 1'!N197)</f>
        <v>0</v>
      </c>
      <c r="N105" s="137">
        <f>SUM('дод 1'!O197)</f>
        <v>40300</v>
      </c>
      <c r="O105" s="137">
        <f>SUM('дод 1'!P197)</f>
        <v>128740</v>
      </c>
      <c r="P105" s="159"/>
    </row>
    <row r="106" spans="1:16" s="5" customFormat="1" ht="43.5" customHeight="1" x14ac:dyDescent="0.25">
      <c r="A106" s="113" t="s">
        <v>135</v>
      </c>
      <c r="B106" s="113" t="s">
        <v>132</v>
      </c>
      <c r="C106" s="7" t="s">
        <v>52</v>
      </c>
      <c r="D106" s="137">
        <f>'дод 1'!E198</f>
        <v>94600</v>
      </c>
      <c r="E106" s="137">
        <f>'дод 1'!F198</f>
        <v>94600</v>
      </c>
      <c r="F106" s="137">
        <f>'дод 1'!G198</f>
        <v>0</v>
      </c>
      <c r="G106" s="137">
        <f>'дод 1'!H198</f>
        <v>0</v>
      </c>
      <c r="H106" s="137">
        <f>'дод 1'!I198</f>
        <v>0</v>
      </c>
      <c r="I106" s="137">
        <f>'дод 1'!J198</f>
        <v>0</v>
      </c>
      <c r="J106" s="137">
        <f>'дод 1'!K198</f>
        <v>0</v>
      </c>
      <c r="K106" s="137">
        <f>'дод 1'!L198</f>
        <v>0</v>
      </c>
      <c r="L106" s="137">
        <f>'дод 1'!M198</f>
        <v>0</v>
      </c>
      <c r="M106" s="137">
        <f>'дод 1'!N198</f>
        <v>0</v>
      </c>
      <c r="N106" s="137">
        <f>'дод 1'!O198</f>
        <v>0</v>
      </c>
      <c r="O106" s="137">
        <f>'дод 1'!P198</f>
        <v>94600</v>
      </c>
      <c r="P106" s="159"/>
    </row>
    <row r="107" spans="1:16" s="5" customFormat="1" ht="42.75" customHeight="1" x14ac:dyDescent="0.25">
      <c r="A107" s="113" t="s">
        <v>169</v>
      </c>
      <c r="B107" s="113" t="s">
        <v>132</v>
      </c>
      <c r="C107" s="7" t="s">
        <v>170</v>
      </c>
      <c r="D107" s="137">
        <f>'дод 1'!E19</f>
        <v>2260500</v>
      </c>
      <c r="E107" s="137">
        <f>'дод 1'!F19</f>
        <v>2260500</v>
      </c>
      <c r="F107" s="137">
        <f>'дод 1'!G19</f>
        <v>1720950</v>
      </c>
      <c r="G107" s="137">
        <f>'дод 1'!H19</f>
        <v>53714</v>
      </c>
      <c r="H107" s="137">
        <f>'дод 1'!I19</f>
        <v>0</v>
      </c>
      <c r="I107" s="137">
        <f>'дод 1'!J19</f>
        <v>0</v>
      </c>
      <c r="J107" s="137">
        <f>'дод 1'!K19</f>
        <v>0</v>
      </c>
      <c r="K107" s="137">
        <f>'дод 1'!L19</f>
        <v>0</v>
      </c>
      <c r="L107" s="137">
        <f>'дод 1'!M19</f>
        <v>0</v>
      </c>
      <c r="M107" s="137">
        <f>'дод 1'!N19</f>
        <v>0</v>
      </c>
      <c r="N107" s="137">
        <f>'дод 1'!O19</f>
        <v>0</v>
      </c>
      <c r="O107" s="137">
        <f>'дод 1'!P19</f>
        <v>2260500</v>
      </c>
      <c r="P107" s="159"/>
    </row>
    <row r="108" spans="1:16" s="5" customFormat="1" ht="57" customHeight="1" x14ac:dyDescent="0.25">
      <c r="A108" s="116" t="s">
        <v>139</v>
      </c>
      <c r="B108" s="116" t="s">
        <v>132</v>
      </c>
      <c r="C108" s="7" t="s">
        <v>190</v>
      </c>
      <c r="D108" s="137">
        <f>'дод 1'!E20</f>
        <v>850000</v>
      </c>
      <c r="E108" s="137">
        <f>'дод 1'!F20</f>
        <v>850000</v>
      </c>
      <c r="F108" s="137">
        <f>'дод 1'!G20</f>
        <v>0</v>
      </c>
      <c r="G108" s="137">
        <f>'дод 1'!H20</f>
        <v>0</v>
      </c>
      <c r="H108" s="137">
        <f>'дод 1'!I20</f>
        <v>0</v>
      </c>
      <c r="I108" s="137">
        <f>'дод 1'!J20</f>
        <v>0</v>
      </c>
      <c r="J108" s="137">
        <f>'дод 1'!K20</f>
        <v>0</v>
      </c>
      <c r="K108" s="137">
        <f>'дод 1'!L20</f>
        <v>0</v>
      </c>
      <c r="L108" s="137">
        <f>'дод 1'!M20</f>
        <v>0</v>
      </c>
      <c r="M108" s="137">
        <f>'дод 1'!N20</f>
        <v>0</v>
      </c>
      <c r="N108" s="137">
        <f>'дод 1'!O20</f>
        <v>0</v>
      </c>
      <c r="O108" s="137">
        <f>'дод 1'!P20</f>
        <v>850000</v>
      </c>
      <c r="P108" s="159"/>
    </row>
    <row r="109" spans="1:16" ht="75" customHeight="1" x14ac:dyDescent="0.25">
      <c r="A109" s="113" t="s">
        <v>140</v>
      </c>
      <c r="B109" s="113" t="s">
        <v>132</v>
      </c>
      <c r="C109" s="10" t="s">
        <v>35</v>
      </c>
      <c r="D109" s="137">
        <f>'дод 1'!E73+'дод 1'!E21</f>
        <v>9769034</v>
      </c>
      <c r="E109" s="137">
        <f>'дод 1'!F73+'дод 1'!F21</f>
        <v>9769034</v>
      </c>
      <c r="F109" s="137">
        <f>'дод 1'!G73+'дод 1'!G21</f>
        <v>0</v>
      </c>
      <c r="G109" s="137">
        <f>'дод 1'!H73+'дод 1'!H21</f>
        <v>0</v>
      </c>
      <c r="H109" s="137">
        <f>'дод 1'!I73+'дод 1'!I21</f>
        <v>0</v>
      </c>
      <c r="I109" s="137">
        <f>'дод 1'!J73+'дод 1'!J21</f>
        <v>0</v>
      </c>
      <c r="J109" s="137">
        <f>'дод 1'!K73+'дод 1'!K21</f>
        <v>0</v>
      </c>
      <c r="K109" s="137">
        <f>'дод 1'!L73+'дод 1'!L21</f>
        <v>0</v>
      </c>
      <c r="L109" s="137">
        <f>'дод 1'!M73+'дод 1'!M21</f>
        <v>0</v>
      </c>
      <c r="M109" s="137">
        <f>'дод 1'!N73+'дод 1'!N21</f>
        <v>0</v>
      </c>
      <c r="N109" s="137">
        <f>'дод 1'!O73+'дод 1'!O21</f>
        <v>0</v>
      </c>
      <c r="O109" s="137">
        <f>'дод 1'!P73+'дод 1'!P21</f>
        <v>9769034</v>
      </c>
      <c r="P109" s="159"/>
    </row>
    <row r="110" spans="1:16" ht="92.25" customHeight="1" x14ac:dyDescent="0.25">
      <c r="A110" s="113" t="s">
        <v>141</v>
      </c>
      <c r="B110" s="113">
        <v>1010</v>
      </c>
      <c r="C110" s="7" t="s">
        <v>376</v>
      </c>
      <c r="D110" s="137">
        <f>'дод 1'!E166</f>
        <v>1743118</v>
      </c>
      <c r="E110" s="137">
        <f>'дод 1'!F166</f>
        <v>1743118</v>
      </c>
      <c r="F110" s="137">
        <f>'дод 1'!G166</f>
        <v>0</v>
      </c>
      <c r="G110" s="137">
        <f>'дод 1'!H166</f>
        <v>0</v>
      </c>
      <c r="H110" s="137">
        <f>'дод 1'!I166</f>
        <v>0</v>
      </c>
      <c r="I110" s="137">
        <f>'дод 1'!J166</f>
        <v>0</v>
      </c>
      <c r="J110" s="137">
        <f>'дод 1'!K166</f>
        <v>0</v>
      </c>
      <c r="K110" s="137">
        <f>'дод 1'!L166</f>
        <v>0</v>
      </c>
      <c r="L110" s="137">
        <f>'дод 1'!M166</f>
        <v>0</v>
      </c>
      <c r="M110" s="137">
        <f>'дод 1'!N166</f>
        <v>0</v>
      </c>
      <c r="N110" s="137">
        <f>'дод 1'!O166</f>
        <v>0</v>
      </c>
      <c r="O110" s="137">
        <f>'дод 1'!P166</f>
        <v>1743118</v>
      </c>
      <c r="P110" s="159"/>
    </row>
    <row r="111" spans="1:16" s="5" customFormat="1" ht="53.25" customHeight="1" x14ac:dyDescent="0.25">
      <c r="A111" s="113" t="s">
        <v>420</v>
      </c>
      <c r="B111" s="113">
        <v>1010</v>
      </c>
      <c r="C111" s="7" t="s">
        <v>422</v>
      </c>
      <c r="D111" s="137">
        <f>'дод 1'!E167</f>
        <v>205040</v>
      </c>
      <c r="E111" s="137">
        <f>'дод 1'!F167</f>
        <v>205040</v>
      </c>
      <c r="F111" s="137">
        <f>'дод 1'!G167</f>
        <v>0</v>
      </c>
      <c r="G111" s="137">
        <f>'дод 1'!H167</f>
        <v>0</v>
      </c>
      <c r="H111" s="137">
        <f>'дод 1'!I167</f>
        <v>0</v>
      </c>
      <c r="I111" s="137">
        <f>'дод 1'!J167</f>
        <v>0</v>
      </c>
      <c r="J111" s="137">
        <f>'дод 1'!K167</f>
        <v>0</v>
      </c>
      <c r="K111" s="137">
        <f>'дод 1'!L167</f>
        <v>0</v>
      </c>
      <c r="L111" s="137">
        <f>'дод 1'!M167</f>
        <v>0</v>
      </c>
      <c r="M111" s="137">
        <f>'дод 1'!N167</f>
        <v>0</v>
      </c>
      <c r="N111" s="137">
        <f>'дод 1'!O167</f>
        <v>0</v>
      </c>
      <c r="O111" s="137">
        <f>'дод 1'!P167</f>
        <v>205040</v>
      </c>
      <c r="P111" s="159"/>
    </row>
    <row r="112" spans="1:16" s="5" customFormat="1" ht="38.25" customHeight="1" x14ac:dyDescent="0.25">
      <c r="A112" s="113" t="s">
        <v>421</v>
      </c>
      <c r="B112" s="113">
        <v>1010</v>
      </c>
      <c r="C112" s="7" t="s">
        <v>423</v>
      </c>
      <c r="D112" s="137">
        <f>'дод 1'!E168</f>
        <v>680</v>
      </c>
      <c r="E112" s="137">
        <f>'дод 1'!F168</f>
        <v>680</v>
      </c>
      <c r="F112" s="137">
        <f>'дод 1'!G168</f>
        <v>0</v>
      </c>
      <c r="G112" s="137">
        <f>'дод 1'!H168</f>
        <v>0</v>
      </c>
      <c r="H112" s="137">
        <f>'дод 1'!I168</f>
        <v>0</v>
      </c>
      <c r="I112" s="137">
        <f>'дод 1'!J168</f>
        <v>0</v>
      </c>
      <c r="J112" s="137">
        <f>'дод 1'!K168</f>
        <v>0</v>
      </c>
      <c r="K112" s="137">
        <f>'дод 1'!L168</f>
        <v>0</v>
      </c>
      <c r="L112" s="137">
        <f>'дод 1'!M168</f>
        <v>0</v>
      </c>
      <c r="M112" s="137">
        <f>'дод 1'!N168</f>
        <v>0</v>
      </c>
      <c r="N112" s="137">
        <f>'дод 1'!O168</f>
        <v>0</v>
      </c>
      <c r="O112" s="137">
        <f>'дод 1'!P168</f>
        <v>680</v>
      </c>
      <c r="P112" s="159"/>
    </row>
    <row r="113" spans="1:16" ht="77.25" customHeight="1" x14ac:dyDescent="0.25">
      <c r="A113" s="113" t="s">
        <v>136</v>
      </c>
      <c r="B113" s="113" t="s">
        <v>77</v>
      </c>
      <c r="C113" s="7" t="s">
        <v>567</v>
      </c>
      <c r="D113" s="137">
        <f>'дод 1'!E169</f>
        <v>1866590</v>
      </c>
      <c r="E113" s="137">
        <f>'дод 1'!F169</f>
        <v>1866590</v>
      </c>
      <c r="F113" s="137">
        <f>'дод 1'!G169</f>
        <v>0</v>
      </c>
      <c r="G113" s="137">
        <f>'дод 1'!H169</f>
        <v>0</v>
      </c>
      <c r="H113" s="137">
        <f>'дод 1'!I169</f>
        <v>0</v>
      </c>
      <c r="I113" s="137">
        <f>'дод 1'!J169</f>
        <v>0</v>
      </c>
      <c r="J113" s="137">
        <f>'дод 1'!K169</f>
        <v>0</v>
      </c>
      <c r="K113" s="137">
        <f>'дод 1'!L169</f>
        <v>0</v>
      </c>
      <c r="L113" s="137">
        <f>'дод 1'!M169</f>
        <v>0</v>
      </c>
      <c r="M113" s="137">
        <f>'дод 1'!N169</f>
        <v>0</v>
      </c>
      <c r="N113" s="137">
        <f>'дод 1'!O169</f>
        <v>0</v>
      </c>
      <c r="O113" s="137">
        <f>'дод 1'!P169</f>
        <v>1866590</v>
      </c>
      <c r="P113" s="159"/>
    </row>
    <row r="114" spans="1:16" s="5" customFormat="1" ht="36.75" customHeight="1" x14ac:dyDescent="0.25">
      <c r="A114" s="113" t="s">
        <v>377</v>
      </c>
      <c r="B114" s="113" t="s">
        <v>76</v>
      </c>
      <c r="C114" s="7" t="s">
        <v>31</v>
      </c>
      <c r="D114" s="137">
        <f>'дод 1'!E170</f>
        <v>2166057</v>
      </c>
      <c r="E114" s="137">
        <f>'дод 1'!F170</f>
        <v>2166057</v>
      </c>
      <c r="F114" s="137">
        <f>'дод 1'!G170</f>
        <v>0</v>
      </c>
      <c r="G114" s="137">
        <f>'дод 1'!H170</f>
        <v>0</v>
      </c>
      <c r="H114" s="137">
        <f>'дод 1'!I170</f>
        <v>0</v>
      </c>
      <c r="I114" s="137">
        <f>'дод 1'!J170</f>
        <v>0</v>
      </c>
      <c r="J114" s="137">
        <f>'дод 1'!K170</f>
        <v>0</v>
      </c>
      <c r="K114" s="137">
        <f>'дод 1'!L170</f>
        <v>0</v>
      </c>
      <c r="L114" s="137">
        <f>'дод 1'!M170</f>
        <v>0</v>
      </c>
      <c r="M114" s="137">
        <f>'дод 1'!N170</f>
        <v>0</v>
      </c>
      <c r="N114" s="137">
        <f>'дод 1'!O170</f>
        <v>0</v>
      </c>
      <c r="O114" s="137">
        <f>'дод 1'!P170</f>
        <v>2166057</v>
      </c>
      <c r="P114" s="159"/>
    </row>
    <row r="115" spans="1:16" s="5" customFormat="1" ht="55.5" customHeight="1" x14ac:dyDescent="0.25">
      <c r="A115" s="113" t="s">
        <v>378</v>
      </c>
      <c r="B115" s="113" t="s">
        <v>76</v>
      </c>
      <c r="C115" s="7" t="s">
        <v>414</v>
      </c>
      <c r="D115" s="137">
        <f>'дод 1'!E171</f>
        <v>1385920</v>
      </c>
      <c r="E115" s="137">
        <f>'дод 1'!F171</f>
        <v>1385920</v>
      </c>
      <c r="F115" s="137">
        <f>'дод 1'!G171</f>
        <v>0</v>
      </c>
      <c r="G115" s="137">
        <f>'дод 1'!H171</f>
        <v>0</v>
      </c>
      <c r="H115" s="137">
        <f>'дод 1'!I171</f>
        <v>0</v>
      </c>
      <c r="I115" s="137">
        <f>'дод 1'!J171</f>
        <v>0</v>
      </c>
      <c r="J115" s="137">
        <f>'дод 1'!K171</f>
        <v>0</v>
      </c>
      <c r="K115" s="137">
        <f>'дод 1'!L171</f>
        <v>0</v>
      </c>
      <c r="L115" s="137">
        <f>'дод 1'!M171</f>
        <v>0</v>
      </c>
      <c r="M115" s="137">
        <f>'дод 1'!N171</f>
        <v>0</v>
      </c>
      <c r="N115" s="137">
        <f>'дод 1'!O171</f>
        <v>0</v>
      </c>
      <c r="O115" s="137">
        <f>'дод 1'!P171</f>
        <v>1385920</v>
      </c>
      <c r="P115" s="159"/>
    </row>
    <row r="116" spans="1:16" ht="43.5" customHeight="1" x14ac:dyDescent="0.25">
      <c r="A116" s="113" t="s">
        <v>137</v>
      </c>
      <c r="B116" s="113" t="s">
        <v>80</v>
      </c>
      <c r="C116" s="7" t="s">
        <v>191</v>
      </c>
      <c r="D116" s="137">
        <f>'дод 1'!E172</f>
        <v>81525</v>
      </c>
      <c r="E116" s="137">
        <f>'дод 1'!F172</f>
        <v>81525</v>
      </c>
      <c r="F116" s="137">
        <f>'дод 1'!G172</f>
        <v>0</v>
      </c>
      <c r="G116" s="137">
        <f>'дод 1'!H172</f>
        <v>0</v>
      </c>
      <c r="H116" s="137">
        <f>'дод 1'!I172</f>
        <v>0</v>
      </c>
      <c r="I116" s="137">
        <f>'дод 1'!J172</f>
        <v>0</v>
      </c>
      <c r="J116" s="137">
        <f>'дод 1'!K172</f>
        <v>0</v>
      </c>
      <c r="K116" s="137">
        <f>'дод 1'!L172</f>
        <v>0</v>
      </c>
      <c r="L116" s="137">
        <f>'дод 1'!M172</f>
        <v>0</v>
      </c>
      <c r="M116" s="137">
        <f>'дод 1'!N172</f>
        <v>0</v>
      </c>
      <c r="N116" s="137">
        <f>'дод 1'!O172</f>
        <v>0</v>
      </c>
      <c r="O116" s="137">
        <f>'дод 1'!P172</f>
        <v>81525</v>
      </c>
      <c r="P116" s="159"/>
    </row>
    <row r="117" spans="1:16" ht="27.75" customHeight="1" x14ac:dyDescent="0.25">
      <c r="A117" s="113" t="s">
        <v>379</v>
      </c>
      <c r="B117" s="113" t="s">
        <v>138</v>
      </c>
      <c r="C117" s="7" t="s">
        <v>59</v>
      </c>
      <c r="D117" s="137">
        <f>'дод 1'!E173+'дод 1'!E216</f>
        <v>680000</v>
      </c>
      <c r="E117" s="137">
        <f>'дод 1'!F173+'дод 1'!F216</f>
        <v>680000</v>
      </c>
      <c r="F117" s="137">
        <f>'дод 1'!G173+'дод 1'!G216</f>
        <v>245900</v>
      </c>
      <c r="G117" s="137">
        <f>'дод 1'!H173+'дод 1'!H216</f>
        <v>0</v>
      </c>
      <c r="H117" s="137">
        <f>'дод 1'!I173+'дод 1'!I216</f>
        <v>0</v>
      </c>
      <c r="I117" s="137">
        <f>'дод 1'!J173+'дод 1'!J216</f>
        <v>0</v>
      </c>
      <c r="J117" s="137">
        <f>'дод 1'!K173+'дод 1'!K216</f>
        <v>0</v>
      </c>
      <c r="K117" s="137">
        <f>'дод 1'!L173+'дод 1'!L216</f>
        <v>0</v>
      </c>
      <c r="L117" s="137">
        <f>'дод 1'!M173+'дод 1'!M216</f>
        <v>0</v>
      </c>
      <c r="M117" s="137">
        <f>'дод 1'!N173+'дод 1'!N216</f>
        <v>0</v>
      </c>
      <c r="N117" s="137">
        <f>'дод 1'!O173+'дод 1'!O216</f>
        <v>0</v>
      </c>
      <c r="O117" s="137">
        <f>'дод 1'!P173+'дод 1'!P216</f>
        <v>680000</v>
      </c>
      <c r="P117" s="159"/>
    </row>
    <row r="118" spans="1:16" ht="167.25" customHeight="1" x14ac:dyDescent="0.25">
      <c r="A118" s="113" t="s">
        <v>537</v>
      </c>
      <c r="B118" s="113" t="s">
        <v>77</v>
      </c>
      <c r="C118" s="46" t="s">
        <v>538</v>
      </c>
      <c r="D118" s="137">
        <f>'дод 1'!E174</f>
        <v>0</v>
      </c>
      <c r="E118" s="137">
        <f>'дод 1'!F174</f>
        <v>0</v>
      </c>
      <c r="F118" s="137">
        <f>'дод 1'!G174</f>
        <v>0</v>
      </c>
      <c r="G118" s="137">
        <f>'дод 1'!H174</f>
        <v>0</v>
      </c>
      <c r="H118" s="137">
        <f>'дод 1'!I174</f>
        <v>0</v>
      </c>
      <c r="I118" s="137">
        <f>'дод 1'!J174</f>
        <v>2556672.91</v>
      </c>
      <c r="J118" s="137">
        <f>'дод 1'!K174</f>
        <v>2556672.91</v>
      </c>
      <c r="K118" s="137">
        <f>'дод 1'!L174</f>
        <v>0</v>
      </c>
      <c r="L118" s="137">
        <f>'дод 1'!M174</f>
        <v>0</v>
      </c>
      <c r="M118" s="137">
        <f>'дод 1'!N174</f>
        <v>0</v>
      </c>
      <c r="N118" s="137">
        <f>'дод 1'!O174</f>
        <v>2556672.91</v>
      </c>
      <c r="O118" s="137">
        <f>'дод 1'!P174</f>
        <v>2556672.91</v>
      </c>
      <c r="P118" s="154"/>
    </row>
    <row r="119" spans="1:16" s="5" customFormat="1" ht="15.75" x14ac:dyDescent="0.25">
      <c r="A119" s="113"/>
      <c r="B119" s="113"/>
      <c r="C119" s="7" t="s">
        <v>344</v>
      </c>
      <c r="D119" s="137">
        <f>'дод 1'!E175</f>
        <v>0</v>
      </c>
      <c r="E119" s="137">
        <f>'дод 1'!F175</f>
        <v>0</v>
      </c>
      <c r="F119" s="137">
        <f>'дод 1'!G175</f>
        <v>0</v>
      </c>
      <c r="G119" s="137">
        <f>'дод 1'!H175</f>
        <v>0</v>
      </c>
      <c r="H119" s="137">
        <f>'дод 1'!I175</f>
        <v>0</v>
      </c>
      <c r="I119" s="137">
        <f>'дод 1'!J175</f>
        <v>2556672.91</v>
      </c>
      <c r="J119" s="137">
        <f>'дод 1'!K175</f>
        <v>2556672.91</v>
      </c>
      <c r="K119" s="137">
        <f>'дод 1'!L175</f>
        <v>0</v>
      </c>
      <c r="L119" s="137">
        <f>'дод 1'!M175</f>
        <v>0</v>
      </c>
      <c r="M119" s="137">
        <f>'дод 1'!N175</f>
        <v>0</v>
      </c>
      <c r="N119" s="137">
        <f>'дод 1'!O175</f>
        <v>2556672.91</v>
      </c>
      <c r="O119" s="137">
        <f>'дод 1'!P175</f>
        <v>2556672.91</v>
      </c>
      <c r="P119" s="155"/>
    </row>
    <row r="120" spans="1:16" s="5" customFormat="1" ht="181.5" customHeight="1" x14ac:dyDescent="0.25">
      <c r="A120" s="113" t="s">
        <v>544</v>
      </c>
      <c r="B120" s="113" t="s">
        <v>77</v>
      </c>
      <c r="C120" s="46" t="s">
        <v>543</v>
      </c>
      <c r="D120" s="137">
        <f>'дод 1'!E176</f>
        <v>0</v>
      </c>
      <c r="E120" s="137">
        <f>'дод 1'!F176</f>
        <v>0</v>
      </c>
      <c r="F120" s="137">
        <f>'дод 1'!G176</f>
        <v>0</v>
      </c>
      <c r="G120" s="137">
        <f>'дод 1'!H176</f>
        <v>0</v>
      </c>
      <c r="H120" s="137">
        <f>'дод 1'!I176</f>
        <v>0</v>
      </c>
      <c r="I120" s="137">
        <f>'дод 1'!J176</f>
        <v>1512988</v>
      </c>
      <c r="J120" s="137">
        <f>'дод 1'!K176</f>
        <v>0</v>
      </c>
      <c r="K120" s="137">
        <f>'дод 1'!L176</f>
        <v>0</v>
      </c>
      <c r="L120" s="137">
        <f>'дод 1'!M176</f>
        <v>0</v>
      </c>
      <c r="M120" s="137">
        <f>'дод 1'!N176</f>
        <v>0</v>
      </c>
      <c r="N120" s="137">
        <f>'дод 1'!O176</f>
        <v>1512988</v>
      </c>
      <c r="O120" s="137">
        <f>'дод 1'!P176</f>
        <v>1512988</v>
      </c>
      <c r="P120" s="155"/>
    </row>
    <row r="121" spans="1:16" s="5" customFormat="1" ht="15.75" x14ac:dyDescent="0.25">
      <c r="A121" s="113"/>
      <c r="B121" s="113"/>
      <c r="C121" s="7" t="s">
        <v>344</v>
      </c>
      <c r="D121" s="137">
        <f>'дод 1'!E177</f>
        <v>0</v>
      </c>
      <c r="E121" s="137">
        <f>'дод 1'!F177</f>
        <v>0</v>
      </c>
      <c r="F121" s="137">
        <f>'дод 1'!G177</f>
        <v>0</v>
      </c>
      <c r="G121" s="137">
        <f>'дод 1'!H177</f>
        <v>0</v>
      </c>
      <c r="H121" s="137">
        <f>'дод 1'!I177</f>
        <v>0</v>
      </c>
      <c r="I121" s="137">
        <f>'дод 1'!J177</f>
        <v>1512988</v>
      </c>
      <c r="J121" s="137">
        <f>'дод 1'!K177</f>
        <v>0</v>
      </c>
      <c r="K121" s="137">
        <f>'дод 1'!L177</f>
        <v>0</v>
      </c>
      <c r="L121" s="137">
        <f>'дод 1'!M177</f>
        <v>0</v>
      </c>
      <c r="M121" s="137">
        <f>'дод 1'!N177</f>
        <v>0</v>
      </c>
      <c r="N121" s="137">
        <f>'дод 1'!O177</f>
        <v>1512988</v>
      </c>
      <c r="O121" s="137">
        <f>'дод 1'!P177</f>
        <v>1512988</v>
      </c>
      <c r="P121" s="155"/>
    </row>
    <row r="122" spans="1:16" s="5" customFormat="1" ht="180" customHeight="1" x14ac:dyDescent="0.25">
      <c r="A122" s="113" t="s">
        <v>546</v>
      </c>
      <c r="B122" s="113" t="s">
        <v>77</v>
      </c>
      <c r="C122" s="46" t="s">
        <v>545</v>
      </c>
      <c r="D122" s="137">
        <f>'дод 1'!E178</f>
        <v>0</v>
      </c>
      <c r="E122" s="137">
        <f>'дод 1'!F178</f>
        <v>0</v>
      </c>
      <c r="F122" s="137">
        <f>'дод 1'!G178</f>
        <v>0</v>
      </c>
      <c r="G122" s="137">
        <f>'дод 1'!H178</f>
        <v>0</v>
      </c>
      <c r="H122" s="137">
        <f>'дод 1'!I178</f>
        <v>0</v>
      </c>
      <c r="I122" s="137">
        <f>'дод 1'!J178</f>
        <v>1462158</v>
      </c>
      <c r="J122" s="137">
        <f>'дод 1'!K178</f>
        <v>1462158</v>
      </c>
      <c r="K122" s="137">
        <f>'дод 1'!L178</f>
        <v>0</v>
      </c>
      <c r="L122" s="137">
        <f>'дод 1'!M178</f>
        <v>0</v>
      </c>
      <c r="M122" s="137">
        <f>'дод 1'!N178</f>
        <v>0</v>
      </c>
      <c r="N122" s="137">
        <f>'дод 1'!O178</f>
        <v>1462158</v>
      </c>
      <c r="O122" s="137">
        <f>'дод 1'!P178</f>
        <v>1462158</v>
      </c>
      <c r="P122" s="155"/>
    </row>
    <row r="123" spans="1:16" s="5" customFormat="1" ht="15.75" x14ac:dyDescent="0.25">
      <c r="A123" s="113"/>
      <c r="B123" s="113"/>
      <c r="C123" s="7" t="s">
        <v>344</v>
      </c>
      <c r="D123" s="137">
        <f>'дод 1'!E179</f>
        <v>0</v>
      </c>
      <c r="E123" s="137">
        <f>'дод 1'!F179</f>
        <v>0</v>
      </c>
      <c r="F123" s="137">
        <f>'дод 1'!G179</f>
        <v>0</v>
      </c>
      <c r="G123" s="137">
        <f>'дод 1'!H179</f>
        <v>0</v>
      </c>
      <c r="H123" s="137">
        <f>'дод 1'!I179</f>
        <v>0</v>
      </c>
      <c r="I123" s="137">
        <f>'дод 1'!J179</f>
        <v>1462158</v>
      </c>
      <c r="J123" s="137">
        <f>'дод 1'!K179</f>
        <v>1462158</v>
      </c>
      <c r="K123" s="137">
        <f>'дод 1'!L179</f>
        <v>0</v>
      </c>
      <c r="L123" s="137">
        <f>'дод 1'!M179</f>
        <v>0</v>
      </c>
      <c r="M123" s="137">
        <f>'дод 1'!N179</f>
        <v>0</v>
      </c>
      <c r="N123" s="137">
        <f>'дод 1'!O179</f>
        <v>1462158</v>
      </c>
      <c r="O123" s="137">
        <f>'дод 1'!P179</f>
        <v>1462158</v>
      </c>
      <c r="P123" s="155"/>
    </row>
    <row r="124" spans="1:16" s="5" customFormat="1" ht="162.75" customHeight="1" x14ac:dyDescent="0.25">
      <c r="A124" s="113">
        <v>3224</v>
      </c>
      <c r="B124" s="113">
        <v>1060</v>
      </c>
      <c r="C124" s="98" t="s">
        <v>603</v>
      </c>
      <c r="D124" s="137">
        <f>SUM('дод 1'!E180)</f>
        <v>0</v>
      </c>
      <c r="E124" s="137">
        <f>SUM('дод 1'!F180)</f>
        <v>0</v>
      </c>
      <c r="F124" s="137">
        <f>SUM('дод 1'!G180)</f>
        <v>0</v>
      </c>
      <c r="G124" s="137">
        <f>SUM('дод 1'!H180)</f>
        <v>0</v>
      </c>
      <c r="H124" s="137">
        <f>SUM('дод 1'!I180)</f>
        <v>0</v>
      </c>
      <c r="I124" s="137">
        <f>SUM('дод 1'!J180)</f>
        <v>823359</v>
      </c>
      <c r="J124" s="137">
        <f>SUM('дод 1'!K180)</f>
        <v>823359</v>
      </c>
      <c r="K124" s="137">
        <f>SUM('дод 1'!L180)</f>
        <v>0</v>
      </c>
      <c r="L124" s="137">
        <f>SUM('дод 1'!M180)</f>
        <v>0</v>
      </c>
      <c r="M124" s="137">
        <f>SUM('дод 1'!N180)</f>
        <v>0</v>
      </c>
      <c r="N124" s="137">
        <f>SUM('дод 1'!O180)</f>
        <v>823359</v>
      </c>
      <c r="O124" s="137">
        <f>SUM('дод 1'!P180)</f>
        <v>823359</v>
      </c>
      <c r="P124" s="155"/>
    </row>
    <row r="125" spans="1:16" s="5" customFormat="1" ht="15.75" x14ac:dyDescent="0.25">
      <c r="A125" s="113"/>
      <c r="B125" s="113"/>
      <c r="C125" s="7" t="s">
        <v>344</v>
      </c>
      <c r="D125" s="137">
        <f>SUM('дод 1'!E181)</f>
        <v>0</v>
      </c>
      <c r="E125" s="137">
        <f>SUM('дод 1'!F181)</f>
        <v>0</v>
      </c>
      <c r="F125" s="137">
        <f>SUM('дод 1'!G181)</f>
        <v>0</v>
      </c>
      <c r="G125" s="137">
        <f>SUM('дод 1'!H181)</f>
        <v>0</v>
      </c>
      <c r="H125" s="137">
        <f>SUM('дод 1'!I181)</f>
        <v>0</v>
      </c>
      <c r="I125" s="137">
        <f>SUM('дод 1'!J181)</f>
        <v>823359</v>
      </c>
      <c r="J125" s="137">
        <f>SUM('дод 1'!K181)</f>
        <v>823359</v>
      </c>
      <c r="K125" s="137">
        <f>SUM('дод 1'!L181)</f>
        <v>0</v>
      </c>
      <c r="L125" s="137">
        <f>SUM('дод 1'!M181)</f>
        <v>0</v>
      </c>
      <c r="M125" s="137">
        <f>SUM('дод 1'!N181)</f>
        <v>0</v>
      </c>
      <c r="N125" s="137">
        <f>SUM('дод 1'!O181)</f>
        <v>823359</v>
      </c>
      <c r="O125" s="137">
        <f>SUM('дод 1'!P181)</f>
        <v>823359</v>
      </c>
      <c r="P125" s="155"/>
    </row>
    <row r="126" spans="1:16" ht="163.5" customHeight="1" x14ac:dyDescent="0.25">
      <c r="A126" s="113" t="s">
        <v>466</v>
      </c>
      <c r="B126" s="113" t="s">
        <v>132</v>
      </c>
      <c r="C126" s="7" t="s">
        <v>571</v>
      </c>
      <c r="D126" s="137">
        <f>'дод 1'!E182</f>
        <v>3120900</v>
      </c>
      <c r="E126" s="137">
        <f>'дод 1'!F182</f>
        <v>3120900</v>
      </c>
      <c r="F126" s="137">
        <f>'дод 1'!G182</f>
        <v>0</v>
      </c>
      <c r="G126" s="137">
        <f>'дод 1'!H182</f>
        <v>0</v>
      </c>
      <c r="H126" s="137">
        <f>'дод 1'!I182</f>
        <v>0</v>
      </c>
      <c r="I126" s="137">
        <f>'дод 1'!J182</f>
        <v>0</v>
      </c>
      <c r="J126" s="137">
        <f>'дод 1'!K182</f>
        <v>0</v>
      </c>
      <c r="K126" s="137">
        <f>'дод 1'!L182</f>
        <v>0</v>
      </c>
      <c r="L126" s="137">
        <f>'дод 1'!M182</f>
        <v>0</v>
      </c>
      <c r="M126" s="137">
        <f>'дод 1'!N182</f>
        <v>0</v>
      </c>
      <c r="N126" s="137">
        <f>'дод 1'!O182</f>
        <v>0</v>
      </c>
      <c r="O126" s="137">
        <f>'дод 1'!P182</f>
        <v>3120900</v>
      </c>
      <c r="P126" s="159"/>
    </row>
    <row r="127" spans="1:16" ht="27.75" customHeight="1" x14ac:dyDescent="0.25">
      <c r="A127" s="113"/>
      <c r="B127" s="113"/>
      <c r="C127" s="7" t="s">
        <v>344</v>
      </c>
      <c r="D127" s="137">
        <f>'дод 1'!E183</f>
        <v>3120900</v>
      </c>
      <c r="E127" s="137">
        <f>'дод 1'!F183</f>
        <v>3120900</v>
      </c>
      <c r="F127" s="137">
        <f>'дод 1'!G183</f>
        <v>0</v>
      </c>
      <c r="G127" s="137">
        <f>'дод 1'!H183</f>
        <v>0</v>
      </c>
      <c r="H127" s="137">
        <f>'дод 1'!I183</f>
        <v>0</v>
      </c>
      <c r="I127" s="137">
        <f>'дод 1'!J183</f>
        <v>0</v>
      </c>
      <c r="J127" s="137">
        <f>'дод 1'!K183</f>
        <v>0</v>
      </c>
      <c r="K127" s="137">
        <f>'дод 1'!L183</f>
        <v>0</v>
      </c>
      <c r="L127" s="137">
        <f>'дод 1'!M183</f>
        <v>0</v>
      </c>
      <c r="M127" s="137">
        <f>'дод 1'!N183</f>
        <v>0</v>
      </c>
      <c r="N127" s="137">
        <f>'дод 1'!O183</f>
        <v>0</v>
      </c>
      <c r="O127" s="137">
        <f>'дод 1'!P183</f>
        <v>3120900</v>
      </c>
      <c r="P127" s="159"/>
    </row>
    <row r="128" spans="1:16" s="5" customFormat="1" ht="32.25" customHeight="1" x14ac:dyDescent="0.25">
      <c r="A128" s="113" t="s">
        <v>380</v>
      </c>
      <c r="B128" s="113" t="s">
        <v>80</v>
      </c>
      <c r="C128" s="7" t="s">
        <v>382</v>
      </c>
      <c r="D128" s="137">
        <f>'дод 1'!E184+'дод 1'!E22</f>
        <v>6144683</v>
      </c>
      <c r="E128" s="137">
        <f>'дод 1'!F184+'дод 1'!F22</f>
        <v>6144683</v>
      </c>
      <c r="F128" s="137">
        <f>'дод 1'!G184+'дод 1'!G22</f>
        <v>3603427</v>
      </c>
      <c r="G128" s="137">
        <f>'дод 1'!H184+'дод 1'!H22</f>
        <v>660624</v>
      </c>
      <c r="H128" s="137">
        <f>'дод 1'!I184+'дод 1'!I22</f>
        <v>0</v>
      </c>
      <c r="I128" s="137">
        <f>'дод 1'!J184+'дод 1'!J22</f>
        <v>779000</v>
      </c>
      <c r="J128" s="137">
        <f>'дод 1'!K184+'дод 1'!K22</f>
        <v>779000</v>
      </c>
      <c r="K128" s="137">
        <f>'дод 1'!L184+'дод 1'!L22</f>
        <v>0</v>
      </c>
      <c r="L128" s="137">
        <f>'дод 1'!M184+'дод 1'!M22</f>
        <v>0</v>
      </c>
      <c r="M128" s="137">
        <f>'дод 1'!N184+'дод 1'!N22</f>
        <v>0</v>
      </c>
      <c r="N128" s="137">
        <f>'дод 1'!O184+'дод 1'!O22</f>
        <v>779000</v>
      </c>
      <c r="O128" s="137">
        <f>'дод 1'!P184+'дод 1'!P22</f>
        <v>6923683</v>
      </c>
      <c r="P128" s="159"/>
    </row>
    <row r="129" spans="1:16" s="5" customFormat="1" ht="41.25" customHeight="1" x14ac:dyDescent="0.25">
      <c r="A129" s="113" t="s">
        <v>381</v>
      </c>
      <c r="B129" s="113" t="s">
        <v>80</v>
      </c>
      <c r="C129" s="7" t="s">
        <v>383</v>
      </c>
      <c r="D129" s="137">
        <f>'дод 1'!E74+'дод 1'!E185+'дод 1'!E23</f>
        <v>37316823</v>
      </c>
      <c r="E129" s="137">
        <f>'дод 1'!F74+'дод 1'!F185+'дод 1'!F23</f>
        <v>37316823</v>
      </c>
      <c r="F129" s="137">
        <f>'дод 1'!G74+'дод 1'!G185+'дод 1'!G23</f>
        <v>0</v>
      </c>
      <c r="G129" s="137">
        <f>'дод 1'!H74+'дод 1'!H185+'дод 1'!H23</f>
        <v>0</v>
      </c>
      <c r="H129" s="137">
        <f>'дод 1'!I74+'дод 1'!I185+'дод 1'!I23</f>
        <v>0</v>
      </c>
      <c r="I129" s="137">
        <f>'дод 1'!J74+'дод 1'!J185+'дод 1'!J23</f>
        <v>42000</v>
      </c>
      <c r="J129" s="137">
        <f>'дод 1'!K74+'дод 1'!K185+'дод 1'!K23</f>
        <v>42000</v>
      </c>
      <c r="K129" s="137">
        <f>'дод 1'!L74+'дод 1'!L185+'дод 1'!L23</f>
        <v>0</v>
      </c>
      <c r="L129" s="137">
        <f>'дод 1'!M74+'дод 1'!M185+'дод 1'!M23</f>
        <v>0</v>
      </c>
      <c r="M129" s="137">
        <f>'дод 1'!N74+'дод 1'!N185+'дод 1'!N23</f>
        <v>0</v>
      </c>
      <c r="N129" s="137">
        <f>'дод 1'!O74+'дод 1'!O185+'дод 1'!O23</f>
        <v>42000</v>
      </c>
      <c r="O129" s="137">
        <f>'дод 1'!P74+'дод 1'!P185+'дод 1'!P23</f>
        <v>37358823</v>
      </c>
      <c r="P129" s="159"/>
    </row>
    <row r="130" spans="1:16" s="12" customFormat="1" ht="19.5" customHeight="1" x14ac:dyDescent="0.25">
      <c r="A130" s="114" t="s">
        <v>100</v>
      </c>
      <c r="B130" s="117"/>
      <c r="C130" s="6" t="s">
        <v>101</v>
      </c>
      <c r="D130" s="136">
        <f>D131+D132+D133+D134</f>
        <v>28021067</v>
      </c>
      <c r="E130" s="136">
        <f t="shared" ref="E130:O130" si="9">E131+E132+E133+E134</f>
        <v>28021067</v>
      </c>
      <c r="F130" s="136">
        <f t="shared" si="9"/>
        <v>15984150</v>
      </c>
      <c r="G130" s="136">
        <f t="shared" si="9"/>
        <v>2129687</v>
      </c>
      <c r="H130" s="136">
        <f t="shared" si="9"/>
        <v>0</v>
      </c>
      <c r="I130" s="136">
        <f t="shared" si="9"/>
        <v>2134853</v>
      </c>
      <c r="J130" s="136">
        <f t="shared" si="9"/>
        <v>2106853</v>
      </c>
      <c r="K130" s="136">
        <f t="shared" si="9"/>
        <v>28000</v>
      </c>
      <c r="L130" s="136">
        <f t="shared" si="9"/>
        <v>5000</v>
      </c>
      <c r="M130" s="136">
        <f t="shared" si="9"/>
        <v>0</v>
      </c>
      <c r="N130" s="136">
        <f t="shared" si="9"/>
        <v>2106853</v>
      </c>
      <c r="O130" s="136">
        <f t="shared" si="9"/>
        <v>30155920</v>
      </c>
      <c r="P130" s="159"/>
    </row>
    <row r="131" spans="1:16" ht="22.5" customHeight="1" x14ac:dyDescent="0.25">
      <c r="A131" s="113" t="s">
        <v>102</v>
      </c>
      <c r="B131" s="113" t="s">
        <v>103</v>
      </c>
      <c r="C131" s="7" t="s">
        <v>25</v>
      </c>
      <c r="D131" s="137">
        <f>'дод 1'!E206</f>
        <v>17754990</v>
      </c>
      <c r="E131" s="137">
        <f>'дод 1'!F206</f>
        <v>17754990</v>
      </c>
      <c r="F131" s="137">
        <f>'дод 1'!G206</f>
        <v>12497600</v>
      </c>
      <c r="G131" s="137">
        <f>'дод 1'!H206</f>
        <v>1594679</v>
      </c>
      <c r="H131" s="137">
        <f>'дод 1'!I206</f>
        <v>0</v>
      </c>
      <c r="I131" s="137">
        <f>'дод 1'!J206</f>
        <v>386020</v>
      </c>
      <c r="J131" s="137">
        <f>'дод 1'!K206</f>
        <v>358020</v>
      </c>
      <c r="K131" s="137">
        <f>'дод 1'!L206</f>
        <v>28000</v>
      </c>
      <c r="L131" s="137">
        <f>'дод 1'!M206</f>
        <v>5000</v>
      </c>
      <c r="M131" s="137">
        <f>'дод 1'!N206</f>
        <v>0</v>
      </c>
      <c r="N131" s="137">
        <f>'дод 1'!O206</f>
        <v>358020</v>
      </c>
      <c r="O131" s="137">
        <f>'дод 1'!P206</f>
        <v>18141010</v>
      </c>
      <c r="P131" s="159"/>
    </row>
    <row r="132" spans="1:16" ht="33.75" customHeight="1" x14ac:dyDescent="0.25">
      <c r="A132" s="113" t="s">
        <v>486</v>
      </c>
      <c r="B132" s="113" t="s">
        <v>487</v>
      </c>
      <c r="C132" s="7" t="s">
        <v>488</v>
      </c>
      <c r="D132" s="137">
        <f>'дод 1'!E24</f>
        <v>3195567</v>
      </c>
      <c r="E132" s="137">
        <f>'дод 1'!F24</f>
        <v>3195567</v>
      </c>
      <c r="F132" s="137">
        <f>'дод 1'!G24</f>
        <v>1132340</v>
      </c>
      <c r="G132" s="137">
        <f>'дод 1'!H24</f>
        <v>410229</v>
      </c>
      <c r="H132" s="137">
        <f>'дод 1'!I24</f>
        <v>0</v>
      </c>
      <c r="I132" s="137">
        <f>'дод 1'!J24</f>
        <v>1725833</v>
      </c>
      <c r="J132" s="137">
        <f>'дод 1'!K24</f>
        <v>1725833</v>
      </c>
      <c r="K132" s="137">
        <f>'дод 1'!L24</f>
        <v>0</v>
      </c>
      <c r="L132" s="137">
        <f>'дод 1'!M24</f>
        <v>0</v>
      </c>
      <c r="M132" s="137">
        <f>'дод 1'!N24</f>
        <v>0</v>
      </c>
      <c r="N132" s="137">
        <f>'дод 1'!O24</f>
        <v>1725833</v>
      </c>
      <c r="O132" s="137">
        <f>'дод 1'!P24</f>
        <v>4921400</v>
      </c>
      <c r="P132" s="159"/>
    </row>
    <row r="133" spans="1:16" s="5" customFormat="1" ht="39.75" customHeight="1" x14ac:dyDescent="0.25">
      <c r="A133" s="113" t="s">
        <v>384</v>
      </c>
      <c r="B133" s="113" t="s">
        <v>104</v>
      </c>
      <c r="C133" s="7" t="s">
        <v>386</v>
      </c>
      <c r="D133" s="137">
        <f>'дод 1'!E25+'дод 1'!E207</f>
        <v>4240010</v>
      </c>
      <c r="E133" s="137">
        <f>'дод 1'!F25+'дод 1'!F207</f>
        <v>4240010</v>
      </c>
      <c r="F133" s="137">
        <f>'дод 1'!G25+'дод 1'!G207</f>
        <v>2354210</v>
      </c>
      <c r="G133" s="137">
        <f>'дод 1'!H25+'дод 1'!H207</f>
        <v>124779</v>
      </c>
      <c r="H133" s="137">
        <f>'дод 1'!I25+'дод 1'!I207</f>
        <v>0</v>
      </c>
      <c r="I133" s="137">
        <f>'дод 1'!J25+'дод 1'!J207</f>
        <v>23000</v>
      </c>
      <c r="J133" s="137">
        <f>'дод 1'!K25+'дод 1'!K207</f>
        <v>23000</v>
      </c>
      <c r="K133" s="137">
        <f>'дод 1'!L25+'дод 1'!L207</f>
        <v>0</v>
      </c>
      <c r="L133" s="137">
        <f>'дод 1'!M25+'дод 1'!M207</f>
        <v>0</v>
      </c>
      <c r="M133" s="137">
        <f>'дод 1'!N25+'дод 1'!N207</f>
        <v>0</v>
      </c>
      <c r="N133" s="137">
        <f>'дод 1'!O25+'дод 1'!O207</f>
        <v>23000</v>
      </c>
      <c r="O133" s="137">
        <f>'дод 1'!P25+'дод 1'!P207</f>
        <v>4263010</v>
      </c>
      <c r="P133" s="159"/>
    </row>
    <row r="134" spans="1:16" s="5" customFormat="1" ht="30" customHeight="1" x14ac:dyDescent="0.25">
      <c r="A134" s="113" t="s">
        <v>385</v>
      </c>
      <c r="B134" s="113" t="s">
        <v>104</v>
      </c>
      <c r="C134" s="7" t="s">
        <v>387</v>
      </c>
      <c r="D134" s="137">
        <f>'дод 1'!E26+'дод 1'!E208</f>
        <v>2830500</v>
      </c>
      <c r="E134" s="137">
        <f>'дод 1'!F26+'дод 1'!F208</f>
        <v>2830500</v>
      </c>
      <c r="F134" s="137">
        <f>'дод 1'!G26+'дод 1'!G208</f>
        <v>0</v>
      </c>
      <c r="G134" s="137">
        <f>'дод 1'!H26+'дод 1'!H208</f>
        <v>0</v>
      </c>
      <c r="H134" s="137">
        <f>'дод 1'!I26+'дод 1'!I208</f>
        <v>0</v>
      </c>
      <c r="I134" s="137">
        <f>'дод 1'!J26+'дод 1'!J208</f>
        <v>0</v>
      </c>
      <c r="J134" s="137">
        <f>'дод 1'!K26+'дод 1'!K208</f>
        <v>0</v>
      </c>
      <c r="K134" s="137">
        <f>'дод 1'!L26+'дод 1'!L208</f>
        <v>0</v>
      </c>
      <c r="L134" s="137">
        <f>'дод 1'!M26+'дод 1'!M208</f>
        <v>0</v>
      </c>
      <c r="M134" s="137">
        <f>'дод 1'!N26+'дод 1'!N208</f>
        <v>0</v>
      </c>
      <c r="N134" s="137">
        <f>'дод 1'!O26+'дод 1'!O208</f>
        <v>0</v>
      </c>
      <c r="O134" s="137">
        <f>'дод 1'!P26+'дод 1'!P208</f>
        <v>2830500</v>
      </c>
      <c r="P134" s="159"/>
    </row>
    <row r="135" spans="1:16" s="12" customFormat="1" ht="21.75" customHeight="1" x14ac:dyDescent="0.25">
      <c r="A135" s="114" t="s">
        <v>107</v>
      </c>
      <c r="B135" s="117"/>
      <c r="C135" s="6" t="s">
        <v>108</v>
      </c>
      <c r="D135" s="136">
        <f>D136+D137+D138+D139+D140+D141</f>
        <v>35983080</v>
      </c>
      <c r="E135" s="136">
        <f t="shared" ref="E135:O135" si="10">E136+E137+E138+E139+E140+E141</f>
        <v>35983080</v>
      </c>
      <c r="F135" s="136">
        <f t="shared" si="10"/>
        <v>13017594</v>
      </c>
      <c r="G135" s="136">
        <f t="shared" si="10"/>
        <v>1422229</v>
      </c>
      <c r="H135" s="136">
        <f t="shared" si="10"/>
        <v>0</v>
      </c>
      <c r="I135" s="136">
        <f t="shared" si="10"/>
        <v>1734389</v>
      </c>
      <c r="J135" s="136">
        <f t="shared" si="10"/>
        <v>1484000</v>
      </c>
      <c r="K135" s="136">
        <f t="shared" si="10"/>
        <v>250389</v>
      </c>
      <c r="L135" s="136">
        <f t="shared" si="10"/>
        <v>158895</v>
      </c>
      <c r="M135" s="136">
        <f t="shared" si="10"/>
        <v>55055</v>
      </c>
      <c r="N135" s="136">
        <f t="shared" si="10"/>
        <v>1484000</v>
      </c>
      <c r="O135" s="136">
        <f t="shared" si="10"/>
        <v>37717469</v>
      </c>
      <c r="P135" s="159"/>
    </row>
    <row r="136" spans="1:16" s="5" customFormat="1" ht="43.5" customHeight="1" x14ac:dyDescent="0.25">
      <c r="A136" s="113" t="s">
        <v>109</v>
      </c>
      <c r="B136" s="113" t="s">
        <v>110</v>
      </c>
      <c r="C136" s="7" t="s">
        <v>36</v>
      </c>
      <c r="D136" s="137">
        <f>'дод 1'!E27</f>
        <v>860000</v>
      </c>
      <c r="E136" s="137">
        <f>'дод 1'!F27</f>
        <v>860000</v>
      </c>
      <c r="F136" s="137">
        <f>'дод 1'!G27</f>
        <v>0</v>
      </c>
      <c r="G136" s="137">
        <f>'дод 1'!H27</f>
        <v>0</v>
      </c>
      <c r="H136" s="137">
        <f>'дод 1'!I27</f>
        <v>0</v>
      </c>
      <c r="I136" s="137">
        <f>'дод 1'!J27</f>
        <v>0</v>
      </c>
      <c r="J136" s="137">
        <f>'дод 1'!K27</f>
        <v>0</v>
      </c>
      <c r="K136" s="137">
        <f>'дод 1'!L27</f>
        <v>0</v>
      </c>
      <c r="L136" s="137">
        <f>'дод 1'!M27</f>
        <v>0</v>
      </c>
      <c r="M136" s="137">
        <f>'дод 1'!N27</f>
        <v>0</v>
      </c>
      <c r="N136" s="137">
        <f>'дод 1'!O27</f>
        <v>0</v>
      </c>
      <c r="O136" s="137">
        <f>'дод 1'!P27</f>
        <v>860000</v>
      </c>
      <c r="P136" s="159"/>
    </row>
    <row r="137" spans="1:16" s="5" customFormat="1" ht="39.75" customHeight="1" x14ac:dyDescent="0.25">
      <c r="A137" s="113" t="s">
        <v>111</v>
      </c>
      <c r="B137" s="113" t="s">
        <v>110</v>
      </c>
      <c r="C137" s="7" t="s">
        <v>27</v>
      </c>
      <c r="D137" s="137">
        <f>'дод 1'!E28</f>
        <v>1004500</v>
      </c>
      <c r="E137" s="137">
        <f>'дод 1'!F28</f>
        <v>1004500</v>
      </c>
      <c r="F137" s="137">
        <f>'дод 1'!G28</f>
        <v>0</v>
      </c>
      <c r="G137" s="137">
        <f>'дод 1'!H28</f>
        <v>0</v>
      </c>
      <c r="H137" s="137">
        <f>'дод 1'!I28</f>
        <v>0</v>
      </c>
      <c r="I137" s="137">
        <f>'дод 1'!J28</f>
        <v>0</v>
      </c>
      <c r="J137" s="137">
        <f>'дод 1'!K28</f>
        <v>0</v>
      </c>
      <c r="K137" s="137">
        <f>'дод 1'!L28</f>
        <v>0</v>
      </c>
      <c r="L137" s="137">
        <f>'дод 1'!M28</f>
        <v>0</v>
      </c>
      <c r="M137" s="137">
        <f>'дод 1'!N28</f>
        <v>0</v>
      </c>
      <c r="N137" s="137">
        <f>'дод 1'!O28</f>
        <v>0</v>
      </c>
      <c r="O137" s="137">
        <f>'дод 1'!P28</f>
        <v>1004500</v>
      </c>
      <c r="P137" s="159"/>
    </row>
    <row r="138" spans="1:16" s="5" customFormat="1" ht="36.75" customHeight="1" x14ac:dyDescent="0.25">
      <c r="A138" s="113" t="s">
        <v>149</v>
      </c>
      <c r="B138" s="113" t="s">
        <v>110</v>
      </c>
      <c r="C138" s="7" t="s">
        <v>37</v>
      </c>
      <c r="D138" s="137">
        <f>'дод 1'!E75+'дод 1'!E29</f>
        <v>15079600</v>
      </c>
      <c r="E138" s="137">
        <f>'дод 1'!F75+'дод 1'!F29</f>
        <v>15079600</v>
      </c>
      <c r="F138" s="137">
        <f>'дод 1'!G75+'дод 1'!G29</f>
        <v>10920039</v>
      </c>
      <c r="G138" s="137">
        <f>'дод 1'!H75+'дод 1'!H29</f>
        <v>908324</v>
      </c>
      <c r="H138" s="137">
        <f>'дод 1'!I75+'дод 1'!I29</f>
        <v>0</v>
      </c>
      <c r="I138" s="137">
        <f>'дод 1'!J75+'дод 1'!J29</f>
        <v>550000</v>
      </c>
      <c r="J138" s="137">
        <f>'дод 1'!K75+'дод 1'!K29</f>
        <v>550000</v>
      </c>
      <c r="K138" s="137">
        <f>'дод 1'!L75+'дод 1'!L29</f>
        <v>0</v>
      </c>
      <c r="L138" s="137">
        <f>'дод 1'!M75+'дод 1'!M29</f>
        <v>0</v>
      </c>
      <c r="M138" s="137">
        <f>'дод 1'!N75+'дод 1'!N29</f>
        <v>0</v>
      </c>
      <c r="N138" s="137">
        <f>'дод 1'!O75+'дод 1'!O29</f>
        <v>550000</v>
      </c>
      <c r="O138" s="137">
        <f>'дод 1'!P75+'дод 1'!P29</f>
        <v>15629600</v>
      </c>
      <c r="P138" s="159"/>
    </row>
    <row r="139" spans="1:16" s="5" customFormat="1" ht="31.5" customHeight="1" x14ac:dyDescent="0.25">
      <c r="A139" s="113" t="s">
        <v>150</v>
      </c>
      <c r="B139" s="113" t="s">
        <v>110</v>
      </c>
      <c r="C139" s="7" t="s">
        <v>38</v>
      </c>
      <c r="D139" s="137">
        <f>'дод 1'!E30</f>
        <v>9116300</v>
      </c>
      <c r="E139" s="137">
        <f>'дод 1'!F30</f>
        <v>9116300</v>
      </c>
      <c r="F139" s="137">
        <f>'дод 1'!G30</f>
        <v>0</v>
      </c>
      <c r="G139" s="137">
        <f>'дод 1'!H30</f>
        <v>0</v>
      </c>
      <c r="H139" s="137">
        <f>'дод 1'!I30</f>
        <v>0</v>
      </c>
      <c r="I139" s="137">
        <f>'дод 1'!J30</f>
        <v>292000</v>
      </c>
      <c r="J139" s="137">
        <f>'дод 1'!K30</f>
        <v>292000</v>
      </c>
      <c r="K139" s="137">
        <f>'дод 1'!L30</f>
        <v>0</v>
      </c>
      <c r="L139" s="137">
        <f>'дод 1'!M30</f>
        <v>0</v>
      </c>
      <c r="M139" s="137">
        <f>'дод 1'!N30</f>
        <v>0</v>
      </c>
      <c r="N139" s="137">
        <f>'дод 1'!O30</f>
        <v>292000</v>
      </c>
      <c r="O139" s="137">
        <f>'дод 1'!P30</f>
        <v>9408300</v>
      </c>
      <c r="P139" s="159"/>
    </row>
    <row r="140" spans="1:16" s="5" customFormat="1" ht="60" customHeight="1" x14ac:dyDescent="0.25">
      <c r="A140" s="113" t="s">
        <v>145</v>
      </c>
      <c r="B140" s="113" t="s">
        <v>110</v>
      </c>
      <c r="C140" s="7" t="s">
        <v>146</v>
      </c>
      <c r="D140" s="137">
        <f>'дод 1'!E31</f>
        <v>3524500</v>
      </c>
      <c r="E140" s="137">
        <f>'дод 1'!F31</f>
        <v>3524500</v>
      </c>
      <c r="F140" s="137">
        <f>'дод 1'!G31</f>
        <v>2097555</v>
      </c>
      <c r="G140" s="137">
        <f>'дод 1'!H31</f>
        <v>513905</v>
      </c>
      <c r="H140" s="137">
        <f>'дод 1'!I31</f>
        <v>0</v>
      </c>
      <c r="I140" s="137">
        <f>'дод 1'!J31</f>
        <v>892389</v>
      </c>
      <c r="J140" s="137">
        <f>'дод 1'!K31</f>
        <v>642000</v>
      </c>
      <c r="K140" s="137">
        <f>'дод 1'!L31</f>
        <v>250389</v>
      </c>
      <c r="L140" s="137">
        <f>'дод 1'!M31</f>
        <v>158895</v>
      </c>
      <c r="M140" s="137">
        <f>'дод 1'!N31</f>
        <v>55055</v>
      </c>
      <c r="N140" s="137">
        <f>'дод 1'!O31</f>
        <v>642000</v>
      </c>
      <c r="O140" s="137">
        <f>'дод 1'!P31</f>
        <v>4416889</v>
      </c>
      <c r="P140" s="159"/>
    </row>
    <row r="141" spans="1:16" s="5" customFormat="1" ht="42" customHeight="1" x14ac:dyDescent="0.25">
      <c r="A141" s="113" t="s">
        <v>148</v>
      </c>
      <c r="B141" s="113" t="s">
        <v>110</v>
      </c>
      <c r="C141" s="7" t="s">
        <v>147</v>
      </c>
      <c r="D141" s="137">
        <f>'дод 1'!E32</f>
        <v>6398180</v>
      </c>
      <c r="E141" s="137">
        <f>'дод 1'!F32</f>
        <v>6398180</v>
      </c>
      <c r="F141" s="137">
        <f>'дод 1'!G32</f>
        <v>0</v>
      </c>
      <c r="G141" s="137">
        <f>'дод 1'!H32</f>
        <v>0</v>
      </c>
      <c r="H141" s="137">
        <f>'дод 1'!I32</f>
        <v>0</v>
      </c>
      <c r="I141" s="137">
        <f>'дод 1'!J32</f>
        <v>0</v>
      </c>
      <c r="J141" s="137">
        <f>'дод 1'!K32</f>
        <v>0</v>
      </c>
      <c r="K141" s="137">
        <f>'дод 1'!L32</f>
        <v>0</v>
      </c>
      <c r="L141" s="137">
        <f>'дод 1'!M32</f>
        <v>0</v>
      </c>
      <c r="M141" s="137">
        <f>'дод 1'!N32</f>
        <v>0</v>
      </c>
      <c r="N141" s="137">
        <f>'дод 1'!O32</f>
        <v>0</v>
      </c>
      <c r="O141" s="137">
        <f>'дод 1'!P32</f>
        <v>6398180</v>
      </c>
      <c r="P141" s="159"/>
    </row>
    <row r="142" spans="1:16" s="12" customFormat="1" ht="27" customHeight="1" x14ac:dyDescent="0.25">
      <c r="A142" s="114" t="s">
        <v>95</v>
      </c>
      <c r="B142" s="117"/>
      <c r="C142" s="6" t="s">
        <v>96</v>
      </c>
      <c r="D142" s="136">
        <f>D144+D145+D146+D147+D148+D149+D150+D151+D153+D154+D156+D157</f>
        <v>248851294.55000001</v>
      </c>
      <c r="E142" s="136">
        <f t="shared" ref="E142:O142" si="11">E144+E145+E146+E147+E148+E149+E150+E151+E153+E154+E156+E157</f>
        <v>192352011</v>
      </c>
      <c r="F142" s="136">
        <f t="shared" si="11"/>
        <v>0</v>
      </c>
      <c r="G142" s="136">
        <f t="shared" si="11"/>
        <v>26305297.59</v>
      </c>
      <c r="H142" s="136">
        <f t="shared" si="11"/>
        <v>56499283.550000004</v>
      </c>
      <c r="I142" s="136">
        <f t="shared" si="11"/>
        <v>173462097.84</v>
      </c>
      <c r="J142" s="136">
        <f t="shared" si="11"/>
        <v>173411414.03</v>
      </c>
      <c r="K142" s="136">
        <f t="shared" si="11"/>
        <v>0</v>
      </c>
      <c r="L142" s="136">
        <f t="shared" si="11"/>
        <v>0</v>
      </c>
      <c r="M142" s="136">
        <f t="shared" si="11"/>
        <v>0</v>
      </c>
      <c r="N142" s="136">
        <f t="shared" si="11"/>
        <v>173462097.84</v>
      </c>
      <c r="O142" s="136">
        <f t="shared" si="11"/>
        <v>422313392.38999999</v>
      </c>
      <c r="P142" s="159"/>
    </row>
    <row r="143" spans="1:16" s="14" customFormat="1" ht="15.75" x14ac:dyDescent="0.25">
      <c r="A143" s="120"/>
      <c r="B143" s="121"/>
      <c r="C143" s="81" t="s">
        <v>344</v>
      </c>
      <c r="D143" s="138">
        <f>D152+D155</f>
        <v>0</v>
      </c>
      <c r="E143" s="138">
        <f t="shared" ref="E143:O143" si="12">E152+E155</f>
        <v>0</v>
      </c>
      <c r="F143" s="138">
        <f t="shared" si="12"/>
        <v>0</v>
      </c>
      <c r="G143" s="138">
        <f t="shared" si="12"/>
        <v>0</v>
      </c>
      <c r="H143" s="138">
        <f t="shared" si="12"/>
        <v>0</v>
      </c>
      <c r="I143" s="138">
        <f t="shared" si="12"/>
        <v>1033788</v>
      </c>
      <c r="J143" s="138">
        <f t="shared" si="12"/>
        <v>1033788</v>
      </c>
      <c r="K143" s="138">
        <f t="shared" si="12"/>
        <v>0</v>
      </c>
      <c r="L143" s="138">
        <f t="shared" si="12"/>
        <v>0</v>
      </c>
      <c r="M143" s="138">
        <f t="shared" si="12"/>
        <v>0</v>
      </c>
      <c r="N143" s="138">
        <f t="shared" si="12"/>
        <v>1033788</v>
      </c>
      <c r="O143" s="138">
        <f t="shared" si="12"/>
        <v>1033788</v>
      </c>
      <c r="P143" s="159"/>
    </row>
    <row r="144" spans="1:16" s="5" customFormat="1" ht="33.75" customHeight="1" x14ac:dyDescent="0.25">
      <c r="A144" s="113" t="s">
        <v>171</v>
      </c>
      <c r="B144" s="113" t="s">
        <v>97</v>
      </c>
      <c r="C144" s="7" t="s">
        <v>172</v>
      </c>
      <c r="D144" s="137">
        <f>'дод 1'!E217</f>
        <v>0</v>
      </c>
      <c r="E144" s="137">
        <f>'дод 1'!F217</f>
        <v>0</v>
      </c>
      <c r="F144" s="137">
        <f>'дод 1'!G217</f>
        <v>0</v>
      </c>
      <c r="G144" s="137">
        <f>'дод 1'!H217</f>
        <v>0</v>
      </c>
      <c r="H144" s="137">
        <f>'дод 1'!I217</f>
        <v>0</v>
      </c>
      <c r="I144" s="137">
        <f>'дод 1'!J217</f>
        <v>29229250</v>
      </c>
      <c r="J144" s="137">
        <f>'дод 1'!K217</f>
        <v>29229250</v>
      </c>
      <c r="K144" s="137">
        <f>'дод 1'!L217</f>
        <v>0</v>
      </c>
      <c r="L144" s="137">
        <f>'дод 1'!M217</f>
        <v>0</v>
      </c>
      <c r="M144" s="137">
        <f>'дод 1'!N217</f>
        <v>0</v>
      </c>
      <c r="N144" s="137">
        <f>'дод 1'!O217</f>
        <v>29229250</v>
      </c>
      <c r="O144" s="137">
        <f>'дод 1'!P217</f>
        <v>29229250</v>
      </c>
      <c r="P144" s="159"/>
    </row>
    <row r="145" spans="1:16" s="5" customFormat="1" ht="36.75" customHeight="1" x14ac:dyDescent="0.25">
      <c r="A145" s="113" t="s">
        <v>173</v>
      </c>
      <c r="B145" s="113" t="s">
        <v>99</v>
      </c>
      <c r="C145" s="7" t="s">
        <v>199</v>
      </c>
      <c r="D145" s="137">
        <f>'дод 1'!E218</f>
        <v>52042357.600000001</v>
      </c>
      <c r="E145" s="137">
        <f>'дод 1'!F218</f>
        <v>692357</v>
      </c>
      <c r="F145" s="137">
        <f>'дод 1'!G218</f>
        <v>0</v>
      </c>
      <c r="G145" s="137">
        <f>'дод 1'!H218</f>
        <v>15000</v>
      </c>
      <c r="H145" s="137">
        <f>'дод 1'!I218</f>
        <v>51350000.600000001</v>
      </c>
      <c r="I145" s="137">
        <f>'дод 1'!J218</f>
        <v>50000</v>
      </c>
      <c r="J145" s="137">
        <f>'дод 1'!K218</f>
        <v>50000</v>
      </c>
      <c r="K145" s="137">
        <f>'дод 1'!L218</f>
        <v>0</v>
      </c>
      <c r="L145" s="137">
        <f>'дод 1'!M218</f>
        <v>0</v>
      </c>
      <c r="M145" s="137">
        <f>'дод 1'!N218</f>
        <v>0</v>
      </c>
      <c r="N145" s="137">
        <f>'дод 1'!O218</f>
        <v>50000</v>
      </c>
      <c r="O145" s="137">
        <f>'дод 1'!P218</f>
        <v>52092357.600000001</v>
      </c>
      <c r="P145" s="159"/>
    </row>
    <row r="146" spans="1:16" s="5" customFormat="1" ht="36.75" customHeight="1" x14ac:dyDescent="0.25">
      <c r="A146" s="116" t="s">
        <v>336</v>
      </c>
      <c r="B146" s="116" t="s">
        <v>99</v>
      </c>
      <c r="C146" s="7" t="s">
        <v>337</v>
      </c>
      <c r="D146" s="137">
        <f>'дод 1'!E219</f>
        <v>535300</v>
      </c>
      <c r="E146" s="137">
        <f>'дод 1'!F219</f>
        <v>535300</v>
      </c>
      <c r="F146" s="137">
        <f>'дод 1'!G219</f>
        <v>0</v>
      </c>
      <c r="G146" s="137">
        <f>'дод 1'!H219</f>
        <v>0</v>
      </c>
      <c r="H146" s="137">
        <f>'дод 1'!I219</f>
        <v>0</v>
      </c>
      <c r="I146" s="137">
        <f>'дод 1'!J219</f>
        <v>19775000</v>
      </c>
      <c r="J146" s="137">
        <f>'дод 1'!K219</f>
        <v>19775000</v>
      </c>
      <c r="K146" s="137">
        <f>'дод 1'!L219</f>
        <v>0</v>
      </c>
      <c r="L146" s="137">
        <f>'дод 1'!M219</f>
        <v>0</v>
      </c>
      <c r="M146" s="137">
        <f>'дод 1'!N219</f>
        <v>0</v>
      </c>
      <c r="N146" s="137">
        <f>'дод 1'!O219</f>
        <v>19775000</v>
      </c>
      <c r="O146" s="137">
        <f>'дод 1'!P219</f>
        <v>20310300</v>
      </c>
      <c r="P146" s="159"/>
    </row>
    <row r="147" spans="1:16" s="5" customFormat="1" ht="46.5" customHeight="1" x14ac:dyDescent="0.25">
      <c r="A147" s="116" t="s">
        <v>503</v>
      </c>
      <c r="B147" s="116" t="s">
        <v>99</v>
      </c>
      <c r="C147" s="7" t="s">
        <v>504</v>
      </c>
      <c r="D147" s="137">
        <f>'дод 1'!E220</f>
        <v>0</v>
      </c>
      <c r="E147" s="137">
        <f>'дод 1'!F220</f>
        <v>0</v>
      </c>
      <c r="F147" s="137">
        <f>'дод 1'!G220</f>
        <v>0</v>
      </c>
      <c r="G147" s="137">
        <f>'дод 1'!H220</f>
        <v>0</v>
      </c>
      <c r="H147" s="137">
        <f>'дод 1'!I220</f>
        <v>0</v>
      </c>
      <c r="I147" s="137">
        <f>'дод 1'!J220</f>
        <v>1166130</v>
      </c>
      <c r="J147" s="137">
        <f>'дод 1'!K220</f>
        <v>1166130</v>
      </c>
      <c r="K147" s="137">
        <f>'дод 1'!L220</f>
        <v>0</v>
      </c>
      <c r="L147" s="137">
        <f>'дод 1'!M220</f>
        <v>0</v>
      </c>
      <c r="M147" s="137">
        <f>'дод 1'!N220</f>
        <v>0</v>
      </c>
      <c r="N147" s="137">
        <f>'дод 1'!O220</f>
        <v>1166130</v>
      </c>
      <c r="O147" s="137">
        <f>'дод 1'!P220</f>
        <v>1166130</v>
      </c>
      <c r="P147" s="159"/>
    </row>
    <row r="148" spans="1:16" s="5" customFormat="1" ht="33" customHeight="1" x14ac:dyDescent="0.25">
      <c r="A148" s="113" t="s">
        <v>339</v>
      </c>
      <c r="B148" s="113" t="s">
        <v>99</v>
      </c>
      <c r="C148" s="7" t="s">
        <v>340</v>
      </c>
      <c r="D148" s="137">
        <f>'дод 1'!E221</f>
        <v>50000</v>
      </c>
      <c r="E148" s="137">
        <f>'дод 1'!F221</f>
        <v>50000</v>
      </c>
      <c r="F148" s="137">
        <f>'дод 1'!G221</f>
        <v>0</v>
      </c>
      <c r="G148" s="137">
        <f>'дод 1'!H221</f>
        <v>0</v>
      </c>
      <c r="H148" s="137">
        <f>'дод 1'!I221</f>
        <v>0</v>
      </c>
      <c r="I148" s="137">
        <f>'дод 1'!J221</f>
        <v>0</v>
      </c>
      <c r="J148" s="137">
        <f>'дод 1'!K221</f>
        <v>0</v>
      </c>
      <c r="K148" s="137">
        <f>'дод 1'!L221</f>
        <v>0</v>
      </c>
      <c r="L148" s="137">
        <f>'дод 1'!M221</f>
        <v>0</v>
      </c>
      <c r="M148" s="137">
        <f>'дод 1'!N221</f>
        <v>0</v>
      </c>
      <c r="N148" s="137">
        <f>'дод 1'!O221</f>
        <v>0</v>
      </c>
      <c r="O148" s="137">
        <f>'дод 1'!P221</f>
        <v>50000</v>
      </c>
      <c r="P148" s="159"/>
    </row>
    <row r="149" spans="1:16" s="5" customFormat="1" ht="52.5" customHeight="1" x14ac:dyDescent="0.25">
      <c r="A149" s="113" t="s">
        <v>98</v>
      </c>
      <c r="B149" s="113" t="s">
        <v>99</v>
      </c>
      <c r="C149" s="7" t="s">
        <v>176</v>
      </c>
      <c r="D149" s="137">
        <f>'дод 1'!E222</f>
        <v>4721226.95</v>
      </c>
      <c r="E149" s="137">
        <f>'дод 1'!F222</f>
        <v>0</v>
      </c>
      <c r="F149" s="137">
        <f>'дод 1'!G222</f>
        <v>0</v>
      </c>
      <c r="G149" s="137">
        <f>'дод 1'!H222</f>
        <v>0</v>
      </c>
      <c r="H149" s="137">
        <f>'дод 1'!I222</f>
        <v>4721226.95</v>
      </c>
      <c r="I149" s="137">
        <f>'дод 1'!J222</f>
        <v>0</v>
      </c>
      <c r="J149" s="137">
        <f>'дод 1'!K222</f>
        <v>0</v>
      </c>
      <c r="K149" s="137">
        <f>'дод 1'!L222</f>
        <v>0</v>
      </c>
      <c r="L149" s="137">
        <f>'дод 1'!M222</f>
        <v>0</v>
      </c>
      <c r="M149" s="137">
        <f>'дод 1'!N222</f>
        <v>0</v>
      </c>
      <c r="N149" s="137">
        <f>'дод 1'!O222</f>
        <v>0</v>
      </c>
      <c r="O149" s="137">
        <f>'дод 1'!P222</f>
        <v>4721226.95</v>
      </c>
      <c r="P149" s="159"/>
    </row>
    <row r="150" spans="1:16" ht="30" customHeight="1" x14ac:dyDescent="0.25">
      <c r="A150" s="113" t="s">
        <v>174</v>
      </c>
      <c r="B150" s="113" t="s">
        <v>99</v>
      </c>
      <c r="C150" s="7" t="s">
        <v>175</v>
      </c>
      <c r="D150" s="137">
        <f>'дод 1'!E223+'дод 1'!E251</f>
        <v>186953820</v>
      </c>
      <c r="E150" s="137">
        <f>'дод 1'!F223+'дод 1'!F251</f>
        <v>186953820</v>
      </c>
      <c r="F150" s="137">
        <f>'дод 1'!G223+'дод 1'!G251</f>
        <v>0</v>
      </c>
      <c r="G150" s="137">
        <f>'дод 1'!H223+'дод 1'!H251</f>
        <v>26250297.59</v>
      </c>
      <c r="H150" s="137">
        <f>'дод 1'!I223+'дод 1'!I251</f>
        <v>0</v>
      </c>
      <c r="I150" s="137">
        <f>'дод 1'!J223+'дод 1'!J251</f>
        <v>121775865.63</v>
      </c>
      <c r="J150" s="137">
        <f>'дод 1'!K223+'дод 1'!K251</f>
        <v>121775865.63</v>
      </c>
      <c r="K150" s="137">
        <f>'дод 1'!L223+'дод 1'!L251</f>
        <v>0</v>
      </c>
      <c r="L150" s="137">
        <f>'дод 1'!M223+'дод 1'!M251</f>
        <v>0</v>
      </c>
      <c r="M150" s="137">
        <f>'дод 1'!N223+'дод 1'!N251</f>
        <v>0</v>
      </c>
      <c r="N150" s="137">
        <f>'дод 1'!O223+'дод 1'!O251</f>
        <v>121775865.63</v>
      </c>
      <c r="O150" s="137">
        <f>'дод 1'!P223+'дод 1'!P251</f>
        <v>308729685.63</v>
      </c>
      <c r="P150" s="159"/>
    </row>
    <row r="151" spans="1:16" s="5" customFormat="1" ht="208.5" hidden="1" customHeight="1" x14ac:dyDescent="0.25">
      <c r="A151" s="113" t="s">
        <v>524</v>
      </c>
      <c r="B151" s="113" t="s">
        <v>407</v>
      </c>
      <c r="C151" s="7" t="s">
        <v>525</v>
      </c>
      <c r="D151" s="137">
        <f>'дод 1'!E225</f>
        <v>0</v>
      </c>
      <c r="E151" s="137">
        <f>'дод 1'!F225</f>
        <v>0</v>
      </c>
      <c r="F151" s="137">
        <f>'дод 1'!G225</f>
        <v>0</v>
      </c>
      <c r="G151" s="137">
        <f>'дод 1'!H225</f>
        <v>0</v>
      </c>
      <c r="H151" s="137">
        <f>'дод 1'!I225</f>
        <v>0</v>
      </c>
      <c r="I151" s="137">
        <f>'дод 1'!J225</f>
        <v>0</v>
      </c>
      <c r="J151" s="137">
        <f>'дод 1'!K225</f>
        <v>0</v>
      </c>
      <c r="K151" s="137">
        <f>'дод 1'!L225</f>
        <v>0</v>
      </c>
      <c r="L151" s="137">
        <f>'дод 1'!M225</f>
        <v>0</v>
      </c>
      <c r="M151" s="137">
        <f>'дод 1'!N225</f>
        <v>0</v>
      </c>
      <c r="N151" s="137">
        <f>'дод 1'!O225</f>
        <v>0</v>
      </c>
      <c r="O151" s="137">
        <f>'дод 1'!P225</f>
        <v>0</v>
      </c>
      <c r="P151" s="155"/>
    </row>
    <row r="152" spans="1:16" s="5" customFormat="1" ht="27.75" hidden="1" customHeight="1" x14ac:dyDescent="0.25">
      <c r="A152" s="113"/>
      <c r="B152" s="113"/>
      <c r="C152" s="7" t="s">
        <v>344</v>
      </c>
      <c r="D152" s="137">
        <f>'дод 1'!E226</f>
        <v>0</v>
      </c>
      <c r="E152" s="137">
        <f>'дод 1'!F226</f>
        <v>0</v>
      </c>
      <c r="F152" s="137">
        <f>'дод 1'!G226</f>
        <v>0</v>
      </c>
      <c r="G152" s="137">
        <f>'дод 1'!H226</f>
        <v>0</v>
      </c>
      <c r="H152" s="137">
        <f>'дод 1'!I226</f>
        <v>0</v>
      </c>
      <c r="I152" s="137">
        <f>'дод 1'!J226</f>
        <v>0</v>
      </c>
      <c r="J152" s="137">
        <f>'дод 1'!K226</f>
        <v>0</v>
      </c>
      <c r="K152" s="137">
        <f>'дод 1'!L226</f>
        <v>0</v>
      </c>
      <c r="L152" s="137">
        <f>'дод 1'!M226</f>
        <v>0</v>
      </c>
      <c r="M152" s="137">
        <f>'дод 1'!N226</f>
        <v>0</v>
      </c>
      <c r="N152" s="137">
        <f>'дод 1'!O226</f>
        <v>0</v>
      </c>
      <c r="O152" s="137">
        <f>'дод 1'!P226</f>
        <v>0</v>
      </c>
      <c r="P152" s="155"/>
    </row>
    <row r="153" spans="1:16" ht="42.75" hidden="1" customHeight="1" x14ac:dyDescent="0.25">
      <c r="A153" s="113" t="s">
        <v>516</v>
      </c>
      <c r="B153" s="113" t="s">
        <v>97</v>
      </c>
      <c r="C153" s="7" t="s">
        <v>517</v>
      </c>
      <c r="D153" s="137">
        <f>'дод 1'!E252</f>
        <v>0</v>
      </c>
      <c r="E153" s="137">
        <f>'дод 1'!F252</f>
        <v>0</v>
      </c>
      <c r="F153" s="137">
        <f>'дод 1'!G252</f>
        <v>0</v>
      </c>
      <c r="G153" s="137">
        <f>'дод 1'!H252</f>
        <v>0</v>
      </c>
      <c r="H153" s="137">
        <f>'дод 1'!I252</f>
        <v>0</v>
      </c>
      <c r="I153" s="137">
        <f>'дод 1'!J252</f>
        <v>0</v>
      </c>
      <c r="J153" s="137">
        <f>'дод 1'!K252</f>
        <v>0</v>
      </c>
      <c r="K153" s="137">
        <f>'дод 1'!L252</f>
        <v>0</v>
      </c>
      <c r="L153" s="137">
        <f>'дод 1'!M252</f>
        <v>0</v>
      </c>
      <c r="M153" s="137">
        <f>'дод 1'!N252</f>
        <v>0</v>
      </c>
      <c r="N153" s="137">
        <f>'дод 1'!O252</f>
        <v>0</v>
      </c>
      <c r="O153" s="137">
        <f>'дод 1'!P252</f>
        <v>0</v>
      </c>
      <c r="P153" s="154"/>
    </row>
    <row r="154" spans="1:16" ht="63" x14ac:dyDescent="0.25">
      <c r="A154" s="113" t="s">
        <v>549</v>
      </c>
      <c r="B154" s="113" t="s">
        <v>97</v>
      </c>
      <c r="C154" s="7" t="s">
        <v>548</v>
      </c>
      <c r="D154" s="137">
        <f>'дод 1'!E199+'дод 1'!E253+'дод 1'!E186</f>
        <v>0</v>
      </c>
      <c r="E154" s="137">
        <f>'дод 1'!F199+'дод 1'!F253+'дод 1'!F186</f>
        <v>0</v>
      </c>
      <c r="F154" s="137">
        <f>'дод 1'!G199+'дод 1'!G253+'дод 1'!G186</f>
        <v>0</v>
      </c>
      <c r="G154" s="137">
        <f>'дод 1'!H199+'дод 1'!H253+'дод 1'!H186</f>
        <v>0</v>
      </c>
      <c r="H154" s="137">
        <f>'дод 1'!I199+'дод 1'!I253+'дод 1'!I186</f>
        <v>0</v>
      </c>
      <c r="I154" s="137">
        <f>'дод 1'!J199+'дод 1'!J253+'дод 1'!J186</f>
        <v>1324938</v>
      </c>
      <c r="J154" s="137">
        <f>'дод 1'!K199+'дод 1'!K253+'дод 1'!K186</f>
        <v>1324938</v>
      </c>
      <c r="K154" s="137">
        <f>'дод 1'!L199+'дод 1'!L253+'дод 1'!L186</f>
        <v>0</v>
      </c>
      <c r="L154" s="137">
        <f>'дод 1'!M199+'дод 1'!M253+'дод 1'!M186</f>
        <v>0</v>
      </c>
      <c r="M154" s="137">
        <f>'дод 1'!N199+'дод 1'!N253+'дод 1'!N186</f>
        <v>0</v>
      </c>
      <c r="N154" s="137">
        <f>'дод 1'!O199+'дод 1'!O253+'дод 1'!O186</f>
        <v>1324938</v>
      </c>
      <c r="O154" s="137">
        <f>'дод 1'!P199+'дод 1'!P253+'дод 1'!P186</f>
        <v>1324938</v>
      </c>
      <c r="P154" s="159"/>
    </row>
    <row r="155" spans="1:16" ht="15.75" x14ac:dyDescent="0.25">
      <c r="A155" s="113"/>
      <c r="B155" s="113"/>
      <c r="C155" s="7" t="s">
        <v>344</v>
      </c>
      <c r="D155" s="137">
        <f>'дод 1'!E200+'дод 1'!E187</f>
        <v>0</v>
      </c>
      <c r="E155" s="137">
        <f>'дод 1'!F200+'дод 1'!F187</f>
        <v>0</v>
      </c>
      <c r="F155" s="137">
        <f>'дод 1'!G200+'дод 1'!G187</f>
        <v>0</v>
      </c>
      <c r="G155" s="137">
        <f>'дод 1'!H200+'дод 1'!H187</f>
        <v>0</v>
      </c>
      <c r="H155" s="137">
        <f>'дод 1'!I200+'дод 1'!I187</f>
        <v>0</v>
      </c>
      <c r="I155" s="137">
        <f>'дод 1'!J200+'дод 1'!J187</f>
        <v>1033788</v>
      </c>
      <c r="J155" s="137">
        <f>'дод 1'!K200+'дод 1'!K187</f>
        <v>1033788</v>
      </c>
      <c r="K155" s="137">
        <f>'дод 1'!L200+'дод 1'!L187</f>
        <v>0</v>
      </c>
      <c r="L155" s="137">
        <f>'дод 1'!M200+'дод 1'!M187</f>
        <v>0</v>
      </c>
      <c r="M155" s="137">
        <f>'дод 1'!N200+'дод 1'!N187</f>
        <v>0</v>
      </c>
      <c r="N155" s="137">
        <f>'дод 1'!O200+'дод 1'!O187</f>
        <v>1033788</v>
      </c>
      <c r="O155" s="137">
        <f>'дод 1'!P200+'дод 1'!P187</f>
        <v>1033788</v>
      </c>
      <c r="P155" s="159"/>
    </row>
    <row r="156" spans="1:16" s="5" customFormat="1" ht="67.5" customHeight="1" x14ac:dyDescent="0.25">
      <c r="A156" s="113" t="s">
        <v>178</v>
      </c>
      <c r="B156" s="118" t="s">
        <v>97</v>
      </c>
      <c r="C156" s="7" t="s">
        <v>179</v>
      </c>
      <c r="D156" s="137">
        <f>'дод 1'!E254</f>
        <v>84906</v>
      </c>
      <c r="E156" s="137">
        <f>'дод 1'!F254</f>
        <v>0</v>
      </c>
      <c r="F156" s="137">
        <f>'дод 1'!G254</f>
        <v>0</v>
      </c>
      <c r="G156" s="137">
        <f>'дод 1'!H254</f>
        <v>0</v>
      </c>
      <c r="H156" s="137">
        <f>'дод 1'!I254</f>
        <v>84906</v>
      </c>
      <c r="I156" s="137">
        <f>'дод 1'!J254</f>
        <v>50683.81</v>
      </c>
      <c r="J156" s="137">
        <f>'дод 1'!K254</f>
        <v>0</v>
      </c>
      <c r="K156" s="137">
        <f>'дод 1'!L254</f>
        <v>0</v>
      </c>
      <c r="L156" s="137">
        <f>'дод 1'!M254</f>
        <v>0</v>
      </c>
      <c r="M156" s="137">
        <f>'дод 1'!N254</f>
        <v>0</v>
      </c>
      <c r="N156" s="137">
        <f>'дод 1'!O254</f>
        <v>50683.81</v>
      </c>
      <c r="O156" s="137">
        <f>'дод 1'!P254</f>
        <v>135589.81</v>
      </c>
      <c r="P156" s="159"/>
    </row>
    <row r="157" spans="1:16" ht="39.75" customHeight="1" x14ac:dyDescent="0.25">
      <c r="A157" s="113" t="s">
        <v>192</v>
      </c>
      <c r="B157" s="118" t="s">
        <v>407</v>
      </c>
      <c r="C157" s="7" t="s">
        <v>193</v>
      </c>
      <c r="D157" s="137">
        <f>'дод 1'!E224+'дод 1'!E279+'дод 1'!E255</f>
        <v>4463684.0000000009</v>
      </c>
      <c r="E157" s="137">
        <f>'дод 1'!F224+'дод 1'!F279+'дод 1'!F255</f>
        <v>4120534.0000000009</v>
      </c>
      <c r="F157" s="137">
        <f>'дод 1'!G224+'дод 1'!G279+'дод 1'!G255</f>
        <v>0</v>
      </c>
      <c r="G157" s="137">
        <f>'дод 1'!H224+'дод 1'!H279+'дод 1'!H255</f>
        <v>40000</v>
      </c>
      <c r="H157" s="137">
        <f>'дод 1'!I224+'дод 1'!I279+'дод 1'!I255</f>
        <v>343150</v>
      </c>
      <c r="I157" s="137">
        <f>'дод 1'!J224+'дод 1'!J279+'дод 1'!J255</f>
        <v>90230.400000000373</v>
      </c>
      <c r="J157" s="137">
        <f>'дод 1'!K224+'дод 1'!K279+'дод 1'!K255</f>
        <v>90230.400000000373</v>
      </c>
      <c r="K157" s="137">
        <f>'дод 1'!L224+'дод 1'!L279+'дод 1'!L255</f>
        <v>0</v>
      </c>
      <c r="L157" s="137">
        <f>'дод 1'!M224+'дод 1'!M279+'дод 1'!M255</f>
        <v>0</v>
      </c>
      <c r="M157" s="137">
        <f>'дод 1'!N224+'дод 1'!N279+'дод 1'!N255</f>
        <v>0</v>
      </c>
      <c r="N157" s="137">
        <f>'дод 1'!O224+'дод 1'!O279+'дод 1'!O255</f>
        <v>90230.400000000373</v>
      </c>
      <c r="O157" s="137">
        <f>'дод 1'!P224+'дод 1'!P279+'дод 1'!P255</f>
        <v>4553914.4000000013</v>
      </c>
      <c r="P157" s="159"/>
    </row>
    <row r="158" spans="1:16" s="12" customFormat="1" ht="29.25" customHeight="1" x14ac:dyDescent="0.25">
      <c r="A158" s="114" t="s">
        <v>180</v>
      </c>
      <c r="B158" s="117"/>
      <c r="C158" s="6" t="s">
        <v>181</v>
      </c>
      <c r="D158" s="136">
        <f>D159+D161+D174+D184+D186+D195</f>
        <v>29106601.600000001</v>
      </c>
      <c r="E158" s="136">
        <f t="shared" ref="E158:O158" si="13">E159+E161+E174+E184+E186+E195</f>
        <v>17126601.600000001</v>
      </c>
      <c r="F158" s="136">
        <f t="shared" si="13"/>
        <v>0</v>
      </c>
      <c r="G158" s="136">
        <f t="shared" si="13"/>
        <v>0</v>
      </c>
      <c r="H158" s="136">
        <f t="shared" si="13"/>
        <v>11980000</v>
      </c>
      <c r="I158" s="136">
        <f t="shared" si="13"/>
        <v>329474163.29000002</v>
      </c>
      <c r="J158" s="136">
        <f t="shared" si="13"/>
        <v>244590619.88</v>
      </c>
      <c r="K158" s="136">
        <f t="shared" si="13"/>
        <v>42377847.239999995</v>
      </c>
      <c r="L158" s="136">
        <f t="shared" si="13"/>
        <v>0</v>
      </c>
      <c r="M158" s="136">
        <f t="shared" si="13"/>
        <v>0</v>
      </c>
      <c r="N158" s="136">
        <f t="shared" si="13"/>
        <v>287096316.05000001</v>
      </c>
      <c r="O158" s="136">
        <f t="shared" si="13"/>
        <v>358580764.88999999</v>
      </c>
      <c r="P158" s="159"/>
    </row>
    <row r="159" spans="1:16" s="12" customFormat="1" ht="15.75" x14ac:dyDescent="0.25">
      <c r="A159" s="114" t="s">
        <v>194</v>
      </c>
      <c r="B159" s="117"/>
      <c r="C159" s="6" t="s">
        <v>195</v>
      </c>
      <c r="D159" s="136">
        <f>D160</f>
        <v>936000</v>
      </c>
      <c r="E159" s="136">
        <f t="shared" ref="E159:O159" si="14">E160</f>
        <v>936000</v>
      </c>
      <c r="F159" s="136">
        <f t="shared" si="14"/>
        <v>0</v>
      </c>
      <c r="G159" s="136">
        <f t="shared" si="14"/>
        <v>0</v>
      </c>
      <c r="H159" s="136">
        <f t="shared" si="14"/>
        <v>0</v>
      </c>
      <c r="I159" s="136">
        <f t="shared" si="14"/>
        <v>50703.33</v>
      </c>
      <c r="J159" s="136">
        <f t="shared" si="14"/>
        <v>0</v>
      </c>
      <c r="K159" s="136">
        <f t="shared" si="14"/>
        <v>50703.33</v>
      </c>
      <c r="L159" s="136">
        <f t="shared" si="14"/>
        <v>0</v>
      </c>
      <c r="M159" s="136">
        <f t="shared" si="14"/>
        <v>0</v>
      </c>
      <c r="N159" s="136">
        <f t="shared" si="14"/>
        <v>0</v>
      </c>
      <c r="O159" s="136">
        <f t="shared" si="14"/>
        <v>986703.33</v>
      </c>
      <c r="P159" s="159"/>
    </row>
    <row r="160" spans="1:16" ht="24" customHeight="1" x14ac:dyDescent="0.25">
      <c r="A160" s="113" t="s">
        <v>182</v>
      </c>
      <c r="B160" s="113" t="s">
        <v>113</v>
      </c>
      <c r="C160" s="7" t="s">
        <v>183</v>
      </c>
      <c r="D160" s="137">
        <f>'дод 1'!E289</f>
        <v>936000</v>
      </c>
      <c r="E160" s="137">
        <f>'дод 1'!F289</f>
        <v>936000</v>
      </c>
      <c r="F160" s="137">
        <f>'дод 1'!G289</f>
        <v>0</v>
      </c>
      <c r="G160" s="137">
        <f>'дод 1'!H289</f>
        <v>0</v>
      </c>
      <c r="H160" s="137">
        <f>'дод 1'!I289</f>
        <v>0</v>
      </c>
      <c r="I160" s="137">
        <f>'дод 1'!J289</f>
        <v>50703.33</v>
      </c>
      <c r="J160" s="137">
        <f>'дод 1'!K289</f>
        <v>0</v>
      </c>
      <c r="K160" s="137">
        <f>'дод 1'!L289</f>
        <v>50703.33</v>
      </c>
      <c r="L160" s="137">
        <f>'дод 1'!M289</f>
        <v>0</v>
      </c>
      <c r="M160" s="137">
        <f>'дод 1'!N289</f>
        <v>0</v>
      </c>
      <c r="N160" s="137">
        <f>'дод 1'!O289</f>
        <v>0</v>
      </c>
      <c r="O160" s="137">
        <f>'дод 1'!P289</f>
        <v>986703.33</v>
      </c>
      <c r="P160" s="159"/>
    </row>
    <row r="161" spans="1:16" s="12" customFormat="1" ht="27.75" customHeight="1" x14ac:dyDescent="0.25">
      <c r="A161" s="114" t="s">
        <v>129</v>
      </c>
      <c r="B161" s="114"/>
      <c r="C161" s="24" t="s">
        <v>184</v>
      </c>
      <c r="D161" s="136">
        <f>D163+D164+D165+D166+D167+D168+D169+D170+D171+D173</f>
        <v>987959.6</v>
      </c>
      <c r="E161" s="136">
        <f t="shared" ref="E161:O161" si="15">E163+E164+E165+E166+E167+E168+E169+E170+E171+E173</f>
        <v>987959.6</v>
      </c>
      <c r="F161" s="136">
        <f t="shared" si="15"/>
        <v>0</v>
      </c>
      <c r="G161" s="136">
        <f t="shared" si="15"/>
        <v>0</v>
      </c>
      <c r="H161" s="136">
        <f t="shared" si="15"/>
        <v>0</v>
      </c>
      <c r="I161" s="136">
        <f t="shared" si="15"/>
        <v>140443061.47999999</v>
      </c>
      <c r="J161" s="136">
        <f t="shared" si="15"/>
        <v>140443061.47999999</v>
      </c>
      <c r="K161" s="136">
        <f t="shared" si="15"/>
        <v>0</v>
      </c>
      <c r="L161" s="136">
        <f t="shared" si="15"/>
        <v>0</v>
      </c>
      <c r="M161" s="136">
        <f t="shared" si="15"/>
        <v>0</v>
      </c>
      <c r="N161" s="136">
        <f t="shared" si="15"/>
        <v>140443061.47999999</v>
      </c>
      <c r="O161" s="136">
        <f t="shared" si="15"/>
        <v>141431021.07999998</v>
      </c>
      <c r="P161" s="159"/>
    </row>
    <row r="162" spans="1:16" s="14" customFormat="1" ht="18.75" customHeight="1" x14ac:dyDescent="0.25">
      <c r="A162" s="120"/>
      <c r="B162" s="120"/>
      <c r="C162" s="81" t="s">
        <v>344</v>
      </c>
      <c r="D162" s="138">
        <f>D172</f>
        <v>0</v>
      </c>
      <c r="E162" s="138">
        <f t="shared" ref="E162:O162" si="16">E172</f>
        <v>0</v>
      </c>
      <c r="F162" s="138">
        <f t="shared" si="16"/>
        <v>0</v>
      </c>
      <c r="G162" s="138">
        <f t="shared" si="16"/>
        <v>0</v>
      </c>
      <c r="H162" s="138">
        <f t="shared" si="16"/>
        <v>0</v>
      </c>
      <c r="I162" s="138">
        <f t="shared" si="16"/>
        <v>50494249.670000002</v>
      </c>
      <c r="J162" s="138">
        <f t="shared" si="16"/>
        <v>50494249.670000002</v>
      </c>
      <c r="K162" s="138">
        <f t="shared" si="16"/>
        <v>0</v>
      </c>
      <c r="L162" s="138">
        <f t="shared" si="16"/>
        <v>0</v>
      </c>
      <c r="M162" s="138">
        <f t="shared" si="16"/>
        <v>0</v>
      </c>
      <c r="N162" s="138">
        <f t="shared" si="16"/>
        <v>50494249.670000002</v>
      </c>
      <c r="O162" s="138">
        <f t="shared" si="16"/>
        <v>50494249.670000002</v>
      </c>
      <c r="P162" s="159"/>
    </row>
    <row r="163" spans="1:16" ht="32.25" customHeight="1" x14ac:dyDescent="0.25">
      <c r="A163" s="116" t="s">
        <v>353</v>
      </c>
      <c r="B163" s="116" t="s">
        <v>144</v>
      </c>
      <c r="C163" s="7" t="s">
        <v>364</v>
      </c>
      <c r="D163" s="137">
        <f>'дод 1'!E256+'дод 1'!E228</f>
        <v>0</v>
      </c>
      <c r="E163" s="137">
        <f>'дод 1'!F256+'дод 1'!F228</f>
        <v>0</v>
      </c>
      <c r="F163" s="137">
        <f>'дод 1'!G256+'дод 1'!G228</f>
        <v>0</v>
      </c>
      <c r="G163" s="137">
        <f>'дод 1'!H256+'дод 1'!H228</f>
        <v>0</v>
      </c>
      <c r="H163" s="137">
        <f>'дод 1'!I256+'дод 1'!I228</f>
        <v>0</v>
      </c>
      <c r="I163" s="137">
        <f>'дод 1'!J256+'дод 1'!J228</f>
        <v>10645211.800000001</v>
      </c>
      <c r="J163" s="137">
        <f>'дод 1'!K256+'дод 1'!K228</f>
        <v>10645211.800000001</v>
      </c>
      <c r="K163" s="137">
        <f>'дод 1'!L256+'дод 1'!L228</f>
        <v>0</v>
      </c>
      <c r="L163" s="137">
        <f>'дод 1'!M256+'дод 1'!M228</f>
        <v>0</v>
      </c>
      <c r="M163" s="137">
        <f>'дод 1'!N256+'дод 1'!N228</f>
        <v>0</v>
      </c>
      <c r="N163" s="137">
        <f>'дод 1'!O256+'дод 1'!O228</f>
        <v>10645211.800000001</v>
      </c>
      <c r="O163" s="137">
        <f>'дод 1'!P256+'дод 1'!P228</f>
        <v>10645211.800000001</v>
      </c>
      <c r="P163" s="159"/>
    </row>
    <row r="164" spans="1:16" s="5" customFormat="1" ht="32.25" customHeight="1" x14ac:dyDescent="0.25">
      <c r="A164" s="116" t="s">
        <v>358</v>
      </c>
      <c r="B164" s="116" t="s">
        <v>144</v>
      </c>
      <c r="C164" s="7" t="s">
        <v>365</v>
      </c>
      <c r="D164" s="137">
        <f>'дод 1'!E257</f>
        <v>0</v>
      </c>
      <c r="E164" s="137">
        <f>'дод 1'!F257</f>
        <v>0</v>
      </c>
      <c r="F164" s="137">
        <f>'дод 1'!G257</f>
        <v>0</v>
      </c>
      <c r="G164" s="137">
        <f>'дод 1'!H257</f>
        <v>0</v>
      </c>
      <c r="H164" s="137">
        <f>'дод 1'!I257</f>
        <v>0</v>
      </c>
      <c r="I164" s="137">
        <f>'дод 1'!J257</f>
        <v>4649908</v>
      </c>
      <c r="J164" s="137">
        <f>'дод 1'!K257</f>
        <v>4649908</v>
      </c>
      <c r="K164" s="137">
        <f>'дод 1'!L257</f>
        <v>0</v>
      </c>
      <c r="L164" s="137">
        <f>'дод 1'!M257</f>
        <v>0</v>
      </c>
      <c r="M164" s="137">
        <f>'дод 1'!N257</f>
        <v>0</v>
      </c>
      <c r="N164" s="137">
        <f>'дод 1'!O257</f>
        <v>4649908</v>
      </c>
      <c r="O164" s="137">
        <f>'дод 1'!P257</f>
        <v>4649908</v>
      </c>
      <c r="P164" s="159"/>
    </row>
    <row r="165" spans="1:16" s="5" customFormat="1" ht="32.25" customHeight="1" x14ac:dyDescent="0.25">
      <c r="A165" s="116" t="s">
        <v>360</v>
      </c>
      <c r="B165" s="116" t="s">
        <v>144</v>
      </c>
      <c r="C165" s="7" t="s">
        <v>367</v>
      </c>
      <c r="D165" s="137">
        <f>'дод 1'!E258</f>
        <v>0</v>
      </c>
      <c r="E165" s="137">
        <f>'дод 1'!F258</f>
        <v>0</v>
      </c>
      <c r="F165" s="137">
        <f>'дод 1'!G258</f>
        <v>0</v>
      </c>
      <c r="G165" s="137">
        <f>'дод 1'!H258</f>
        <v>0</v>
      </c>
      <c r="H165" s="137">
        <f>'дод 1'!I258</f>
        <v>0</v>
      </c>
      <c r="I165" s="137">
        <f>'дод 1'!J258</f>
        <v>7316671</v>
      </c>
      <c r="J165" s="137">
        <f>'дод 1'!K258</f>
        <v>7316671</v>
      </c>
      <c r="K165" s="137">
        <f>'дод 1'!L258</f>
        <v>0</v>
      </c>
      <c r="L165" s="137">
        <f>'дод 1'!M258</f>
        <v>0</v>
      </c>
      <c r="M165" s="137">
        <f>'дод 1'!N258</f>
        <v>0</v>
      </c>
      <c r="N165" s="137">
        <f>'дод 1'!O258</f>
        <v>7316671</v>
      </c>
      <c r="O165" s="137">
        <f>'дод 1'!P258</f>
        <v>7316671</v>
      </c>
      <c r="P165" s="159"/>
    </row>
    <row r="166" spans="1:16" s="5" customFormat="1" ht="32.25" hidden="1" customHeight="1" x14ac:dyDescent="0.25">
      <c r="A166" s="116" t="s">
        <v>362</v>
      </c>
      <c r="B166" s="116" t="s">
        <v>144</v>
      </c>
      <c r="C166" s="7" t="s">
        <v>366</v>
      </c>
      <c r="D166" s="137">
        <f>'дод 1'!E259</f>
        <v>0</v>
      </c>
      <c r="E166" s="137">
        <f>'дод 1'!F259</f>
        <v>0</v>
      </c>
      <c r="F166" s="137">
        <f>'дод 1'!G259</f>
        <v>0</v>
      </c>
      <c r="G166" s="137">
        <f>'дод 1'!H259</f>
        <v>0</v>
      </c>
      <c r="H166" s="137">
        <f>'дод 1'!I259</f>
        <v>0</v>
      </c>
      <c r="I166" s="137">
        <f>'дод 1'!J259</f>
        <v>0</v>
      </c>
      <c r="J166" s="137">
        <f>'дод 1'!K259</f>
        <v>0</v>
      </c>
      <c r="K166" s="137">
        <f>'дод 1'!L259</f>
        <v>0</v>
      </c>
      <c r="L166" s="137">
        <f>'дод 1'!M259</f>
        <v>0</v>
      </c>
      <c r="M166" s="137">
        <f>'дод 1'!N259</f>
        <v>0</v>
      </c>
      <c r="N166" s="137">
        <f>'дод 1'!O259</f>
        <v>0</v>
      </c>
      <c r="O166" s="137">
        <f>'дод 1'!P259</f>
        <v>0</v>
      </c>
      <c r="P166" s="159"/>
    </row>
    <row r="167" spans="1:16" ht="32.25" customHeight="1" x14ac:dyDescent="0.25">
      <c r="A167" s="116" t="s">
        <v>355</v>
      </c>
      <c r="B167" s="116" t="s">
        <v>144</v>
      </c>
      <c r="C167" s="7" t="s">
        <v>572</v>
      </c>
      <c r="D167" s="137">
        <f>'дод 1'!E260+'дод 1'!E229</f>
        <v>0</v>
      </c>
      <c r="E167" s="137">
        <f>'дод 1'!F260+'дод 1'!F229</f>
        <v>0</v>
      </c>
      <c r="F167" s="137">
        <f>'дод 1'!G260+'дод 1'!G229</f>
        <v>0</v>
      </c>
      <c r="G167" s="137">
        <f>'дод 1'!H260+'дод 1'!H229</f>
        <v>0</v>
      </c>
      <c r="H167" s="137">
        <f>'дод 1'!I260+'дод 1'!I229</f>
        <v>0</v>
      </c>
      <c r="I167" s="137">
        <f>'дод 1'!J260+'дод 1'!J229</f>
        <v>40174792</v>
      </c>
      <c r="J167" s="137">
        <f>'дод 1'!K260+'дод 1'!K229</f>
        <v>40174792</v>
      </c>
      <c r="K167" s="137">
        <f>'дод 1'!L260+'дод 1'!L229</f>
        <v>0</v>
      </c>
      <c r="L167" s="137">
        <f>'дод 1'!M260+'дод 1'!M229</f>
        <v>0</v>
      </c>
      <c r="M167" s="137">
        <f>'дод 1'!N260+'дод 1'!N229</f>
        <v>0</v>
      </c>
      <c r="N167" s="137">
        <f>'дод 1'!O260+'дод 1'!O229</f>
        <v>40174792</v>
      </c>
      <c r="O167" s="137">
        <f>'дод 1'!P260+'дод 1'!P229</f>
        <v>40174792</v>
      </c>
      <c r="P167" s="159"/>
    </row>
    <row r="168" spans="1:16" ht="35.25" customHeight="1" x14ac:dyDescent="0.25">
      <c r="A168" s="113" t="s">
        <v>185</v>
      </c>
      <c r="B168" s="113" t="s">
        <v>144</v>
      </c>
      <c r="C168" s="7" t="s">
        <v>1</v>
      </c>
      <c r="D168" s="137">
        <f>'дод 1'!E261+'дод 1'!E230</f>
        <v>0</v>
      </c>
      <c r="E168" s="137">
        <f>'дод 1'!F261+'дод 1'!F230</f>
        <v>0</v>
      </c>
      <c r="F168" s="137">
        <f>'дод 1'!G261+'дод 1'!G230</f>
        <v>0</v>
      </c>
      <c r="G168" s="137">
        <f>'дод 1'!H261+'дод 1'!H230</f>
        <v>0</v>
      </c>
      <c r="H168" s="137">
        <f>'дод 1'!I261+'дод 1'!I230</f>
        <v>0</v>
      </c>
      <c r="I168" s="137">
        <f>'дод 1'!J261+'дод 1'!J230</f>
        <v>100709</v>
      </c>
      <c r="J168" s="137">
        <f>'дод 1'!K261+'дод 1'!K230</f>
        <v>100709</v>
      </c>
      <c r="K168" s="137">
        <f>'дод 1'!L261+'дод 1'!L230</f>
        <v>0</v>
      </c>
      <c r="L168" s="137">
        <f>'дод 1'!M261+'дод 1'!M230</f>
        <v>0</v>
      </c>
      <c r="M168" s="137">
        <f>'дод 1'!N261+'дод 1'!N230</f>
        <v>0</v>
      </c>
      <c r="N168" s="137">
        <f>'дод 1'!O261+'дод 1'!O230</f>
        <v>100709</v>
      </c>
      <c r="O168" s="137">
        <f>'дод 1'!P261+'дод 1'!P230</f>
        <v>100709</v>
      </c>
      <c r="P168" s="159"/>
    </row>
    <row r="169" spans="1:16" ht="35.25" hidden="1" customHeight="1" x14ac:dyDescent="0.25">
      <c r="A169" s="113" t="s">
        <v>522</v>
      </c>
      <c r="B169" s="113" t="s">
        <v>144</v>
      </c>
      <c r="C169" s="7" t="s">
        <v>523</v>
      </c>
      <c r="D169" s="137">
        <f>'дод 1'!E280</f>
        <v>0</v>
      </c>
      <c r="E169" s="137">
        <f>'дод 1'!F280</f>
        <v>0</v>
      </c>
      <c r="F169" s="137">
        <f>'дод 1'!G280</f>
        <v>0</v>
      </c>
      <c r="G169" s="137">
        <f>'дод 1'!H280</f>
        <v>0</v>
      </c>
      <c r="H169" s="137">
        <f>'дод 1'!I280</f>
        <v>0</v>
      </c>
      <c r="I169" s="137">
        <f>'дод 1'!J280</f>
        <v>0</v>
      </c>
      <c r="J169" s="137">
        <f>'дод 1'!K280</f>
        <v>0</v>
      </c>
      <c r="K169" s="137">
        <f>'дод 1'!L280</f>
        <v>0</v>
      </c>
      <c r="L169" s="137">
        <f>'дод 1'!M280</f>
        <v>0</v>
      </c>
      <c r="M169" s="137">
        <f>'дод 1'!N280</f>
        <v>0</v>
      </c>
      <c r="N169" s="137">
        <f>'дод 1'!O280</f>
        <v>0</v>
      </c>
      <c r="O169" s="137">
        <f>'дод 1'!P280</f>
        <v>0</v>
      </c>
      <c r="P169" s="159"/>
    </row>
    <row r="170" spans="1:16" s="5" customFormat="1" ht="53.25" customHeight="1" x14ac:dyDescent="0.25">
      <c r="A170" s="113" t="s">
        <v>514</v>
      </c>
      <c r="B170" s="113" t="s">
        <v>112</v>
      </c>
      <c r="C170" s="7" t="s">
        <v>515</v>
      </c>
      <c r="D170" s="137">
        <f>'дод 1'!E262+'дод 1'!E231+'дод 1'!E266</f>
        <v>0</v>
      </c>
      <c r="E170" s="137">
        <f>'дод 1'!F262+'дод 1'!F231+'дод 1'!F266</f>
        <v>0</v>
      </c>
      <c r="F170" s="137">
        <f>'дод 1'!G262+'дод 1'!G231+'дод 1'!G266</f>
        <v>0</v>
      </c>
      <c r="G170" s="137">
        <f>'дод 1'!H262+'дод 1'!H231+'дод 1'!H266</f>
        <v>0</v>
      </c>
      <c r="H170" s="137">
        <f>'дод 1'!I262+'дод 1'!I231+'дод 1'!I266</f>
        <v>0</v>
      </c>
      <c r="I170" s="137">
        <f>'дод 1'!J262+'дод 1'!J231+'дод 1'!J266</f>
        <v>12517763.43</v>
      </c>
      <c r="J170" s="137">
        <f>'дод 1'!K262+'дод 1'!K231+'дод 1'!K266</f>
        <v>12517763.43</v>
      </c>
      <c r="K170" s="137">
        <f>'дод 1'!L262+'дод 1'!L231+'дод 1'!L266</f>
        <v>0</v>
      </c>
      <c r="L170" s="137">
        <f>'дод 1'!M262+'дод 1'!M231+'дод 1'!M266</f>
        <v>0</v>
      </c>
      <c r="M170" s="137">
        <f>'дод 1'!N262+'дод 1'!N231+'дод 1'!N266</f>
        <v>0</v>
      </c>
      <c r="N170" s="137">
        <f>'дод 1'!O262+'дод 1'!O231+'дод 1'!O266</f>
        <v>12517763.43</v>
      </c>
      <c r="O170" s="137">
        <f>'дод 1'!P262+'дод 1'!P231+'дод 1'!P266</f>
        <v>12517763.43</v>
      </c>
      <c r="P170" s="159"/>
    </row>
    <row r="171" spans="1:16" s="5" customFormat="1" ht="47.25" x14ac:dyDescent="0.25">
      <c r="A171" s="113" t="s">
        <v>497</v>
      </c>
      <c r="B171" s="113" t="s">
        <v>112</v>
      </c>
      <c r="C171" s="7" t="s">
        <v>498</v>
      </c>
      <c r="D171" s="137">
        <f>'дод 1'!E190+'дод 1'!E267+'дод 1'!E76+'дод 1'!E106+'дод 1'!E209+'дод 1'!E263+'дод 1'!E232</f>
        <v>0</v>
      </c>
      <c r="E171" s="137">
        <f>'дод 1'!F190+'дод 1'!F267+'дод 1'!F76+'дод 1'!F106+'дод 1'!F209+'дод 1'!F263+'дод 1'!F232</f>
        <v>0</v>
      </c>
      <c r="F171" s="137">
        <f>'дод 1'!G190+'дод 1'!G267+'дод 1'!G76+'дод 1'!G106+'дод 1'!G209+'дод 1'!G263+'дод 1'!G232</f>
        <v>0</v>
      </c>
      <c r="G171" s="137">
        <f>'дод 1'!H190+'дод 1'!H267+'дод 1'!H76+'дод 1'!H106+'дод 1'!H209+'дод 1'!H263+'дод 1'!H232</f>
        <v>0</v>
      </c>
      <c r="H171" s="137">
        <f>'дод 1'!I190+'дод 1'!I267+'дод 1'!I76+'дод 1'!I106+'дод 1'!I209+'дод 1'!I263+'дод 1'!I232</f>
        <v>0</v>
      </c>
      <c r="I171" s="137">
        <f>'дод 1'!J190+'дод 1'!J267+'дод 1'!J76+'дод 1'!J106+'дод 1'!J209+'дод 1'!J263+'дод 1'!J232</f>
        <v>52149606.250000007</v>
      </c>
      <c r="J171" s="137">
        <f>'дод 1'!K190+'дод 1'!K267+'дод 1'!K76+'дод 1'!K106+'дод 1'!K209+'дод 1'!K263+'дод 1'!K232</f>
        <v>52149606.250000007</v>
      </c>
      <c r="K171" s="137">
        <f>'дод 1'!L190+'дод 1'!L267+'дод 1'!L76+'дод 1'!L106+'дод 1'!L209+'дод 1'!L263+'дод 1'!L232</f>
        <v>0</v>
      </c>
      <c r="L171" s="137">
        <f>'дод 1'!M190+'дод 1'!M267+'дод 1'!M76+'дод 1'!M106+'дод 1'!M209+'дод 1'!M263+'дод 1'!M232</f>
        <v>0</v>
      </c>
      <c r="M171" s="137">
        <f>'дод 1'!N190+'дод 1'!N267+'дод 1'!N76+'дод 1'!N106+'дод 1'!N209+'дод 1'!N263+'дод 1'!N232</f>
        <v>0</v>
      </c>
      <c r="N171" s="137">
        <f>'дод 1'!O190+'дод 1'!O267+'дод 1'!O76+'дод 1'!O106+'дод 1'!O209+'дод 1'!O263+'дод 1'!O232</f>
        <v>52149606.250000007</v>
      </c>
      <c r="O171" s="137">
        <f>'дод 1'!P190+'дод 1'!P267+'дод 1'!P76+'дод 1'!P106+'дод 1'!P209+'дод 1'!P263+'дод 1'!P232</f>
        <v>52149606.250000007</v>
      </c>
      <c r="P171" s="171"/>
    </row>
    <row r="172" spans="1:16" s="5" customFormat="1" ht="19.5" customHeight="1" x14ac:dyDescent="0.25">
      <c r="A172" s="113"/>
      <c r="B172" s="113"/>
      <c r="C172" s="7" t="s">
        <v>344</v>
      </c>
      <c r="D172" s="137">
        <f>'дод 1'!E191+'дод 1'!E268+'дод 1'!E77+'дод 1'!E107+'дод 1'!E210+'дод 1'!E264+'дод 1'!E233</f>
        <v>0</v>
      </c>
      <c r="E172" s="137">
        <f>'дод 1'!F191+'дод 1'!F268+'дод 1'!F77+'дод 1'!F107+'дод 1'!F210+'дод 1'!F264+'дод 1'!F233</f>
        <v>0</v>
      </c>
      <c r="F172" s="137">
        <f>'дод 1'!G191+'дод 1'!G268+'дод 1'!G77+'дод 1'!G107+'дод 1'!G210+'дод 1'!G264+'дод 1'!G233</f>
        <v>0</v>
      </c>
      <c r="G172" s="137">
        <f>'дод 1'!H191+'дод 1'!H268+'дод 1'!H77+'дод 1'!H107+'дод 1'!H210+'дод 1'!H264+'дод 1'!H233</f>
        <v>0</v>
      </c>
      <c r="H172" s="137">
        <f>'дод 1'!I191+'дод 1'!I268+'дод 1'!I77+'дод 1'!I107+'дод 1'!I210+'дод 1'!I264+'дод 1'!I233</f>
        <v>0</v>
      </c>
      <c r="I172" s="137">
        <f>'дод 1'!J191+'дод 1'!J268+'дод 1'!J77+'дод 1'!J107+'дод 1'!J210+'дод 1'!J264+'дод 1'!J233</f>
        <v>50494249.670000002</v>
      </c>
      <c r="J172" s="137">
        <f>'дод 1'!K191+'дод 1'!K268+'дод 1'!K77+'дод 1'!K107+'дод 1'!K210+'дод 1'!K264+'дод 1'!K233</f>
        <v>50494249.670000002</v>
      </c>
      <c r="K172" s="137">
        <f>'дод 1'!L191+'дод 1'!L268+'дод 1'!L77+'дод 1'!L107+'дод 1'!L210+'дод 1'!L264+'дод 1'!L233</f>
        <v>0</v>
      </c>
      <c r="L172" s="137">
        <f>'дод 1'!M191+'дод 1'!M268+'дод 1'!M77+'дод 1'!M107+'дод 1'!M210+'дод 1'!M264+'дод 1'!M233</f>
        <v>0</v>
      </c>
      <c r="M172" s="137">
        <f>'дод 1'!N191+'дод 1'!N268+'дод 1'!N77+'дод 1'!N107+'дод 1'!N210+'дод 1'!N264+'дод 1'!N233</f>
        <v>0</v>
      </c>
      <c r="N172" s="137">
        <f>'дод 1'!O191+'дод 1'!O268+'дод 1'!O77+'дод 1'!O107+'дод 1'!O210+'дод 1'!O264+'дод 1'!O233</f>
        <v>50494249.670000002</v>
      </c>
      <c r="O172" s="137">
        <f>'дод 1'!P191+'дод 1'!P268+'дод 1'!P77+'дод 1'!P107+'дод 1'!P210+'дод 1'!P264+'дод 1'!P233</f>
        <v>50494249.670000002</v>
      </c>
      <c r="P172" s="159"/>
    </row>
    <row r="173" spans="1:16" ht="40.5" customHeight="1" x14ac:dyDescent="0.25">
      <c r="A173" s="113" t="s">
        <v>556</v>
      </c>
      <c r="B173" s="113" t="s">
        <v>112</v>
      </c>
      <c r="C173" s="7" t="s">
        <v>566</v>
      </c>
      <c r="D173" s="137">
        <f>'дод 1'!E281+'дод 1'!E290+'дод 1'!E269+'дод 1'!E303</f>
        <v>987959.6</v>
      </c>
      <c r="E173" s="137">
        <f>'дод 1'!F281+'дод 1'!F290+'дод 1'!F269+'дод 1'!F303</f>
        <v>987959.6</v>
      </c>
      <c r="F173" s="137">
        <f>'дод 1'!G281+'дод 1'!G290+'дод 1'!G269+'дод 1'!G303</f>
        <v>0</v>
      </c>
      <c r="G173" s="137">
        <f>'дод 1'!H281+'дод 1'!H290+'дод 1'!H269+'дод 1'!H303</f>
        <v>0</v>
      </c>
      <c r="H173" s="137">
        <f>'дод 1'!I281+'дод 1'!I290+'дод 1'!I269+'дод 1'!I303</f>
        <v>0</v>
      </c>
      <c r="I173" s="137">
        <f>'дод 1'!J281+'дод 1'!J290+'дод 1'!J269+'дод 1'!J303</f>
        <v>12888400</v>
      </c>
      <c r="J173" s="137">
        <f>'дод 1'!K281+'дод 1'!K290+'дод 1'!K269+'дод 1'!K303</f>
        <v>12888400</v>
      </c>
      <c r="K173" s="137">
        <f>'дод 1'!L281+'дод 1'!L290+'дод 1'!L269+'дод 1'!L303</f>
        <v>0</v>
      </c>
      <c r="L173" s="137">
        <f>'дод 1'!M281+'дод 1'!M290+'дод 1'!M269+'дод 1'!M303</f>
        <v>0</v>
      </c>
      <c r="M173" s="137">
        <f>'дод 1'!N281+'дод 1'!N290+'дод 1'!N269+'дод 1'!N303</f>
        <v>0</v>
      </c>
      <c r="N173" s="137">
        <f>'дод 1'!O281+'дод 1'!O290+'дод 1'!O269+'дод 1'!O303</f>
        <v>12888400</v>
      </c>
      <c r="O173" s="137">
        <f>'дод 1'!P281+'дод 1'!P290+'дод 1'!P269+'дод 1'!P303</f>
        <v>13876359.6</v>
      </c>
      <c r="P173" s="159"/>
    </row>
    <row r="174" spans="1:16" s="12" customFormat="1" ht="39.75" customHeight="1" x14ac:dyDescent="0.25">
      <c r="A174" s="114" t="s">
        <v>116</v>
      </c>
      <c r="B174" s="117"/>
      <c r="C174" s="6" t="s">
        <v>2</v>
      </c>
      <c r="D174" s="136">
        <f>D176+D177+D178+D179+D180+D182+D181</f>
        <v>11000000</v>
      </c>
      <c r="E174" s="136">
        <f t="shared" ref="E174:O174" si="17">E176+E177+E178+E179+E180+E182+E181</f>
        <v>0</v>
      </c>
      <c r="F174" s="136">
        <f t="shared" si="17"/>
        <v>0</v>
      </c>
      <c r="G174" s="136">
        <f t="shared" si="17"/>
        <v>0</v>
      </c>
      <c r="H174" s="136">
        <f t="shared" si="17"/>
        <v>11000000</v>
      </c>
      <c r="I174" s="136">
        <f t="shared" si="17"/>
        <v>41070472.469999999</v>
      </c>
      <c r="J174" s="136">
        <f t="shared" si="17"/>
        <v>0</v>
      </c>
      <c r="K174" s="136">
        <f t="shared" si="17"/>
        <v>41000000</v>
      </c>
      <c r="L174" s="136">
        <f t="shared" si="17"/>
        <v>0</v>
      </c>
      <c r="M174" s="136">
        <f t="shared" si="17"/>
        <v>0</v>
      </c>
      <c r="N174" s="136">
        <f t="shared" si="17"/>
        <v>70472.47</v>
      </c>
      <c r="O174" s="136">
        <f t="shared" si="17"/>
        <v>52070472.469999999</v>
      </c>
      <c r="P174" s="159"/>
    </row>
    <row r="175" spans="1:16" s="14" customFormat="1" ht="15.75" x14ac:dyDescent="0.25">
      <c r="A175" s="114"/>
      <c r="B175" s="117"/>
      <c r="C175" s="6" t="s">
        <v>344</v>
      </c>
      <c r="D175" s="136">
        <f>D183</f>
        <v>0</v>
      </c>
      <c r="E175" s="136">
        <f t="shared" ref="E175:O175" si="18">E183</f>
        <v>0</v>
      </c>
      <c r="F175" s="136">
        <f t="shared" si="18"/>
        <v>0</v>
      </c>
      <c r="G175" s="136">
        <f t="shared" si="18"/>
        <v>0</v>
      </c>
      <c r="H175" s="136">
        <f t="shared" si="18"/>
        <v>0</v>
      </c>
      <c r="I175" s="136">
        <f t="shared" si="18"/>
        <v>41000000</v>
      </c>
      <c r="J175" s="136">
        <f t="shared" si="18"/>
        <v>0</v>
      </c>
      <c r="K175" s="136">
        <f t="shared" si="18"/>
        <v>41000000</v>
      </c>
      <c r="L175" s="136">
        <f t="shared" si="18"/>
        <v>0</v>
      </c>
      <c r="M175" s="136">
        <f t="shared" si="18"/>
        <v>0</v>
      </c>
      <c r="N175" s="136">
        <f t="shared" si="18"/>
        <v>0</v>
      </c>
      <c r="O175" s="136">
        <f t="shared" si="18"/>
        <v>41000000</v>
      </c>
      <c r="P175" s="159"/>
    </row>
    <row r="176" spans="1:16" s="5" customFormat="1" ht="30" customHeight="1" x14ac:dyDescent="0.25">
      <c r="A176" s="113" t="s">
        <v>4</v>
      </c>
      <c r="B176" s="113" t="s">
        <v>114</v>
      </c>
      <c r="C176" s="7" t="s">
        <v>58</v>
      </c>
      <c r="D176" s="137">
        <f>'дод 1'!E33</f>
        <v>10102369.4</v>
      </c>
      <c r="E176" s="137">
        <f>'дод 1'!F33</f>
        <v>0</v>
      </c>
      <c r="F176" s="137">
        <f>'дод 1'!G33</f>
        <v>0</v>
      </c>
      <c r="G176" s="137">
        <f>'дод 1'!H33</f>
        <v>0</v>
      </c>
      <c r="H176" s="137">
        <f>'дод 1'!I33</f>
        <v>10102369.4</v>
      </c>
      <c r="I176" s="137">
        <f>'дод 1'!J33</f>
        <v>0</v>
      </c>
      <c r="J176" s="137">
        <f>'дод 1'!K33</f>
        <v>0</v>
      </c>
      <c r="K176" s="137">
        <f>'дод 1'!L33</f>
        <v>0</v>
      </c>
      <c r="L176" s="137">
        <f>'дод 1'!M33</f>
        <v>0</v>
      </c>
      <c r="M176" s="137">
        <f>'дод 1'!N33</f>
        <v>0</v>
      </c>
      <c r="N176" s="137">
        <f>'дод 1'!O33</f>
        <v>0</v>
      </c>
      <c r="O176" s="137">
        <f>'дод 1'!P33</f>
        <v>10102369.4</v>
      </c>
      <c r="P176" s="159"/>
    </row>
    <row r="177" spans="1:16" s="5" customFormat="1" ht="39.75" customHeight="1" x14ac:dyDescent="0.25">
      <c r="A177" s="113" t="s">
        <v>5</v>
      </c>
      <c r="B177" s="113" t="s">
        <v>115</v>
      </c>
      <c r="C177" s="7" t="s">
        <v>196</v>
      </c>
      <c r="D177" s="137">
        <f>'дод 1'!E34</f>
        <v>897630.59999999963</v>
      </c>
      <c r="E177" s="137">
        <f>'дод 1'!F34</f>
        <v>0</v>
      </c>
      <c r="F177" s="137">
        <f>'дод 1'!G34</f>
        <v>0</v>
      </c>
      <c r="G177" s="137">
        <f>'дод 1'!H34</f>
        <v>0</v>
      </c>
      <c r="H177" s="137">
        <f>'дод 1'!I34</f>
        <v>897630.59999999963</v>
      </c>
      <c r="I177" s="137">
        <f>'дод 1'!J34</f>
        <v>0</v>
      </c>
      <c r="J177" s="137">
        <f>'дод 1'!K34</f>
        <v>0</v>
      </c>
      <c r="K177" s="137">
        <f>'дод 1'!L34</f>
        <v>0</v>
      </c>
      <c r="L177" s="137">
        <f>'дод 1'!M34</f>
        <v>0</v>
      </c>
      <c r="M177" s="137">
        <f>'дод 1'!N34</f>
        <v>0</v>
      </c>
      <c r="N177" s="137">
        <f>'дод 1'!O34</f>
        <v>0</v>
      </c>
      <c r="O177" s="137">
        <f>'дод 1'!P34</f>
        <v>897630.59999999963</v>
      </c>
      <c r="P177" s="159"/>
    </row>
    <row r="178" spans="1:16" s="5" customFormat="1" ht="24" hidden="1" customHeight="1" x14ac:dyDescent="0.25">
      <c r="A178" s="113" t="s">
        <v>6</v>
      </c>
      <c r="B178" s="113" t="s">
        <v>115</v>
      </c>
      <c r="C178" s="7" t="s">
        <v>28</v>
      </c>
      <c r="D178" s="137">
        <f>'дод 1'!E35</f>
        <v>0</v>
      </c>
      <c r="E178" s="137">
        <f>'дод 1'!F35</f>
        <v>0</v>
      </c>
      <c r="F178" s="137">
        <f>'дод 1'!G35</f>
        <v>0</v>
      </c>
      <c r="G178" s="137">
        <f>'дод 1'!H35</f>
        <v>0</v>
      </c>
      <c r="H178" s="137">
        <f>'дод 1'!I35</f>
        <v>0</v>
      </c>
      <c r="I178" s="137">
        <f>'дод 1'!J35</f>
        <v>0</v>
      </c>
      <c r="J178" s="137">
        <f>'дод 1'!K35</f>
        <v>0</v>
      </c>
      <c r="K178" s="137">
        <f>'дод 1'!L35</f>
        <v>0</v>
      </c>
      <c r="L178" s="137">
        <f>'дод 1'!M35</f>
        <v>0</v>
      </c>
      <c r="M178" s="137">
        <f>'дод 1'!N35</f>
        <v>0</v>
      </c>
      <c r="N178" s="137">
        <f>'дод 1'!O35</f>
        <v>0</v>
      </c>
      <c r="O178" s="137">
        <f>'дод 1'!P35</f>
        <v>0</v>
      </c>
      <c r="P178" s="159"/>
    </row>
    <row r="179" spans="1:16" s="5" customFormat="1" ht="31.5" hidden="1" x14ac:dyDescent="0.25">
      <c r="A179" s="113" t="s">
        <v>509</v>
      </c>
      <c r="B179" s="113" t="s">
        <v>410</v>
      </c>
      <c r="C179" s="7" t="s">
        <v>510</v>
      </c>
      <c r="D179" s="137">
        <f>'дод 1'!E265+'дод 1'!E270</f>
        <v>0</v>
      </c>
      <c r="E179" s="137">
        <f>'дод 1'!F265+'дод 1'!F270</f>
        <v>0</v>
      </c>
      <c r="F179" s="137">
        <f>'дод 1'!G265+'дод 1'!G270</f>
        <v>0</v>
      </c>
      <c r="G179" s="137">
        <f>'дод 1'!H265+'дод 1'!H270</f>
        <v>0</v>
      </c>
      <c r="H179" s="137">
        <f>'дод 1'!I265+'дод 1'!I270</f>
        <v>0</v>
      </c>
      <c r="I179" s="137">
        <f>'дод 1'!J265+'дод 1'!J270</f>
        <v>0</v>
      </c>
      <c r="J179" s="137">
        <f>'дод 1'!K265+'дод 1'!K270</f>
        <v>0</v>
      </c>
      <c r="K179" s="137">
        <f>'дод 1'!L265+'дод 1'!L270</f>
        <v>0</v>
      </c>
      <c r="L179" s="137">
        <f>'дод 1'!M265+'дод 1'!M270</f>
        <v>0</v>
      </c>
      <c r="M179" s="137">
        <f>'дод 1'!N265+'дод 1'!N270</f>
        <v>0</v>
      </c>
      <c r="N179" s="137">
        <f>'дод 1'!O265+'дод 1'!O270</f>
        <v>0</v>
      </c>
      <c r="O179" s="137">
        <f>'дод 1'!P265+'дод 1'!P270</f>
        <v>0</v>
      </c>
      <c r="P179" s="159"/>
    </row>
    <row r="180" spans="1:16" ht="15.75" hidden="1" x14ac:dyDescent="0.25">
      <c r="A180" s="113" t="s">
        <v>409</v>
      </c>
      <c r="B180" s="113" t="s">
        <v>410</v>
      </c>
      <c r="C180" s="7" t="s">
        <v>411</v>
      </c>
      <c r="D180" s="137">
        <f>'дод 1'!E36</f>
        <v>0</v>
      </c>
      <c r="E180" s="137">
        <f>'дод 1'!F36</f>
        <v>0</v>
      </c>
      <c r="F180" s="137">
        <f>'дод 1'!G36</f>
        <v>0</v>
      </c>
      <c r="G180" s="137">
        <f>'дод 1'!H36</f>
        <v>0</v>
      </c>
      <c r="H180" s="137">
        <f>'дод 1'!I36</f>
        <v>0</v>
      </c>
      <c r="I180" s="137">
        <f>'дод 1'!J36</f>
        <v>0</v>
      </c>
      <c r="J180" s="137">
        <f>'дод 1'!K36</f>
        <v>0</v>
      </c>
      <c r="K180" s="137">
        <f>'дод 1'!L36</f>
        <v>0</v>
      </c>
      <c r="L180" s="137">
        <f>'дод 1'!M36</f>
        <v>0</v>
      </c>
      <c r="M180" s="137">
        <f>'дод 1'!N36</f>
        <v>0</v>
      </c>
      <c r="N180" s="137">
        <f>'дод 1'!O36</f>
        <v>0</v>
      </c>
      <c r="O180" s="137">
        <f>'дод 1'!P36</f>
        <v>0</v>
      </c>
      <c r="P180" s="159"/>
    </row>
    <row r="181" spans="1:16" ht="47.25" x14ac:dyDescent="0.25">
      <c r="A181" s="113">
        <v>7461</v>
      </c>
      <c r="B181" s="113" t="s">
        <v>410</v>
      </c>
      <c r="C181" s="98" t="s">
        <v>607</v>
      </c>
      <c r="D181" s="137">
        <f>'дод 1'!E234</f>
        <v>0</v>
      </c>
      <c r="E181" s="137">
        <f>'дод 1'!F234</f>
        <v>0</v>
      </c>
      <c r="F181" s="137">
        <f>'дод 1'!G234</f>
        <v>0</v>
      </c>
      <c r="G181" s="137">
        <f>'дод 1'!H234</f>
        <v>0</v>
      </c>
      <c r="H181" s="137">
        <f>'дод 1'!I234</f>
        <v>0</v>
      </c>
      <c r="I181" s="137">
        <f>'дод 1'!J234</f>
        <v>70472.47</v>
      </c>
      <c r="J181" s="137">
        <f>'дод 1'!K234</f>
        <v>0</v>
      </c>
      <c r="K181" s="137">
        <f>'дод 1'!L234</f>
        <v>0</v>
      </c>
      <c r="L181" s="137">
        <f>'дод 1'!M234</f>
        <v>0</v>
      </c>
      <c r="M181" s="137">
        <f>'дод 1'!N234</f>
        <v>0</v>
      </c>
      <c r="N181" s="137">
        <f>'дод 1'!O234</f>
        <v>70472.47</v>
      </c>
      <c r="O181" s="137">
        <f>'дод 1'!P234</f>
        <v>70472.47</v>
      </c>
      <c r="P181" s="159"/>
    </row>
    <row r="182" spans="1:16" ht="47.25" x14ac:dyDescent="0.25">
      <c r="A182" s="113" t="s">
        <v>528</v>
      </c>
      <c r="B182" s="113" t="s">
        <v>410</v>
      </c>
      <c r="C182" s="7" t="s">
        <v>529</v>
      </c>
      <c r="D182" s="137">
        <f>'дод 1'!E271+'дод 1'!E235</f>
        <v>0</v>
      </c>
      <c r="E182" s="137">
        <f>'дод 1'!F271+'дод 1'!F235</f>
        <v>0</v>
      </c>
      <c r="F182" s="137">
        <f>'дод 1'!G271+'дод 1'!G235</f>
        <v>0</v>
      </c>
      <c r="G182" s="137">
        <f>'дод 1'!H271+'дод 1'!H235</f>
        <v>0</v>
      </c>
      <c r="H182" s="137">
        <f>'дод 1'!I271+'дод 1'!I235</f>
        <v>0</v>
      </c>
      <c r="I182" s="137">
        <f>'дод 1'!J271+'дод 1'!J235</f>
        <v>41000000</v>
      </c>
      <c r="J182" s="137">
        <f>'дод 1'!K271+'дод 1'!K235</f>
        <v>0</v>
      </c>
      <c r="K182" s="137">
        <f>'дод 1'!L271+'дод 1'!L235</f>
        <v>41000000</v>
      </c>
      <c r="L182" s="137">
        <f>'дод 1'!M271+'дод 1'!M235</f>
        <v>0</v>
      </c>
      <c r="M182" s="137">
        <f>'дод 1'!N271+'дод 1'!N235</f>
        <v>0</v>
      </c>
      <c r="N182" s="137">
        <f>'дод 1'!O271+'дод 1'!O235</f>
        <v>0</v>
      </c>
      <c r="O182" s="137">
        <f>'дод 1'!P271+'дод 1'!P235</f>
        <v>41000000</v>
      </c>
      <c r="P182" s="159"/>
    </row>
    <row r="183" spans="1:16" ht="15.75" x14ac:dyDescent="0.25">
      <c r="A183" s="113"/>
      <c r="B183" s="113"/>
      <c r="C183" s="7" t="s">
        <v>344</v>
      </c>
      <c r="D183" s="137">
        <f>'дод 1'!E272+'дод 1'!E236</f>
        <v>0</v>
      </c>
      <c r="E183" s="137">
        <f>'дод 1'!F272+'дод 1'!F236</f>
        <v>0</v>
      </c>
      <c r="F183" s="137">
        <f>'дод 1'!G272+'дод 1'!G236</f>
        <v>0</v>
      </c>
      <c r="G183" s="137">
        <f>'дод 1'!H272+'дод 1'!H236</f>
        <v>0</v>
      </c>
      <c r="H183" s="137">
        <f>'дод 1'!I272+'дод 1'!I236</f>
        <v>0</v>
      </c>
      <c r="I183" s="137">
        <f>'дод 1'!J272+'дод 1'!J236</f>
        <v>41000000</v>
      </c>
      <c r="J183" s="137">
        <f>'дод 1'!K272+'дод 1'!K236</f>
        <v>0</v>
      </c>
      <c r="K183" s="137">
        <f>'дод 1'!L272+'дод 1'!L236</f>
        <v>41000000</v>
      </c>
      <c r="L183" s="137">
        <f>'дод 1'!M272+'дод 1'!M236</f>
        <v>0</v>
      </c>
      <c r="M183" s="137">
        <f>'дод 1'!N272+'дод 1'!N236</f>
        <v>0</v>
      </c>
      <c r="N183" s="137">
        <f>'дод 1'!O272+'дод 1'!O236</f>
        <v>0</v>
      </c>
      <c r="O183" s="137">
        <f>'дод 1'!P272+'дод 1'!P236</f>
        <v>41000000</v>
      </c>
      <c r="P183" s="159"/>
    </row>
    <row r="184" spans="1:16" s="12" customFormat="1" ht="28.5" customHeight="1" x14ac:dyDescent="0.25">
      <c r="A184" s="115" t="s">
        <v>311</v>
      </c>
      <c r="B184" s="117"/>
      <c r="C184" s="6" t="s">
        <v>312</v>
      </c>
      <c r="D184" s="136">
        <f>D185</f>
        <v>9573860</v>
      </c>
      <c r="E184" s="136">
        <f t="shared" ref="E184:O184" si="19">E185</f>
        <v>9573860</v>
      </c>
      <c r="F184" s="136">
        <f t="shared" si="19"/>
        <v>0</v>
      </c>
      <c r="G184" s="136">
        <f t="shared" si="19"/>
        <v>0</v>
      </c>
      <c r="H184" s="136">
        <f t="shared" si="19"/>
        <v>0</v>
      </c>
      <c r="I184" s="136">
        <f t="shared" si="19"/>
        <v>4927500</v>
      </c>
      <c r="J184" s="136">
        <f t="shared" si="19"/>
        <v>4927500</v>
      </c>
      <c r="K184" s="136">
        <f t="shared" si="19"/>
        <v>0</v>
      </c>
      <c r="L184" s="136">
        <f t="shared" si="19"/>
        <v>0</v>
      </c>
      <c r="M184" s="136">
        <f t="shared" si="19"/>
        <v>0</v>
      </c>
      <c r="N184" s="136">
        <f t="shared" si="19"/>
        <v>4927500</v>
      </c>
      <c r="O184" s="136">
        <f t="shared" si="19"/>
        <v>14501360</v>
      </c>
      <c r="P184" s="159"/>
    </row>
    <row r="185" spans="1:16" ht="37.5" customHeight="1" x14ac:dyDescent="0.25">
      <c r="A185" s="116" t="s">
        <v>309</v>
      </c>
      <c r="B185" s="116" t="s">
        <v>310</v>
      </c>
      <c r="C185" s="20" t="s">
        <v>308</v>
      </c>
      <c r="D185" s="137">
        <f>'дод 1'!E37</f>
        <v>9573860</v>
      </c>
      <c r="E185" s="137">
        <f>'дод 1'!F37</f>
        <v>9573860</v>
      </c>
      <c r="F185" s="137">
        <f>'дод 1'!G37</f>
        <v>0</v>
      </c>
      <c r="G185" s="137">
        <f>'дод 1'!H37</f>
        <v>0</v>
      </c>
      <c r="H185" s="137">
        <f>'дод 1'!I37</f>
        <v>0</v>
      </c>
      <c r="I185" s="137">
        <f>'дод 1'!J37</f>
        <v>4927500</v>
      </c>
      <c r="J185" s="137">
        <f>'дод 1'!K37</f>
        <v>4927500</v>
      </c>
      <c r="K185" s="137">
        <f>'дод 1'!L37</f>
        <v>0</v>
      </c>
      <c r="L185" s="137">
        <f>'дод 1'!M37</f>
        <v>0</v>
      </c>
      <c r="M185" s="137">
        <f>'дод 1'!N37</f>
        <v>0</v>
      </c>
      <c r="N185" s="137">
        <f>'дод 1'!O37</f>
        <v>4927500</v>
      </c>
      <c r="O185" s="137">
        <f>'дод 1'!P37</f>
        <v>14501360</v>
      </c>
      <c r="P185" s="159"/>
    </row>
    <row r="186" spans="1:16" s="12" customFormat="1" ht="38.25" customHeight="1" x14ac:dyDescent="0.25">
      <c r="A186" s="114" t="s">
        <v>119</v>
      </c>
      <c r="B186" s="117"/>
      <c r="C186" s="6" t="s">
        <v>7</v>
      </c>
      <c r="D186" s="136">
        <f>D187+D188+D189+D190+D191+D192+D193+D194</f>
        <v>6608782</v>
      </c>
      <c r="E186" s="136">
        <f t="shared" ref="E186:O186" si="20">E187+E188+E189+E190+E191+E192+E193+E194</f>
        <v>5628782</v>
      </c>
      <c r="F186" s="136">
        <f t="shared" si="20"/>
        <v>0</v>
      </c>
      <c r="G186" s="136">
        <f t="shared" si="20"/>
        <v>0</v>
      </c>
      <c r="H186" s="136">
        <f t="shared" si="20"/>
        <v>980000</v>
      </c>
      <c r="I186" s="136">
        <f t="shared" si="20"/>
        <v>133389772.43000001</v>
      </c>
      <c r="J186" s="136">
        <f t="shared" si="20"/>
        <v>99220058.400000006</v>
      </c>
      <c r="K186" s="136">
        <f t="shared" si="20"/>
        <v>1327143.9099999997</v>
      </c>
      <c r="L186" s="136">
        <f t="shared" si="20"/>
        <v>0</v>
      </c>
      <c r="M186" s="136">
        <f t="shared" si="20"/>
        <v>0</v>
      </c>
      <c r="N186" s="136">
        <f t="shared" si="20"/>
        <v>132062628.52000001</v>
      </c>
      <c r="O186" s="136">
        <f t="shared" si="20"/>
        <v>139998554.43000001</v>
      </c>
      <c r="P186" s="159"/>
    </row>
    <row r="187" spans="1:16" ht="30.75" customHeight="1" x14ac:dyDescent="0.25">
      <c r="A187" s="113" t="s">
        <v>8</v>
      </c>
      <c r="B187" s="113" t="s">
        <v>118</v>
      </c>
      <c r="C187" s="7" t="s">
        <v>39</v>
      </c>
      <c r="D187" s="137">
        <f>'дод 1'!E38+'дод 1'!E291</f>
        <v>449000</v>
      </c>
      <c r="E187" s="137">
        <f>'дод 1'!F38+'дод 1'!F291</f>
        <v>449000</v>
      </c>
      <c r="F187" s="137">
        <f>'дод 1'!G38+'дод 1'!G291</f>
        <v>0</v>
      </c>
      <c r="G187" s="137">
        <f>'дод 1'!H38+'дод 1'!H291</f>
        <v>0</v>
      </c>
      <c r="H187" s="137">
        <f>'дод 1'!I38+'дод 1'!I291</f>
        <v>0</v>
      </c>
      <c r="I187" s="137">
        <f>'дод 1'!J38+'дод 1'!J291</f>
        <v>0</v>
      </c>
      <c r="J187" s="137">
        <f>'дод 1'!K38+'дод 1'!K291</f>
        <v>0</v>
      </c>
      <c r="K187" s="137">
        <f>'дод 1'!L38+'дод 1'!L291</f>
        <v>0</v>
      </c>
      <c r="L187" s="137">
        <f>'дод 1'!M38+'дод 1'!M291</f>
        <v>0</v>
      </c>
      <c r="M187" s="137">
        <f>'дод 1'!N38+'дод 1'!N291</f>
        <v>0</v>
      </c>
      <c r="N187" s="137">
        <f>'дод 1'!O38+'дод 1'!O291</f>
        <v>0</v>
      </c>
      <c r="O187" s="137">
        <f>'дод 1'!P38+'дод 1'!P291</f>
        <v>449000</v>
      </c>
      <c r="P187" s="159"/>
    </row>
    <row r="188" spans="1:16" ht="24.75" customHeight="1" x14ac:dyDescent="0.25">
      <c r="A188" s="113" t="s">
        <v>3</v>
      </c>
      <c r="B188" s="113" t="s">
        <v>117</v>
      </c>
      <c r="C188" s="7" t="s">
        <v>54</v>
      </c>
      <c r="D188" s="137">
        <f>'дод 1'!E39+'дод 1'!E78+'дод 1'!E108+'дод 1'!E188+'дод 1'!E211+'дод 1'!E237+'дод 1'!E273+'дод 1'!E304</f>
        <v>2982700</v>
      </c>
      <c r="E188" s="137">
        <f>'дод 1'!F39+'дод 1'!F78+'дод 1'!F108+'дод 1'!F188+'дод 1'!F211+'дод 1'!F237+'дод 1'!F273+'дод 1'!F304</f>
        <v>2152700</v>
      </c>
      <c r="F188" s="137">
        <f>'дод 1'!G39+'дод 1'!G78+'дод 1'!G108+'дод 1'!G188+'дод 1'!G211+'дод 1'!G237+'дод 1'!G273+'дод 1'!G304</f>
        <v>0</v>
      </c>
      <c r="G188" s="137">
        <f>'дод 1'!H39+'дод 1'!H78+'дод 1'!H108+'дод 1'!H188+'дод 1'!H211+'дод 1'!H237+'дод 1'!H273+'дод 1'!H304</f>
        <v>0</v>
      </c>
      <c r="H188" s="137">
        <f>'дод 1'!I39+'дод 1'!I78+'дод 1'!I108+'дод 1'!I188+'дод 1'!I211+'дод 1'!I237+'дод 1'!I273+'дод 1'!I304</f>
        <v>830000</v>
      </c>
      <c r="I188" s="137">
        <f>'дод 1'!J39+'дод 1'!J78+'дод 1'!J108+'дод 1'!J188+'дод 1'!J211+'дод 1'!J237+'дод 1'!J273+'дод 1'!J304</f>
        <v>104030312.40000001</v>
      </c>
      <c r="J188" s="137">
        <f>'дод 1'!K39+'дод 1'!K78+'дод 1'!K108+'дод 1'!K188+'дод 1'!K211+'дод 1'!K237+'дод 1'!K273+'дод 1'!K304</f>
        <v>73086859.400000006</v>
      </c>
      <c r="K188" s="137">
        <f>'дод 1'!L39+'дод 1'!L78+'дод 1'!L108+'дод 1'!L188+'дод 1'!L211+'дод 1'!L237+'дод 1'!L273+'дод 1'!L304</f>
        <v>0</v>
      </c>
      <c r="L188" s="137">
        <f>'дод 1'!M39+'дод 1'!M78+'дод 1'!M108+'дод 1'!M188+'дод 1'!M211+'дод 1'!M237+'дод 1'!M273+'дод 1'!M304</f>
        <v>0</v>
      </c>
      <c r="M188" s="137">
        <f>'дод 1'!N39+'дод 1'!N78+'дод 1'!N108+'дод 1'!N188+'дод 1'!N211+'дод 1'!N237+'дод 1'!N273+'дод 1'!N304</f>
        <v>0</v>
      </c>
      <c r="N188" s="137">
        <f>'дод 1'!O39+'дод 1'!O78+'дод 1'!O108+'дод 1'!O188+'дод 1'!O211+'дод 1'!O237+'дод 1'!O273+'дод 1'!O304</f>
        <v>104030312.40000001</v>
      </c>
      <c r="O188" s="137">
        <f>'дод 1'!P39+'дод 1'!P78+'дод 1'!P108+'дод 1'!P188+'дод 1'!P211+'дод 1'!P237+'дод 1'!P273+'дод 1'!P304</f>
        <v>107013012.40000001</v>
      </c>
      <c r="P188" s="159"/>
    </row>
    <row r="189" spans="1:16" ht="33.75" customHeight="1" x14ac:dyDescent="0.25">
      <c r="A189" s="113" t="s">
        <v>346</v>
      </c>
      <c r="B189" s="113" t="s">
        <v>112</v>
      </c>
      <c r="C189" s="7" t="s">
        <v>349</v>
      </c>
      <c r="D189" s="137">
        <f>'дод 1'!E292</f>
        <v>0</v>
      </c>
      <c r="E189" s="137">
        <f>'дод 1'!F292</f>
        <v>0</v>
      </c>
      <c r="F189" s="137">
        <f>'дод 1'!G292</f>
        <v>0</v>
      </c>
      <c r="G189" s="137">
        <f>'дод 1'!H292</f>
        <v>0</v>
      </c>
      <c r="H189" s="137">
        <f>'дод 1'!I292</f>
        <v>0</v>
      </c>
      <c r="I189" s="137">
        <f>'дод 1'!J292</f>
        <v>50000</v>
      </c>
      <c r="J189" s="137">
        <f>'дод 1'!K292</f>
        <v>50000</v>
      </c>
      <c r="K189" s="137">
        <f>'дод 1'!L292</f>
        <v>0</v>
      </c>
      <c r="L189" s="137">
        <f>'дод 1'!M292</f>
        <v>0</v>
      </c>
      <c r="M189" s="137">
        <f>'дод 1'!N292</f>
        <v>0</v>
      </c>
      <c r="N189" s="137">
        <f>'дод 1'!O292</f>
        <v>50000</v>
      </c>
      <c r="O189" s="137">
        <f>'дод 1'!P292</f>
        <v>50000</v>
      </c>
      <c r="P189" s="159"/>
    </row>
    <row r="190" spans="1:16" ht="68.25" customHeight="1" x14ac:dyDescent="0.25">
      <c r="A190" s="113" t="s">
        <v>348</v>
      </c>
      <c r="B190" s="113" t="s">
        <v>112</v>
      </c>
      <c r="C190" s="7" t="s">
        <v>350</v>
      </c>
      <c r="D190" s="137">
        <f>'дод 1'!E293</f>
        <v>0</v>
      </c>
      <c r="E190" s="137">
        <f>'дод 1'!F293</f>
        <v>0</v>
      </c>
      <c r="F190" s="137">
        <f>'дод 1'!G293</f>
        <v>0</v>
      </c>
      <c r="G190" s="137">
        <f>'дод 1'!H293</f>
        <v>0</v>
      </c>
      <c r="H190" s="137">
        <f>'дод 1'!I293</f>
        <v>0</v>
      </c>
      <c r="I190" s="137">
        <f>'дод 1'!J293</f>
        <v>25000</v>
      </c>
      <c r="J190" s="137">
        <f>'дод 1'!K293</f>
        <v>25000</v>
      </c>
      <c r="K190" s="137">
        <f>'дод 1'!L293</f>
        <v>0</v>
      </c>
      <c r="L190" s="137">
        <f>'дод 1'!M293</f>
        <v>0</v>
      </c>
      <c r="M190" s="137">
        <f>'дод 1'!N293</f>
        <v>0</v>
      </c>
      <c r="N190" s="137">
        <f>'дод 1'!O293</f>
        <v>25000</v>
      </c>
      <c r="O190" s="137">
        <f>'дод 1'!P293</f>
        <v>25000</v>
      </c>
      <c r="P190" s="159"/>
    </row>
    <row r="191" spans="1:16" ht="30.75" customHeight="1" x14ac:dyDescent="0.25">
      <c r="A191" s="113" t="s">
        <v>9</v>
      </c>
      <c r="B191" s="113" t="s">
        <v>112</v>
      </c>
      <c r="C191" s="7" t="s">
        <v>40</v>
      </c>
      <c r="D191" s="137">
        <f>'дод 1'!E40+'дод 1'!E238</f>
        <v>0</v>
      </c>
      <c r="E191" s="137">
        <f>'дод 1'!F40+'дод 1'!F238</f>
        <v>0</v>
      </c>
      <c r="F191" s="137">
        <f>'дод 1'!G40+'дод 1'!G238</f>
        <v>0</v>
      </c>
      <c r="G191" s="137">
        <f>'дод 1'!H40+'дод 1'!H238</f>
        <v>0</v>
      </c>
      <c r="H191" s="137">
        <f>'дод 1'!I40+'дод 1'!I238</f>
        <v>0</v>
      </c>
      <c r="I191" s="137">
        <f>'дод 1'!J40+'дод 1'!J238</f>
        <v>26058199</v>
      </c>
      <c r="J191" s="137">
        <f>'дод 1'!K40+'дод 1'!K238</f>
        <v>26058199</v>
      </c>
      <c r="K191" s="137">
        <f>'дод 1'!L40+'дод 1'!L238</f>
        <v>0</v>
      </c>
      <c r="L191" s="137">
        <f>'дод 1'!M40+'дод 1'!M238</f>
        <v>0</v>
      </c>
      <c r="M191" s="137">
        <f>'дод 1'!N40+'дод 1'!N238</f>
        <v>0</v>
      </c>
      <c r="N191" s="137">
        <f>'дод 1'!O40+'дод 1'!O238</f>
        <v>26058199</v>
      </c>
      <c r="O191" s="137">
        <f>'дод 1'!P40+'дод 1'!P238</f>
        <v>26058199</v>
      </c>
      <c r="P191" s="159"/>
    </row>
    <row r="192" spans="1:16" ht="36.75" customHeight="1" x14ac:dyDescent="0.25">
      <c r="A192" s="113" t="s">
        <v>322</v>
      </c>
      <c r="B192" s="113" t="s">
        <v>112</v>
      </c>
      <c r="C192" s="7" t="s">
        <v>323</v>
      </c>
      <c r="D192" s="137">
        <f>'дод 1'!E41</f>
        <v>243690</v>
      </c>
      <c r="E192" s="137">
        <f>'дод 1'!F41</f>
        <v>243690</v>
      </c>
      <c r="F192" s="137">
        <f>'дод 1'!G41</f>
        <v>0</v>
      </c>
      <c r="G192" s="137">
        <f>'дод 1'!H41</f>
        <v>0</v>
      </c>
      <c r="H192" s="137">
        <f>'дод 1'!I41</f>
        <v>0</v>
      </c>
      <c r="I192" s="137">
        <f>'дод 1'!J41</f>
        <v>0</v>
      </c>
      <c r="J192" s="137">
        <f>'дод 1'!K41</f>
        <v>0</v>
      </c>
      <c r="K192" s="137">
        <f>'дод 1'!L41</f>
        <v>0</v>
      </c>
      <c r="L192" s="137">
        <f>'дод 1'!M41</f>
        <v>0</v>
      </c>
      <c r="M192" s="137">
        <f>'дод 1'!N41</f>
        <v>0</v>
      </c>
      <c r="N192" s="137">
        <f>'дод 1'!O41</f>
        <v>0</v>
      </c>
      <c r="O192" s="137">
        <f>'дод 1'!P41</f>
        <v>243690</v>
      </c>
      <c r="P192" s="159"/>
    </row>
    <row r="193" spans="1:16" s="5" customFormat="1" ht="122.25" customHeight="1" x14ac:dyDescent="0.25">
      <c r="A193" s="113" t="s">
        <v>388</v>
      </c>
      <c r="B193" s="113" t="s">
        <v>112</v>
      </c>
      <c r="C193" s="7" t="s">
        <v>415</v>
      </c>
      <c r="D193" s="137">
        <f>'дод 1'!E42+'дод 1'!E282+'дод 1'!E274+'дод 1'!E239</f>
        <v>0</v>
      </c>
      <c r="E193" s="137">
        <f>'дод 1'!F42+'дод 1'!F282+'дод 1'!F274+'дод 1'!F239</f>
        <v>0</v>
      </c>
      <c r="F193" s="137">
        <f>'дод 1'!G42+'дод 1'!G282+'дод 1'!G274+'дод 1'!G239</f>
        <v>0</v>
      </c>
      <c r="G193" s="137">
        <f>'дод 1'!H42+'дод 1'!H282+'дод 1'!H274+'дод 1'!H239</f>
        <v>0</v>
      </c>
      <c r="H193" s="137">
        <f>'дод 1'!I42+'дод 1'!I282+'дод 1'!I274+'дод 1'!I239</f>
        <v>0</v>
      </c>
      <c r="I193" s="137">
        <f>'дод 1'!J42+'дод 1'!J282+'дод 1'!J274+'дод 1'!J239</f>
        <v>3226261.0300000003</v>
      </c>
      <c r="J193" s="137">
        <f>'дод 1'!K42+'дод 1'!K282+'дод 1'!K274+'дод 1'!K239</f>
        <v>0</v>
      </c>
      <c r="K193" s="137">
        <f>'дод 1'!L42+'дод 1'!L282+'дод 1'!L274+'дод 1'!L239</f>
        <v>1327143.9099999997</v>
      </c>
      <c r="L193" s="137">
        <f>'дод 1'!M42+'дод 1'!M282+'дод 1'!M274+'дод 1'!M239</f>
        <v>0</v>
      </c>
      <c r="M193" s="137">
        <f>'дод 1'!N42+'дод 1'!N282+'дод 1'!N274+'дод 1'!N239</f>
        <v>0</v>
      </c>
      <c r="N193" s="137">
        <f>'дод 1'!O42+'дод 1'!O282+'дод 1'!O274+'дод 1'!O239</f>
        <v>1899117.12</v>
      </c>
      <c r="O193" s="137">
        <f>'дод 1'!P42+'дод 1'!P282+'дод 1'!P274+'дод 1'!P239</f>
        <v>3226261.0300000003</v>
      </c>
      <c r="P193" s="159"/>
    </row>
    <row r="194" spans="1:16" s="5" customFormat="1" ht="30.75" customHeight="1" x14ac:dyDescent="0.25">
      <c r="A194" s="113" t="s">
        <v>313</v>
      </c>
      <c r="B194" s="113" t="s">
        <v>112</v>
      </c>
      <c r="C194" s="7" t="s">
        <v>29</v>
      </c>
      <c r="D194" s="137">
        <f>'дод 1'!E43+'дод 1'!E294+'дод 1'!E305+'дод 1'!E275</f>
        <v>2933392</v>
      </c>
      <c r="E194" s="137">
        <f>'дод 1'!F43+'дод 1'!F294+'дод 1'!F305+'дод 1'!F275</f>
        <v>2783392</v>
      </c>
      <c r="F194" s="137">
        <f>'дод 1'!G43+'дод 1'!G294+'дод 1'!G305+'дод 1'!G275</f>
        <v>0</v>
      </c>
      <c r="G194" s="137">
        <f>'дод 1'!H43+'дод 1'!H294+'дод 1'!H305+'дод 1'!H275</f>
        <v>0</v>
      </c>
      <c r="H194" s="137">
        <f>'дод 1'!I43+'дод 1'!I294+'дод 1'!I305+'дод 1'!I275</f>
        <v>150000</v>
      </c>
      <c r="I194" s="137">
        <f>'дод 1'!J43+'дод 1'!J294+'дод 1'!J305+'дод 1'!J275</f>
        <v>0</v>
      </c>
      <c r="J194" s="137">
        <f>'дод 1'!K43+'дод 1'!K294+'дод 1'!K305+'дод 1'!K275</f>
        <v>0</v>
      </c>
      <c r="K194" s="137">
        <f>'дод 1'!L43+'дод 1'!L294+'дод 1'!L305+'дод 1'!L275</f>
        <v>0</v>
      </c>
      <c r="L194" s="137">
        <f>'дод 1'!M43+'дод 1'!M294+'дод 1'!M305+'дод 1'!M275</f>
        <v>0</v>
      </c>
      <c r="M194" s="137">
        <f>'дод 1'!N43+'дод 1'!N294+'дод 1'!N305+'дод 1'!N275</f>
        <v>0</v>
      </c>
      <c r="N194" s="137">
        <f>'дод 1'!O43+'дод 1'!O294+'дод 1'!O305+'дод 1'!O275</f>
        <v>0</v>
      </c>
      <c r="O194" s="137">
        <f>'дод 1'!P43+'дод 1'!P294+'дод 1'!P305+'дод 1'!P275</f>
        <v>2933392</v>
      </c>
      <c r="P194" s="159"/>
    </row>
    <row r="195" spans="1:16" s="14" customFormat="1" ht="61.5" customHeight="1" x14ac:dyDescent="0.25">
      <c r="A195" s="114" t="s">
        <v>568</v>
      </c>
      <c r="B195" s="114"/>
      <c r="C195" s="6" t="s">
        <v>569</v>
      </c>
      <c r="D195" s="136">
        <f>D196</f>
        <v>0</v>
      </c>
      <c r="E195" s="136">
        <f t="shared" ref="E195:O195" si="21">E196</f>
        <v>0</v>
      </c>
      <c r="F195" s="136">
        <f t="shared" si="21"/>
        <v>0</v>
      </c>
      <c r="G195" s="136">
        <f t="shared" si="21"/>
        <v>0</v>
      </c>
      <c r="H195" s="136">
        <f t="shared" si="21"/>
        <v>0</v>
      </c>
      <c r="I195" s="136">
        <f t="shared" si="21"/>
        <v>9592653.5800000001</v>
      </c>
      <c r="J195" s="136">
        <f t="shared" si="21"/>
        <v>0</v>
      </c>
      <c r="K195" s="136">
        <f t="shared" si="21"/>
        <v>0</v>
      </c>
      <c r="L195" s="136">
        <f t="shared" si="21"/>
        <v>0</v>
      </c>
      <c r="M195" s="136">
        <f t="shared" si="21"/>
        <v>0</v>
      </c>
      <c r="N195" s="136">
        <f t="shared" si="21"/>
        <v>9592653.5800000001</v>
      </c>
      <c r="O195" s="136">
        <f t="shared" si="21"/>
        <v>9592653.5800000001</v>
      </c>
      <c r="P195" s="159"/>
    </row>
    <row r="196" spans="1:16" s="5" customFormat="1" ht="52.5" customHeight="1" x14ac:dyDescent="0.25">
      <c r="A196" s="113" t="s">
        <v>568</v>
      </c>
      <c r="B196" s="113" t="s">
        <v>125</v>
      </c>
      <c r="C196" s="7" t="s">
        <v>569</v>
      </c>
      <c r="D196" s="137">
        <f>'дод 1'!E109</f>
        <v>0</v>
      </c>
      <c r="E196" s="137">
        <f>'дод 1'!F109</f>
        <v>0</v>
      </c>
      <c r="F196" s="137">
        <f>'дод 1'!G109</f>
        <v>0</v>
      </c>
      <c r="G196" s="137">
        <f>'дод 1'!H109</f>
        <v>0</v>
      </c>
      <c r="H196" s="137">
        <f>'дод 1'!I109</f>
        <v>0</v>
      </c>
      <c r="I196" s="137">
        <f>'дод 1'!J109</f>
        <v>9592653.5800000001</v>
      </c>
      <c r="J196" s="137">
        <f>'дод 1'!K109</f>
        <v>0</v>
      </c>
      <c r="K196" s="137">
        <f>'дод 1'!L109</f>
        <v>0</v>
      </c>
      <c r="L196" s="137">
        <f>'дод 1'!M109</f>
        <v>0</v>
      </c>
      <c r="M196" s="137">
        <f>'дод 1'!N109</f>
        <v>0</v>
      </c>
      <c r="N196" s="137">
        <f>'дод 1'!O109</f>
        <v>9592653.5800000001</v>
      </c>
      <c r="O196" s="137">
        <f>'дод 1'!P109</f>
        <v>9592653.5800000001</v>
      </c>
      <c r="P196" s="159"/>
    </row>
    <row r="197" spans="1:16" s="12" customFormat="1" ht="15.75" x14ac:dyDescent="0.25">
      <c r="A197" s="114" t="s">
        <v>126</v>
      </c>
      <c r="B197" s="115"/>
      <c r="C197" s="6" t="s">
        <v>11</v>
      </c>
      <c r="D197" s="136">
        <f>D199+D202+D204+D207+D209+D211+D212</f>
        <v>11407536.82</v>
      </c>
      <c r="E197" s="136">
        <f t="shared" ref="E197:O197" si="22">E199+E202+E204+E207+E209+E211+E212</f>
        <v>3322722.66</v>
      </c>
      <c r="F197" s="136">
        <f t="shared" si="22"/>
        <v>1307667</v>
      </c>
      <c r="G197" s="136">
        <f t="shared" si="22"/>
        <v>363589</v>
      </c>
      <c r="H197" s="136">
        <f t="shared" si="22"/>
        <v>0</v>
      </c>
      <c r="I197" s="136">
        <f t="shared" si="22"/>
        <v>7753400</v>
      </c>
      <c r="J197" s="136">
        <f t="shared" si="22"/>
        <v>2007200</v>
      </c>
      <c r="K197" s="136">
        <f t="shared" si="22"/>
        <v>3072080</v>
      </c>
      <c r="L197" s="136">
        <f t="shared" si="22"/>
        <v>0</v>
      </c>
      <c r="M197" s="136">
        <f t="shared" si="22"/>
        <v>541400</v>
      </c>
      <c r="N197" s="136">
        <f t="shared" si="22"/>
        <v>4681320</v>
      </c>
      <c r="O197" s="136">
        <f t="shared" si="22"/>
        <v>19160936.82</v>
      </c>
      <c r="P197" s="159"/>
    </row>
    <row r="198" spans="1:16" s="12" customFormat="1" ht="15.75" hidden="1" customHeight="1" x14ac:dyDescent="0.25">
      <c r="A198" s="114"/>
      <c r="B198" s="115"/>
      <c r="C198" s="6" t="s">
        <v>344</v>
      </c>
      <c r="D198" s="136">
        <f>SUM(D210)</f>
        <v>0</v>
      </c>
      <c r="E198" s="136">
        <f t="shared" ref="E198:O198" si="23">SUM(E210)</f>
        <v>0</v>
      </c>
      <c r="F198" s="136">
        <f t="shared" si="23"/>
        <v>0</v>
      </c>
      <c r="G198" s="136">
        <f t="shared" si="23"/>
        <v>0</v>
      </c>
      <c r="H198" s="136">
        <f t="shared" si="23"/>
        <v>0</v>
      </c>
      <c r="I198" s="136">
        <f t="shared" si="23"/>
        <v>0</v>
      </c>
      <c r="J198" s="136">
        <f t="shared" si="23"/>
        <v>0</v>
      </c>
      <c r="K198" s="136">
        <f t="shared" si="23"/>
        <v>0</v>
      </c>
      <c r="L198" s="136">
        <f t="shared" si="23"/>
        <v>0</v>
      </c>
      <c r="M198" s="136">
        <f t="shared" si="23"/>
        <v>0</v>
      </c>
      <c r="N198" s="136">
        <f t="shared" si="23"/>
        <v>0</v>
      </c>
      <c r="O198" s="136">
        <f t="shared" si="23"/>
        <v>0</v>
      </c>
      <c r="P198" s="159"/>
    </row>
    <row r="199" spans="1:16" s="12" customFormat="1" ht="39.75" customHeight="1" x14ac:dyDescent="0.25">
      <c r="A199" s="114" t="s">
        <v>128</v>
      </c>
      <c r="B199" s="115"/>
      <c r="C199" s="6" t="s">
        <v>12</v>
      </c>
      <c r="D199" s="136">
        <f>D200+D201</f>
        <v>2201930</v>
      </c>
      <c r="E199" s="136">
        <f t="shared" ref="E199:O199" si="24">E200+E201</f>
        <v>2201930</v>
      </c>
      <c r="F199" s="136">
        <f t="shared" si="24"/>
        <v>1307667</v>
      </c>
      <c r="G199" s="136">
        <f t="shared" si="24"/>
        <v>93093</v>
      </c>
      <c r="H199" s="136">
        <f t="shared" si="24"/>
        <v>0</v>
      </c>
      <c r="I199" s="136">
        <f t="shared" si="24"/>
        <v>2012500</v>
      </c>
      <c r="J199" s="136">
        <f t="shared" ref="J199" si="25">J200+J201</f>
        <v>2007200</v>
      </c>
      <c r="K199" s="136">
        <f t="shared" si="24"/>
        <v>5300</v>
      </c>
      <c r="L199" s="136">
        <f t="shared" si="24"/>
        <v>0</v>
      </c>
      <c r="M199" s="136">
        <f t="shared" si="24"/>
        <v>1400</v>
      </c>
      <c r="N199" s="136">
        <f t="shared" si="24"/>
        <v>2007200</v>
      </c>
      <c r="O199" s="136">
        <f t="shared" si="24"/>
        <v>4214430</v>
      </c>
      <c r="P199" s="159"/>
    </row>
    <row r="200" spans="1:16" s="12" customFormat="1" ht="36.75" customHeight="1" x14ac:dyDescent="0.25">
      <c r="A200" s="116" t="s">
        <v>13</v>
      </c>
      <c r="B200" s="116" t="s">
        <v>121</v>
      </c>
      <c r="C200" s="7" t="s">
        <v>389</v>
      </c>
      <c r="D200" s="137">
        <f>'дод 1'!E44+'дод 1'!E189</f>
        <v>450600</v>
      </c>
      <c r="E200" s="137">
        <f>'дод 1'!F44+'дод 1'!F189</f>
        <v>450600</v>
      </c>
      <c r="F200" s="137">
        <f>'дод 1'!G44+'дод 1'!G189</f>
        <v>0</v>
      </c>
      <c r="G200" s="137">
        <f>'дод 1'!H44+'дод 1'!H189</f>
        <v>6500</v>
      </c>
      <c r="H200" s="137">
        <f>'дод 1'!I44+'дод 1'!I189</f>
        <v>0</v>
      </c>
      <c r="I200" s="137">
        <f>'дод 1'!J44+'дод 1'!J189</f>
        <v>2007200</v>
      </c>
      <c r="J200" s="137">
        <f>'дод 1'!K44+'дод 1'!K189</f>
        <v>2007200</v>
      </c>
      <c r="K200" s="137">
        <f>'дод 1'!L44+'дод 1'!L189</f>
        <v>0</v>
      </c>
      <c r="L200" s="137">
        <f>'дод 1'!M44+'дод 1'!M189</f>
        <v>0</v>
      </c>
      <c r="M200" s="137">
        <f>'дод 1'!N44+'дод 1'!N189</f>
        <v>0</v>
      </c>
      <c r="N200" s="137">
        <f>'дод 1'!O44+'дод 1'!O189</f>
        <v>2007200</v>
      </c>
      <c r="O200" s="137">
        <f>'дод 1'!P44+'дод 1'!P189</f>
        <v>2457800</v>
      </c>
      <c r="P200" s="159"/>
    </row>
    <row r="201" spans="1:16" ht="24.75" customHeight="1" x14ac:dyDescent="0.25">
      <c r="A201" s="113" t="s">
        <v>200</v>
      </c>
      <c r="B201" s="118" t="s">
        <v>121</v>
      </c>
      <c r="C201" s="7" t="s">
        <v>14</v>
      </c>
      <c r="D201" s="137">
        <f>'дод 1'!E45</f>
        <v>1751330</v>
      </c>
      <c r="E201" s="137">
        <f>'дод 1'!F45</f>
        <v>1751330</v>
      </c>
      <c r="F201" s="137">
        <f>'дод 1'!G45</f>
        <v>1307667</v>
      </c>
      <c r="G201" s="137">
        <f>'дод 1'!H45</f>
        <v>86593</v>
      </c>
      <c r="H201" s="137">
        <f>'дод 1'!I45</f>
        <v>0</v>
      </c>
      <c r="I201" s="137">
        <f>'дод 1'!J45</f>
        <v>5300</v>
      </c>
      <c r="J201" s="137">
        <f>'дод 1'!K45</f>
        <v>0</v>
      </c>
      <c r="K201" s="137">
        <f>'дод 1'!L45</f>
        <v>5300</v>
      </c>
      <c r="L201" s="137">
        <f>'дод 1'!M45</f>
        <v>0</v>
      </c>
      <c r="M201" s="137">
        <f>'дод 1'!N45</f>
        <v>1400</v>
      </c>
      <c r="N201" s="137">
        <f>'дод 1'!O45</f>
        <v>0</v>
      </c>
      <c r="O201" s="137">
        <f>'дод 1'!P45</f>
        <v>1756630</v>
      </c>
      <c r="P201" s="159"/>
    </row>
    <row r="202" spans="1:16" s="12" customFormat="1" ht="30" customHeight="1" x14ac:dyDescent="0.25">
      <c r="A202" s="114" t="s">
        <v>324</v>
      </c>
      <c r="B202" s="114"/>
      <c r="C202" s="21" t="s">
        <v>325</v>
      </c>
      <c r="D202" s="136">
        <f>D203</f>
        <v>819800</v>
      </c>
      <c r="E202" s="136">
        <f t="shared" ref="E202:O202" si="26">E203</f>
        <v>819800</v>
      </c>
      <c r="F202" s="136">
        <f t="shared" si="26"/>
        <v>0</v>
      </c>
      <c r="G202" s="136">
        <f t="shared" si="26"/>
        <v>270496</v>
      </c>
      <c r="H202" s="136">
        <f t="shared" si="26"/>
        <v>0</v>
      </c>
      <c r="I202" s="136">
        <f t="shared" si="26"/>
        <v>0</v>
      </c>
      <c r="J202" s="136">
        <f t="shared" si="26"/>
        <v>0</v>
      </c>
      <c r="K202" s="136">
        <f t="shared" si="26"/>
        <v>0</v>
      </c>
      <c r="L202" s="136">
        <f t="shared" si="26"/>
        <v>0</v>
      </c>
      <c r="M202" s="136">
        <f t="shared" si="26"/>
        <v>0</v>
      </c>
      <c r="N202" s="136">
        <f t="shared" si="26"/>
        <v>0</v>
      </c>
      <c r="O202" s="136">
        <f t="shared" si="26"/>
        <v>819800</v>
      </c>
      <c r="P202" s="159"/>
    </row>
    <row r="203" spans="1:16" ht="30" customHeight="1" x14ac:dyDescent="0.25">
      <c r="A203" s="113" t="s">
        <v>318</v>
      </c>
      <c r="B203" s="118" t="s">
        <v>319</v>
      </c>
      <c r="C203" s="7" t="s">
        <v>320</v>
      </c>
      <c r="D203" s="137">
        <f>'дод 1'!E46</f>
        <v>819800</v>
      </c>
      <c r="E203" s="137">
        <f>'дод 1'!F46</f>
        <v>819800</v>
      </c>
      <c r="F203" s="137">
        <f>'дод 1'!G46</f>
        <v>0</v>
      </c>
      <c r="G203" s="137">
        <f>'дод 1'!H46</f>
        <v>270496</v>
      </c>
      <c r="H203" s="137">
        <f>'дод 1'!I46</f>
        <v>0</v>
      </c>
      <c r="I203" s="137">
        <f>'дод 1'!J46</f>
        <v>0</v>
      </c>
      <c r="J203" s="137">
        <f>'дод 1'!K46</f>
        <v>0</v>
      </c>
      <c r="K203" s="137">
        <f>'дод 1'!L46</f>
        <v>0</v>
      </c>
      <c r="L203" s="137">
        <f>'дод 1'!M46</f>
        <v>0</v>
      </c>
      <c r="M203" s="137">
        <f>'дод 1'!N46</f>
        <v>0</v>
      </c>
      <c r="N203" s="137">
        <f>'дод 1'!O46</f>
        <v>0</v>
      </c>
      <c r="O203" s="137">
        <f>'дод 1'!P46</f>
        <v>819800</v>
      </c>
      <c r="P203" s="159"/>
    </row>
    <row r="204" spans="1:16" s="12" customFormat="1" ht="22.5" customHeight="1" x14ac:dyDescent="0.25">
      <c r="A204" s="114" t="s">
        <v>10</v>
      </c>
      <c r="B204" s="115"/>
      <c r="C204" s="6" t="s">
        <v>15</v>
      </c>
      <c r="D204" s="136">
        <f>D205+D206</f>
        <v>0</v>
      </c>
      <c r="E204" s="136">
        <f t="shared" ref="E204:O204" si="27">E205+E206</f>
        <v>0</v>
      </c>
      <c r="F204" s="136">
        <f t="shared" si="27"/>
        <v>0</v>
      </c>
      <c r="G204" s="136">
        <f t="shared" si="27"/>
        <v>0</v>
      </c>
      <c r="H204" s="136">
        <f t="shared" si="27"/>
        <v>0</v>
      </c>
      <c r="I204" s="136">
        <f t="shared" si="27"/>
        <v>5740900</v>
      </c>
      <c r="J204" s="136">
        <f t="shared" ref="J204" si="28">J205+J206</f>
        <v>0</v>
      </c>
      <c r="K204" s="136">
        <f t="shared" si="27"/>
        <v>3066780</v>
      </c>
      <c r="L204" s="136">
        <f t="shared" si="27"/>
        <v>0</v>
      </c>
      <c r="M204" s="136">
        <f t="shared" si="27"/>
        <v>540000</v>
      </c>
      <c r="N204" s="136">
        <f t="shared" si="27"/>
        <v>2674120</v>
      </c>
      <c r="O204" s="136">
        <f t="shared" si="27"/>
        <v>5740900</v>
      </c>
      <c r="P204" s="159"/>
    </row>
    <row r="205" spans="1:16" s="12" customFormat="1" ht="15.75" hidden="1" customHeight="1" x14ac:dyDescent="0.25">
      <c r="A205" s="113" t="s">
        <v>16</v>
      </c>
      <c r="B205" s="113" t="s">
        <v>120</v>
      </c>
      <c r="C205" s="7" t="s">
        <v>30</v>
      </c>
      <c r="D205" s="137">
        <f>'дод 1'!E240</f>
        <v>0</v>
      </c>
      <c r="E205" s="137">
        <f>'дод 1'!F240</f>
        <v>0</v>
      </c>
      <c r="F205" s="137">
        <f>'дод 1'!G240</f>
        <v>0</v>
      </c>
      <c r="G205" s="137">
        <f>'дод 1'!H240</f>
        <v>0</v>
      </c>
      <c r="H205" s="137">
        <f>'дод 1'!I240</f>
        <v>0</v>
      </c>
      <c r="I205" s="137">
        <f>'дод 1'!J240</f>
        <v>0</v>
      </c>
      <c r="J205" s="137">
        <f>'дод 1'!K240</f>
        <v>0</v>
      </c>
      <c r="K205" s="137">
        <f>'дод 1'!L240</f>
        <v>0</v>
      </c>
      <c r="L205" s="137">
        <f>'дод 1'!M240</f>
        <v>0</v>
      </c>
      <c r="M205" s="137">
        <f>'дод 1'!N240</f>
        <v>0</v>
      </c>
      <c r="N205" s="137">
        <f>'дод 1'!O240</f>
        <v>0</v>
      </c>
      <c r="O205" s="137">
        <f>'дод 1'!P240</f>
        <v>0</v>
      </c>
      <c r="P205" s="159"/>
    </row>
    <row r="206" spans="1:16" s="12" customFormat="1" ht="25.5" customHeight="1" x14ac:dyDescent="0.25">
      <c r="A206" s="113" t="s">
        <v>17</v>
      </c>
      <c r="B206" s="113" t="s">
        <v>124</v>
      </c>
      <c r="C206" s="7" t="s">
        <v>18</v>
      </c>
      <c r="D206" s="137">
        <f>'дод 1'!E47+'дод 1'!E79+'дод 1'!E110+'дод 1'!E241+'дод 1'!E306</f>
        <v>0</v>
      </c>
      <c r="E206" s="137">
        <f>'дод 1'!F47+'дод 1'!F79+'дод 1'!F110+'дод 1'!F241+'дод 1'!F306</f>
        <v>0</v>
      </c>
      <c r="F206" s="137">
        <f>'дод 1'!G47+'дод 1'!G79+'дод 1'!G110+'дод 1'!G241+'дод 1'!G306</f>
        <v>0</v>
      </c>
      <c r="G206" s="137">
        <f>'дод 1'!H47+'дод 1'!H79+'дод 1'!H110+'дод 1'!H241+'дод 1'!H306</f>
        <v>0</v>
      </c>
      <c r="H206" s="137">
        <f>'дод 1'!I47+'дод 1'!I79+'дод 1'!I110+'дод 1'!I241+'дод 1'!I306</f>
        <v>0</v>
      </c>
      <c r="I206" s="137">
        <f>'дод 1'!J47+'дод 1'!J79+'дод 1'!J110+'дод 1'!J241+'дод 1'!J306</f>
        <v>5740900</v>
      </c>
      <c r="J206" s="137">
        <f>'дод 1'!K47+'дод 1'!K79+'дод 1'!K110+'дод 1'!K241+'дод 1'!K306</f>
        <v>0</v>
      </c>
      <c r="K206" s="137">
        <f>'дод 1'!L47+'дод 1'!L79+'дод 1'!L110+'дод 1'!L241+'дод 1'!L306</f>
        <v>3066780</v>
      </c>
      <c r="L206" s="137">
        <f>'дод 1'!M47+'дод 1'!M79+'дод 1'!M110+'дод 1'!M241+'дод 1'!M306</f>
        <v>0</v>
      </c>
      <c r="M206" s="137">
        <f>'дод 1'!N47+'дод 1'!N79+'дод 1'!N110+'дод 1'!N241+'дод 1'!N306</f>
        <v>540000</v>
      </c>
      <c r="N206" s="137">
        <f>'дод 1'!O47+'дод 1'!O79+'дод 1'!O110+'дод 1'!O241+'дод 1'!O306</f>
        <v>2674120</v>
      </c>
      <c r="O206" s="137">
        <f>'дод 1'!P47+'дод 1'!P79+'дод 1'!P110+'дод 1'!P241+'дод 1'!P306</f>
        <v>5740900</v>
      </c>
      <c r="P206" s="159"/>
    </row>
    <row r="207" spans="1:16" s="12" customFormat="1" ht="26.25" customHeight="1" x14ac:dyDescent="0.25">
      <c r="A207" s="114" t="s">
        <v>177</v>
      </c>
      <c r="B207" s="115"/>
      <c r="C207" s="6" t="s">
        <v>105</v>
      </c>
      <c r="D207" s="136">
        <f>D208</f>
        <v>198000</v>
      </c>
      <c r="E207" s="136">
        <f t="shared" ref="E207:O207" si="29">E208</f>
        <v>198000</v>
      </c>
      <c r="F207" s="136">
        <f t="shared" si="29"/>
        <v>0</v>
      </c>
      <c r="G207" s="136">
        <f t="shared" si="29"/>
        <v>0</v>
      </c>
      <c r="H207" s="136">
        <f t="shared" si="29"/>
        <v>0</v>
      </c>
      <c r="I207" s="136">
        <f t="shared" si="29"/>
        <v>0</v>
      </c>
      <c r="J207" s="136">
        <f t="shared" si="29"/>
        <v>0</v>
      </c>
      <c r="K207" s="136">
        <f t="shared" si="29"/>
        <v>0</v>
      </c>
      <c r="L207" s="136">
        <f t="shared" si="29"/>
        <v>0</v>
      </c>
      <c r="M207" s="136">
        <f t="shared" si="29"/>
        <v>0</v>
      </c>
      <c r="N207" s="136">
        <f t="shared" si="29"/>
        <v>0</v>
      </c>
      <c r="O207" s="136">
        <f t="shared" si="29"/>
        <v>198000</v>
      </c>
      <c r="P207" s="159"/>
    </row>
    <row r="208" spans="1:16" s="12" customFormat="1" ht="25.5" customHeight="1" x14ac:dyDescent="0.25">
      <c r="A208" s="113" t="s">
        <v>329</v>
      </c>
      <c r="B208" s="118" t="s">
        <v>106</v>
      </c>
      <c r="C208" s="7" t="s">
        <v>330</v>
      </c>
      <c r="D208" s="137">
        <f>'дод 1'!E48</f>
        <v>198000</v>
      </c>
      <c r="E208" s="137">
        <f>'дод 1'!F48</f>
        <v>198000</v>
      </c>
      <c r="F208" s="137">
        <f>'дод 1'!G48</f>
        <v>0</v>
      </c>
      <c r="G208" s="137">
        <f>'дод 1'!H48</f>
        <v>0</v>
      </c>
      <c r="H208" s="137">
        <f>'дод 1'!I48</f>
        <v>0</v>
      </c>
      <c r="I208" s="137">
        <f>'дод 1'!J48</f>
        <v>0</v>
      </c>
      <c r="J208" s="137">
        <f>'дод 1'!K48</f>
        <v>0</v>
      </c>
      <c r="K208" s="137">
        <f>'дод 1'!L48</f>
        <v>0</v>
      </c>
      <c r="L208" s="137">
        <f>'дод 1'!M48</f>
        <v>0</v>
      </c>
      <c r="M208" s="137">
        <f>'дод 1'!N48</f>
        <v>0</v>
      </c>
      <c r="N208" s="137">
        <f>'дод 1'!O48</f>
        <v>0</v>
      </c>
      <c r="O208" s="137">
        <f>'дод 1'!P48</f>
        <v>198000</v>
      </c>
      <c r="P208" s="159"/>
    </row>
    <row r="209" spans="1:16" s="12" customFormat="1" ht="25.5" hidden="1" customHeight="1" x14ac:dyDescent="0.25">
      <c r="A209" s="114">
        <v>8500</v>
      </c>
      <c r="B209" s="140" t="s">
        <v>68</v>
      </c>
      <c r="C209" s="177" t="s">
        <v>601</v>
      </c>
      <c r="D209" s="136">
        <f>SUM('дод 1'!E307)</f>
        <v>0</v>
      </c>
      <c r="E209" s="136">
        <f>SUM('дод 1'!F307)</f>
        <v>0</v>
      </c>
      <c r="F209" s="136">
        <f>SUM('дод 1'!G307)</f>
        <v>0</v>
      </c>
      <c r="G209" s="136">
        <f>SUM('дод 1'!H307)</f>
        <v>0</v>
      </c>
      <c r="H209" s="136">
        <f>SUM('дод 1'!I307)</f>
        <v>0</v>
      </c>
      <c r="I209" s="136">
        <f>SUM('дод 1'!J307)</f>
        <v>0</v>
      </c>
      <c r="J209" s="136">
        <f>SUM('дод 1'!K307)</f>
        <v>0</v>
      </c>
      <c r="K209" s="136">
        <f>SUM('дод 1'!L307)</f>
        <v>0</v>
      </c>
      <c r="L209" s="136">
        <f>SUM('дод 1'!M307)</f>
        <v>0</v>
      </c>
      <c r="M209" s="136">
        <f>SUM('дод 1'!N307)</f>
        <v>0</v>
      </c>
      <c r="N209" s="136">
        <f>SUM('дод 1'!O307)</f>
        <v>0</v>
      </c>
      <c r="O209" s="136">
        <f>SUM('дод 1'!P307)</f>
        <v>0</v>
      </c>
      <c r="P209" s="159"/>
    </row>
    <row r="210" spans="1:16" s="12" customFormat="1" ht="21.75" hidden="1" customHeight="1" x14ac:dyDescent="0.25">
      <c r="A210" s="113"/>
      <c r="B210" s="139"/>
      <c r="C210" s="98" t="s">
        <v>344</v>
      </c>
      <c r="D210" s="137">
        <f>SUM('дод 1'!E308)</f>
        <v>0</v>
      </c>
      <c r="E210" s="137">
        <f>SUM('дод 1'!F308)</f>
        <v>0</v>
      </c>
      <c r="F210" s="137">
        <f>SUM('дод 1'!G308)</f>
        <v>0</v>
      </c>
      <c r="G210" s="137">
        <f>SUM('дод 1'!H308)</f>
        <v>0</v>
      </c>
      <c r="H210" s="137">
        <f>SUM('дод 1'!I308)</f>
        <v>0</v>
      </c>
      <c r="I210" s="137">
        <f>SUM('дод 1'!J308)</f>
        <v>0</v>
      </c>
      <c r="J210" s="137">
        <f>SUM('дод 1'!K308)</f>
        <v>0</v>
      </c>
      <c r="K210" s="137">
        <f>SUM('дод 1'!L308)</f>
        <v>0</v>
      </c>
      <c r="L210" s="137">
        <f>SUM('дод 1'!M308)</f>
        <v>0</v>
      </c>
      <c r="M210" s="137">
        <f>SUM('дод 1'!N308)</f>
        <v>0</v>
      </c>
      <c r="N210" s="137">
        <f>SUM('дод 1'!O308)</f>
        <v>0</v>
      </c>
      <c r="O210" s="137">
        <f>SUM('дод 1'!P308)</f>
        <v>0</v>
      </c>
      <c r="P210" s="159"/>
    </row>
    <row r="211" spans="1:16" s="12" customFormat="1" ht="26.25" customHeight="1" x14ac:dyDescent="0.25">
      <c r="A211" s="114" t="s">
        <v>127</v>
      </c>
      <c r="B211" s="114" t="s">
        <v>122</v>
      </c>
      <c r="C211" s="6" t="s">
        <v>19</v>
      </c>
      <c r="D211" s="136">
        <f>'дод 1'!E309</f>
        <v>102992.66</v>
      </c>
      <c r="E211" s="136">
        <f>'дод 1'!F309</f>
        <v>102992.66</v>
      </c>
      <c r="F211" s="136">
        <f>'дод 1'!G309</f>
        <v>0</v>
      </c>
      <c r="G211" s="136">
        <f>'дод 1'!H309</f>
        <v>0</v>
      </c>
      <c r="H211" s="136">
        <f>'дод 1'!I309</f>
        <v>0</v>
      </c>
      <c r="I211" s="136">
        <f>'дод 1'!J309</f>
        <v>0</v>
      </c>
      <c r="J211" s="136">
        <f>'дод 1'!K309</f>
        <v>0</v>
      </c>
      <c r="K211" s="136">
        <f>'дод 1'!L309</f>
        <v>0</v>
      </c>
      <c r="L211" s="136">
        <f>'дод 1'!M309</f>
        <v>0</v>
      </c>
      <c r="M211" s="136">
        <f>'дод 1'!N309</f>
        <v>0</v>
      </c>
      <c r="N211" s="136">
        <f>'дод 1'!O309</f>
        <v>0</v>
      </c>
      <c r="O211" s="136">
        <f>'дод 1'!P309</f>
        <v>102992.66</v>
      </c>
      <c r="P211" s="159"/>
    </row>
    <row r="212" spans="1:16" s="12" customFormat="1" ht="26.25" customHeight="1" x14ac:dyDescent="0.25">
      <c r="A212" s="114" t="s">
        <v>20</v>
      </c>
      <c r="B212" s="114" t="s">
        <v>125</v>
      </c>
      <c r="C212" s="6" t="s">
        <v>33</v>
      </c>
      <c r="D212" s="136">
        <f>'дод 1'!E310</f>
        <v>8084814.1600000001</v>
      </c>
      <c r="E212" s="136">
        <f>'дод 1'!F310</f>
        <v>0</v>
      </c>
      <c r="F212" s="136">
        <f>'дод 1'!G310</f>
        <v>0</v>
      </c>
      <c r="G212" s="136">
        <f>'дод 1'!H310</f>
        <v>0</v>
      </c>
      <c r="H212" s="136">
        <f>'дод 1'!I310</f>
        <v>0</v>
      </c>
      <c r="I212" s="136">
        <f>'дод 1'!J310</f>
        <v>0</v>
      </c>
      <c r="J212" s="136">
        <f>'дод 1'!K310</f>
        <v>0</v>
      </c>
      <c r="K212" s="136">
        <f>'дод 1'!L310</f>
        <v>0</v>
      </c>
      <c r="L212" s="136">
        <f>'дод 1'!M310</f>
        <v>0</v>
      </c>
      <c r="M212" s="136">
        <f>'дод 1'!N310</f>
        <v>0</v>
      </c>
      <c r="N212" s="136">
        <f>'дод 1'!O310</f>
        <v>0</v>
      </c>
      <c r="O212" s="136">
        <f>'дод 1'!P310</f>
        <v>8084814.1600000001</v>
      </c>
      <c r="P212" s="159"/>
    </row>
    <row r="213" spans="1:16" s="12" customFormat="1" ht="27.75" customHeight="1" x14ac:dyDescent="0.25">
      <c r="A213" s="114" t="s">
        <v>21</v>
      </c>
      <c r="B213" s="114"/>
      <c r="C213" s="6" t="s">
        <v>143</v>
      </c>
      <c r="D213" s="136">
        <f t="shared" ref="D213:O213" si="30">D215+D217+D225+D227</f>
        <v>116040718.08</v>
      </c>
      <c r="E213" s="136">
        <f t="shared" si="30"/>
        <v>115750718.08</v>
      </c>
      <c r="F213" s="136">
        <f t="shared" si="30"/>
        <v>0</v>
      </c>
      <c r="G213" s="136">
        <f t="shared" si="30"/>
        <v>0</v>
      </c>
      <c r="H213" s="136">
        <f t="shared" si="30"/>
        <v>290000</v>
      </c>
      <c r="I213" s="136">
        <f t="shared" si="30"/>
        <v>16843492</v>
      </c>
      <c r="J213" s="136">
        <f t="shared" si="30"/>
        <v>8843492</v>
      </c>
      <c r="K213" s="136">
        <f t="shared" si="30"/>
        <v>8000000</v>
      </c>
      <c r="L213" s="136">
        <f t="shared" si="30"/>
        <v>0</v>
      </c>
      <c r="M213" s="136">
        <f t="shared" si="30"/>
        <v>0</v>
      </c>
      <c r="N213" s="136">
        <f t="shared" si="30"/>
        <v>8843492</v>
      </c>
      <c r="O213" s="136">
        <f t="shared" si="30"/>
        <v>132884210.08</v>
      </c>
      <c r="P213" s="159"/>
    </row>
    <row r="214" spans="1:16" s="12" customFormat="1" ht="17.25" customHeight="1" x14ac:dyDescent="0.25">
      <c r="A214" s="114"/>
      <c r="B214" s="114"/>
      <c r="C214" s="6" t="s">
        <v>344</v>
      </c>
      <c r="D214" s="136">
        <f>D218</f>
        <v>290000</v>
      </c>
      <c r="E214" s="136">
        <f t="shared" ref="E214:O214" si="31">E218</f>
        <v>0</v>
      </c>
      <c r="F214" s="136">
        <f t="shared" si="31"/>
        <v>0</v>
      </c>
      <c r="G214" s="136">
        <f t="shared" si="31"/>
        <v>0</v>
      </c>
      <c r="H214" s="136">
        <f t="shared" si="31"/>
        <v>290000</v>
      </c>
      <c r="I214" s="136">
        <f t="shared" si="31"/>
        <v>8000000</v>
      </c>
      <c r="J214" s="136">
        <f t="shared" ref="J214" si="32">J218</f>
        <v>0</v>
      </c>
      <c r="K214" s="136">
        <f t="shared" si="31"/>
        <v>8000000</v>
      </c>
      <c r="L214" s="136">
        <f t="shared" si="31"/>
        <v>0</v>
      </c>
      <c r="M214" s="136">
        <f t="shared" si="31"/>
        <v>0</v>
      </c>
      <c r="N214" s="136">
        <f t="shared" si="31"/>
        <v>0</v>
      </c>
      <c r="O214" s="136">
        <f t="shared" si="31"/>
        <v>8290000</v>
      </c>
      <c r="P214" s="159"/>
    </row>
    <row r="215" spans="1:16" s="12" customFormat="1" ht="21.75" customHeight="1" x14ac:dyDescent="0.25">
      <c r="A215" s="114" t="s">
        <v>327</v>
      </c>
      <c r="B215" s="114"/>
      <c r="C215" s="6" t="s">
        <v>390</v>
      </c>
      <c r="D215" s="136">
        <f>D216</f>
        <v>111090200</v>
      </c>
      <c r="E215" s="136">
        <f t="shared" ref="E215:O215" si="33">E216</f>
        <v>111090200</v>
      </c>
      <c r="F215" s="136">
        <f t="shared" si="33"/>
        <v>0</v>
      </c>
      <c r="G215" s="136">
        <f t="shared" si="33"/>
        <v>0</v>
      </c>
      <c r="H215" s="136">
        <f t="shared" si="33"/>
        <v>0</v>
      </c>
      <c r="I215" s="136">
        <f t="shared" si="33"/>
        <v>0</v>
      </c>
      <c r="J215" s="136">
        <f t="shared" si="33"/>
        <v>0</v>
      </c>
      <c r="K215" s="136">
        <f t="shared" si="33"/>
        <v>0</v>
      </c>
      <c r="L215" s="136">
        <f t="shared" si="33"/>
        <v>0</v>
      </c>
      <c r="M215" s="136">
        <f t="shared" si="33"/>
        <v>0</v>
      </c>
      <c r="N215" s="136">
        <f t="shared" si="33"/>
        <v>0</v>
      </c>
      <c r="O215" s="136">
        <f t="shared" si="33"/>
        <v>111090200</v>
      </c>
      <c r="P215" s="159"/>
    </row>
    <row r="216" spans="1:16" s="12" customFormat="1" ht="21.75" customHeight="1" x14ac:dyDescent="0.25">
      <c r="A216" s="113" t="s">
        <v>123</v>
      </c>
      <c r="B216" s="118" t="s">
        <v>68</v>
      </c>
      <c r="C216" s="7" t="s">
        <v>142</v>
      </c>
      <c r="D216" s="137">
        <f>'дод 1'!E311</f>
        <v>111090200</v>
      </c>
      <c r="E216" s="137">
        <f>'дод 1'!F311</f>
        <v>111090200</v>
      </c>
      <c r="F216" s="137">
        <f>'дод 1'!G311</f>
        <v>0</v>
      </c>
      <c r="G216" s="137">
        <f>'дод 1'!H311</f>
        <v>0</v>
      </c>
      <c r="H216" s="137">
        <f>'дод 1'!I311</f>
        <v>0</v>
      </c>
      <c r="I216" s="137">
        <f>'дод 1'!J311</f>
        <v>0</v>
      </c>
      <c r="J216" s="137">
        <f>'дод 1'!K311</f>
        <v>0</v>
      </c>
      <c r="K216" s="137">
        <f>'дод 1'!L311</f>
        <v>0</v>
      </c>
      <c r="L216" s="137">
        <f>'дод 1'!M311</f>
        <v>0</v>
      </c>
      <c r="M216" s="137">
        <f>'дод 1'!N311</f>
        <v>0</v>
      </c>
      <c r="N216" s="137">
        <f>'дод 1'!O311</f>
        <v>0</v>
      </c>
      <c r="O216" s="137">
        <f>'дод 1'!P311</f>
        <v>111090200</v>
      </c>
      <c r="P216" s="159"/>
    </row>
    <row r="217" spans="1:16" s="12" customFormat="1" ht="88.5" customHeight="1" x14ac:dyDescent="0.25">
      <c r="A217" s="114" t="s">
        <v>535</v>
      </c>
      <c r="B217" s="118"/>
      <c r="C217" s="33" t="s">
        <v>536</v>
      </c>
      <c r="D217" s="136">
        <f>SUM(D219+D221+D223)</f>
        <v>290000</v>
      </c>
      <c r="E217" s="136">
        <f t="shared" ref="E217:O217" si="34">SUM(E219+E221+E223)</f>
        <v>0</v>
      </c>
      <c r="F217" s="136">
        <f t="shared" si="34"/>
        <v>0</v>
      </c>
      <c r="G217" s="136">
        <f t="shared" si="34"/>
        <v>0</v>
      </c>
      <c r="H217" s="136">
        <f t="shared" si="34"/>
        <v>290000</v>
      </c>
      <c r="I217" s="136">
        <f t="shared" si="34"/>
        <v>8000000</v>
      </c>
      <c r="J217" s="136">
        <f t="shared" si="34"/>
        <v>0</v>
      </c>
      <c r="K217" s="136">
        <f t="shared" si="34"/>
        <v>8000000</v>
      </c>
      <c r="L217" s="136">
        <f t="shared" si="34"/>
        <v>0</v>
      </c>
      <c r="M217" s="136">
        <f t="shared" si="34"/>
        <v>0</v>
      </c>
      <c r="N217" s="136">
        <f t="shared" si="34"/>
        <v>0</v>
      </c>
      <c r="O217" s="136">
        <f t="shared" si="34"/>
        <v>8290000</v>
      </c>
      <c r="P217" s="159"/>
    </row>
    <row r="218" spans="1:16" s="14" customFormat="1" ht="15.75" x14ac:dyDescent="0.25">
      <c r="A218" s="114"/>
      <c r="B218" s="115"/>
      <c r="C218" s="6" t="s">
        <v>344</v>
      </c>
      <c r="D218" s="136">
        <f>SUM(D220+D224+D222)</f>
        <v>290000</v>
      </c>
      <c r="E218" s="136">
        <f t="shared" ref="E218:O218" si="35">SUM(E220+E224+E222)</f>
        <v>0</v>
      </c>
      <c r="F218" s="136">
        <f t="shared" si="35"/>
        <v>0</v>
      </c>
      <c r="G218" s="136">
        <f t="shared" si="35"/>
        <v>0</v>
      </c>
      <c r="H218" s="136">
        <f t="shared" si="35"/>
        <v>290000</v>
      </c>
      <c r="I218" s="136">
        <f t="shared" si="35"/>
        <v>8000000</v>
      </c>
      <c r="J218" s="136">
        <f t="shared" si="35"/>
        <v>0</v>
      </c>
      <c r="K218" s="136">
        <f t="shared" si="35"/>
        <v>8000000</v>
      </c>
      <c r="L218" s="136">
        <f t="shared" si="35"/>
        <v>0</v>
      </c>
      <c r="M218" s="136">
        <f t="shared" si="35"/>
        <v>0</v>
      </c>
      <c r="N218" s="136">
        <f t="shared" si="35"/>
        <v>0</v>
      </c>
      <c r="O218" s="136">
        <f t="shared" si="35"/>
        <v>8290000</v>
      </c>
      <c r="P218" s="159"/>
    </row>
    <row r="219" spans="1:16" s="12" customFormat="1" ht="66.75" customHeight="1" x14ac:dyDescent="0.25">
      <c r="A219" s="113" t="s">
        <v>576</v>
      </c>
      <c r="B219" s="118" t="s">
        <v>68</v>
      </c>
      <c r="C219" s="100" t="s">
        <v>577</v>
      </c>
      <c r="D219" s="137">
        <f>SUM('дод 1'!E111)</f>
        <v>229000</v>
      </c>
      <c r="E219" s="137">
        <f>SUM('дод 1'!F111)</f>
        <v>0</v>
      </c>
      <c r="F219" s="137">
        <f>SUM('дод 1'!G111)</f>
        <v>0</v>
      </c>
      <c r="G219" s="137">
        <f>SUM('дод 1'!H111)</f>
        <v>0</v>
      </c>
      <c r="H219" s="137">
        <f>SUM('дод 1'!I111)</f>
        <v>229000</v>
      </c>
      <c r="I219" s="137">
        <f>SUM('дод 1'!J111)</f>
        <v>0</v>
      </c>
      <c r="J219" s="137">
        <f>SUM('дод 1'!K111)</f>
        <v>0</v>
      </c>
      <c r="K219" s="137">
        <f>SUM('дод 1'!L111)</f>
        <v>0</v>
      </c>
      <c r="L219" s="137">
        <f>SUM('дод 1'!M111)</f>
        <v>0</v>
      </c>
      <c r="M219" s="137">
        <f>SUM('дод 1'!N111)</f>
        <v>0</v>
      </c>
      <c r="N219" s="137">
        <f>SUM('дод 1'!O111)</f>
        <v>0</v>
      </c>
      <c r="O219" s="137">
        <f>SUM('дод 1'!P111)</f>
        <v>229000</v>
      </c>
      <c r="P219" s="154"/>
    </row>
    <row r="220" spans="1:16" s="12" customFormat="1" ht="15.75" x14ac:dyDescent="0.25">
      <c r="A220" s="113"/>
      <c r="B220" s="118"/>
      <c r="C220" s="7" t="s">
        <v>344</v>
      </c>
      <c r="D220" s="137">
        <f>SUM('дод 1'!E112)</f>
        <v>229000</v>
      </c>
      <c r="E220" s="137">
        <f>SUM('дод 1'!F112)</f>
        <v>0</v>
      </c>
      <c r="F220" s="137">
        <f>SUM('дод 1'!G112)</f>
        <v>0</v>
      </c>
      <c r="G220" s="137">
        <f>SUM('дод 1'!H112)</f>
        <v>0</v>
      </c>
      <c r="H220" s="137">
        <f>SUM('дод 1'!I112)</f>
        <v>229000</v>
      </c>
      <c r="I220" s="137">
        <f>SUM('дод 1'!J112)</f>
        <v>0</v>
      </c>
      <c r="J220" s="137">
        <f>SUM('дод 1'!K112)</f>
        <v>0</v>
      </c>
      <c r="K220" s="137">
        <f>SUM('дод 1'!L112)</f>
        <v>0</v>
      </c>
      <c r="L220" s="137">
        <f>SUM('дод 1'!M112)</f>
        <v>0</v>
      </c>
      <c r="M220" s="137">
        <f>SUM('дод 1'!N112)</f>
        <v>0</v>
      </c>
      <c r="N220" s="137">
        <f>SUM('дод 1'!O112)</f>
        <v>0</v>
      </c>
      <c r="O220" s="137">
        <f>SUM('дод 1'!P112)</f>
        <v>229000</v>
      </c>
      <c r="P220" s="154"/>
    </row>
    <row r="221" spans="1:16" s="12" customFormat="1" ht="102.75" customHeight="1" x14ac:dyDescent="0.25">
      <c r="A221" s="113" t="s">
        <v>534</v>
      </c>
      <c r="B221" s="118" t="s">
        <v>68</v>
      </c>
      <c r="C221" s="32" t="s">
        <v>533</v>
      </c>
      <c r="D221" s="137">
        <f>'дод 1'!E312</f>
        <v>0</v>
      </c>
      <c r="E221" s="137">
        <f>'дод 1'!F312</f>
        <v>0</v>
      </c>
      <c r="F221" s="137">
        <f>'дод 1'!G312</f>
        <v>0</v>
      </c>
      <c r="G221" s="137">
        <f>'дод 1'!H312</f>
        <v>0</v>
      </c>
      <c r="H221" s="137">
        <f>'дод 1'!I312</f>
        <v>0</v>
      </c>
      <c r="I221" s="137">
        <f>'дод 1'!J312</f>
        <v>8000000</v>
      </c>
      <c r="J221" s="137">
        <f>'дод 1'!K312</f>
        <v>0</v>
      </c>
      <c r="K221" s="137">
        <f>'дод 1'!L312</f>
        <v>8000000</v>
      </c>
      <c r="L221" s="137">
        <f>'дод 1'!M312</f>
        <v>0</v>
      </c>
      <c r="M221" s="137">
        <f>'дод 1'!N312</f>
        <v>0</v>
      </c>
      <c r="N221" s="137">
        <f>'дод 1'!O312</f>
        <v>0</v>
      </c>
      <c r="O221" s="137">
        <f>'дод 1'!P312</f>
        <v>8000000</v>
      </c>
      <c r="P221" s="154"/>
    </row>
    <row r="222" spans="1:16" s="12" customFormat="1" ht="15.75" x14ac:dyDescent="0.25">
      <c r="A222" s="113"/>
      <c r="B222" s="118"/>
      <c r="C222" s="7" t="s">
        <v>344</v>
      </c>
      <c r="D222" s="137">
        <f>'дод 1'!E313</f>
        <v>0</v>
      </c>
      <c r="E222" s="137">
        <f>'дод 1'!F313</f>
        <v>0</v>
      </c>
      <c r="F222" s="137">
        <f>'дод 1'!G313</f>
        <v>0</v>
      </c>
      <c r="G222" s="137">
        <f>'дод 1'!H313</f>
        <v>0</v>
      </c>
      <c r="H222" s="137">
        <f>'дод 1'!I313</f>
        <v>0</v>
      </c>
      <c r="I222" s="137">
        <f>'дод 1'!J313</f>
        <v>8000000</v>
      </c>
      <c r="J222" s="137">
        <f>'дод 1'!K313</f>
        <v>0</v>
      </c>
      <c r="K222" s="137">
        <f>'дод 1'!L313</f>
        <v>8000000</v>
      </c>
      <c r="L222" s="137">
        <f>'дод 1'!M313</f>
        <v>0</v>
      </c>
      <c r="M222" s="137">
        <f>'дод 1'!N313</f>
        <v>0</v>
      </c>
      <c r="N222" s="137">
        <f>'дод 1'!O313</f>
        <v>0</v>
      </c>
      <c r="O222" s="137">
        <f>'дод 1'!P313</f>
        <v>8000000</v>
      </c>
      <c r="P222" s="154"/>
    </row>
    <row r="223" spans="1:16" s="12" customFormat="1" ht="78.75" x14ac:dyDescent="0.25">
      <c r="A223" s="113" t="s">
        <v>578</v>
      </c>
      <c r="B223" s="118" t="s">
        <v>68</v>
      </c>
      <c r="C223" s="98" t="s">
        <v>593</v>
      </c>
      <c r="D223" s="137">
        <f>SUM('дод 1'!E113)</f>
        <v>61000</v>
      </c>
      <c r="E223" s="137">
        <f>SUM('дод 1'!F113)</f>
        <v>0</v>
      </c>
      <c r="F223" s="137">
        <f>SUM('дод 1'!G113)</f>
        <v>0</v>
      </c>
      <c r="G223" s="137">
        <f>SUM('дод 1'!H113)</f>
        <v>0</v>
      </c>
      <c r="H223" s="137">
        <f>SUM('дод 1'!I113)</f>
        <v>61000</v>
      </c>
      <c r="I223" s="137">
        <f>SUM('дод 1'!J113)</f>
        <v>0</v>
      </c>
      <c r="J223" s="137">
        <f>SUM('дод 1'!K113)</f>
        <v>0</v>
      </c>
      <c r="K223" s="137">
        <f>SUM('дод 1'!L113)</f>
        <v>0</v>
      </c>
      <c r="L223" s="137">
        <f>SUM('дод 1'!M113)</f>
        <v>0</v>
      </c>
      <c r="M223" s="137">
        <f>SUM('дод 1'!N113)</f>
        <v>0</v>
      </c>
      <c r="N223" s="137">
        <f>SUM('дод 1'!O113)</f>
        <v>0</v>
      </c>
      <c r="O223" s="137">
        <f>SUM('дод 1'!P113)</f>
        <v>61000</v>
      </c>
      <c r="P223" s="154"/>
    </row>
    <row r="224" spans="1:16" s="12" customFormat="1" ht="15.75" x14ac:dyDescent="0.25">
      <c r="A224" s="113"/>
      <c r="B224" s="118"/>
      <c r="C224" s="7" t="s">
        <v>344</v>
      </c>
      <c r="D224" s="137">
        <f>SUM('дод 1'!E114)</f>
        <v>61000</v>
      </c>
      <c r="E224" s="137">
        <f>SUM('дод 1'!F114)</f>
        <v>0</v>
      </c>
      <c r="F224" s="137">
        <f>SUM('дод 1'!G114)</f>
        <v>0</v>
      </c>
      <c r="G224" s="137">
        <f>SUM('дод 1'!H114)</f>
        <v>0</v>
      </c>
      <c r="H224" s="137">
        <f>SUM('дод 1'!I114)</f>
        <v>61000</v>
      </c>
      <c r="I224" s="137">
        <f>SUM('дод 1'!J114)</f>
        <v>0</v>
      </c>
      <c r="J224" s="137">
        <f>SUM('дод 1'!K114)</f>
        <v>0</v>
      </c>
      <c r="K224" s="137">
        <f>SUM('дод 1'!L114)</f>
        <v>0</v>
      </c>
      <c r="L224" s="137">
        <f>SUM('дод 1'!M114)</f>
        <v>0</v>
      </c>
      <c r="M224" s="137">
        <f>SUM('дод 1'!N114)</f>
        <v>0</v>
      </c>
      <c r="N224" s="137">
        <f>SUM('дод 1'!O114)</f>
        <v>0</v>
      </c>
      <c r="O224" s="137">
        <f>SUM('дод 1'!P114)</f>
        <v>61000</v>
      </c>
      <c r="P224" s="154"/>
    </row>
    <row r="225" spans="1:615" s="12" customFormat="1" ht="50.25" customHeight="1" x14ac:dyDescent="0.25">
      <c r="A225" s="114" t="s">
        <v>22</v>
      </c>
      <c r="B225" s="115"/>
      <c r="C225" s="6" t="s">
        <v>23</v>
      </c>
      <c r="D225" s="136">
        <f>D226</f>
        <v>3539318.08</v>
      </c>
      <c r="E225" s="136">
        <f t="shared" ref="E225:O225" si="36">E226</f>
        <v>3539318.08</v>
      </c>
      <c r="F225" s="136">
        <f t="shared" si="36"/>
        <v>0</v>
      </c>
      <c r="G225" s="136">
        <f t="shared" si="36"/>
        <v>0</v>
      </c>
      <c r="H225" s="136">
        <f t="shared" si="36"/>
        <v>0</v>
      </c>
      <c r="I225" s="136">
        <f t="shared" si="36"/>
        <v>7551500</v>
      </c>
      <c r="J225" s="136">
        <f t="shared" si="36"/>
        <v>7551500</v>
      </c>
      <c r="K225" s="136">
        <f t="shared" si="36"/>
        <v>0</v>
      </c>
      <c r="L225" s="136">
        <f t="shared" si="36"/>
        <v>0</v>
      </c>
      <c r="M225" s="136">
        <f t="shared" si="36"/>
        <v>0</v>
      </c>
      <c r="N225" s="136">
        <f t="shared" si="36"/>
        <v>7551500</v>
      </c>
      <c r="O225" s="136">
        <f t="shared" si="36"/>
        <v>11090818.08</v>
      </c>
      <c r="P225" s="154"/>
    </row>
    <row r="226" spans="1:615" s="12" customFormat="1" ht="30.75" customHeight="1" x14ac:dyDescent="0.25">
      <c r="A226" s="113" t="s">
        <v>24</v>
      </c>
      <c r="B226" s="118" t="s">
        <v>68</v>
      </c>
      <c r="C226" s="10" t="s">
        <v>343</v>
      </c>
      <c r="D226" s="137">
        <f>'дод 1'!E314+'дод 1'!E242+'дод 1'!E192+'дод 1'!E115+'дод 1'!E49+'дод 1'!E80</f>
        <v>3539318.08</v>
      </c>
      <c r="E226" s="137">
        <f>'дод 1'!F314+'дод 1'!F242+'дод 1'!F192+'дод 1'!F115+'дод 1'!F49+'дод 1'!F80</f>
        <v>3539318.08</v>
      </c>
      <c r="F226" s="137">
        <f>'дод 1'!G314+'дод 1'!G242+'дод 1'!G192+'дод 1'!G115+'дод 1'!G49+'дод 1'!G80</f>
        <v>0</v>
      </c>
      <c r="G226" s="137">
        <f>'дод 1'!H314+'дод 1'!H242+'дод 1'!H192+'дод 1'!H115+'дод 1'!H49+'дод 1'!H80</f>
        <v>0</v>
      </c>
      <c r="H226" s="137">
        <f>'дод 1'!I314+'дод 1'!I242+'дод 1'!I192+'дод 1'!I115+'дод 1'!I49+'дод 1'!I80</f>
        <v>0</v>
      </c>
      <c r="I226" s="137">
        <f>'дод 1'!J314+'дод 1'!J242+'дод 1'!J192+'дод 1'!J115+'дод 1'!J49+'дод 1'!J80</f>
        <v>7551500</v>
      </c>
      <c r="J226" s="137">
        <f>'дод 1'!K314+'дод 1'!K242+'дод 1'!K192+'дод 1'!K115+'дод 1'!K49+'дод 1'!K80</f>
        <v>7551500</v>
      </c>
      <c r="K226" s="137">
        <f>'дод 1'!L314+'дод 1'!L242+'дод 1'!L192+'дод 1'!L115+'дод 1'!L49+'дод 1'!L80</f>
        <v>0</v>
      </c>
      <c r="L226" s="137">
        <f>'дод 1'!M314+'дод 1'!M242+'дод 1'!M192+'дод 1'!M115+'дод 1'!M49+'дод 1'!M80</f>
        <v>0</v>
      </c>
      <c r="M226" s="137">
        <f>'дод 1'!N314+'дод 1'!N242+'дод 1'!N192+'дод 1'!N115+'дод 1'!N49+'дод 1'!N80</f>
        <v>0</v>
      </c>
      <c r="N226" s="137">
        <f>'дод 1'!O314+'дод 1'!O242+'дод 1'!O192+'дод 1'!O115+'дод 1'!O49+'дод 1'!O80</f>
        <v>7551500</v>
      </c>
      <c r="O226" s="137">
        <f>'дод 1'!P314+'дод 1'!P242+'дод 1'!P192+'дод 1'!P115+'дод 1'!P49+'дод 1'!P80</f>
        <v>11090818.08</v>
      </c>
      <c r="P226" s="154"/>
    </row>
    <row r="227" spans="1:615" s="12" customFormat="1" ht="60" hidden="1" customHeight="1" x14ac:dyDescent="0.25">
      <c r="A227" s="114" t="s">
        <v>489</v>
      </c>
      <c r="B227" s="115"/>
      <c r="C227" s="16" t="s">
        <v>490</v>
      </c>
      <c r="D227" s="136">
        <f>D228</f>
        <v>1121200</v>
      </c>
      <c r="E227" s="136">
        <f t="shared" ref="E227:O227" si="37">E228</f>
        <v>1121200</v>
      </c>
      <c r="F227" s="136">
        <f t="shared" si="37"/>
        <v>0</v>
      </c>
      <c r="G227" s="136">
        <f t="shared" si="37"/>
        <v>0</v>
      </c>
      <c r="H227" s="136">
        <f t="shared" si="37"/>
        <v>0</v>
      </c>
      <c r="I227" s="136">
        <f t="shared" si="37"/>
        <v>1291992</v>
      </c>
      <c r="J227" s="136">
        <f t="shared" si="37"/>
        <v>1291992</v>
      </c>
      <c r="K227" s="136">
        <f t="shared" si="37"/>
        <v>0</v>
      </c>
      <c r="L227" s="136">
        <f t="shared" si="37"/>
        <v>0</v>
      </c>
      <c r="M227" s="136">
        <f t="shared" si="37"/>
        <v>0</v>
      </c>
      <c r="N227" s="136">
        <f t="shared" si="37"/>
        <v>1291992</v>
      </c>
      <c r="O227" s="136">
        <f t="shared" si="37"/>
        <v>2413192</v>
      </c>
      <c r="P227" s="154"/>
    </row>
    <row r="228" spans="1:615" s="12" customFormat="1" ht="47.25" x14ac:dyDescent="0.25">
      <c r="A228" s="114" t="s">
        <v>489</v>
      </c>
      <c r="B228" s="115" t="s">
        <v>68</v>
      </c>
      <c r="C228" s="16" t="s">
        <v>490</v>
      </c>
      <c r="D228" s="136">
        <f>'дод 1'!E50+'дод 1'!E81+'дод 1'!E295</f>
        <v>1121200</v>
      </c>
      <c r="E228" s="136">
        <f>'дод 1'!F50+'дод 1'!F81+'дод 1'!F295</f>
        <v>1121200</v>
      </c>
      <c r="F228" s="136">
        <f>'дод 1'!G50+'дод 1'!G81+'дод 1'!G295</f>
        <v>0</v>
      </c>
      <c r="G228" s="136">
        <f>'дод 1'!H50+'дод 1'!H81+'дод 1'!H295</f>
        <v>0</v>
      </c>
      <c r="H228" s="136">
        <f>'дод 1'!I50+'дод 1'!I81+'дод 1'!I295</f>
        <v>0</v>
      </c>
      <c r="I228" s="136">
        <f>'дод 1'!J50+'дод 1'!J81+'дод 1'!J295</f>
        <v>1291992</v>
      </c>
      <c r="J228" s="136">
        <f>'дод 1'!K50+'дод 1'!K81+'дод 1'!K295</f>
        <v>1291992</v>
      </c>
      <c r="K228" s="136">
        <f>'дод 1'!L50+'дод 1'!L81+'дод 1'!L295</f>
        <v>0</v>
      </c>
      <c r="L228" s="136">
        <f>'дод 1'!M50+'дод 1'!M81+'дод 1'!M295</f>
        <v>0</v>
      </c>
      <c r="M228" s="136">
        <f>'дод 1'!N50+'дод 1'!N81+'дод 1'!N295</f>
        <v>0</v>
      </c>
      <c r="N228" s="136">
        <f>'дод 1'!O50+'дод 1'!O81+'дод 1'!O295</f>
        <v>1291992</v>
      </c>
      <c r="O228" s="136">
        <f>'дод 1'!P50+'дод 1'!P81+'дод 1'!P295</f>
        <v>2413192</v>
      </c>
      <c r="P228" s="154"/>
    </row>
    <row r="229" spans="1:615" s="12" customFormat="1" ht="25.5" customHeight="1" x14ac:dyDescent="0.25">
      <c r="A229" s="13"/>
      <c r="B229" s="13"/>
      <c r="C229" s="6" t="s">
        <v>34</v>
      </c>
      <c r="D229" s="136">
        <f>D12+D15+D35+D57+D130+D135+D142+D158+D197+D213</f>
        <v>2574765339.1100001</v>
      </c>
      <c r="E229" s="136">
        <f t="shared" ref="E229:O229" si="38">E12+E15+E35+E57+E130+E135+E142+E158+E197+E213</f>
        <v>2497911241.3999996</v>
      </c>
      <c r="F229" s="136">
        <f t="shared" si="38"/>
        <v>788845466.63</v>
      </c>
      <c r="G229" s="136">
        <f t="shared" si="38"/>
        <v>113631144.59</v>
      </c>
      <c r="H229" s="136">
        <f t="shared" si="38"/>
        <v>68769283.550000012</v>
      </c>
      <c r="I229" s="136">
        <f t="shared" si="38"/>
        <v>659331783.6500001</v>
      </c>
      <c r="J229" s="136">
        <f t="shared" si="38"/>
        <v>489395352.43000001</v>
      </c>
      <c r="K229" s="136">
        <f t="shared" si="38"/>
        <v>123071223.23999999</v>
      </c>
      <c r="L229" s="136">
        <f t="shared" si="38"/>
        <v>7954920</v>
      </c>
      <c r="M229" s="136">
        <f t="shared" si="38"/>
        <v>3315444</v>
      </c>
      <c r="N229" s="136">
        <f t="shared" si="38"/>
        <v>536260560.41000003</v>
      </c>
      <c r="O229" s="136">
        <f t="shared" si="38"/>
        <v>3234097122.7599998</v>
      </c>
      <c r="P229" s="154"/>
    </row>
    <row r="230" spans="1:615" s="12" customFormat="1" ht="25.5" customHeight="1" x14ac:dyDescent="0.25">
      <c r="A230" s="13"/>
      <c r="B230" s="13"/>
      <c r="C230" s="6" t="s">
        <v>344</v>
      </c>
      <c r="D230" s="136">
        <f t="shared" ref="D230:O230" si="39">D16+D36+D58+D143+D162+D175+D198+D214</f>
        <v>1054047784.15</v>
      </c>
      <c r="E230" s="136">
        <f t="shared" si="39"/>
        <v>1053757784.15</v>
      </c>
      <c r="F230" s="136">
        <f t="shared" si="39"/>
        <v>256716014</v>
      </c>
      <c r="G230" s="136">
        <f t="shared" si="39"/>
        <v>0</v>
      </c>
      <c r="H230" s="136">
        <f t="shared" si="39"/>
        <v>290000</v>
      </c>
      <c r="I230" s="136">
        <f t="shared" si="39"/>
        <v>112832633.83</v>
      </c>
      <c r="J230" s="136">
        <f t="shared" si="39"/>
        <v>62319645.829999998</v>
      </c>
      <c r="K230" s="136">
        <f t="shared" si="39"/>
        <v>49000000</v>
      </c>
      <c r="L230" s="136">
        <f t="shared" si="39"/>
        <v>0</v>
      </c>
      <c r="M230" s="136">
        <f t="shared" si="39"/>
        <v>0</v>
      </c>
      <c r="N230" s="136">
        <f t="shared" si="39"/>
        <v>63832633.829999998</v>
      </c>
      <c r="O230" s="136">
        <f t="shared" si="39"/>
        <v>1166880417.98</v>
      </c>
      <c r="P230" s="154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4"/>
    </row>
    <row r="232" spans="1:615" s="12" customFormat="1" ht="25.5" customHeight="1" x14ac:dyDescent="0.25">
      <c r="A232" s="39"/>
      <c r="B232" s="39"/>
      <c r="C232" s="40"/>
      <c r="D232" s="25">
        <f>D229-'дод 1'!E315</f>
        <v>0</v>
      </c>
      <c r="E232" s="25">
        <f>E229-'дод 1'!F315</f>
        <v>0</v>
      </c>
      <c r="F232" s="25">
        <f>F229-'дод 1'!G315</f>
        <v>0</v>
      </c>
      <c r="G232" s="25">
        <f>G229-'дод 1'!H315</f>
        <v>0</v>
      </c>
      <c r="H232" s="25">
        <f>H229-'дод 1'!I315</f>
        <v>0</v>
      </c>
      <c r="I232" s="25">
        <f>I229-'дод 1'!J315</f>
        <v>0</v>
      </c>
      <c r="J232" s="25">
        <f>J229-'дод 1'!K315</f>
        <v>0</v>
      </c>
      <c r="K232" s="25">
        <f>K229-'дод 1'!L315</f>
        <v>0</v>
      </c>
      <c r="L232" s="25">
        <f>L229-'дод 1'!M315</f>
        <v>0</v>
      </c>
      <c r="M232" s="25">
        <f>M229-'дод 1'!N315</f>
        <v>0</v>
      </c>
      <c r="N232" s="25">
        <f>N229-'дод 1'!O315</f>
        <v>0</v>
      </c>
      <c r="O232" s="25">
        <f>O229-'дод 1'!P315</f>
        <v>0</v>
      </c>
      <c r="P232" s="154"/>
    </row>
    <row r="233" spans="1:615" s="12" customFormat="1" ht="25.5" customHeight="1" x14ac:dyDescent="0.25">
      <c r="A233" s="39"/>
      <c r="B233" s="39"/>
      <c r="C233" s="40"/>
      <c r="D233" s="25">
        <f>D230-'дод 1'!E316</f>
        <v>0</v>
      </c>
      <c r="E233" s="25">
        <f>E230-'дод 1'!F316</f>
        <v>0</v>
      </c>
      <c r="F233" s="25">
        <f>F230-'дод 1'!G316</f>
        <v>0</v>
      </c>
      <c r="G233" s="25">
        <f>G230-'дод 1'!H316</f>
        <v>0</v>
      </c>
      <c r="H233" s="25">
        <f>H230-'дод 1'!I316</f>
        <v>0</v>
      </c>
      <c r="I233" s="25">
        <f>I230-'дод 1'!J316</f>
        <v>0</v>
      </c>
      <c r="J233" s="25">
        <f>J230-'дод 1'!K316</f>
        <v>0</v>
      </c>
      <c r="K233" s="25">
        <f>K230-'дод 1'!L316</f>
        <v>0</v>
      </c>
      <c r="L233" s="25">
        <f>L230-'дод 1'!M316</f>
        <v>0</v>
      </c>
      <c r="M233" s="25">
        <f>M230-'дод 1'!N316</f>
        <v>0</v>
      </c>
      <c r="N233" s="25">
        <f>N230-'дод 1'!O316</f>
        <v>0</v>
      </c>
      <c r="O233" s="25">
        <f>O230-'дод 1'!P316</f>
        <v>0</v>
      </c>
      <c r="P233" s="154"/>
    </row>
    <row r="234" spans="1:615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154"/>
    </row>
    <row r="235" spans="1:615" s="105" customFormat="1" ht="34.5" customHeight="1" x14ac:dyDescent="0.45">
      <c r="A235" s="143" t="s">
        <v>611</v>
      </c>
      <c r="B235" s="144"/>
      <c r="C235" s="144"/>
      <c r="D235" s="145"/>
      <c r="E235" s="145"/>
      <c r="F235" s="145"/>
      <c r="G235" s="145"/>
      <c r="H235" s="145"/>
      <c r="I235" s="145"/>
      <c r="J235" s="146"/>
      <c r="K235" s="146"/>
      <c r="L235" s="146"/>
      <c r="M235" s="163"/>
      <c r="N235" s="189" t="s">
        <v>612</v>
      </c>
      <c r="P235" s="15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  <c r="IW235" s="104"/>
      <c r="IX235" s="104"/>
      <c r="IY235" s="104"/>
      <c r="IZ235" s="104"/>
      <c r="JA235" s="104"/>
      <c r="JB235" s="104"/>
      <c r="JC235" s="104"/>
      <c r="JD235" s="104"/>
      <c r="JE235" s="104"/>
      <c r="JF235" s="104"/>
      <c r="JG235" s="104"/>
      <c r="JH235" s="104"/>
      <c r="JI235" s="104"/>
      <c r="JJ235" s="104"/>
      <c r="JK235" s="104"/>
      <c r="JL235" s="104"/>
      <c r="JM235" s="104"/>
      <c r="JN235" s="104"/>
      <c r="JO235" s="104"/>
      <c r="JP235" s="104"/>
      <c r="JQ235" s="104"/>
      <c r="JR235" s="104"/>
      <c r="JS235" s="104"/>
      <c r="JT235" s="104"/>
      <c r="JU235" s="104"/>
      <c r="JV235" s="104"/>
      <c r="JW235" s="104"/>
      <c r="JX235" s="104"/>
      <c r="JY235" s="104"/>
      <c r="JZ235" s="104"/>
      <c r="KA235" s="104"/>
      <c r="KB235" s="104"/>
      <c r="KC235" s="104"/>
      <c r="KD235" s="104"/>
      <c r="KE235" s="104"/>
      <c r="KF235" s="104"/>
      <c r="KG235" s="104"/>
      <c r="KH235" s="104"/>
      <c r="KI235" s="104"/>
      <c r="KJ235" s="104"/>
      <c r="KK235" s="104"/>
      <c r="KL235" s="104"/>
      <c r="KM235" s="104"/>
      <c r="KN235" s="104"/>
      <c r="KO235" s="104"/>
      <c r="KP235" s="104"/>
      <c r="KQ235" s="104"/>
      <c r="KR235" s="104"/>
      <c r="KS235" s="104"/>
      <c r="KT235" s="104"/>
      <c r="KU235" s="104"/>
      <c r="KV235" s="104"/>
      <c r="KW235" s="104"/>
      <c r="KX235" s="104"/>
      <c r="KY235" s="104"/>
      <c r="KZ235" s="104"/>
      <c r="LA235" s="104"/>
      <c r="LB235" s="104"/>
      <c r="LC235" s="104"/>
      <c r="LD235" s="104"/>
      <c r="LE235" s="104"/>
      <c r="LF235" s="104"/>
      <c r="LG235" s="104"/>
      <c r="LH235" s="104"/>
      <c r="LI235" s="104"/>
      <c r="LJ235" s="104"/>
      <c r="LK235" s="104"/>
      <c r="LL235" s="104"/>
      <c r="LM235" s="104"/>
      <c r="LN235" s="104"/>
      <c r="LO235" s="104"/>
      <c r="LP235" s="104"/>
      <c r="LQ235" s="104"/>
      <c r="LR235" s="104"/>
      <c r="LS235" s="104"/>
      <c r="LT235" s="104"/>
      <c r="LU235" s="104"/>
      <c r="LV235" s="104"/>
      <c r="LW235" s="104"/>
      <c r="LX235" s="104"/>
      <c r="LY235" s="104"/>
      <c r="LZ235" s="104"/>
      <c r="MA235" s="104"/>
      <c r="MB235" s="104"/>
      <c r="MC235" s="104"/>
      <c r="MD235" s="104"/>
      <c r="ME235" s="104"/>
      <c r="MF235" s="104"/>
      <c r="MG235" s="104"/>
      <c r="MH235" s="104"/>
      <c r="MI235" s="104"/>
      <c r="MJ235" s="104"/>
      <c r="MK235" s="104"/>
      <c r="ML235" s="104"/>
      <c r="MM235" s="104"/>
      <c r="MN235" s="104"/>
      <c r="MO235" s="104"/>
      <c r="MP235" s="104"/>
      <c r="MQ235" s="104"/>
      <c r="MR235" s="104"/>
      <c r="MS235" s="104"/>
      <c r="MT235" s="104"/>
      <c r="MU235" s="104"/>
      <c r="MV235" s="104"/>
      <c r="MW235" s="104"/>
      <c r="MX235" s="104"/>
      <c r="MY235" s="104"/>
      <c r="MZ235" s="104"/>
      <c r="NA235" s="104"/>
      <c r="NB235" s="104"/>
      <c r="NC235" s="104"/>
      <c r="ND235" s="104"/>
      <c r="NE235" s="104"/>
      <c r="NF235" s="104"/>
      <c r="NG235" s="104"/>
      <c r="NH235" s="104"/>
      <c r="NI235" s="104"/>
      <c r="NJ235" s="104"/>
      <c r="NK235" s="104"/>
      <c r="NL235" s="104"/>
      <c r="NM235" s="104"/>
      <c r="NN235" s="104"/>
      <c r="NO235" s="104"/>
      <c r="NP235" s="104"/>
      <c r="NQ235" s="104"/>
      <c r="NR235" s="104"/>
      <c r="NS235" s="104"/>
      <c r="NT235" s="104"/>
      <c r="NU235" s="104"/>
      <c r="NV235" s="104"/>
      <c r="NW235" s="104"/>
      <c r="NX235" s="104"/>
      <c r="NY235" s="104"/>
      <c r="NZ235" s="104"/>
      <c r="OA235" s="104"/>
      <c r="OB235" s="104"/>
      <c r="OC235" s="104"/>
      <c r="OD235" s="104"/>
      <c r="OE235" s="104"/>
      <c r="OF235" s="104"/>
      <c r="OG235" s="104"/>
      <c r="OH235" s="104"/>
      <c r="OI235" s="104"/>
      <c r="OJ235" s="104"/>
      <c r="OK235" s="104"/>
      <c r="OL235" s="104"/>
      <c r="OM235" s="104"/>
      <c r="ON235" s="104"/>
      <c r="OO235" s="104"/>
      <c r="OP235" s="104"/>
      <c r="OQ235" s="104"/>
      <c r="OR235" s="104"/>
      <c r="OS235" s="104"/>
      <c r="OT235" s="104"/>
      <c r="OU235" s="104"/>
      <c r="OV235" s="104"/>
      <c r="OW235" s="104"/>
      <c r="OX235" s="104"/>
      <c r="OY235" s="104"/>
      <c r="OZ235" s="104"/>
      <c r="PA235" s="104"/>
      <c r="PB235" s="104"/>
      <c r="PC235" s="104"/>
      <c r="PD235" s="104"/>
      <c r="PE235" s="104"/>
      <c r="PF235" s="104"/>
      <c r="PG235" s="104"/>
      <c r="PH235" s="104"/>
      <c r="PI235" s="104"/>
      <c r="PJ235" s="104"/>
      <c r="PK235" s="104"/>
      <c r="PL235" s="104"/>
      <c r="PM235" s="104"/>
      <c r="PN235" s="104"/>
      <c r="PO235" s="104"/>
      <c r="PP235" s="104"/>
      <c r="PQ235" s="104"/>
      <c r="PR235" s="104"/>
      <c r="PS235" s="104"/>
      <c r="PT235" s="104"/>
      <c r="PU235" s="104"/>
      <c r="PV235" s="104"/>
      <c r="PW235" s="104"/>
      <c r="PX235" s="104"/>
      <c r="PY235" s="104"/>
      <c r="PZ235" s="104"/>
      <c r="QA235" s="104"/>
      <c r="QB235" s="104"/>
      <c r="QC235" s="104"/>
      <c r="QD235" s="104"/>
      <c r="QE235" s="104"/>
      <c r="QF235" s="104"/>
      <c r="QG235" s="104"/>
      <c r="QH235" s="104"/>
      <c r="QI235" s="104"/>
      <c r="QJ235" s="104"/>
      <c r="QK235" s="104"/>
      <c r="QL235" s="104"/>
      <c r="QM235" s="104"/>
      <c r="QN235" s="104"/>
      <c r="QO235" s="104"/>
      <c r="QP235" s="104"/>
      <c r="QQ235" s="104"/>
      <c r="QR235" s="104"/>
      <c r="QS235" s="104"/>
      <c r="QT235" s="104"/>
      <c r="QU235" s="104"/>
      <c r="QV235" s="104"/>
      <c r="QW235" s="104"/>
      <c r="QX235" s="104"/>
      <c r="QY235" s="104"/>
      <c r="QZ235" s="104"/>
      <c r="RA235" s="104"/>
      <c r="RB235" s="104"/>
      <c r="RC235" s="104"/>
      <c r="RD235" s="104"/>
      <c r="RE235" s="104"/>
      <c r="RF235" s="104"/>
      <c r="RG235" s="104"/>
      <c r="RH235" s="104"/>
      <c r="RI235" s="104"/>
      <c r="RJ235" s="104"/>
      <c r="RK235" s="104"/>
      <c r="RL235" s="104"/>
      <c r="RM235" s="104"/>
      <c r="RN235" s="104"/>
      <c r="RO235" s="104"/>
      <c r="RP235" s="104"/>
      <c r="RQ235" s="104"/>
      <c r="RR235" s="104"/>
      <c r="RS235" s="104"/>
      <c r="RT235" s="104"/>
      <c r="RU235" s="104"/>
      <c r="RV235" s="104"/>
      <c r="RW235" s="104"/>
      <c r="RX235" s="104"/>
      <c r="RY235" s="104"/>
      <c r="RZ235" s="104"/>
      <c r="SA235" s="104"/>
      <c r="SB235" s="104"/>
      <c r="SC235" s="104"/>
      <c r="SD235" s="104"/>
      <c r="SE235" s="104"/>
      <c r="SF235" s="104"/>
      <c r="SG235" s="104"/>
      <c r="SH235" s="104"/>
      <c r="SI235" s="104"/>
      <c r="SJ235" s="104"/>
      <c r="SK235" s="104"/>
      <c r="SL235" s="104"/>
      <c r="SM235" s="104"/>
      <c r="SN235" s="104"/>
      <c r="SO235" s="104"/>
      <c r="SP235" s="104"/>
      <c r="SQ235" s="104"/>
      <c r="SR235" s="104"/>
      <c r="SS235" s="104"/>
      <c r="ST235" s="104"/>
      <c r="SU235" s="104"/>
      <c r="SV235" s="104"/>
      <c r="SW235" s="104"/>
      <c r="SX235" s="104"/>
      <c r="SY235" s="104"/>
      <c r="SZ235" s="104"/>
      <c r="TA235" s="104"/>
      <c r="TB235" s="104"/>
      <c r="TC235" s="104"/>
      <c r="TD235" s="104"/>
      <c r="TE235" s="104"/>
      <c r="TF235" s="104"/>
      <c r="TG235" s="104"/>
      <c r="TH235" s="104"/>
      <c r="TI235" s="104"/>
      <c r="TJ235" s="104"/>
      <c r="TK235" s="104"/>
      <c r="TL235" s="104"/>
      <c r="TM235" s="104"/>
      <c r="TN235" s="104"/>
      <c r="TO235" s="104"/>
      <c r="TP235" s="104"/>
      <c r="TQ235" s="104"/>
      <c r="TR235" s="104"/>
      <c r="TS235" s="104"/>
      <c r="TT235" s="104"/>
      <c r="TU235" s="104"/>
      <c r="TV235" s="104"/>
      <c r="TW235" s="104"/>
      <c r="TX235" s="104"/>
      <c r="TY235" s="104"/>
      <c r="TZ235" s="104"/>
      <c r="UA235" s="104"/>
      <c r="UB235" s="104"/>
      <c r="UC235" s="104"/>
      <c r="UD235" s="104"/>
      <c r="UE235" s="104"/>
      <c r="UF235" s="104"/>
      <c r="UG235" s="104"/>
      <c r="UH235" s="104"/>
      <c r="UI235" s="104"/>
      <c r="UJ235" s="104"/>
      <c r="UK235" s="104"/>
      <c r="UL235" s="104"/>
      <c r="UM235" s="104"/>
      <c r="UN235" s="104"/>
      <c r="UO235" s="104"/>
      <c r="UP235" s="104"/>
      <c r="UQ235" s="104"/>
      <c r="UR235" s="104"/>
      <c r="US235" s="104"/>
      <c r="UT235" s="104"/>
      <c r="UU235" s="104"/>
      <c r="UV235" s="104"/>
      <c r="UW235" s="104"/>
      <c r="UX235" s="104"/>
      <c r="UY235" s="104"/>
      <c r="UZ235" s="104"/>
      <c r="VA235" s="104"/>
      <c r="VB235" s="104"/>
      <c r="VC235" s="104"/>
      <c r="VD235" s="104"/>
      <c r="VE235" s="104"/>
      <c r="VF235" s="104"/>
      <c r="VG235" s="104"/>
      <c r="VH235" s="104"/>
      <c r="VI235" s="104"/>
      <c r="VJ235" s="104"/>
      <c r="VK235" s="104"/>
      <c r="VL235" s="104"/>
      <c r="VM235" s="104"/>
      <c r="VN235" s="104"/>
      <c r="VO235" s="104"/>
      <c r="VP235" s="104"/>
      <c r="VQ235" s="104"/>
      <c r="VR235" s="104"/>
      <c r="VS235" s="104"/>
      <c r="VT235" s="104"/>
      <c r="VU235" s="104"/>
      <c r="VV235" s="104"/>
      <c r="VW235" s="104"/>
      <c r="VX235" s="104"/>
      <c r="VY235" s="104"/>
      <c r="VZ235" s="104"/>
      <c r="WA235" s="104"/>
      <c r="WB235" s="104"/>
      <c r="WC235" s="104"/>
      <c r="WD235" s="104"/>
      <c r="WE235" s="104"/>
      <c r="WF235" s="104"/>
      <c r="WG235" s="104"/>
      <c r="WH235" s="104"/>
      <c r="WI235" s="104"/>
      <c r="WJ235" s="104"/>
      <c r="WK235" s="104"/>
      <c r="WL235" s="104"/>
      <c r="WM235" s="104"/>
      <c r="WN235" s="104"/>
      <c r="WO235" s="104"/>
      <c r="WP235" s="104"/>
      <c r="WQ235" s="104"/>
    </row>
    <row r="236" spans="1:615" s="51" customFormat="1" ht="31.5" x14ac:dyDescent="0.45">
      <c r="A236" s="147"/>
      <c r="B236" s="147"/>
      <c r="C236" s="147"/>
      <c r="D236" s="145"/>
      <c r="E236" s="145"/>
      <c r="F236" s="145"/>
      <c r="G236" s="145"/>
      <c r="H236" s="145"/>
      <c r="I236" s="145"/>
      <c r="J236" s="146"/>
      <c r="K236" s="146"/>
      <c r="L236" s="146"/>
      <c r="M236" s="148"/>
      <c r="N236" s="148"/>
      <c r="O236" s="146"/>
      <c r="P236" s="154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  <c r="EQ236" s="85"/>
      <c r="ER236" s="85"/>
      <c r="ES236" s="85"/>
      <c r="ET236" s="85"/>
      <c r="EU236" s="85"/>
      <c r="EV236" s="85"/>
      <c r="EW236" s="85"/>
      <c r="EX236" s="85"/>
      <c r="EY236" s="85"/>
      <c r="EZ236" s="85"/>
      <c r="FA236" s="85"/>
      <c r="FB236" s="85"/>
      <c r="FC236" s="85"/>
      <c r="FD236" s="85"/>
      <c r="FE236" s="85"/>
      <c r="FF236" s="85"/>
      <c r="FG236" s="85"/>
      <c r="FH236" s="85"/>
      <c r="FI236" s="85"/>
      <c r="FJ236" s="85"/>
      <c r="FK236" s="85"/>
      <c r="FL236" s="85"/>
      <c r="FM236" s="85"/>
      <c r="FN236" s="85"/>
      <c r="FO236" s="85"/>
      <c r="FP236" s="85"/>
      <c r="FQ236" s="85"/>
      <c r="FR236" s="85"/>
      <c r="FS236" s="85"/>
      <c r="FT236" s="85"/>
      <c r="FU236" s="85"/>
      <c r="FV236" s="85"/>
      <c r="FW236" s="85"/>
      <c r="FX236" s="85"/>
      <c r="FY236" s="85"/>
      <c r="FZ236" s="85"/>
      <c r="GA236" s="85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85"/>
      <c r="GM236" s="85"/>
      <c r="GN236" s="85"/>
      <c r="GO236" s="85"/>
      <c r="GP236" s="85"/>
      <c r="GQ236" s="85"/>
      <c r="GR236" s="85"/>
      <c r="GS236" s="85"/>
      <c r="GT236" s="85"/>
      <c r="GU236" s="85"/>
      <c r="GV236" s="85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85"/>
      <c r="IH236" s="85"/>
      <c r="II236" s="85"/>
      <c r="IJ236" s="85"/>
      <c r="IK236" s="85"/>
      <c r="IL236" s="85"/>
      <c r="IM236" s="85"/>
      <c r="IN236" s="85"/>
      <c r="IO236" s="85"/>
      <c r="IP236" s="85"/>
      <c r="IQ236" s="85"/>
      <c r="IR236" s="85"/>
      <c r="IS236" s="85"/>
      <c r="IT236" s="85"/>
      <c r="IU236" s="85"/>
      <c r="IV236" s="85"/>
      <c r="IW236" s="85"/>
      <c r="IX236" s="85"/>
      <c r="IY236" s="85"/>
      <c r="IZ236" s="85"/>
      <c r="JA236" s="85"/>
      <c r="JB236" s="85"/>
      <c r="JC236" s="85"/>
      <c r="JD236" s="85"/>
      <c r="JE236" s="85"/>
      <c r="JF236" s="85"/>
      <c r="JG236" s="85"/>
      <c r="JH236" s="85"/>
      <c r="JI236" s="85"/>
      <c r="JJ236" s="85"/>
      <c r="JK236" s="85"/>
      <c r="JL236" s="85"/>
      <c r="JM236" s="85"/>
      <c r="JN236" s="85"/>
      <c r="JO236" s="85"/>
      <c r="JP236" s="85"/>
      <c r="JQ236" s="85"/>
      <c r="JR236" s="85"/>
      <c r="JS236" s="85"/>
      <c r="JT236" s="85"/>
      <c r="JU236" s="85"/>
      <c r="JV236" s="85"/>
      <c r="JW236" s="85"/>
      <c r="JX236" s="85"/>
      <c r="JY236" s="85"/>
      <c r="JZ236" s="85"/>
      <c r="KA236" s="85"/>
      <c r="KB236" s="85"/>
      <c r="KC236" s="85"/>
      <c r="KD236" s="85"/>
      <c r="KE236" s="85"/>
      <c r="KF236" s="85"/>
      <c r="KG236" s="85"/>
      <c r="KH236" s="85"/>
      <c r="KI236" s="85"/>
      <c r="KJ236" s="85"/>
      <c r="KK236" s="85"/>
      <c r="KL236" s="85"/>
      <c r="KM236" s="85"/>
      <c r="KN236" s="85"/>
      <c r="KO236" s="85"/>
      <c r="KP236" s="85"/>
      <c r="KQ236" s="85"/>
      <c r="KR236" s="85"/>
      <c r="KS236" s="85"/>
      <c r="KT236" s="85"/>
      <c r="KU236" s="85"/>
      <c r="KV236" s="85"/>
      <c r="KW236" s="85"/>
      <c r="KX236" s="85"/>
      <c r="KY236" s="85"/>
      <c r="KZ236" s="85"/>
      <c r="LA236" s="85"/>
      <c r="LB236" s="85"/>
      <c r="LC236" s="85"/>
      <c r="LD236" s="85"/>
      <c r="LE236" s="85"/>
      <c r="LF236" s="85"/>
      <c r="LG236" s="85"/>
      <c r="LH236" s="85"/>
      <c r="LI236" s="85"/>
      <c r="LJ236" s="85"/>
      <c r="LK236" s="85"/>
      <c r="LL236" s="85"/>
      <c r="LM236" s="85"/>
      <c r="LN236" s="85"/>
      <c r="LO236" s="85"/>
      <c r="LP236" s="85"/>
      <c r="LQ236" s="85"/>
      <c r="LR236" s="85"/>
      <c r="LS236" s="85"/>
      <c r="LT236" s="85"/>
      <c r="LU236" s="85"/>
      <c r="LV236" s="85"/>
      <c r="LW236" s="85"/>
      <c r="LX236" s="85"/>
      <c r="LY236" s="85"/>
      <c r="LZ236" s="85"/>
      <c r="MA236" s="85"/>
      <c r="MB236" s="85"/>
      <c r="MC236" s="85"/>
      <c r="MD236" s="85"/>
      <c r="ME236" s="85"/>
      <c r="MF236" s="85"/>
      <c r="MG236" s="85"/>
      <c r="MH236" s="85"/>
      <c r="MI236" s="85"/>
      <c r="MJ236" s="85"/>
      <c r="MK236" s="85"/>
      <c r="ML236" s="85"/>
      <c r="MM236" s="85"/>
      <c r="MN236" s="85"/>
      <c r="MO236" s="85"/>
      <c r="MP236" s="85"/>
      <c r="MQ236" s="85"/>
      <c r="MR236" s="85"/>
      <c r="MS236" s="85"/>
      <c r="MT236" s="85"/>
      <c r="MU236" s="85"/>
      <c r="MV236" s="85"/>
      <c r="MW236" s="85"/>
      <c r="MX236" s="85"/>
      <c r="MY236" s="85"/>
      <c r="MZ236" s="85"/>
      <c r="NA236" s="85"/>
      <c r="NB236" s="85"/>
      <c r="NC236" s="85"/>
      <c r="ND236" s="85"/>
      <c r="NE236" s="85"/>
      <c r="NF236" s="85"/>
      <c r="NG236" s="85"/>
      <c r="NH236" s="85"/>
      <c r="NI236" s="85"/>
      <c r="NJ236" s="85"/>
      <c r="NK236" s="85"/>
      <c r="NL236" s="85"/>
      <c r="NM236" s="85"/>
      <c r="NN236" s="85"/>
      <c r="NO236" s="85"/>
      <c r="NP236" s="85"/>
      <c r="NQ236" s="85"/>
      <c r="NR236" s="85"/>
      <c r="NS236" s="85"/>
      <c r="NT236" s="85"/>
      <c r="NU236" s="85"/>
      <c r="NV236" s="85"/>
      <c r="NW236" s="85"/>
      <c r="NX236" s="85"/>
      <c r="NY236" s="85"/>
      <c r="NZ236" s="85"/>
      <c r="OA236" s="85"/>
      <c r="OB236" s="85"/>
      <c r="OC236" s="85"/>
      <c r="OD236" s="85"/>
      <c r="OE236" s="85"/>
      <c r="OF236" s="85"/>
      <c r="OG236" s="85"/>
      <c r="OH236" s="85"/>
      <c r="OI236" s="85"/>
      <c r="OJ236" s="85"/>
      <c r="OK236" s="85"/>
      <c r="OL236" s="85"/>
      <c r="OM236" s="85"/>
      <c r="ON236" s="85"/>
      <c r="OO236" s="85"/>
      <c r="OP236" s="85"/>
      <c r="OQ236" s="85"/>
      <c r="OR236" s="85"/>
      <c r="OS236" s="85"/>
      <c r="OT236" s="85"/>
      <c r="OU236" s="85"/>
      <c r="OV236" s="85"/>
      <c r="OW236" s="85"/>
      <c r="OX236" s="85"/>
      <c r="OY236" s="85"/>
      <c r="OZ236" s="85"/>
      <c r="PA236" s="85"/>
      <c r="PB236" s="85"/>
      <c r="PC236" s="85"/>
      <c r="PD236" s="85"/>
      <c r="PE236" s="85"/>
      <c r="PF236" s="85"/>
      <c r="PG236" s="85"/>
      <c r="PH236" s="85"/>
      <c r="PI236" s="85"/>
      <c r="PJ236" s="85"/>
      <c r="PK236" s="85"/>
      <c r="PL236" s="85"/>
      <c r="PM236" s="85"/>
      <c r="PN236" s="85"/>
      <c r="PO236" s="85"/>
      <c r="PP236" s="85"/>
      <c r="PQ236" s="85"/>
      <c r="PR236" s="85"/>
      <c r="PS236" s="85"/>
      <c r="PT236" s="85"/>
      <c r="PU236" s="85"/>
      <c r="PV236" s="85"/>
      <c r="PW236" s="85"/>
      <c r="PX236" s="85"/>
      <c r="PY236" s="85"/>
      <c r="PZ236" s="85"/>
      <c r="QA236" s="85"/>
      <c r="QB236" s="85"/>
      <c r="QC236" s="85"/>
      <c r="QD236" s="85"/>
      <c r="QE236" s="85"/>
      <c r="QF236" s="85"/>
      <c r="QG236" s="85"/>
      <c r="QH236" s="85"/>
      <c r="QI236" s="85"/>
      <c r="QJ236" s="85"/>
      <c r="QK236" s="85"/>
      <c r="QL236" s="85"/>
      <c r="QM236" s="85"/>
      <c r="QN236" s="85"/>
      <c r="QO236" s="85"/>
      <c r="QP236" s="85"/>
      <c r="QQ236" s="85"/>
      <c r="QR236" s="85"/>
      <c r="QS236" s="85"/>
      <c r="QT236" s="85"/>
      <c r="QU236" s="85"/>
      <c r="QV236" s="85"/>
      <c r="QW236" s="85"/>
      <c r="QX236" s="85"/>
      <c r="QY236" s="85"/>
      <c r="QZ236" s="85"/>
      <c r="RA236" s="85"/>
      <c r="RB236" s="85"/>
      <c r="RC236" s="85"/>
      <c r="RD236" s="85"/>
      <c r="RE236" s="85"/>
      <c r="RF236" s="85"/>
      <c r="RG236" s="85"/>
      <c r="RH236" s="85"/>
      <c r="RI236" s="85"/>
      <c r="RJ236" s="85"/>
      <c r="RK236" s="85"/>
      <c r="RL236" s="85"/>
      <c r="RM236" s="85"/>
      <c r="RN236" s="85"/>
      <c r="RO236" s="85"/>
      <c r="RP236" s="85"/>
      <c r="RQ236" s="85"/>
      <c r="RR236" s="85"/>
      <c r="RS236" s="85"/>
      <c r="RT236" s="85"/>
      <c r="RU236" s="85"/>
      <c r="RV236" s="85"/>
      <c r="RW236" s="85"/>
      <c r="RX236" s="85"/>
      <c r="RY236" s="85"/>
      <c r="RZ236" s="85"/>
      <c r="SA236" s="85"/>
      <c r="SB236" s="85"/>
      <c r="SC236" s="85"/>
      <c r="SD236" s="85"/>
      <c r="SE236" s="85"/>
      <c r="SF236" s="85"/>
      <c r="SG236" s="85"/>
      <c r="SH236" s="85"/>
      <c r="SI236" s="85"/>
      <c r="SJ236" s="85"/>
      <c r="SK236" s="85"/>
      <c r="SL236" s="85"/>
      <c r="SM236" s="85"/>
      <c r="SN236" s="85"/>
      <c r="SO236" s="85"/>
      <c r="SP236" s="85"/>
      <c r="SQ236" s="85"/>
      <c r="SR236" s="85"/>
      <c r="SS236" s="85"/>
      <c r="ST236" s="85"/>
      <c r="SU236" s="85"/>
      <c r="SV236" s="85"/>
      <c r="SW236" s="85"/>
      <c r="SX236" s="85"/>
      <c r="SY236" s="85"/>
      <c r="SZ236" s="85"/>
      <c r="TA236" s="85"/>
      <c r="TB236" s="85"/>
      <c r="TC236" s="85"/>
      <c r="TD236" s="85"/>
      <c r="TE236" s="85"/>
      <c r="TF236" s="85"/>
      <c r="TG236" s="85"/>
      <c r="TH236" s="85"/>
      <c r="TI236" s="85"/>
      <c r="TJ236" s="85"/>
      <c r="TK236" s="85"/>
      <c r="TL236" s="85"/>
      <c r="TM236" s="85"/>
      <c r="TN236" s="85"/>
      <c r="TO236" s="85"/>
      <c r="TP236" s="85"/>
      <c r="TQ236" s="85"/>
      <c r="TR236" s="85"/>
      <c r="TS236" s="85"/>
      <c r="TT236" s="85"/>
      <c r="TU236" s="85"/>
      <c r="TV236" s="85"/>
      <c r="TW236" s="85"/>
      <c r="TX236" s="85"/>
      <c r="TY236" s="85"/>
      <c r="TZ236" s="85"/>
      <c r="UA236" s="85"/>
      <c r="UB236" s="85"/>
      <c r="UC236" s="85"/>
      <c r="UD236" s="85"/>
      <c r="UE236" s="85"/>
      <c r="UF236" s="85"/>
      <c r="UG236" s="85"/>
      <c r="UH236" s="85"/>
      <c r="UI236" s="85"/>
      <c r="UJ236" s="85"/>
      <c r="UK236" s="85"/>
      <c r="UL236" s="85"/>
      <c r="UM236" s="85"/>
      <c r="UN236" s="85"/>
      <c r="UO236" s="85"/>
      <c r="UP236" s="85"/>
      <c r="UQ236" s="85"/>
      <c r="UR236" s="85"/>
      <c r="US236" s="85"/>
      <c r="UT236" s="85"/>
      <c r="UU236" s="85"/>
      <c r="UV236" s="85"/>
      <c r="UW236" s="85"/>
      <c r="UX236" s="85"/>
      <c r="UY236" s="85"/>
      <c r="UZ236" s="85"/>
      <c r="VA236" s="85"/>
      <c r="VB236" s="85"/>
      <c r="VC236" s="85"/>
      <c r="VD236" s="85"/>
      <c r="VE236" s="85"/>
      <c r="VF236" s="85"/>
      <c r="VG236" s="85"/>
      <c r="VH236" s="85"/>
      <c r="VI236" s="85"/>
      <c r="VJ236" s="85"/>
      <c r="VK236" s="85"/>
      <c r="VL236" s="85"/>
      <c r="VM236" s="85"/>
      <c r="VN236" s="85"/>
      <c r="VO236" s="85"/>
      <c r="VP236" s="85"/>
      <c r="VQ236" s="85"/>
      <c r="VR236" s="85"/>
      <c r="VS236" s="85"/>
      <c r="VT236" s="85"/>
      <c r="VU236" s="85"/>
      <c r="VV236" s="85"/>
      <c r="VW236" s="85"/>
      <c r="VX236" s="85"/>
      <c r="VY236" s="85"/>
      <c r="VZ236" s="85"/>
      <c r="WA236" s="85"/>
      <c r="WB236" s="85"/>
      <c r="WC236" s="85"/>
      <c r="WD236" s="85"/>
      <c r="WE236" s="85"/>
      <c r="WF236" s="85"/>
      <c r="WG236" s="85"/>
      <c r="WH236" s="85"/>
      <c r="WI236" s="85"/>
      <c r="WJ236" s="85"/>
      <c r="WK236" s="85"/>
      <c r="WL236" s="85"/>
      <c r="WM236" s="85"/>
      <c r="WN236" s="85"/>
      <c r="WO236" s="85"/>
      <c r="WP236" s="85"/>
      <c r="WQ236" s="85"/>
    </row>
    <row r="237" spans="1:615" s="8" customFormat="1" ht="31.5" x14ac:dyDescent="0.25">
      <c r="A237" s="149" t="s">
        <v>606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54"/>
    </row>
    <row r="238" spans="1:615" s="8" customFormat="1" x14ac:dyDescent="0.3">
      <c r="A238" s="80" t="s">
        <v>604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156"/>
    </row>
    <row r="239" spans="1:615" s="8" customFormat="1" x14ac:dyDescent="0.3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156"/>
    </row>
    <row r="240" spans="1:615" s="22" customFormat="1" x14ac:dyDescent="0.3">
      <c r="A240" s="172"/>
      <c r="B240" s="172"/>
      <c r="C240" s="172"/>
      <c r="D240" s="172">
        <f>D229-'дод 1'!E315</f>
        <v>0</v>
      </c>
      <c r="E240" s="172">
        <f>E229-'дод 1'!F315</f>
        <v>0</v>
      </c>
      <c r="F240" s="172">
        <f>F229-'дод 1'!G315</f>
        <v>0</v>
      </c>
      <c r="G240" s="172">
        <f>G229-'дод 1'!H315</f>
        <v>0</v>
      </c>
      <c r="H240" s="172">
        <f>H229-'дод 1'!I315</f>
        <v>0</v>
      </c>
      <c r="I240" s="172">
        <f>I229-'дод 1'!J315</f>
        <v>0</v>
      </c>
      <c r="J240" s="172">
        <f>J229-'дод 1'!K315</f>
        <v>0</v>
      </c>
      <c r="K240" s="172">
        <f>K229-'дод 1'!L315</f>
        <v>0</v>
      </c>
      <c r="L240" s="172">
        <f>L229-'дод 1'!M315</f>
        <v>0</v>
      </c>
      <c r="M240" s="172">
        <f>M229-'дод 1'!N315</f>
        <v>0</v>
      </c>
      <c r="N240" s="172">
        <f>N229-'дод 1'!O315</f>
        <v>0</v>
      </c>
      <c r="O240" s="172">
        <f>O229-'дод 1'!P315</f>
        <v>0</v>
      </c>
      <c r="P240" s="173"/>
    </row>
    <row r="241" spans="1:16" s="22" customFormat="1" x14ac:dyDescent="0.3">
      <c r="A241" s="172"/>
      <c r="B241" s="172"/>
      <c r="C241" s="172"/>
      <c r="D241" s="172">
        <f>D230-'дод 1'!E316</f>
        <v>0</v>
      </c>
      <c r="E241" s="172">
        <f>E230-'дод 1'!F316</f>
        <v>0</v>
      </c>
      <c r="F241" s="172">
        <f>F230-'дод 1'!G316</f>
        <v>0</v>
      </c>
      <c r="G241" s="172">
        <f>G230-'дод 1'!H316</f>
        <v>0</v>
      </c>
      <c r="H241" s="172">
        <f>H230-'дод 1'!I316</f>
        <v>0</v>
      </c>
      <c r="I241" s="172">
        <f>I230-'дод 1'!J316</f>
        <v>0</v>
      </c>
      <c r="J241" s="172">
        <f>J230-'дод 1'!K316</f>
        <v>0</v>
      </c>
      <c r="K241" s="172">
        <f>K230-'дод 1'!L316</f>
        <v>0</v>
      </c>
      <c r="L241" s="172">
        <f>L230-'дод 1'!M316</f>
        <v>0</v>
      </c>
      <c r="M241" s="172">
        <f>M230-'дод 1'!N316</f>
        <v>0</v>
      </c>
      <c r="N241" s="172">
        <f>N230-'дод 1'!O316</f>
        <v>0</v>
      </c>
      <c r="O241" s="172">
        <f>O230-'дод 1'!P316</f>
        <v>0</v>
      </c>
      <c r="P241" s="173"/>
    </row>
    <row r="242" spans="1:16" s="170" customFormat="1" x14ac:dyDescent="0.3">
      <c r="A242" s="168"/>
      <c r="B242" s="168"/>
      <c r="C242" s="168"/>
      <c r="D242" s="168">
        <f>D229-'дод 1'!E315</f>
        <v>0</v>
      </c>
      <c r="E242" s="168">
        <f>E229-'дод 1'!F315</f>
        <v>0</v>
      </c>
      <c r="F242" s="168">
        <f>F229-'дод 1'!G315</f>
        <v>0</v>
      </c>
      <c r="G242" s="168">
        <f>G229-'дод 1'!H315</f>
        <v>0</v>
      </c>
      <c r="H242" s="168">
        <f>H229-'дод 1'!I315</f>
        <v>0</v>
      </c>
      <c r="I242" s="168">
        <f>I229-'дод 1'!J315</f>
        <v>0</v>
      </c>
      <c r="J242" s="168">
        <f>J229-'дод 1'!K315</f>
        <v>0</v>
      </c>
      <c r="K242" s="168">
        <f>K229-'дод 1'!L315</f>
        <v>0</v>
      </c>
      <c r="L242" s="168">
        <f>L229-'дод 1'!M315</f>
        <v>0</v>
      </c>
      <c r="M242" s="168">
        <f>M229-'дод 1'!N315</f>
        <v>0</v>
      </c>
      <c r="N242" s="168">
        <f>N229-'дод 1'!O315</f>
        <v>0</v>
      </c>
      <c r="O242" s="168">
        <f>O229-'дод 1'!P315</f>
        <v>0</v>
      </c>
      <c r="P242" s="169"/>
    </row>
    <row r="243" spans="1:16" s="8" customFormat="1" x14ac:dyDescent="0.3">
      <c r="A243" s="80"/>
      <c r="B243" s="80"/>
      <c r="C243" s="80"/>
      <c r="D243" s="168">
        <f>D230-'дод 1'!E316</f>
        <v>0</v>
      </c>
      <c r="E243" s="168">
        <f>E230-'дод 1'!F316</f>
        <v>0</v>
      </c>
      <c r="F243" s="168">
        <f>F230-'дод 1'!G316</f>
        <v>0</v>
      </c>
      <c r="G243" s="168">
        <f>G230-'дод 1'!H316</f>
        <v>0</v>
      </c>
      <c r="H243" s="168">
        <f>H230-'дод 1'!I316</f>
        <v>0</v>
      </c>
      <c r="I243" s="168">
        <f>I230-'дод 1'!J316</f>
        <v>0</v>
      </c>
      <c r="J243" s="168">
        <f>J230-'дод 1'!K316</f>
        <v>0</v>
      </c>
      <c r="K243" s="168">
        <f>K230-'дод 1'!L316</f>
        <v>0</v>
      </c>
      <c r="L243" s="168">
        <f>L230-'дод 1'!M316</f>
        <v>0</v>
      </c>
      <c r="M243" s="168">
        <f>M230-'дод 1'!N316</f>
        <v>0</v>
      </c>
      <c r="N243" s="168">
        <f>N230-'дод 1'!O316</f>
        <v>0</v>
      </c>
      <c r="O243" s="168">
        <f>O230-'дод 1'!P316</f>
        <v>0</v>
      </c>
      <c r="P243" s="156"/>
    </row>
    <row r="244" spans="1:16" s="8" customForma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156"/>
    </row>
    <row r="245" spans="1:16" s="8" customFormat="1" x14ac:dyDescent="0.3">
      <c r="A245" s="9"/>
      <c r="B245" s="4"/>
      <c r="C245" s="19"/>
      <c r="D245" s="22"/>
      <c r="K245" s="22"/>
      <c r="L245" s="22"/>
      <c r="P245" s="156"/>
    </row>
    <row r="246" spans="1:16" s="8" customFormat="1" x14ac:dyDescent="0.3">
      <c r="A246" s="9"/>
      <c r="B246" s="4"/>
      <c r="C246" s="19"/>
      <c r="P246" s="156"/>
    </row>
    <row r="247" spans="1:16" s="8" customFormat="1" x14ac:dyDescent="0.3">
      <c r="A247" s="9"/>
      <c r="B247" s="4"/>
      <c r="C247" s="19"/>
      <c r="P247" s="156"/>
    </row>
    <row r="248" spans="1:16" s="8" customFormat="1" ht="27.75" x14ac:dyDescent="0.3">
      <c r="A248" s="200"/>
      <c r="B248" s="201"/>
      <c r="C248" s="201"/>
      <c r="D248" s="31"/>
      <c r="E248" s="37"/>
      <c r="F248" s="37"/>
      <c r="G248" s="37"/>
      <c r="H248" s="37"/>
      <c r="I248" s="37"/>
      <c r="J248" s="45"/>
      <c r="K248" s="37"/>
      <c r="L248" s="37"/>
      <c r="M248" s="37"/>
      <c r="N248" s="30"/>
      <c r="P248" s="156"/>
    </row>
    <row r="249" spans="1:16" s="8" customFormat="1" ht="27.75" x14ac:dyDescent="0.4">
      <c r="A249" s="27"/>
      <c r="B249" s="29"/>
      <c r="C249" s="29"/>
      <c r="D249" s="29"/>
      <c r="E249" s="29"/>
      <c r="F249" s="29"/>
      <c r="G249" s="29"/>
      <c r="H249" s="29"/>
      <c r="I249" s="37"/>
      <c r="J249" s="45"/>
      <c r="K249" s="37"/>
      <c r="L249" s="38"/>
      <c r="M249" s="37"/>
      <c r="N249" s="28"/>
      <c r="P249" s="156"/>
    </row>
    <row r="250" spans="1:16" s="8" customFormat="1" ht="26.25" x14ac:dyDescent="0.4">
      <c r="A250" s="199"/>
      <c r="B250" s="199"/>
      <c r="C250" s="199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156"/>
    </row>
    <row r="251" spans="1:16" s="8" customFormat="1" ht="27.75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P251" s="156"/>
    </row>
    <row r="252" spans="1:16" s="8" customFormat="1" x14ac:dyDescent="0.3">
      <c r="A252" s="9"/>
      <c r="B252" s="4"/>
      <c r="C252" s="19"/>
      <c r="D252" s="23"/>
      <c r="E252" s="23"/>
      <c r="K252" s="11"/>
      <c r="L252" s="11"/>
      <c r="P252" s="156"/>
    </row>
    <row r="253" spans="1:16" s="8" customFormat="1" x14ac:dyDescent="0.3">
      <c r="A253" s="9"/>
      <c r="B253" s="4"/>
      <c r="C253" s="19"/>
      <c r="K253" s="11"/>
      <c r="L253" s="11"/>
      <c r="P253" s="156"/>
    </row>
    <row r="254" spans="1:16" s="8" customFormat="1" x14ac:dyDescent="0.3">
      <c r="A254" s="9"/>
      <c r="B254" s="4"/>
      <c r="C254" s="19"/>
      <c r="P254" s="156"/>
    </row>
    <row r="255" spans="1:16" s="8" customFormat="1" x14ac:dyDescent="0.3">
      <c r="A255" s="9"/>
      <c r="B255" s="4"/>
      <c r="C255" s="19"/>
      <c r="P255" s="156"/>
    </row>
    <row r="256" spans="1:16" s="8" customFormat="1" x14ac:dyDescent="0.3">
      <c r="A256" s="9"/>
      <c r="B256" s="4"/>
      <c r="C256" s="19"/>
      <c r="P256" s="156"/>
    </row>
    <row r="257" spans="1:16" s="8" customFormat="1" x14ac:dyDescent="0.3">
      <c r="A257" s="9"/>
      <c r="B257" s="4"/>
      <c r="C257" s="19"/>
      <c r="P257" s="156"/>
    </row>
    <row r="258" spans="1:16" s="8" customFormat="1" x14ac:dyDescent="0.3">
      <c r="A258" s="9"/>
      <c r="B258" s="4"/>
      <c r="C258" s="19"/>
      <c r="P258" s="156"/>
    </row>
    <row r="259" spans="1:16" s="8" customFormat="1" ht="6.75" customHeight="1" x14ac:dyDescent="0.3">
      <c r="A259" s="9"/>
      <c r="B259" s="4"/>
      <c r="C259" s="19"/>
      <c r="P259" s="156"/>
    </row>
    <row r="260" spans="1:16" s="8" customFormat="1" ht="1.5" customHeight="1" x14ac:dyDescent="0.3">
      <c r="A260" s="9"/>
      <c r="B260" s="4"/>
      <c r="C260" s="19"/>
      <c r="D260" s="22"/>
      <c r="P260" s="156"/>
    </row>
    <row r="261" spans="1:16" s="8" customFormat="1" ht="22.5" customHeight="1" x14ac:dyDescent="0.3">
      <c r="A261" s="9"/>
      <c r="B261" s="4"/>
      <c r="C261" s="19"/>
      <c r="P261" s="156"/>
    </row>
    <row r="262" spans="1:16" s="8" customFormat="1" x14ac:dyDescent="0.3">
      <c r="A262" s="9"/>
      <c r="B262" s="4"/>
      <c r="C262" s="19"/>
      <c r="P262" s="156"/>
    </row>
    <row r="263" spans="1:16" s="8" customFormat="1" x14ac:dyDescent="0.3">
      <c r="A263" s="9"/>
      <c r="B263" s="4"/>
      <c r="C263" s="19"/>
      <c r="D263" s="22"/>
      <c r="P263" s="156"/>
    </row>
    <row r="264" spans="1:16" s="8" customFormat="1" x14ac:dyDescent="0.3">
      <c r="A264" s="9"/>
      <c r="B264" s="4"/>
      <c r="C264" s="19"/>
      <c r="P264" s="156"/>
    </row>
    <row r="265" spans="1:16" s="8" customFormat="1" x14ac:dyDescent="0.3">
      <c r="A265" s="9"/>
      <c r="B265" s="4"/>
      <c r="C265" s="19"/>
      <c r="P265" s="156"/>
    </row>
    <row r="266" spans="1:16" s="8" customFormat="1" x14ac:dyDescent="0.3">
      <c r="A266" s="9"/>
      <c r="B266" s="4"/>
      <c r="C266" s="19"/>
      <c r="P266" s="156"/>
    </row>
    <row r="267" spans="1:16" s="8" customFormat="1" x14ac:dyDescent="0.3">
      <c r="A267" s="9"/>
      <c r="B267" s="4"/>
      <c r="C267" s="19"/>
      <c r="P267" s="156"/>
    </row>
    <row r="268" spans="1:16" s="8" customFormat="1" x14ac:dyDescent="0.3">
      <c r="A268" s="9"/>
      <c r="B268" s="4"/>
      <c r="C268" s="19"/>
      <c r="P268" s="156"/>
    </row>
    <row r="269" spans="1:16" s="8" customFormat="1" x14ac:dyDescent="0.3">
      <c r="A269" s="9"/>
      <c r="B269" s="4"/>
      <c r="C269" s="19"/>
      <c r="P269" s="156"/>
    </row>
    <row r="270" spans="1:16" s="8" customFormat="1" x14ac:dyDescent="0.3">
      <c r="A270" s="9"/>
      <c r="B270" s="4"/>
      <c r="C270" s="19"/>
      <c r="P270" s="156"/>
    </row>
    <row r="271" spans="1:16" s="8" customFormat="1" x14ac:dyDescent="0.3">
      <c r="A271" s="9"/>
      <c r="B271" s="4"/>
      <c r="C271" s="19"/>
      <c r="P271" s="156"/>
    </row>
    <row r="272" spans="1:16" s="8" customFormat="1" x14ac:dyDescent="0.3">
      <c r="A272" s="9"/>
      <c r="B272" s="4"/>
      <c r="C272" s="19"/>
      <c r="P272" s="156"/>
    </row>
    <row r="273" spans="1:16" s="8" customFormat="1" x14ac:dyDescent="0.3">
      <c r="A273" s="9"/>
      <c r="B273" s="4"/>
      <c r="C273" s="19"/>
      <c r="P273" s="156"/>
    </row>
    <row r="274" spans="1:16" s="8" customFormat="1" x14ac:dyDescent="0.3">
      <c r="A274" s="9"/>
      <c r="B274" s="4"/>
      <c r="C274" s="19"/>
      <c r="P274" s="156"/>
    </row>
    <row r="275" spans="1:16" s="8" customFormat="1" x14ac:dyDescent="0.3">
      <c r="A275" s="9"/>
      <c r="B275" s="4"/>
      <c r="C275" s="19"/>
      <c r="P275" s="156"/>
    </row>
    <row r="276" spans="1:16" s="8" customFormat="1" x14ac:dyDescent="0.3">
      <c r="A276" s="9"/>
      <c r="B276" s="4"/>
      <c r="C276" s="19"/>
      <c r="P276" s="156"/>
    </row>
    <row r="277" spans="1:16" s="8" customFormat="1" x14ac:dyDescent="0.3">
      <c r="A277" s="9"/>
      <c r="B277" s="4"/>
      <c r="C277" s="19"/>
      <c r="P277" s="156"/>
    </row>
    <row r="278" spans="1:16" s="8" customFormat="1" x14ac:dyDescent="0.3">
      <c r="A278" s="9"/>
      <c r="B278" s="4"/>
      <c r="C278" s="19"/>
      <c r="P278" s="156"/>
    </row>
    <row r="279" spans="1:16" s="8" customFormat="1" x14ac:dyDescent="0.3">
      <c r="A279" s="9"/>
      <c r="B279" s="4"/>
      <c r="C279" s="19"/>
      <c r="P279" s="156"/>
    </row>
    <row r="280" spans="1:16" s="8" customFormat="1" x14ac:dyDescent="0.3">
      <c r="A280" s="9"/>
      <c r="B280" s="4"/>
      <c r="C280" s="19"/>
      <c r="P280" s="156"/>
    </row>
    <row r="281" spans="1:16" s="8" customFormat="1" x14ac:dyDescent="0.3">
      <c r="A281" s="9"/>
      <c r="B281" s="4"/>
      <c r="C281" s="19"/>
      <c r="P281" s="156"/>
    </row>
    <row r="282" spans="1:16" s="8" customFormat="1" x14ac:dyDescent="0.3">
      <c r="A282" s="9"/>
      <c r="B282" s="4"/>
      <c r="C282" s="19"/>
      <c r="P282" s="156"/>
    </row>
    <row r="283" spans="1:16" s="8" customFormat="1" x14ac:dyDescent="0.3">
      <c r="A283" s="9"/>
      <c r="B283" s="4"/>
      <c r="C283" s="19"/>
      <c r="P283" s="156"/>
    </row>
    <row r="284" spans="1:16" s="8" customFormat="1" x14ac:dyDescent="0.3">
      <c r="A284" s="9"/>
      <c r="B284" s="4"/>
      <c r="C284" s="19"/>
      <c r="P284" s="156"/>
    </row>
    <row r="285" spans="1:16" s="8" customFormat="1" x14ac:dyDescent="0.3">
      <c r="A285" s="9"/>
      <c r="B285" s="4"/>
      <c r="C285" s="19"/>
      <c r="P285" s="156"/>
    </row>
    <row r="286" spans="1:16" s="8" customFormat="1" x14ac:dyDescent="0.3">
      <c r="A286" s="9"/>
      <c r="B286" s="4"/>
      <c r="C286" s="19"/>
      <c r="P286" s="156"/>
    </row>
    <row r="287" spans="1:16" s="8" customFormat="1" x14ac:dyDescent="0.3">
      <c r="A287" s="9"/>
      <c r="B287" s="4"/>
      <c r="C287" s="19"/>
      <c r="P287" s="156"/>
    </row>
    <row r="288" spans="1:16" s="8" customFormat="1" x14ac:dyDescent="0.3">
      <c r="A288" s="9"/>
      <c r="B288" s="4"/>
      <c r="C288" s="19"/>
      <c r="P288" s="156"/>
    </row>
    <row r="289" spans="1:16" s="8" customFormat="1" x14ac:dyDescent="0.3">
      <c r="A289" s="9"/>
      <c r="B289" s="4"/>
      <c r="C289" s="19"/>
      <c r="P289" s="156"/>
    </row>
    <row r="290" spans="1:16" s="8" customFormat="1" x14ac:dyDescent="0.3">
      <c r="A290" s="9"/>
      <c r="B290" s="4"/>
      <c r="C290" s="19"/>
      <c r="P290" s="156"/>
    </row>
    <row r="291" spans="1:16" s="8" customFormat="1" x14ac:dyDescent="0.3">
      <c r="A291" s="9"/>
      <c r="B291" s="4"/>
      <c r="C291" s="19"/>
      <c r="P291" s="156"/>
    </row>
    <row r="292" spans="1:16" s="8" customFormat="1" x14ac:dyDescent="0.3">
      <c r="A292" s="9"/>
      <c r="B292" s="4"/>
      <c r="C292" s="19"/>
      <c r="P292" s="156"/>
    </row>
    <row r="293" spans="1:16" s="8" customFormat="1" x14ac:dyDescent="0.3">
      <c r="A293" s="9"/>
      <c r="B293" s="4"/>
      <c r="C293" s="19"/>
      <c r="P293" s="156"/>
    </row>
    <row r="294" spans="1:16" s="8" customFormat="1" x14ac:dyDescent="0.3">
      <c r="A294" s="9"/>
      <c r="B294" s="4"/>
      <c r="C294" s="19"/>
      <c r="P294" s="156"/>
    </row>
    <row r="295" spans="1:16" s="8" customFormat="1" x14ac:dyDescent="0.3">
      <c r="A295" s="9"/>
      <c r="B295" s="4"/>
      <c r="C295" s="19"/>
      <c r="P295" s="156"/>
    </row>
    <row r="296" spans="1:16" s="8" customFormat="1" x14ac:dyDescent="0.3">
      <c r="A296" s="9"/>
      <c r="B296" s="4"/>
      <c r="C296" s="19"/>
      <c r="P296" s="156"/>
    </row>
    <row r="297" spans="1:16" s="8" customFormat="1" x14ac:dyDescent="0.3">
      <c r="A297" s="9"/>
      <c r="B297" s="4"/>
      <c r="C297" s="19"/>
      <c r="P297" s="156"/>
    </row>
    <row r="298" spans="1:16" s="8" customFormat="1" x14ac:dyDescent="0.3">
      <c r="A298" s="9"/>
      <c r="B298" s="4"/>
      <c r="C298" s="19"/>
      <c r="P298" s="156"/>
    </row>
    <row r="299" spans="1:16" s="8" customFormat="1" x14ac:dyDescent="0.3">
      <c r="A299" s="9"/>
      <c r="B299" s="4"/>
      <c r="C299" s="19"/>
      <c r="P299" s="156"/>
    </row>
    <row r="300" spans="1:16" s="8" customFormat="1" x14ac:dyDescent="0.3">
      <c r="A300" s="9"/>
      <c r="B300" s="4"/>
      <c r="C300" s="19"/>
      <c r="P300" s="156"/>
    </row>
    <row r="301" spans="1:16" s="8" customFormat="1" x14ac:dyDescent="0.3">
      <c r="A301" s="9"/>
      <c r="B301" s="4"/>
      <c r="C301" s="19"/>
      <c r="P301" s="156"/>
    </row>
    <row r="302" spans="1:16" s="8" customFormat="1" x14ac:dyDescent="0.3">
      <c r="A302" s="9"/>
      <c r="B302" s="4"/>
      <c r="C302" s="19"/>
      <c r="P302" s="156"/>
    </row>
    <row r="303" spans="1:16" s="8" customFormat="1" x14ac:dyDescent="0.3">
      <c r="A303" s="9"/>
      <c r="B303" s="4"/>
      <c r="C303" s="19"/>
      <c r="P303" s="156"/>
    </row>
    <row r="304" spans="1:16" s="8" customFormat="1" x14ac:dyDescent="0.3">
      <c r="A304" s="9"/>
      <c r="B304" s="4"/>
      <c r="C304" s="19"/>
      <c r="P304" s="156"/>
    </row>
    <row r="305" spans="1:16" s="8" customFormat="1" x14ac:dyDescent="0.3">
      <c r="A305" s="9"/>
      <c r="B305" s="4"/>
      <c r="C305" s="19"/>
      <c r="P305" s="156"/>
    </row>
    <row r="306" spans="1:16" s="8" customFormat="1" x14ac:dyDescent="0.3">
      <c r="A306" s="9"/>
      <c r="B306" s="4"/>
      <c r="C306" s="19"/>
      <c r="P306" s="156"/>
    </row>
    <row r="307" spans="1:16" s="8" customFormat="1" x14ac:dyDescent="0.3">
      <c r="A307" s="9"/>
      <c r="B307" s="4"/>
      <c r="C307" s="19"/>
      <c r="P307" s="156"/>
    </row>
    <row r="308" spans="1:16" s="8" customFormat="1" x14ac:dyDescent="0.3">
      <c r="A308" s="9"/>
      <c r="B308" s="4"/>
      <c r="C308" s="19"/>
      <c r="P308" s="156"/>
    </row>
    <row r="309" spans="1:16" s="8" customFormat="1" x14ac:dyDescent="0.3">
      <c r="A309" s="9"/>
      <c r="B309" s="4"/>
      <c r="C309" s="19"/>
      <c r="P309" s="156"/>
    </row>
    <row r="310" spans="1:16" s="8" customFormat="1" x14ac:dyDescent="0.3">
      <c r="A310" s="9"/>
      <c r="B310" s="4"/>
      <c r="C310" s="19"/>
      <c r="P310" s="156"/>
    </row>
    <row r="311" spans="1:16" s="8" customFormat="1" x14ac:dyDescent="0.3">
      <c r="A311" s="9"/>
      <c r="B311" s="4"/>
      <c r="C311" s="19"/>
      <c r="P311" s="156"/>
    </row>
    <row r="312" spans="1:16" s="8" customFormat="1" x14ac:dyDescent="0.3">
      <c r="A312" s="9"/>
      <c r="B312" s="4"/>
      <c r="C312" s="19"/>
      <c r="P312" s="156"/>
    </row>
    <row r="313" spans="1:16" s="8" customFormat="1" x14ac:dyDescent="0.3">
      <c r="A313" s="9"/>
      <c r="B313" s="4"/>
      <c r="C313" s="19"/>
      <c r="P313" s="156"/>
    </row>
    <row r="314" spans="1:16" s="8" customFormat="1" x14ac:dyDescent="0.3">
      <c r="A314" s="9"/>
      <c r="B314" s="4"/>
      <c r="C314" s="19"/>
      <c r="P314" s="156"/>
    </row>
    <row r="315" spans="1:16" s="8" customFormat="1" x14ac:dyDescent="0.3">
      <c r="A315" s="9"/>
      <c r="B315" s="4"/>
      <c r="C315" s="19"/>
      <c r="P315" s="156"/>
    </row>
    <row r="316" spans="1:16" s="8" customFormat="1" x14ac:dyDescent="0.3">
      <c r="A316" s="9"/>
      <c r="B316" s="4"/>
      <c r="C316" s="19"/>
      <c r="P316" s="156"/>
    </row>
    <row r="317" spans="1:16" s="8" customFormat="1" x14ac:dyDescent="0.3">
      <c r="A317" s="9"/>
      <c r="B317" s="4"/>
      <c r="C317" s="19"/>
      <c r="P317" s="156"/>
    </row>
    <row r="318" spans="1:16" s="8" customFormat="1" x14ac:dyDescent="0.3">
      <c r="A318" s="9"/>
      <c r="B318" s="4"/>
      <c r="C318" s="19"/>
      <c r="P318" s="156"/>
    </row>
    <row r="319" spans="1:16" s="8" customFormat="1" x14ac:dyDescent="0.3">
      <c r="A319" s="9"/>
      <c r="B319" s="4"/>
      <c r="C319" s="19"/>
      <c r="P319" s="156"/>
    </row>
    <row r="320" spans="1:16" s="8" customFormat="1" x14ac:dyDescent="0.3">
      <c r="A320" s="9"/>
      <c r="B320" s="4"/>
      <c r="C320" s="19"/>
      <c r="P320" s="156"/>
    </row>
    <row r="321" spans="1:16" s="8" customFormat="1" x14ac:dyDescent="0.3">
      <c r="A321" s="9"/>
      <c r="B321" s="4"/>
      <c r="C321" s="19"/>
      <c r="P321" s="156"/>
    </row>
    <row r="322" spans="1:16" s="8" customFormat="1" x14ac:dyDescent="0.3">
      <c r="A322" s="9"/>
      <c r="B322" s="4"/>
      <c r="C322" s="19"/>
      <c r="P322" s="156"/>
    </row>
    <row r="323" spans="1:16" s="8" customFormat="1" x14ac:dyDescent="0.3">
      <c r="A323" s="9"/>
      <c r="B323" s="4"/>
      <c r="C323" s="19"/>
      <c r="P323" s="156"/>
    </row>
    <row r="324" spans="1:16" s="8" customFormat="1" x14ac:dyDescent="0.3">
      <c r="A324" s="9"/>
      <c r="B324" s="4"/>
      <c r="C324" s="19"/>
      <c r="P324" s="156"/>
    </row>
    <row r="325" spans="1:16" s="8" customFormat="1" x14ac:dyDescent="0.3">
      <c r="A325" s="9"/>
      <c r="B325" s="4"/>
      <c r="C325" s="19"/>
      <c r="P325" s="156"/>
    </row>
    <row r="326" spans="1:16" s="8" customFormat="1" x14ac:dyDescent="0.3">
      <c r="A326" s="9"/>
      <c r="B326" s="4"/>
      <c r="C326" s="19"/>
      <c r="P326" s="156"/>
    </row>
    <row r="327" spans="1:16" s="8" customFormat="1" x14ac:dyDescent="0.3">
      <c r="A327" s="9"/>
      <c r="B327" s="4"/>
      <c r="C327" s="19"/>
      <c r="P327" s="156"/>
    </row>
    <row r="328" spans="1:16" s="8" customFormat="1" x14ac:dyDescent="0.3">
      <c r="A328" s="9"/>
      <c r="B328" s="4"/>
      <c r="C328" s="19"/>
      <c r="P328" s="156"/>
    </row>
    <row r="329" spans="1:16" s="8" customFormat="1" x14ac:dyDescent="0.3">
      <c r="A329" s="9"/>
      <c r="B329" s="4"/>
      <c r="C329" s="19"/>
      <c r="P329" s="156"/>
    </row>
    <row r="330" spans="1:16" s="8" customFormat="1" x14ac:dyDescent="0.3">
      <c r="A330" s="9"/>
      <c r="B330" s="4"/>
      <c r="C330" s="19"/>
      <c r="P330" s="156"/>
    </row>
    <row r="331" spans="1:16" s="8" customFormat="1" x14ac:dyDescent="0.3">
      <c r="A331" s="9"/>
      <c r="B331" s="4"/>
      <c r="C331" s="19"/>
      <c r="P331" s="156"/>
    </row>
    <row r="332" spans="1:16" s="8" customFormat="1" x14ac:dyDescent="0.3">
      <c r="A332" s="9"/>
      <c r="B332" s="4"/>
      <c r="C332" s="19"/>
      <c r="P332" s="156"/>
    </row>
    <row r="333" spans="1:16" s="8" customFormat="1" x14ac:dyDescent="0.3">
      <c r="A333" s="9"/>
      <c r="B333" s="4"/>
      <c r="C333" s="19"/>
      <c r="P333" s="156"/>
    </row>
    <row r="334" spans="1:16" s="8" customFormat="1" x14ac:dyDescent="0.3">
      <c r="A334" s="9"/>
      <c r="B334" s="4"/>
      <c r="C334" s="19"/>
      <c r="P334" s="156"/>
    </row>
    <row r="335" spans="1:16" s="8" customFormat="1" x14ac:dyDescent="0.3">
      <c r="A335" s="9"/>
      <c r="B335" s="4"/>
      <c r="C335" s="19"/>
      <c r="P335" s="156"/>
    </row>
    <row r="336" spans="1:16" s="8" customFormat="1" x14ac:dyDescent="0.3">
      <c r="A336" s="9"/>
      <c r="B336" s="4"/>
      <c r="C336" s="19"/>
      <c r="P336" s="156"/>
    </row>
    <row r="337" spans="1:16" s="8" customFormat="1" x14ac:dyDescent="0.3">
      <c r="A337" s="9"/>
      <c r="B337" s="4"/>
      <c r="C337" s="19"/>
      <c r="P337" s="156"/>
    </row>
    <row r="338" spans="1:16" s="8" customFormat="1" x14ac:dyDescent="0.3">
      <c r="A338" s="9"/>
      <c r="B338" s="4"/>
      <c r="C338" s="19"/>
      <c r="P338" s="156"/>
    </row>
    <row r="339" spans="1:16" s="8" customFormat="1" x14ac:dyDescent="0.3">
      <c r="A339" s="9"/>
      <c r="B339" s="4"/>
      <c r="C339" s="19"/>
      <c r="P339" s="156"/>
    </row>
    <row r="340" spans="1:16" s="8" customFormat="1" x14ac:dyDescent="0.3">
      <c r="A340" s="9"/>
      <c r="B340" s="4"/>
      <c r="C340" s="19"/>
      <c r="P340" s="156"/>
    </row>
    <row r="341" spans="1:16" s="8" customFormat="1" x14ac:dyDescent="0.3">
      <c r="A341" s="9"/>
      <c r="B341" s="4"/>
      <c r="C341" s="19"/>
      <c r="P341" s="156"/>
    </row>
    <row r="342" spans="1:16" s="8" customFormat="1" x14ac:dyDescent="0.3">
      <c r="A342" s="9"/>
      <c r="B342" s="4"/>
      <c r="C342" s="19"/>
      <c r="P342" s="156"/>
    </row>
    <row r="343" spans="1:16" s="8" customFormat="1" x14ac:dyDescent="0.3">
      <c r="A343" s="9"/>
      <c r="B343" s="4"/>
      <c r="C343" s="19"/>
      <c r="P343" s="156"/>
    </row>
    <row r="344" spans="1:16" s="8" customFormat="1" x14ac:dyDescent="0.3">
      <c r="A344" s="9"/>
      <c r="B344" s="4"/>
      <c r="C344" s="19"/>
      <c r="P344" s="156"/>
    </row>
    <row r="345" spans="1:16" s="8" customFormat="1" x14ac:dyDescent="0.3">
      <c r="A345" s="9"/>
      <c r="B345" s="4"/>
      <c r="C345" s="19"/>
      <c r="P345" s="156"/>
    </row>
    <row r="346" spans="1:16" s="8" customFormat="1" x14ac:dyDescent="0.3">
      <c r="A346" s="9"/>
      <c r="B346" s="4"/>
      <c r="C346" s="19"/>
      <c r="P346" s="156"/>
    </row>
    <row r="347" spans="1:16" s="8" customFormat="1" x14ac:dyDescent="0.3">
      <c r="A347" s="9"/>
      <c r="B347" s="4"/>
      <c r="C347" s="19"/>
      <c r="P347" s="156"/>
    </row>
    <row r="348" spans="1:16" s="8" customFormat="1" x14ac:dyDescent="0.3">
      <c r="A348" s="9"/>
      <c r="B348" s="4"/>
      <c r="C348" s="19"/>
      <c r="P348" s="156"/>
    </row>
    <row r="349" spans="1:16" s="8" customFormat="1" x14ac:dyDescent="0.3">
      <c r="A349" s="9"/>
      <c r="B349" s="4"/>
      <c r="C349" s="19"/>
      <c r="P349" s="156"/>
    </row>
    <row r="350" spans="1:16" s="8" customFormat="1" x14ac:dyDescent="0.3">
      <c r="A350" s="9"/>
      <c r="B350" s="4"/>
      <c r="C350" s="19"/>
      <c r="P350" s="156"/>
    </row>
    <row r="351" spans="1:16" s="8" customFormat="1" x14ac:dyDescent="0.3">
      <c r="A351" s="9"/>
      <c r="B351" s="4"/>
      <c r="C351" s="19"/>
      <c r="P351" s="156"/>
    </row>
    <row r="352" spans="1:16" s="8" customFormat="1" x14ac:dyDescent="0.3">
      <c r="A352" s="9"/>
      <c r="B352" s="4"/>
      <c r="C352" s="19"/>
      <c r="P352" s="156"/>
    </row>
    <row r="353" spans="1:16" s="8" customFormat="1" x14ac:dyDescent="0.3">
      <c r="A353" s="9"/>
      <c r="B353" s="4"/>
      <c r="C353" s="19"/>
      <c r="P353" s="156"/>
    </row>
    <row r="354" spans="1:16" s="8" customFormat="1" x14ac:dyDescent="0.3">
      <c r="A354" s="9"/>
      <c r="B354" s="4"/>
      <c r="C354" s="19"/>
      <c r="P354" s="156"/>
    </row>
    <row r="355" spans="1:16" s="8" customFormat="1" x14ac:dyDescent="0.3">
      <c r="A355" s="9"/>
      <c r="B355" s="4"/>
      <c r="C355" s="19"/>
      <c r="P355" s="156"/>
    </row>
    <row r="356" spans="1:16" s="8" customFormat="1" x14ac:dyDescent="0.3">
      <c r="A356" s="9"/>
      <c r="B356" s="4"/>
      <c r="C356" s="19"/>
      <c r="P356" s="156"/>
    </row>
    <row r="357" spans="1:16" s="8" customFormat="1" x14ac:dyDescent="0.3">
      <c r="A357" s="9"/>
      <c r="B357" s="4"/>
      <c r="C357" s="19"/>
      <c r="P357" s="156"/>
    </row>
    <row r="358" spans="1:16" s="8" customFormat="1" x14ac:dyDescent="0.3">
      <c r="A358" s="9"/>
      <c r="B358" s="4"/>
      <c r="C358" s="19"/>
      <c r="P358" s="156"/>
    </row>
    <row r="359" spans="1:16" s="8" customFormat="1" x14ac:dyDescent="0.3">
      <c r="A359" s="9"/>
      <c r="B359" s="4"/>
      <c r="C359" s="19"/>
      <c r="P359" s="156"/>
    </row>
    <row r="360" spans="1:16" s="8" customFormat="1" x14ac:dyDescent="0.3">
      <c r="A360" s="9"/>
      <c r="B360" s="4"/>
      <c r="C360" s="19"/>
      <c r="P360" s="156"/>
    </row>
    <row r="361" spans="1:16" s="8" customFormat="1" x14ac:dyDescent="0.3">
      <c r="A361" s="9"/>
      <c r="B361" s="4"/>
      <c r="C361" s="19"/>
      <c r="P361" s="156"/>
    </row>
    <row r="362" spans="1:16" s="8" customFormat="1" x14ac:dyDescent="0.3">
      <c r="A362" s="9"/>
      <c r="B362" s="4"/>
      <c r="C362" s="19"/>
      <c r="P362" s="156"/>
    </row>
    <row r="363" spans="1:16" s="8" customFormat="1" x14ac:dyDescent="0.3">
      <c r="A363" s="9"/>
      <c r="B363" s="4"/>
      <c r="C363" s="19"/>
      <c r="P363" s="156"/>
    </row>
    <row r="364" spans="1:16" s="8" customFormat="1" x14ac:dyDescent="0.3">
      <c r="A364" s="9"/>
      <c r="B364" s="4"/>
      <c r="C364" s="19"/>
      <c r="P364" s="156"/>
    </row>
    <row r="365" spans="1:16" s="8" customFormat="1" x14ac:dyDescent="0.3">
      <c r="A365" s="9"/>
      <c r="B365" s="4"/>
      <c r="C365" s="19"/>
      <c r="P365" s="156"/>
    </row>
    <row r="366" spans="1:16" s="8" customFormat="1" x14ac:dyDescent="0.3">
      <c r="A366" s="9"/>
      <c r="B366" s="4"/>
      <c r="C366" s="19"/>
      <c r="P366" s="156"/>
    </row>
    <row r="367" spans="1:16" s="8" customFormat="1" x14ac:dyDescent="0.3">
      <c r="A367" s="9"/>
      <c r="B367" s="4"/>
      <c r="C367" s="19"/>
      <c r="P367" s="156"/>
    </row>
    <row r="368" spans="1:16" s="8" customFormat="1" x14ac:dyDescent="0.3">
      <c r="A368" s="9"/>
      <c r="B368" s="4"/>
      <c r="C368" s="19"/>
      <c r="P368" s="156"/>
    </row>
    <row r="369" spans="1:16" s="8" customFormat="1" x14ac:dyDescent="0.3">
      <c r="A369" s="9"/>
      <c r="B369" s="4"/>
      <c r="C369" s="19"/>
      <c r="P369" s="156"/>
    </row>
    <row r="370" spans="1:16" s="8" customFormat="1" x14ac:dyDescent="0.3">
      <c r="A370" s="9"/>
      <c r="B370" s="4"/>
      <c r="C370" s="19"/>
      <c r="P370" s="156"/>
    </row>
    <row r="371" spans="1:16" s="8" customFormat="1" x14ac:dyDescent="0.3">
      <c r="A371" s="9"/>
      <c r="B371" s="4"/>
      <c r="C371" s="19"/>
      <c r="P371" s="156"/>
    </row>
    <row r="372" spans="1:16" s="8" customFormat="1" x14ac:dyDescent="0.3">
      <c r="A372" s="9"/>
      <c r="B372" s="4"/>
      <c r="C372" s="19"/>
      <c r="P372" s="156"/>
    </row>
    <row r="373" spans="1:16" s="8" customFormat="1" x14ac:dyDescent="0.3">
      <c r="A373" s="9"/>
      <c r="B373" s="4"/>
      <c r="C373" s="19"/>
      <c r="P373" s="156"/>
    </row>
    <row r="374" spans="1:16" s="8" customFormat="1" x14ac:dyDescent="0.3">
      <c r="A374" s="9"/>
      <c r="B374" s="4"/>
      <c r="C374" s="19"/>
      <c r="P374" s="156"/>
    </row>
    <row r="375" spans="1:16" s="8" customFormat="1" x14ac:dyDescent="0.3">
      <c r="A375" s="9"/>
      <c r="B375" s="4"/>
      <c r="C375" s="19"/>
      <c r="P375" s="156"/>
    </row>
    <row r="376" spans="1:16" s="8" customFormat="1" x14ac:dyDescent="0.3">
      <c r="A376" s="9"/>
      <c r="B376" s="4"/>
      <c r="C376" s="19"/>
      <c r="P376" s="156"/>
    </row>
    <row r="377" spans="1:16" s="8" customFormat="1" x14ac:dyDescent="0.3">
      <c r="A377" s="9"/>
      <c r="B377" s="4"/>
      <c r="C377" s="19"/>
      <c r="P377" s="156"/>
    </row>
    <row r="378" spans="1:16" s="8" customFormat="1" x14ac:dyDescent="0.3">
      <c r="A378" s="9"/>
      <c r="B378" s="4"/>
      <c r="C378" s="19"/>
      <c r="P378" s="156"/>
    </row>
    <row r="379" spans="1:16" s="8" customFormat="1" x14ac:dyDescent="0.3">
      <c r="A379" s="9"/>
      <c r="B379" s="4"/>
      <c r="C379" s="19"/>
      <c r="P379" s="156"/>
    </row>
    <row r="380" spans="1:16" s="8" customFormat="1" x14ac:dyDescent="0.3">
      <c r="A380" s="9"/>
      <c r="B380" s="4"/>
      <c r="C380" s="19"/>
      <c r="P380" s="156"/>
    </row>
    <row r="381" spans="1:16" s="8" customFormat="1" x14ac:dyDescent="0.3">
      <c r="A381" s="9"/>
      <c r="B381" s="4"/>
      <c r="C381" s="19"/>
      <c r="P381" s="156"/>
    </row>
    <row r="382" spans="1:16" s="8" customFormat="1" x14ac:dyDescent="0.3">
      <c r="A382" s="9"/>
      <c r="B382" s="4"/>
      <c r="C382" s="19"/>
      <c r="P382" s="156"/>
    </row>
    <row r="383" spans="1:16" s="8" customFormat="1" x14ac:dyDescent="0.3">
      <c r="A383" s="9"/>
      <c r="B383" s="4"/>
      <c r="C383" s="19"/>
      <c r="P383" s="156"/>
    </row>
    <row r="384" spans="1:16" s="8" customFormat="1" x14ac:dyDescent="0.3">
      <c r="A384" s="9"/>
      <c r="B384" s="4"/>
      <c r="C384" s="19"/>
      <c r="P384" s="156"/>
    </row>
    <row r="385" spans="1:16" s="8" customFormat="1" x14ac:dyDescent="0.3">
      <c r="A385" s="9"/>
      <c r="B385" s="4"/>
      <c r="C385" s="19"/>
      <c r="P385" s="156"/>
    </row>
    <row r="386" spans="1:16" s="8" customFormat="1" x14ac:dyDescent="0.3">
      <c r="A386" s="9"/>
      <c r="B386" s="4"/>
      <c r="C386" s="19"/>
      <c r="P386" s="156"/>
    </row>
    <row r="387" spans="1:16" s="8" customFormat="1" x14ac:dyDescent="0.3">
      <c r="A387" s="9"/>
      <c r="B387" s="4"/>
      <c r="C387" s="19"/>
      <c r="P387" s="156"/>
    </row>
    <row r="388" spans="1:16" s="8" customFormat="1" x14ac:dyDescent="0.3">
      <c r="A388" s="9"/>
      <c r="B388" s="4"/>
      <c r="C388" s="19"/>
      <c r="P388" s="156"/>
    </row>
    <row r="389" spans="1:16" s="8" customFormat="1" x14ac:dyDescent="0.3">
      <c r="A389" s="9"/>
      <c r="B389" s="4"/>
      <c r="C389" s="19"/>
      <c r="P389" s="156"/>
    </row>
    <row r="390" spans="1:16" s="8" customFormat="1" x14ac:dyDescent="0.3">
      <c r="A390" s="9"/>
      <c r="B390" s="4"/>
      <c r="C390" s="19"/>
      <c r="P390" s="156"/>
    </row>
    <row r="391" spans="1:16" s="8" customFormat="1" x14ac:dyDescent="0.3">
      <c r="A391" s="9"/>
      <c r="B391" s="4"/>
      <c r="C391" s="19"/>
      <c r="P391" s="156"/>
    </row>
    <row r="392" spans="1:16" s="8" customFormat="1" x14ac:dyDescent="0.3">
      <c r="A392" s="9"/>
      <c r="B392" s="4"/>
      <c r="C392" s="19"/>
      <c r="P392" s="156"/>
    </row>
    <row r="393" spans="1:16" s="8" customFormat="1" x14ac:dyDescent="0.3">
      <c r="A393" s="9"/>
      <c r="B393" s="4"/>
      <c r="C393" s="19"/>
      <c r="P393" s="156"/>
    </row>
    <row r="394" spans="1:16" s="8" customFormat="1" x14ac:dyDescent="0.3">
      <c r="A394" s="9"/>
      <c r="B394" s="4"/>
      <c r="C394" s="19"/>
      <c r="P394" s="156"/>
    </row>
    <row r="395" spans="1:16" s="8" customFormat="1" x14ac:dyDescent="0.3">
      <c r="A395" s="9"/>
      <c r="B395" s="4"/>
      <c r="C395" s="19"/>
      <c r="P395" s="156"/>
    </row>
    <row r="396" spans="1:16" s="8" customFormat="1" x14ac:dyDescent="0.3">
      <c r="A396" s="9"/>
      <c r="B396" s="4"/>
      <c r="C396" s="19"/>
      <c r="P396" s="156"/>
    </row>
    <row r="397" spans="1:16" s="8" customFormat="1" x14ac:dyDescent="0.3">
      <c r="A397" s="9"/>
      <c r="B397" s="4"/>
      <c r="C397" s="19"/>
      <c r="P397" s="156"/>
    </row>
    <row r="398" spans="1:16" s="8" customFormat="1" x14ac:dyDescent="0.3">
      <c r="A398" s="9"/>
      <c r="B398" s="4"/>
      <c r="C398" s="19"/>
      <c r="P398" s="156"/>
    </row>
    <row r="399" spans="1:16" s="8" customFormat="1" x14ac:dyDescent="0.3">
      <c r="A399" s="9"/>
      <c r="B399" s="4"/>
      <c r="C399" s="19"/>
      <c r="P399" s="156"/>
    </row>
    <row r="400" spans="1:16" s="8" customFormat="1" x14ac:dyDescent="0.3">
      <c r="A400" s="9"/>
      <c r="B400" s="4"/>
      <c r="C400" s="19"/>
      <c r="P400" s="156"/>
    </row>
    <row r="401" spans="1:16" s="8" customFormat="1" x14ac:dyDescent="0.3">
      <c r="A401" s="9"/>
      <c r="B401" s="4"/>
      <c r="C401" s="19"/>
      <c r="P401" s="156"/>
    </row>
    <row r="402" spans="1:16" s="8" customFormat="1" x14ac:dyDescent="0.3">
      <c r="A402" s="9"/>
      <c r="B402" s="4"/>
      <c r="C402" s="19"/>
      <c r="P402" s="156"/>
    </row>
    <row r="403" spans="1:16" s="8" customFormat="1" x14ac:dyDescent="0.3">
      <c r="A403" s="9"/>
      <c r="B403" s="4"/>
      <c r="C403" s="19"/>
      <c r="P403" s="156"/>
    </row>
    <row r="404" spans="1:16" s="8" customFormat="1" x14ac:dyDescent="0.3">
      <c r="A404" s="9"/>
      <c r="B404" s="4"/>
      <c r="C404" s="19"/>
      <c r="P404" s="156"/>
    </row>
    <row r="405" spans="1:16" s="8" customFormat="1" x14ac:dyDescent="0.3">
      <c r="A405" s="9"/>
      <c r="B405" s="4"/>
      <c r="C405" s="19"/>
      <c r="P405" s="156"/>
    </row>
    <row r="406" spans="1:16" s="8" customFormat="1" x14ac:dyDescent="0.3">
      <c r="A406" s="9"/>
      <c r="B406" s="4"/>
      <c r="C406" s="19"/>
      <c r="P406" s="156"/>
    </row>
    <row r="407" spans="1:16" s="8" customFormat="1" x14ac:dyDescent="0.3">
      <c r="A407" s="9"/>
      <c r="B407" s="4"/>
      <c r="C407" s="19"/>
      <c r="P407" s="156"/>
    </row>
    <row r="408" spans="1:16" s="8" customFormat="1" x14ac:dyDescent="0.3">
      <c r="A408" s="9"/>
      <c r="B408" s="4"/>
      <c r="C408" s="19"/>
      <c r="P408" s="156"/>
    </row>
    <row r="409" spans="1:16" s="8" customFormat="1" x14ac:dyDescent="0.3">
      <c r="A409" s="9"/>
      <c r="B409" s="4"/>
      <c r="C409" s="19"/>
      <c r="P409" s="156"/>
    </row>
    <row r="410" spans="1:16" s="8" customFormat="1" x14ac:dyDescent="0.3">
      <c r="A410" s="9"/>
      <c r="B410" s="4"/>
      <c r="C410" s="19"/>
      <c r="P410" s="156"/>
    </row>
    <row r="411" spans="1:16" s="8" customFormat="1" x14ac:dyDescent="0.3">
      <c r="A411" s="9"/>
      <c r="B411" s="4"/>
      <c r="C411" s="19"/>
      <c r="P411" s="156"/>
    </row>
    <row r="412" spans="1:16" s="8" customFormat="1" x14ac:dyDescent="0.3">
      <c r="A412" s="9"/>
      <c r="B412" s="4"/>
      <c r="C412" s="19"/>
      <c r="P412" s="156"/>
    </row>
    <row r="413" spans="1:16" s="8" customFormat="1" x14ac:dyDescent="0.3">
      <c r="A413" s="9"/>
      <c r="B413" s="4"/>
      <c r="C413" s="19"/>
      <c r="P413" s="156"/>
    </row>
    <row r="414" spans="1:16" s="8" customFormat="1" x14ac:dyDescent="0.3">
      <c r="A414" s="9"/>
      <c r="B414" s="4"/>
      <c r="C414" s="19"/>
      <c r="P414" s="156"/>
    </row>
    <row r="415" spans="1:16" s="8" customFormat="1" x14ac:dyDescent="0.3">
      <c r="A415" s="9"/>
      <c r="B415" s="4"/>
      <c r="C415" s="19"/>
      <c r="P415" s="156"/>
    </row>
    <row r="416" spans="1:16" s="8" customFormat="1" x14ac:dyDescent="0.3">
      <c r="A416" s="9"/>
      <c r="B416" s="4"/>
      <c r="C416" s="19"/>
      <c r="P416" s="156"/>
    </row>
    <row r="417" spans="1:16" s="8" customFormat="1" x14ac:dyDescent="0.3">
      <c r="A417" s="9"/>
      <c r="B417" s="4"/>
      <c r="C417" s="19"/>
      <c r="P417" s="156"/>
    </row>
    <row r="418" spans="1:16" s="8" customFormat="1" x14ac:dyDescent="0.3">
      <c r="A418" s="9"/>
      <c r="B418" s="4"/>
      <c r="C418" s="19"/>
      <c r="P418" s="156"/>
    </row>
    <row r="419" spans="1:16" s="8" customFormat="1" x14ac:dyDescent="0.3">
      <c r="A419" s="9"/>
      <c r="B419" s="4"/>
      <c r="C419" s="19"/>
      <c r="P419" s="156"/>
    </row>
    <row r="420" spans="1:16" s="8" customFormat="1" x14ac:dyDescent="0.3">
      <c r="A420" s="9"/>
      <c r="B420" s="4"/>
      <c r="C420" s="19"/>
      <c r="P420" s="156"/>
    </row>
    <row r="421" spans="1:16" s="8" customFormat="1" x14ac:dyDescent="0.3">
      <c r="A421" s="9"/>
      <c r="B421" s="4"/>
      <c r="C421" s="19"/>
      <c r="P421" s="156"/>
    </row>
    <row r="422" spans="1:16" s="8" customFormat="1" x14ac:dyDescent="0.3">
      <c r="A422" s="9"/>
      <c r="B422" s="4"/>
      <c r="C422" s="19"/>
      <c r="P422" s="156"/>
    </row>
    <row r="423" spans="1:16" s="8" customFormat="1" x14ac:dyDescent="0.3">
      <c r="A423" s="9"/>
      <c r="B423" s="4"/>
      <c r="C423" s="19"/>
      <c r="P423" s="156"/>
    </row>
    <row r="424" spans="1:16" s="8" customFormat="1" x14ac:dyDescent="0.3">
      <c r="A424" s="9"/>
      <c r="B424" s="4"/>
      <c r="C424" s="19"/>
      <c r="P424" s="156"/>
    </row>
    <row r="425" spans="1:16" s="8" customFormat="1" x14ac:dyDescent="0.3">
      <c r="A425" s="9"/>
      <c r="B425" s="4"/>
      <c r="C425" s="19"/>
      <c r="P425" s="156"/>
    </row>
    <row r="426" spans="1:16" s="8" customFormat="1" x14ac:dyDescent="0.3">
      <c r="A426" s="9"/>
      <c r="B426" s="4"/>
      <c r="C426" s="19"/>
      <c r="P426" s="156"/>
    </row>
    <row r="427" spans="1:16" s="8" customFormat="1" x14ac:dyDescent="0.3">
      <c r="A427" s="9"/>
      <c r="B427" s="4"/>
      <c r="C427" s="19"/>
      <c r="P427" s="156"/>
    </row>
    <row r="428" spans="1:16" s="8" customFormat="1" x14ac:dyDescent="0.3">
      <c r="A428" s="9"/>
      <c r="B428" s="4"/>
      <c r="C428" s="19"/>
      <c r="P428" s="156"/>
    </row>
    <row r="429" spans="1:16" s="8" customFormat="1" x14ac:dyDescent="0.3">
      <c r="A429" s="9"/>
      <c r="B429" s="4"/>
      <c r="C429" s="19"/>
      <c r="P429" s="156"/>
    </row>
    <row r="430" spans="1:16" s="8" customFormat="1" x14ac:dyDescent="0.3">
      <c r="A430" s="9"/>
      <c r="B430" s="4"/>
      <c r="C430" s="19"/>
      <c r="P430" s="156"/>
    </row>
    <row r="431" spans="1:16" s="8" customFormat="1" x14ac:dyDescent="0.3">
      <c r="A431" s="9"/>
      <c r="B431" s="4"/>
      <c r="C431" s="19"/>
      <c r="P431" s="156"/>
    </row>
    <row r="432" spans="1:16" s="8" customFormat="1" x14ac:dyDescent="0.3">
      <c r="A432" s="9"/>
      <c r="B432" s="4"/>
      <c r="C432" s="19"/>
      <c r="P432" s="156"/>
    </row>
    <row r="433" spans="1:16" s="8" customFormat="1" x14ac:dyDescent="0.3">
      <c r="A433" s="9"/>
      <c r="B433" s="4"/>
      <c r="C433" s="19"/>
      <c r="P433" s="156"/>
    </row>
    <row r="434" spans="1:16" s="8" customFormat="1" x14ac:dyDescent="0.3">
      <c r="A434" s="9"/>
      <c r="B434" s="4"/>
      <c r="C434" s="19"/>
      <c r="P434" s="156"/>
    </row>
    <row r="435" spans="1:16" s="8" customFormat="1" x14ac:dyDescent="0.3">
      <c r="A435" s="9"/>
      <c r="B435" s="4"/>
      <c r="C435" s="19"/>
      <c r="P435" s="156"/>
    </row>
    <row r="436" spans="1:16" s="8" customFormat="1" x14ac:dyDescent="0.3">
      <c r="A436" s="9"/>
      <c r="B436" s="4"/>
      <c r="C436" s="19"/>
      <c r="P436" s="156"/>
    </row>
    <row r="437" spans="1:16" s="8" customFormat="1" x14ac:dyDescent="0.3">
      <c r="A437" s="9"/>
      <c r="B437" s="4"/>
      <c r="C437" s="19"/>
      <c r="P437" s="156"/>
    </row>
    <row r="438" spans="1:16" s="8" customFormat="1" x14ac:dyDescent="0.3">
      <c r="A438" s="9"/>
      <c r="B438" s="4"/>
      <c r="C438" s="19"/>
      <c r="P438" s="156"/>
    </row>
    <row r="439" spans="1:16" s="8" customFormat="1" x14ac:dyDescent="0.3">
      <c r="A439" s="9"/>
      <c r="B439" s="4"/>
      <c r="C439" s="19"/>
      <c r="P439" s="156"/>
    </row>
    <row r="440" spans="1:16" s="8" customFormat="1" x14ac:dyDescent="0.3">
      <c r="A440" s="9"/>
      <c r="B440" s="4"/>
      <c r="C440" s="19"/>
      <c r="P440" s="156"/>
    </row>
    <row r="441" spans="1:16" s="8" customFormat="1" x14ac:dyDescent="0.3">
      <c r="A441" s="9"/>
      <c r="B441" s="4"/>
      <c r="C441" s="19"/>
      <c r="P441" s="156"/>
    </row>
    <row r="442" spans="1:16" s="8" customFormat="1" x14ac:dyDescent="0.3">
      <c r="A442" s="9"/>
      <c r="B442" s="4"/>
      <c r="C442" s="19"/>
      <c r="P442" s="156"/>
    </row>
    <row r="443" spans="1:16" s="8" customFormat="1" x14ac:dyDescent="0.3">
      <c r="A443" s="9"/>
      <c r="B443" s="4"/>
      <c r="C443" s="19"/>
      <c r="P443" s="156"/>
    </row>
    <row r="444" spans="1:16" s="8" customFormat="1" x14ac:dyDescent="0.3">
      <c r="A444" s="9"/>
      <c r="B444" s="4"/>
      <c r="C444" s="19"/>
      <c r="P444" s="156"/>
    </row>
    <row r="445" spans="1:16" s="8" customFormat="1" x14ac:dyDescent="0.3">
      <c r="A445" s="9"/>
      <c r="B445" s="4"/>
      <c r="C445" s="19"/>
      <c r="P445" s="156"/>
    </row>
    <row r="446" spans="1:16" s="8" customFormat="1" x14ac:dyDescent="0.3">
      <c r="A446" s="9"/>
      <c r="B446" s="4"/>
      <c r="C446" s="19"/>
      <c r="P446" s="156"/>
    </row>
    <row r="447" spans="1:16" s="8" customFormat="1" x14ac:dyDescent="0.3">
      <c r="A447" s="9"/>
      <c r="B447" s="4"/>
      <c r="C447" s="19"/>
      <c r="P447" s="156"/>
    </row>
    <row r="448" spans="1:16" s="8" customFormat="1" x14ac:dyDescent="0.3">
      <c r="A448" s="9"/>
      <c r="B448" s="4"/>
      <c r="C448" s="19"/>
      <c r="P448" s="156"/>
    </row>
    <row r="449" spans="1:16" s="8" customFormat="1" x14ac:dyDescent="0.3">
      <c r="A449" s="9"/>
      <c r="B449" s="4"/>
      <c r="C449" s="19"/>
      <c r="P449" s="156"/>
    </row>
    <row r="450" spans="1:16" s="8" customFormat="1" x14ac:dyDescent="0.3">
      <c r="A450" s="9"/>
      <c r="B450" s="4"/>
      <c r="C450" s="19"/>
      <c r="P450" s="156"/>
    </row>
    <row r="451" spans="1:16" s="8" customFormat="1" x14ac:dyDescent="0.3">
      <c r="A451" s="9"/>
      <c r="B451" s="4"/>
      <c r="C451" s="19"/>
      <c r="P451" s="156"/>
    </row>
    <row r="452" spans="1:16" s="8" customFormat="1" x14ac:dyDescent="0.3">
      <c r="A452" s="9"/>
      <c r="B452" s="4"/>
      <c r="C452" s="19"/>
      <c r="P452" s="156"/>
    </row>
    <row r="453" spans="1:16" s="8" customFormat="1" x14ac:dyDescent="0.3">
      <c r="A453" s="9"/>
      <c r="B453" s="4"/>
      <c r="C453" s="19"/>
      <c r="P453" s="156"/>
    </row>
    <row r="454" spans="1:16" s="8" customFormat="1" x14ac:dyDescent="0.3">
      <c r="A454" s="9"/>
      <c r="B454" s="4"/>
      <c r="C454" s="19"/>
      <c r="P454" s="156"/>
    </row>
    <row r="455" spans="1:16" s="8" customFormat="1" x14ac:dyDescent="0.3">
      <c r="A455" s="9"/>
      <c r="B455" s="4"/>
      <c r="C455" s="19"/>
      <c r="P455" s="156"/>
    </row>
    <row r="456" spans="1:16" s="8" customFormat="1" x14ac:dyDescent="0.3">
      <c r="A456" s="9"/>
      <c r="B456" s="4"/>
      <c r="C456" s="19"/>
      <c r="P456" s="156"/>
    </row>
    <row r="457" spans="1:16" s="8" customFormat="1" x14ac:dyDescent="0.3">
      <c r="A457" s="9"/>
      <c r="B457" s="4"/>
      <c r="C457" s="19"/>
      <c r="P457" s="156"/>
    </row>
    <row r="458" spans="1:16" s="8" customFormat="1" x14ac:dyDescent="0.3">
      <c r="A458" s="9"/>
      <c r="B458" s="4"/>
      <c r="C458" s="19"/>
      <c r="P458" s="156"/>
    </row>
    <row r="459" spans="1:16" s="8" customFormat="1" x14ac:dyDescent="0.3">
      <c r="A459" s="9"/>
      <c r="B459" s="4"/>
      <c r="C459" s="19"/>
      <c r="P459" s="156"/>
    </row>
    <row r="460" spans="1:16" s="8" customFormat="1" x14ac:dyDescent="0.3">
      <c r="A460" s="9"/>
      <c r="B460" s="4"/>
      <c r="C460" s="19"/>
      <c r="P460" s="156"/>
    </row>
    <row r="461" spans="1:16" s="8" customFormat="1" x14ac:dyDescent="0.3">
      <c r="A461" s="9"/>
      <c r="B461" s="4"/>
      <c r="C461" s="19"/>
      <c r="P461" s="156"/>
    </row>
    <row r="462" spans="1:16" s="8" customFormat="1" x14ac:dyDescent="0.3">
      <c r="A462" s="9"/>
      <c r="B462" s="4"/>
      <c r="C462" s="19"/>
      <c r="P462" s="156"/>
    </row>
    <row r="463" spans="1:16" s="8" customFormat="1" x14ac:dyDescent="0.3">
      <c r="A463" s="9"/>
      <c r="B463" s="4"/>
      <c r="C463" s="19"/>
      <c r="P463" s="156"/>
    </row>
    <row r="464" spans="1:16" s="8" customFormat="1" x14ac:dyDescent="0.3">
      <c r="A464" s="9"/>
      <c r="B464" s="4"/>
      <c r="C464" s="19"/>
      <c r="P464" s="156"/>
    </row>
    <row r="465" spans="1:16" s="8" customFormat="1" x14ac:dyDescent="0.3">
      <c r="A465" s="9"/>
      <c r="B465" s="4"/>
      <c r="C465" s="19"/>
      <c r="P465" s="156"/>
    </row>
    <row r="466" spans="1:16" s="8" customFormat="1" x14ac:dyDescent="0.3">
      <c r="A466" s="9"/>
      <c r="B466" s="4"/>
      <c r="C466" s="19"/>
      <c r="P466" s="156"/>
    </row>
    <row r="467" spans="1:16" s="8" customFormat="1" x14ac:dyDescent="0.3">
      <c r="A467" s="9"/>
      <c r="B467" s="4"/>
      <c r="C467" s="19"/>
      <c r="P467" s="156"/>
    </row>
    <row r="468" spans="1:16" s="8" customFormat="1" x14ac:dyDescent="0.3">
      <c r="A468" s="9"/>
      <c r="B468" s="4"/>
      <c r="C468" s="19"/>
      <c r="P468" s="156"/>
    </row>
    <row r="469" spans="1:16" s="8" customFormat="1" x14ac:dyDescent="0.3">
      <c r="A469" s="9"/>
      <c r="B469" s="4"/>
      <c r="C469" s="19"/>
      <c r="P469" s="156"/>
    </row>
    <row r="470" spans="1:16" s="8" customFormat="1" x14ac:dyDescent="0.3">
      <c r="A470" s="9"/>
      <c r="B470" s="4"/>
      <c r="C470" s="19"/>
      <c r="P470" s="156"/>
    </row>
    <row r="471" spans="1:16" s="8" customFormat="1" x14ac:dyDescent="0.3">
      <c r="A471" s="9"/>
      <c r="B471" s="4"/>
      <c r="C471" s="19"/>
      <c r="P471" s="156"/>
    </row>
    <row r="472" spans="1:16" s="8" customFormat="1" x14ac:dyDescent="0.3">
      <c r="A472" s="9"/>
      <c r="B472" s="4"/>
      <c r="C472" s="19"/>
      <c r="P472" s="156"/>
    </row>
    <row r="473" spans="1:16" s="8" customFormat="1" x14ac:dyDescent="0.3">
      <c r="A473" s="9"/>
      <c r="B473" s="4"/>
      <c r="C473" s="19"/>
      <c r="P473" s="156"/>
    </row>
    <row r="474" spans="1:16" s="8" customFormat="1" x14ac:dyDescent="0.3">
      <c r="A474" s="9"/>
      <c r="B474" s="4"/>
      <c r="C474" s="19"/>
      <c r="P474" s="156"/>
    </row>
    <row r="475" spans="1:16" s="8" customFormat="1" x14ac:dyDescent="0.3">
      <c r="A475" s="9"/>
      <c r="B475" s="4"/>
      <c r="C475" s="19"/>
      <c r="P475" s="156"/>
    </row>
    <row r="476" spans="1:16" s="8" customFormat="1" x14ac:dyDescent="0.3">
      <c r="A476" s="9"/>
      <c r="B476" s="4"/>
      <c r="C476" s="19"/>
      <c r="P476" s="156"/>
    </row>
    <row r="477" spans="1:16" s="8" customFormat="1" x14ac:dyDescent="0.3">
      <c r="A477" s="9"/>
      <c r="B477" s="4"/>
      <c r="C477" s="19"/>
      <c r="P477" s="156"/>
    </row>
    <row r="478" spans="1:16" s="8" customFormat="1" x14ac:dyDescent="0.3">
      <c r="A478" s="9"/>
      <c r="B478" s="4"/>
      <c r="C478" s="19"/>
      <c r="P478" s="156"/>
    </row>
    <row r="479" spans="1:16" s="8" customFormat="1" x14ac:dyDescent="0.3">
      <c r="A479" s="9"/>
      <c r="B479" s="4"/>
      <c r="C479" s="19"/>
      <c r="P479" s="156"/>
    </row>
    <row r="480" spans="1:16" s="8" customFormat="1" x14ac:dyDescent="0.3">
      <c r="A480" s="9"/>
      <c r="B480" s="4"/>
      <c r="C480" s="19"/>
      <c r="P480" s="156"/>
    </row>
    <row r="481" spans="1:16" s="8" customFormat="1" x14ac:dyDescent="0.3">
      <c r="A481" s="9"/>
      <c r="B481" s="4"/>
      <c r="C481" s="19"/>
      <c r="P481" s="156"/>
    </row>
    <row r="482" spans="1:16" s="8" customFormat="1" x14ac:dyDescent="0.3">
      <c r="A482" s="9"/>
      <c r="B482" s="4"/>
      <c r="C482" s="19"/>
      <c r="P482" s="156"/>
    </row>
    <row r="483" spans="1:16" s="8" customFormat="1" x14ac:dyDescent="0.3">
      <c r="A483" s="9"/>
      <c r="B483" s="4"/>
      <c r="C483" s="19"/>
      <c r="P483" s="156"/>
    </row>
    <row r="484" spans="1:16" s="8" customFormat="1" x14ac:dyDescent="0.3">
      <c r="A484" s="9"/>
      <c r="B484" s="4"/>
      <c r="C484" s="19"/>
      <c r="P484" s="156"/>
    </row>
    <row r="485" spans="1:16" s="8" customFormat="1" x14ac:dyDescent="0.3">
      <c r="A485" s="9"/>
      <c r="B485" s="4"/>
      <c r="C485" s="19"/>
      <c r="P485" s="156"/>
    </row>
    <row r="486" spans="1:16" s="8" customFormat="1" x14ac:dyDescent="0.3">
      <c r="A486" s="9"/>
      <c r="B486" s="4"/>
      <c r="C486" s="19"/>
      <c r="P486" s="156"/>
    </row>
    <row r="487" spans="1:16" s="8" customFormat="1" x14ac:dyDescent="0.3">
      <c r="A487" s="9"/>
      <c r="B487" s="4"/>
      <c r="C487" s="19"/>
      <c r="P487" s="156"/>
    </row>
    <row r="488" spans="1:16" s="8" customFormat="1" x14ac:dyDescent="0.3">
      <c r="A488" s="9"/>
      <c r="B488" s="4"/>
      <c r="C488" s="19"/>
      <c r="P488" s="156"/>
    </row>
    <row r="489" spans="1:16" s="8" customFormat="1" x14ac:dyDescent="0.3">
      <c r="A489" s="9"/>
      <c r="B489" s="4"/>
      <c r="C489" s="19"/>
      <c r="P489" s="156"/>
    </row>
    <row r="490" spans="1:16" s="8" customFormat="1" x14ac:dyDescent="0.3">
      <c r="A490" s="9"/>
      <c r="B490" s="4"/>
      <c r="C490" s="19"/>
      <c r="P490" s="156"/>
    </row>
    <row r="491" spans="1:16" s="8" customFormat="1" x14ac:dyDescent="0.3">
      <c r="A491" s="9"/>
      <c r="B491" s="4"/>
      <c r="C491" s="19"/>
      <c r="P491" s="156"/>
    </row>
    <row r="492" spans="1:16" s="8" customFormat="1" x14ac:dyDescent="0.3">
      <c r="A492" s="9"/>
      <c r="B492" s="4"/>
      <c r="C492" s="19"/>
      <c r="P492" s="156"/>
    </row>
    <row r="493" spans="1:16" s="8" customFormat="1" x14ac:dyDescent="0.3">
      <c r="A493" s="9"/>
      <c r="B493" s="4"/>
      <c r="C493" s="19"/>
      <c r="P493" s="156"/>
    </row>
    <row r="494" spans="1:16" s="8" customFormat="1" x14ac:dyDescent="0.3">
      <c r="A494" s="9"/>
      <c r="B494" s="4"/>
      <c r="C494" s="19"/>
      <c r="P494" s="156"/>
    </row>
    <row r="495" spans="1:16" s="8" customFormat="1" x14ac:dyDescent="0.3">
      <c r="A495" s="9"/>
      <c r="B495" s="4"/>
      <c r="C495" s="19"/>
      <c r="P495" s="156"/>
    </row>
    <row r="496" spans="1:16" s="8" customFormat="1" x14ac:dyDescent="0.3">
      <c r="A496" s="9"/>
      <c r="B496" s="4"/>
      <c r="C496" s="19"/>
      <c r="P496" s="156"/>
    </row>
    <row r="497" spans="1:16" s="8" customFormat="1" x14ac:dyDescent="0.3">
      <c r="A497" s="9"/>
      <c r="B497" s="4"/>
      <c r="C497" s="19"/>
      <c r="P497" s="156"/>
    </row>
    <row r="498" spans="1:16" s="8" customFormat="1" x14ac:dyDescent="0.3">
      <c r="A498" s="9"/>
      <c r="B498" s="4"/>
      <c r="C498" s="19"/>
      <c r="P498" s="156"/>
    </row>
    <row r="499" spans="1:16" s="8" customFormat="1" x14ac:dyDescent="0.3">
      <c r="A499" s="9"/>
      <c r="B499" s="4"/>
      <c r="C499" s="19"/>
      <c r="P499" s="156"/>
    </row>
    <row r="500" spans="1:16" s="8" customFormat="1" x14ac:dyDescent="0.3">
      <c r="A500" s="9"/>
      <c r="B500" s="4"/>
      <c r="C500" s="19"/>
      <c r="P500" s="156"/>
    </row>
    <row r="501" spans="1:16" s="8" customFormat="1" x14ac:dyDescent="0.3">
      <c r="A501" s="9"/>
      <c r="B501" s="4"/>
      <c r="C501" s="19"/>
      <c r="P501" s="156"/>
    </row>
    <row r="502" spans="1:16" s="8" customFormat="1" x14ac:dyDescent="0.3">
      <c r="A502" s="9"/>
      <c r="B502" s="4"/>
      <c r="C502" s="19"/>
      <c r="P502" s="156"/>
    </row>
    <row r="503" spans="1:16" s="8" customFormat="1" x14ac:dyDescent="0.3">
      <c r="A503" s="9"/>
      <c r="B503" s="4"/>
      <c r="C503" s="19"/>
      <c r="P503" s="156"/>
    </row>
    <row r="504" spans="1:16" s="8" customFormat="1" x14ac:dyDescent="0.3">
      <c r="A504" s="9"/>
      <c r="B504" s="4"/>
      <c r="C504" s="19"/>
      <c r="P504" s="156"/>
    </row>
    <row r="505" spans="1:16" s="8" customFormat="1" x14ac:dyDescent="0.3">
      <c r="A505" s="9"/>
      <c r="B505" s="4"/>
      <c r="C505" s="19"/>
      <c r="P505" s="156"/>
    </row>
    <row r="506" spans="1:16" s="8" customFormat="1" x14ac:dyDescent="0.3">
      <c r="A506" s="9"/>
      <c r="B506" s="4"/>
      <c r="C506" s="19"/>
      <c r="P506" s="156"/>
    </row>
    <row r="507" spans="1:16" s="8" customFormat="1" x14ac:dyDescent="0.3">
      <c r="A507" s="9"/>
      <c r="B507" s="4"/>
      <c r="C507" s="19"/>
      <c r="P507" s="156"/>
    </row>
    <row r="508" spans="1:16" s="8" customFormat="1" x14ac:dyDescent="0.3">
      <c r="A508" s="9"/>
      <c r="B508" s="4"/>
      <c r="C508" s="19"/>
      <c r="P508" s="156"/>
    </row>
    <row r="509" spans="1:16" s="8" customFormat="1" x14ac:dyDescent="0.3">
      <c r="A509" s="9"/>
      <c r="B509" s="4"/>
      <c r="C509" s="19"/>
      <c r="P509" s="156"/>
    </row>
    <row r="510" spans="1:16" s="8" customFormat="1" x14ac:dyDescent="0.3">
      <c r="A510" s="9"/>
      <c r="B510" s="4"/>
      <c r="C510" s="19"/>
      <c r="P510" s="156"/>
    </row>
    <row r="511" spans="1:16" s="8" customFormat="1" x14ac:dyDescent="0.3">
      <c r="A511" s="9"/>
      <c r="B511" s="4"/>
      <c r="C511" s="19"/>
      <c r="P511" s="156"/>
    </row>
    <row r="512" spans="1:16" s="8" customFormat="1" x14ac:dyDescent="0.3">
      <c r="A512" s="9"/>
      <c r="B512" s="4"/>
      <c r="C512" s="19"/>
      <c r="P512" s="156"/>
    </row>
    <row r="513" spans="1:16" s="8" customFormat="1" x14ac:dyDescent="0.3">
      <c r="A513" s="9"/>
      <c r="B513" s="4"/>
      <c r="C513" s="19"/>
      <c r="P513" s="156"/>
    </row>
    <row r="514" spans="1:16" s="8" customFormat="1" x14ac:dyDescent="0.3">
      <c r="A514" s="9"/>
      <c r="B514" s="4"/>
      <c r="C514" s="19"/>
      <c r="P514" s="156"/>
    </row>
    <row r="515" spans="1:16" s="8" customFormat="1" x14ac:dyDescent="0.3">
      <c r="A515" s="9"/>
      <c r="B515" s="4"/>
      <c r="C515" s="19"/>
      <c r="P515" s="156"/>
    </row>
    <row r="516" spans="1:16" s="8" customFormat="1" x14ac:dyDescent="0.3">
      <c r="A516" s="9"/>
      <c r="B516" s="4"/>
      <c r="C516" s="19"/>
      <c r="P516" s="156"/>
    </row>
    <row r="517" spans="1:16" s="8" customFormat="1" x14ac:dyDescent="0.3">
      <c r="A517" s="9"/>
      <c r="B517" s="4"/>
      <c r="C517" s="19"/>
      <c r="P517" s="156"/>
    </row>
    <row r="518" spans="1:16" s="8" customFormat="1" x14ac:dyDescent="0.3">
      <c r="A518" s="9"/>
      <c r="B518" s="4"/>
      <c r="C518" s="19"/>
      <c r="P518" s="156"/>
    </row>
    <row r="519" spans="1:16" s="8" customFormat="1" x14ac:dyDescent="0.3">
      <c r="A519" s="9"/>
      <c r="B519" s="4"/>
      <c r="C519" s="19"/>
      <c r="P519" s="156"/>
    </row>
    <row r="520" spans="1:16" s="8" customFormat="1" x14ac:dyDescent="0.3">
      <c r="A520" s="9"/>
      <c r="B520" s="4"/>
      <c r="C520" s="19"/>
      <c r="P520" s="156"/>
    </row>
    <row r="521" spans="1:16" s="8" customFormat="1" x14ac:dyDescent="0.3">
      <c r="A521" s="9"/>
      <c r="B521" s="4"/>
      <c r="C521" s="19"/>
      <c r="P521" s="156"/>
    </row>
    <row r="522" spans="1:16" s="8" customFormat="1" x14ac:dyDescent="0.3">
      <c r="A522" s="9"/>
      <c r="B522" s="4"/>
      <c r="C522" s="19"/>
      <c r="P522" s="156"/>
    </row>
    <row r="523" spans="1:16" s="8" customFormat="1" x14ac:dyDescent="0.3">
      <c r="A523" s="9"/>
      <c r="B523" s="4"/>
      <c r="C523" s="19"/>
      <c r="P523" s="156"/>
    </row>
    <row r="524" spans="1:16" s="8" customFormat="1" x14ac:dyDescent="0.3">
      <c r="A524" s="9"/>
      <c r="B524" s="4"/>
      <c r="C524" s="19"/>
      <c r="P524" s="156"/>
    </row>
    <row r="525" spans="1:16" s="8" customFormat="1" x14ac:dyDescent="0.3">
      <c r="A525" s="9"/>
      <c r="B525" s="4"/>
      <c r="C525" s="19"/>
      <c r="P525" s="156"/>
    </row>
    <row r="526" spans="1:16" s="8" customFormat="1" x14ac:dyDescent="0.3">
      <c r="A526" s="9"/>
      <c r="B526" s="4"/>
      <c r="C526" s="19"/>
      <c r="P526" s="156"/>
    </row>
    <row r="527" spans="1:16" s="8" customFormat="1" x14ac:dyDescent="0.3">
      <c r="A527" s="9"/>
      <c r="B527" s="4"/>
      <c r="C527" s="19"/>
      <c r="P527" s="156"/>
    </row>
    <row r="528" spans="1:16" s="8" customFormat="1" x14ac:dyDescent="0.3">
      <c r="A528" s="9"/>
      <c r="B528" s="4"/>
      <c r="C528" s="19"/>
      <c r="P528" s="156"/>
    </row>
    <row r="529" spans="1:16" s="8" customFormat="1" x14ac:dyDescent="0.3">
      <c r="A529" s="9"/>
      <c r="B529" s="4"/>
      <c r="C529" s="19"/>
      <c r="P529" s="156"/>
    </row>
    <row r="530" spans="1:16" s="8" customFormat="1" x14ac:dyDescent="0.3">
      <c r="A530" s="9"/>
      <c r="B530" s="4"/>
      <c r="C530" s="19"/>
      <c r="P530" s="156"/>
    </row>
    <row r="531" spans="1:16" s="8" customFormat="1" x14ac:dyDescent="0.3">
      <c r="A531" s="9"/>
      <c r="B531" s="4"/>
      <c r="C531" s="19"/>
      <c r="P531" s="156"/>
    </row>
    <row r="532" spans="1:16" s="8" customFormat="1" x14ac:dyDescent="0.3">
      <c r="A532" s="9"/>
      <c r="B532" s="4"/>
      <c r="C532" s="19"/>
      <c r="P532" s="156"/>
    </row>
    <row r="533" spans="1:16" s="8" customFormat="1" x14ac:dyDescent="0.3">
      <c r="A533" s="9"/>
      <c r="B533" s="4"/>
      <c r="C533" s="19"/>
      <c r="P533" s="156"/>
    </row>
    <row r="534" spans="1:16" s="8" customFormat="1" x14ac:dyDescent="0.3">
      <c r="A534" s="9"/>
      <c r="B534" s="4"/>
      <c r="C534" s="19"/>
      <c r="P534" s="156"/>
    </row>
    <row r="535" spans="1:16" s="8" customFormat="1" x14ac:dyDescent="0.3">
      <c r="A535" s="9"/>
      <c r="B535" s="4"/>
      <c r="C535" s="19"/>
      <c r="P535" s="156"/>
    </row>
    <row r="536" spans="1:16" s="8" customFormat="1" x14ac:dyDescent="0.3">
      <c r="A536" s="9"/>
      <c r="B536" s="4"/>
      <c r="C536" s="19"/>
      <c r="P536" s="156"/>
    </row>
    <row r="537" spans="1:16" s="8" customFormat="1" x14ac:dyDescent="0.3">
      <c r="A537" s="9"/>
      <c r="B537" s="4"/>
      <c r="C537" s="19"/>
      <c r="P537" s="156"/>
    </row>
    <row r="538" spans="1:16" s="8" customFormat="1" x14ac:dyDescent="0.3">
      <c r="A538" s="9"/>
      <c r="B538" s="4"/>
      <c r="C538" s="19"/>
      <c r="P538" s="156"/>
    </row>
    <row r="539" spans="1:16" s="8" customFormat="1" x14ac:dyDescent="0.3">
      <c r="A539" s="9"/>
      <c r="B539" s="4"/>
      <c r="C539" s="19"/>
      <c r="P539" s="156"/>
    </row>
    <row r="540" spans="1:16" s="8" customFormat="1" x14ac:dyDescent="0.3">
      <c r="A540" s="9"/>
      <c r="B540" s="4"/>
      <c r="C540" s="19"/>
      <c r="P540" s="156"/>
    </row>
    <row r="541" spans="1:16" s="8" customFormat="1" x14ac:dyDescent="0.3">
      <c r="A541" s="9"/>
      <c r="B541" s="4"/>
      <c r="C541" s="19"/>
      <c r="P541" s="156"/>
    </row>
    <row r="542" spans="1:16" s="8" customFormat="1" x14ac:dyDescent="0.3">
      <c r="A542" s="9"/>
      <c r="B542" s="4"/>
      <c r="C542" s="19"/>
      <c r="P542" s="156"/>
    </row>
    <row r="543" spans="1:16" s="8" customFormat="1" x14ac:dyDescent="0.3">
      <c r="A543" s="9"/>
      <c r="B543" s="4"/>
      <c r="C543" s="19"/>
      <c r="P543" s="156"/>
    </row>
    <row r="544" spans="1:16" s="8" customFormat="1" x14ac:dyDescent="0.3">
      <c r="A544" s="9"/>
      <c r="B544" s="4"/>
      <c r="C544" s="19"/>
      <c r="P544" s="156"/>
    </row>
    <row r="545" spans="1:16" s="8" customFormat="1" x14ac:dyDescent="0.3">
      <c r="A545" s="9"/>
      <c r="B545" s="4"/>
      <c r="C545" s="19"/>
      <c r="P545" s="156"/>
    </row>
    <row r="546" spans="1:16" s="8" customFormat="1" x14ac:dyDescent="0.3">
      <c r="A546" s="9"/>
      <c r="B546" s="4"/>
      <c r="C546" s="19"/>
      <c r="P546" s="156"/>
    </row>
    <row r="547" spans="1:16" s="8" customFormat="1" x14ac:dyDescent="0.3">
      <c r="A547" s="9"/>
      <c r="B547" s="4"/>
      <c r="C547" s="19"/>
      <c r="P547" s="156"/>
    </row>
    <row r="548" spans="1:16" s="8" customFormat="1" x14ac:dyDescent="0.3">
      <c r="A548" s="9"/>
      <c r="B548" s="4"/>
      <c r="C548" s="19"/>
      <c r="P548" s="156"/>
    </row>
    <row r="549" spans="1:16" s="8" customFormat="1" x14ac:dyDescent="0.3">
      <c r="A549" s="9"/>
      <c r="B549" s="4"/>
      <c r="C549" s="19"/>
      <c r="P549" s="156"/>
    </row>
    <row r="550" spans="1:16" s="8" customFormat="1" x14ac:dyDescent="0.3">
      <c r="A550" s="9"/>
      <c r="B550" s="4"/>
      <c r="C550" s="19"/>
      <c r="P550" s="156"/>
    </row>
    <row r="551" spans="1:16" s="8" customFormat="1" x14ac:dyDescent="0.3">
      <c r="A551" s="9"/>
      <c r="B551" s="4"/>
      <c r="C551" s="19"/>
      <c r="P551" s="156"/>
    </row>
    <row r="552" spans="1:16" s="8" customFormat="1" x14ac:dyDescent="0.3">
      <c r="A552" s="9"/>
      <c r="B552" s="4"/>
      <c r="C552" s="19"/>
      <c r="P552" s="156"/>
    </row>
    <row r="553" spans="1:16" s="8" customFormat="1" x14ac:dyDescent="0.3">
      <c r="A553" s="9"/>
      <c r="B553" s="4"/>
      <c r="C553" s="19"/>
      <c r="P553" s="156"/>
    </row>
    <row r="554" spans="1:16" s="8" customFormat="1" x14ac:dyDescent="0.3">
      <c r="A554" s="9"/>
      <c r="B554" s="4"/>
      <c r="C554" s="19"/>
      <c r="P554" s="156"/>
    </row>
    <row r="555" spans="1:16" s="8" customFormat="1" x14ac:dyDescent="0.3">
      <c r="A555" s="9"/>
      <c r="B555" s="4"/>
      <c r="C555" s="19"/>
      <c r="P555" s="156"/>
    </row>
    <row r="556" spans="1:16" s="8" customFormat="1" x14ac:dyDescent="0.3">
      <c r="A556" s="9"/>
      <c r="B556" s="4"/>
      <c r="C556" s="19"/>
      <c r="P556" s="156"/>
    </row>
    <row r="557" spans="1:16" s="8" customFormat="1" x14ac:dyDescent="0.3">
      <c r="A557" s="9"/>
      <c r="B557" s="4"/>
      <c r="C557" s="19"/>
      <c r="P557" s="156"/>
    </row>
    <row r="558" spans="1:16" s="8" customFormat="1" x14ac:dyDescent="0.3">
      <c r="A558" s="9"/>
      <c r="B558" s="4"/>
      <c r="C558" s="19"/>
      <c r="P558" s="156"/>
    </row>
    <row r="559" spans="1:16" s="8" customFormat="1" x14ac:dyDescent="0.3">
      <c r="A559" s="9"/>
      <c r="B559" s="4"/>
      <c r="C559" s="19"/>
      <c r="P559" s="156"/>
    </row>
    <row r="560" spans="1:16" s="8" customFormat="1" x14ac:dyDescent="0.3">
      <c r="A560" s="9"/>
      <c r="B560" s="4"/>
      <c r="C560" s="19"/>
      <c r="P560" s="156"/>
    </row>
    <row r="561" spans="1:16" s="8" customFormat="1" x14ac:dyDescent="0.3">
      <c r="A561" s="9"/>
      <c r="B561" s="4"/>
      <c r="C561" s="19"/>
      <c r="P561" s="156"/>
    </row>
    <row r="562" spans="1:16" s="8" customFormat="1" x14ac:dyDescent="0.3">
      <c r="A562" s="9"/>
      <c r="B562" s="4"/>
      <c r="C562" s="19"/>
      <c r="P562" s="156"/>
    </row>
    <row r="563" spans="1:16" s="8" customFormat="1" x14ac:dyDescent="0.3">
      <c r="A563" s="9"/>
      <c r="B563" s="4"/>
      <c r="C563" s="19"/>
      <c r="P563" s="156"/>
    </row>
    <row r="564" spans="1:16" s="8" customFormat="1" x14ac:dyDescent="0.3">
      <c r="A564" s="9"/>
      <c r="B564" s="4"/>
      <c r="C564" s="19"/>
      <c r="P564" s="156"/>
    </row>
    <row r="565" spans="1:16" s="8" customFormat="1" x14ac:dyDescent="0.3">
      <c r="A565" s="9"/>
      <c r="B565" s="4"/>
      <c r="C565" s="19"/>
      <c r="P565" s="156"/>
    </row>
    <row r="566" spans="1:16" s="8" customFormat="1" x14ac:dyDescent="0.3">
      <c r="A566" s="9"/>
      <c r="B566" s="4"/>
      <c r="C566" s="19"/>
      <c r="P566" s="156"/>
    </row>
    <row r="567" spans="1:16" s="8" customFormat="1" x14ac:dyDescent="0.3">
      <c r="A567" s="9"/>
      <c r="B567" s="4"/>
      <c r="C567" s="19"/>
      <c r="P567" s="156"/>
    </row>
    <row r="568" spans="1:16" s="8" customFormat="1" x14ac:dyDescent="0.3">
      <c r="A568" s="9"/>
      <c r="B568" s="4"/>
      <c r="C568" s="19"/>
      <c r="P568" s="156"/>
    </row>
    <row r="569" spans="1:16" s="8" customFormat="1" x14ac:dyDescent="0.3">
      <c r="A569" s="9"/>
      <c r="B569" s="4"/>
      <c r="C569" s="19"/>
      <c r="P569" s="156"/>
    </row>
  </sheetData>
  <mergeCells count="20"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  <mergeCell ref="A250:C250"/>
    <mergeCell ref="A248:C248"/>
    <mergeCell ref="B9:B11"/>
    <mergeCell ref="C9:C11"/>
    <mergeCell ref="A9:A11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1</vt:lpstr>
      <vt:lpstr>дод 2</vt:lpstr>
      <vt:lpstr>'дод 1'!Заголовки_для_печати</vt:lpstr>
      <vt:lpstr>'дод 2'!Заголовки_для_печати</vt:lpstr>
      <vt:lpstr>'дод 1'!Область_печати</vt:lpstr>
      <vt:lpstr>'дод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Пасиленко Ганна Михайлівна</cp:lastModifiedBy>
  <cp:lastPrinted>2019-12-27T07:39:18Z</cp:lastPrinted>
  <dcterms:created xsi:type="dcterms:W3CDTF">2014-01-17T10:52:16Z</dcterms:created>
  <dcterms:modified xsi:type="dcterms:W3CDTF">2019-12-28T10:23:05Z</dcterms:modified>
</cp:coreProperties>
</file>