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90" activeTab="2"/>
  </bookViews>
  <sheets>
    <sheet name="Додаток 1" sheetId="1" r:id="rId1"/>
    <sheet name="Додаток 2" sheetId="2" r:id="rId2"/>
    <sheet name="Додаток 3" sheetId="3" r:id="rId3"/>
  </sheets>
  <definedNames>
    <definedName name="_xlnm.Print_Titles" localSheetId="1">'Додаток 2'!$7:$10</definedName>
    <definedName name="_xlnm.Print_Titles" localSheetId="2">'Додаток 3'!$7:$10</definedName>
    <definedName name="_xlnm.Print_Area" localSheetId="0">'Додаток 1'!$A$1:$C$29</definedName>
    <definedName name="_xlnm.Print_Area" localSheetId="1">'Додаток 2'!$A$1:$K$143</definedName>
    <definedName name="_xlnm.Print_Area" localSheetId="2">'Додаток 3'!$A$1:$K$271</definedName>
  </definedNames>
  <calcPr fullCalcOnLoad="1"/>
</workbook>
</file>

<file path=xl/comments2.xml><?xml version="1.0" encoding="utf-8"?>
<comments xmlns="http://schemas.openxmlformats.org/spreadsheetml/2006/main">
  <authors>
    <author>Admin</author>
  </authors>
  <commentList>
    <comment ref="H38" authorId="0">
      <text>
        <r>
          <rPr>
            <b/>
            <sz val="9"/>
            <rFont val="Tahoma"/>
            <family val="2"/>
          </rPr>
          <t>Admin:</t>
        </r>
        <r>
          <rPr>
            <sz val="9"/>
            <rFont val="Tahoma"/>
            <family val="2"/>
          </rPr>
          <t xml:space="preserve">
1500 дотация</t>
        </r>
      </text>
    </comment>
  </commentList>
</comments>
</file>

<file path=xl/sharedStrings.xml><?xml version="1.0" encoding="utf-8"?>
<sst xmlns="http://schemas.openxmlformats.org/spreadsheetml/2006/main" count="657" uniqueCount="321">
  <si>
    <t>Разом</t>
  </si>
  <si>
    <t>Додаток 1</t>
  </si>
  <si>
    <t>№ з/п</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</si>
  <si>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</si>
  <si>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</si>
  <si>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</si>
  <si>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</si>
  <si>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</si>
  <si>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</si>
  <si>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t>Додаток 3</t>
  </si>
  <si>
    <t>Додаток 2</t>
  </si>
  <si>
    <t>Підпрограма 1. СПРИЯННЯ ПОКРАЩЕННЮ НАДАННЯ ПЕРВИННОЇ МЕДИКО-САНІТАРНОЇ ДОПОМОГИ НАСЕЛЕННЮ М. СУМИ</t>
  </si>
  <si>
    <t>Покращення догляду за тяжкохворими у домашніх умовах та адаптування їх до самообслуговування.                                             Раннє виявлення туберкульозу у дітей та підлітків</t>
  </si>
  <si>
    <t>Забезпечення надання вторинної (амбулаторної та стаціонарної) медичної допомоги у повному обсязі відповідно до галузевих стандартів</t>
  </si>
  <si>
    <t>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Покращення діагностики захворювань у ургентних хворих методами КТ та МРТ</t>
  </si>
  <si>
    <t>Забезпечення ефективних механізмів мотивації працівників</t>
  </si>
  <si>
    <t>Забезпечення комфортного перебування у закладі охорони здоров’я працівників та пацієнтів</t>
  </si>
  <si>
    <t xml:space="preserve">Забезпечення  закладу обладнанням, інвентарем, господарськими засобами, меблями тощо.                                                                    Забезпечення харчуванням хворих, які перебувають на стаціонарному лікуванні.  </t>
  </si>
  <si>
    <t xml:space="preserve">1.1. Забезпечення лікарськими засобами хворих на цукровий та нецукровий діабет </t>
  </si>
  <si>
    <t>Забезпечення хворих на цукровий та нецукровий діабет необхідними лікарськими засобами, попередження розвитку ускладнень</t>
  </si>
  <si>
    <t>2.1. Забезпечення хворих за рецептами лікарів препаратами для лікування захворювань за програмою "Доступні ліки"</t>
  </si>
  <si>
    <t>Забезпечення хворих необхідними лікарськими засобами, попередження розвитку ускладнень, зниження показників інвалідності та смертності</t>
  </si>
  <si>
    <t xml:space="preserve"> 1.1. Придбання лікарських засобів та витратних матеріалів для лікування та видалення зубів мешканцям м. Суми</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</si>
  <si>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</si>
  <si>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</si>
  <si>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</si>
  <si>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</si>
  <si>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</si>
  <si>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</si>
  <si>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</si>
  <si>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</si>
  <si>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</si>
  <si>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Забезпечення виконання соціальних гарантій для пільгових категорій населення</t>
  </si>
  <si>
    <t>Придбання медикаментів та перев’язувальних матеріалів</t>
  </si>
  <si>
    <t>Видатки на оплату вартості комунальних послуг та енергоносіїв</t>
  </si>
  <si>
    <t xml:space="preserve"> Капітальні видатки</t>
  </si>
  <si>
    <t>Орієнтовні обсяги фінансування, тис.грн.</t>
  </si>
  <si>
    <t>всього</t>
  </si>
  <si>
    <t>у т.ч. по роках</t>
  </si>
  <si>
    <t>2021 (прогноз)</t>
  </si>
  <si>
    <t xml:space="preserve">Забезпечення виконання державних гарантій, попередження розвитку необоротних ускладнень та продовження тривалості і якості життя населення                                                                 </t>
  </si>
  <si>
    <t>Відділ охорони здоров’я Сумської міської ради</t>
  </si>
  <si>
    <t>2019-2021 роки</t>
  </si>
  <si>
    <t>Забезпечення комфортного перебування у закладі охорони здоров’я пацієнтів та працівників</t>
  </si>
  <si>
    <t xml:space="preserve">Підпрограма 2. РОЗВИТОК МЕРЕЖІ ЗАКЛАДІВ ОХОРОНИ ЗДОРОВ'Я, ЯКІ НАДАЮТЬ ВТОРИННУ (СПЕЦІАЛІЗОВАНУ) МЕДИЧНУ ДОПОМОГУ НАСЕЛЕННЮ </t>
  </si>
  <si>
    <t>УСЬОГО</t>
  </si>
  <si>
    <t>у тому числі</t>
  </si>
  <si>
    <t>Придбання медикаментів, реактивів, витратних матеріалів та перев’язувальних засобів</t>
  </si>
  <si>
    <t>Інші видатки для забезпечення стабільного функціонування закладів при наданні медичної допомоги населенню</t>
  </si>
  <si>
    <t>Оплата праці та нарахування на заробітну плату</t>
  </si>
  <si>
    <t xml:space="preserve">Кошти державного бюджету (медична субвенція, загальний  фонд) </t>
  </si>
  <si>
    <t>1.1. Забезпечення вагітних, роділь, породіль та новонароджених та гінекологічних хворих лікарськими засобами відповідно до Національного переліку (постанова КМУ від 16.03.2017 № 180)                                                            1.2. Придбання засобів контрацепції для жінок з малозабезпечених родин, підлітків та жінок, у яких вагітність та пологи загрожують життю                                                        1.3. Проведення необхідних лабораторних обстежень жінкам та новонародженим дітям згідно клінічних протоколів                                                                         1.4. Придбання лікарських засобів та медичних виробів для зупинки акушерських кровотеч                                                          1.5. Придбання антирезусних імуноглобулінів для профілактики гемолітичної хвороби новонароджених                                                              1.6. Забезпечення новонароджених препаратами для лікування геморагічної хвороби</t>
  </si>
  <si>
    <t>Підпрограма 3. ОХОРОНА МАТЕРИНСТВА ТА ДИТИНСТВА</t>
  </si>
  <si>
    <t>Пільгове зубопротезування</t>
  </si>
  <si>
    <t xml:space="preserve"> Придбання медикаментів, реактивів, витратних матеріалів та перев’язувальних засобів</t>
  </si>
  <si>
    <t>Капітальні видатки</t>
  </si>
  <si>
    <t>Підпрограма 4. НАДАННЯ СТОМАТОЛОГІЧНОЇ ДОПОМОГИ НАСЕЛЕННЮ МІСТА</t>
  </si>
  <si>
    <t>Забезпечення відшкодування витрат, пов’язаних з відпуском медикаментів за Урядовою програмою "Доступні ліки"</t>
  </si>
  <si>
    <t>Підпрограма 5. ПРОГРАМНІ ТА ЦЕНТРАЛІЗОВАНІ ЗАХОДИ У ГАЛУЗІ "ОХОРОНА ЗДОРОВ'Я"</t>
  </si>
  <si>
    <t xml:space="preserve">Забезпечення відшкодування витрат, пов’язаних з відпуском препаратів інсуліну  </t>
  </si>
  <si>
    <t>1.1. Забезпечення ведення бухгалтерського обліку закладів та установ освіти, складання та надання кошторисної, звітної, фінансової документації, фінансування установ згідно з затвердженими кошторисами</t>
  </si>
  <si>
    <t xml:space="preserve">1. </t>
  </si>
  <si>
    <t xml:space="preserve">Стабільне фінансування закладів </t>
  </si>
  <si>
    <t>бюджетних програм до комплексної міської Програми</t>
  </si>
  <si>
    <t>Напрями діяльності  (підпрограми), завдання та заходи комплексної міської  Програми "Охорона здоров'я м. Суми на 2019-2021 роки"</t>
  </si>
  <si>
    <t>6.1. Придбання обладнання довгострокового користування                                                              6.2. Капітальні ремонти приміщень</t>
  </si>
  <si>
    <t>Підпрограма 6. АНАЛІТИЧНА ЗВІТНІСТЬ, ЦЕНТРАЛІЗОВАНИЙ БУХГАЛТЕРСКИЙ ТА ФІНАНСОВИЙ ОБЛІК У  У ГАЛУЗІ "ОХОРОНА ЗДОРОВ'Я"</t>
  </si>
  <si>
    <t xml:space="preserve"> грн</t>
  </si>
  <si>
    <t>Мета, КПКВК, завдання та результативні показники Програми</t>
  </si>
  <si>
    <t>Код програмної класифікації видатків та кредитування (КПКВК)</t>
  </si>
  <si>
    <t>2021рік (прогноз)</t>
  </si>
  <si>
    <t>в тому числі</t>
  </si>
  <si>
    <t>Загальний фонд</t>
  </si>
  <si>
    <t>Спеціальний фонд</t>
  </si>
  <si>
    <t>Всього на виконання підпрограми, грн</t>
  </si>
  <si>
    <t>Показники виконання:</t>
  </si>
  <si>
    <t>Показник продукту:</t>
  </si>
  <si>
    <t xml:space="preserve">кількість проведених капітальних ремонтів </t>
  </si>
  <si>
    <t>Показник ефективності:</t>
  </si>
  <si>
    <t>Показник якості:</t>
  </si>
  <si>
    <t>Дотримання вимог законодавства щодо ведення бухгалтерського обліку, забезпечення фінансування профілактично-лікувальних закладів, контроль за веденням бухгалтерського обліку та звітності установ</t>
  </si>
  <si>
    <t>Мета програми: збереження та зміцнення здоров’я мешканців міста, підвищення ефективності заходів, спрямованих на профілактику захворювань, зниження рівнів захворюваності, інвалідності і смертності населення, підвищення якості та ефективності надання медичної допомоги, підвищення якості життя забезпечення захисту прав громадян на охорону здоров’я</t>
  </si>
  <si>
    <t xml:space="preserve">Мета: </t>
  </si>
  <si>
    <t>КПКВК 712111</t>
  </si>
  <si>
    <t>Придбання обладнання довгострокового користування</t>
  </si>
  <si>
    <t>Капітальний ремонт будівель, приміщень, інженерних мереж, території</t>
  </si>
  <si>
    <t>Показник затрат:</t>
  </si>
  <si>
    <t>кількість  установ, од.</t>
  </si>
  <si>
    <t>кількість штатних посад лікарів, осіб.</t>
  </si>
  <si>
    <t>кількість обладнання для придбання, од.</t>
  </si>
  <si>
    <t>середні витрати на  1 особу пільгової категорії, грн.</t>
  </si>
  <si>
    <t>КПКВК 712010</t>
  </si>
  <si>
    <t>чисельність осіб, які потребують проведення гемодіалізу</t>
  </si>
  <si>
    <t>Придбання медикаментів, реактивів, витратних матеріалів та перев’язувальних засобів:</t>
  </si>
  <si>
    <t>в т.ч. вартість медикаментів та витратного матеріалу на проведення гемодіалізу</t>
  </si>
  <si>
    <t>КПКВК 712030</t>
  </si>
  <si>
    <t>зниження показника летальності,%</t>
  </si>
  <si>
    <t>кількість ліжок, од.</t>
  </si>
  <si>
    <t>кількість породіль, осіб</t>
  </si>
  <si>
    <t>кількість новонароджених, осіб</t>
  </si>
  <si>
    <t>кількість відвідувань жіночих консультацій, од.</t>
  </si>
  <si>
    <t>середня тривалість перебування породіль у пологовому будинку, днів</t>
  </si>
  <si>
    <t>кількість породіль на одного лікаря, осіб</t>
  </si>
  <si>
    <t>зниження кількості кесарських розтинів по відношенню до загальної чисельності пологів, %</t>
  </si>
  <si>
    <t>середні видатки на придбання одиниці обладнання, грн.</t>
  </si>
  <si>
    <t>середня вартість капітального ремонту, грн.</t>
  </si>
  <si>
    <t>Забезпечення надання стоматололгічної допомоги у повному обсязі відповідно до галузевих стандартів</t>
  </si>
  <si>
    <t>КПКВК 712100</t>
  </si>
  <si>
    <t>кількість лікарських відвідувань, од.</t>
  </si>
  <si>
    <t>чисельність осіб, яким проведено планова санація, осіб</t>
  </si>
  <si>
    <t>кількість протезувань, од.</t>
  </si>
  <si>
    <t xml:space="preserve">кількість пролікованих пацієнтів, осіб    </t>
  </si>
  <si>
    <t>збільшення питомої ваги санованих до потребуючих санації, %</t>
  </si>
  <si>
    <t>кількість пролікованих пацієнтів на одного лікаря-  стоматолога, од.</t>
  </si>
  <si>
    <t>кількість протезувань на одного лікаря- стоматолога, од.</t>
  </si>
  <si>
    <t>Забезпечення  необхідними лікарськими засобами, попередження розвитку ускладнень</t>
  </si>
  <si>
    <t>видатки на забезпечення медикаментами хворих на цукровий діабет, тис.грн.</t>
  </si>
  <si>
    <t>кількість хворих на цукровий діабет, що забезпечуються препаратами інсуліна, осіб</t>
  </si>
  <si>
    <t>КПКВК 0712151</t>
  </si>
  <si>
    <t>кількість установ, од.</t>
  </si>
  <si>
    <t>кількість штатних одиниць, од.</t>
  </si>
  <si>
    <t>кількість медичних закладів, які обслуговує централізована бухгалтерія, од.</t>
  </si>
  <si>
    <t>кількість складених звітів працівниками  бухгалтерії, од.</t>
  </si>
  <si>
    <t>кількість рахунків, од.</t>
  </si>
  <si>
    <t>кількість рахунків на одного працівника, од.</t>
  </si>
  <si>
    <t>1.</t>
  </si>
  <si>
    <t>Стоматологічна допомога населенню</t>
  </si>
  <si>
    <t xml:space="preserve"> Лікарсько-акушерська допомога вагітним, породіллям та новонародженим</t>
  </si>
  <si>
    <t>кількість складених звітів на одного працівника бухгалтерії, од.</t>
  </si>
  <si>
    <t>кількість звітних форм та інформацій на одного працівника , од.</t>
  </si>
  <si>
    <t>кількість проведення статистичних ревізій, од.</t>
  </si>
  <si>
    <t>кількість аналітичних довідок, письмових роз'яснень, іншої інформації на одного працівника, од.</t>
  </si>
  <si>
    <t xml:space="preserve"> Інші програми та  заходи у сфері охорони здоров'я</t>
  </si>
  <si>
    <t xml:space="preserve"> Забезпечення діяльності інших закладів у сфері охорони здоров’я</t>
  </si>
  <si>
    <t>Первинна медична допомога населенню, що надається центрами первинної медичної (медико-санітарної) допомоги</t>
  </si>
  <si>
    <t xml:space="preserve">  Багатопрофільна стаціонарна медична допомога населенню</t>
  </si>
  <si>
    <t xml:space="preserve">Результативні показники виконання завдань комплексної міської Програми «Охорона здоров'я  м. Суми на 2019-2021 роки» 
</t>
  </si>
  <si>
    <t xml:space="preserve">Надання медичної допомоги учасникам АТО </t>
  </si>
  <si>
    <t xml:space="preserve">Підвищення рівня соціальної захищеності  учасників антитерористичної операції </t>
  </si>
  <si>
    <t>АТО</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</si>
  <si>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</si>
  <si>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тому числі для проведення скринінгових обстежень                                                                                        3.4. Соціальне забезпечення та ін.</t>
  </si>
  <si>
    <t>чисельність учасників АТО, осіб</t>
  </si>
  <si>
    <t>середні витрати на  1 особу учасника АТО, грн.</t>
  </si>
  <si>
    <t>Надання медичної допомоги учасникам АТО</t>
  </si>
  <si>
    <t>середні витрати на медикаменти на  1 ліжко-день, грн.</t>
  </si>
  <si>
    <t>кількість випадків материнської смертності,%</t>
  </si>
  <si>
    <t>зниження або утримання на рівні до 6 ‰ перинатальної смертності новонароджених, %</t>
  </si>
  <si>
    <t>Стабілізація та зниження показника інвалідності дорослого населення на 10 тис.  населення, осіб</t>
  </si>
  <si>
    <t>Рівень виявлення захворюваності на 100 тис. населення, осіб</t>
  </si>
  <si>
    <t>забезпечення зубопротезування учасникам АТО, %</t>
  </si>
  <si>
    <t>забезпеченість хворих за Урядовою програмою "Доступні ліки", %</t>
  </si>
  <si>
    <t>забезпеченість хворих на цукровий діабет препаратами інсуліну, %</t>
  </si>
  <si>
    <t>кількість хворих на Д-обліку , що забезпечуються  за Урядовою програмою "Доступні ліки", осіб</t>
  </si>
  <si>
    <t>Підпрограма 7. ІНШІ ПРОГРАМИ ТА ЗАХОДИ У СФЕРІ ОХОРОНИ ЗДОРОВ'Я</t>
  </si>
  <si>
    <t>1.1. Забезпечення  зубопротезуванням осіб пільгових категорій м.Суми</t>
  </si>
  <si>
    <t>3.1. Придбання предметів, обладнання, матеріалів та інвентарю                                                                    3.2. Забезпечення харчуванням хворих при стаціонарному лікуванні                                                                            3.3. Оплата послуг (крім комунальних), в т. ч. на проведення хворим обстеження методами КТ та МРТ                                                                                                                                                                               3.4. Видатки на відрядження та навчання                                      3.5. Соціальне забезпечення та інше</t>
  </si>
  <si>
    <t>4.1. Забезпечення виплати заробітної плати працівникам закладів охорони здоров’я                                                                         4.2. Нарахування на заробітну плату</t>
  </si>
  <si>
    <t>3.1. Придбання предметів, обладнання, матеріалів та інвентарю                                                                       3.2.Оплата послуг (крім комунальних)                                       3.3. Видатки на відрядження                                                                                     3.4. Соціальне забезпечення та ін.</t>
  </si>
  <si>
    <t>4.1. Забезпечення виплати заробітної плати працівникам закладів охорони здоров’я                                                                       4.2. Нарахування на заробітну плату</t>
  </si>
  <si>
    <t>6.1. Придбання обладнання довгострокового користування                                                            6.2. Капітальні ремонти приміщень</t>
  </si>
  <si>
    <t>Проведення безкоштовного  зубопротезування особам пільгових категорій</t>
  </si>
  <si>
    <t>КПКВК 0712152</t>
  </si>
  <si>
    <t xml:space="preserve">черга громадян, які мають отримувати пільгове зубне протезування </t>
  </si>
  <si>
    <t>Забезпеченя надання громадянам  послуг по зубопротезуванню на пільгових умовах</t>
  </si>
  <si>
    <t>видатки на забезпечення надання громадянам  послуг по зубопротезуванню на пільгових умовах, тис.грн.</t>
  </si>
  <si>
    <t>кількість громадян, яким надані послуги по зубопротезуванню на пільгових умовах, осіб</t>
  </si>
  <si>
    <t>питома вага осіб, що отримали  пільгове зубопротезування, до загальної  кількості  осіб, що перебувають  на черзі на пільгове зубопротезування, %</t>
  </si>
  <si>
    <t>Надання своєчасної та гарантованої державою медичної допомоги</t>
  </si>
  <si>
    <t>середні видатки на придбання одиниці обладнання, тис.грн.</t>
  </si>
  <si>
    <t>середня вартість капітального ремонту, тис.грн.</t>
  </si>
  <si>
    <t>кількість одиниць необхідного обладнання, од.</t>
  </si>
  <si>
    <t>Питома вага придбаного обладнання до загальної кількості необхідного обладнання,%</t>
  </si>
  <si>
    <t>кількість лікарських відвідувань до лікарів первинної медичної допомоги, тис.од.</t>
  </si>
  <si>
    <t>середня кількість відвідувань на одного лікаря, який надає первинну медичну допомогу,од.</t>
  </si>
  <si>
    <t>у т.ч. кількість штатних посад лікарів, які надають первинну медичну допомогу</t>
  </si>
  <si>
    <t>кількість прикріпленого населення на 1 лікаря, який надає первинну медичну допомогу, од.</t>
  </si>
  <si>
    <t>кількість осіб пільгової категорії, осіб</t>
  </si>
  <si>
    <t>кількість прикріпленого населення , тис. осіб</t>
  </si>
  <si>
    <t>Забезпечення повноти охоплення профілактичними щепленями,%</t>
  </si>
  <si>
    <t>середня вартість медикаментів та витратного матеріалу на проведення гемодіалізу з розрахунку на одного хворого, тис. грн.</t>
  </si>
  <si>
    <t>відсоток осіб, забезпечених гемодіалізом до потреби, %</t>
  </si>
  <si>
    <t>питома вага придбаного обладнання до загальної кількості необхідного обладнання,%</t>
  </si>
  <si>
    <t>рівень виявлення онкозахворювань на ранніх стадіях,%</t>
  </si>
  <si>
    <t>зниження рівня захворюваності порівняно з попереднім роком,%</t>
  </si>
  <si>
    <t>Забезпечення надання належної лікарсько-акушерської допомоги вагітним, роділлям, породіллям та новонародженим</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</si>
  <si>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</si>
  <si>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</si>
  <si>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</si>
  <si>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</si>
  <si>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</si>
  <si>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4.1. Придбання предметів, обладнання, матеріалів та інвентарю   </t>
  </si>
  <si>
    <t xml:space="preserve">5.1.Придбання обладнання довгострокового користування                                                     5.2. Капітальні ремонти приміщень                         </t>
  </si>
  <si>
    <t>2019 рік</t>
  </si>
  <si>
    <t xml:space="preserve">Забезпечення  закладу обладнанням, інвентарем, господарськими засобами, меблями тощо.   </t>
  </si>
  <si>
    <t xml:space="preserve">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t>
  </si>
  <si>
    <t>4.1. Забезпечення комп'ютерною  та оргтехнікою робочого місця лікаря в лікувальних закладах міста</t>
  </si>
  <si>
    <t xml:space="preserve">Підвищення рівня соціальної захищеності членів сімей загиблих (померлих)  учасників антитерористичної операції </t>
  </si>
  <si>
    <t xml:space="preserve">Оновлення матеріально-технічної бази закладів та впровадження сучасних діагностичних та лікувальних технололгій. </t>
  </si>
  <si>
    <t>Придбання обладнанняв рамках здійсненняі заходів щодо соціально-економічного розвитку</t>
  </si>
  <si>
    <t>1.1. Придбання обладнання довгострокового користування</t>
  </si>
  <si>
    <t>Інші джерела коштів (кредитні кошти НЕФКО )</t>
  </si>
  <si>
    <t>Підвищення енергоефективності в лікувальних закладах міста</t>
  </si>
  <si>
    <t>Інші джерела коштів (Грант GIZ)</t>
  </si>
  <si>
    <t>Будівництво та реконструкція медичних установ та закладів</t>
  </si>
  <si>
    <t>Управління капітального будівництва та дорожнього господарства Сумської міської ради</t>
  </si>
  <si>
    <t>Обсяг видатків на придбання комп'ютерної техніки та оргтехніки  для лікувальних закладів міста, які забезпечують  надання  амбулаторно- поліклінічної  вторинної  (спеціалізованої) медичної допомоги та стаціонарної медичної допомоги, тис.грн.</t>
  </si>
  <si>
    <t>Середня вартість одиниці  комп'ютерної техніки, тис.грн.</t>
  </si>
  <si>
    <t>КПКВК 0717363</t>
  </si>
  <si>
    <t>Виконання інвестаційних проектів в рамках здійснення заходів щодо соціально-економічного розвитку окремих територій</t>
  </si>
  <si>
    <t>Обсяг видатків на придбання обладнання в рамках здійснення заходів щодо соціально-економічного розвитку, грн.</t>
  </si>
  <si>
    <t>Кількість одиниць придбаного обладнання,шт.</t>
  </si>
  <si>
    <t>Кількість одиниць необхідного обладнання, шт.</t>
  </si>
  <si>
    <t>середні видатки на придбання  одиниці обладнання, грн.</t>
  </si>
  <si>
    <t>КПКВК 0717640</t>
  </si>
  <si>
    <t xml:space="preserve"> Заходи з енергозбереження</t>
  </si>
  <si>
    <t>" Про програму підвищення енергоефективності в
бюджетній сфері міста Суми на 2017-2019 роки" (зі змінами) № 1548-МР від 21.12.2016 року</t>
  </si>
  <si>
    <t>КПКВК 0717700</t>
  </si>
  <si>
    <t xml:space="preserve"> Реалізація програм допомоги і грантів Європейського Союзу, урядів іноземних держав, міжнародних організацій, донорських установ</t>
  </si>
  <si>
    <t xml:space="preserve">1.1. Енергоефективна термомодернізація (капітальний ремонт)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</si>
  <si>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</si>
  <si>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</si>
  <si>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Оновлення матеріально-технічної бази закладів  (придбання комп'ютерної техніки), які забезпечують  надання  амбулаторно- поліклінічної  вторинної  (спеціалізованої) медичної допомоги та стаціонарної медичної допомоги</t>
  </si>
  <si>
    <t>Співрозробники - відділ охорони здоров'я Сумської міської ради  разом з управлінням капітального будівництва та дорожнього господарства Сумської міської ради</t>
  </si>
  <si>
    <t>Субвенція з державного бюджету місцевим бюджетам на здійснення заходів щодо соціально-економічного розвитку окремих територій</t>
  </si>
  <si>
    <t>В тому числі по КПКВК:</t>
  </si>
  <si>
    <t>Разом, грн</t>
  </si>
  <si>
    <t xml:space="preserve"> Інші програми та  заходи у сфері охорони здоров'я.</t>
  </si>
  <si>
    <t>КПКВК 712152</t>
  </si>
  <si>
    <r>
      <t>площа приміщень, м</t>
    </r>
    <r>
      <rPr>
        <vertAlign val="superscript"/>
        <sz val="16"/>
        <rFont val="Times New Roman"/>
        <family val="1"/>
      </rPr>
      <t>2</t>
    </r>
  </si>
  <si>
    <r>
      <t>середні витрати оплати за комунальні послуги та енергоносії на 1 м</t>
    </r>
    <r>
      <rPr>
        <vertAlign val="superscript"/>
        <sz val="16"/>
        <rFont val="Times New Roman"/>
        <family val="1"/>
      </rPr>
      <t xml:space="preserve">2 </t>
    </r>
    <r>
      <rPr>
        <sz val="16"/>
        <rFont val="Times New Roman"/>
        <family val="1"/>
      </rPr>
      <t>приміщення, грн.</t>
    </r>
  </si>
  <si>
    <t xml:space="preserve">1.1.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</si>
  <si>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 Забезпечення інвалідів та дітей-інвалідів технічними та іншими засобами для догляду у домашніх умовах                                                     </t>
  </si>
  <si>
    <t xml:space="preserve"> Централізовані заходи з лікування хворих на цукровий та нецукровий діабет</t>
  </si>
  <si>
    <t>КПКВК 712144</t>
  </si>
  <si>
    <t>КПКВК 712146</t>
  </si>
  <si>
    <t>Відшкодування вартості лікарських засобів для лікування окремих захворювань</t>
  </si>
  <si>
    <t>Всього , грн</t>
  </si>
  <si>
    <t>видатки, пов’язані з відпуском медикаментів за Урядовою програмою "Доступні ліки", тис.грн.</t>
  </si>
  <si>
    <t>кількість звітних форм та інформацій, од.</t>
  </si>
  <si>
    <t>2019 (план)</t>
  </si>
  <si>
    <t>2019 рік (план)</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</si>
  <si>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</si>
  <si>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Виконання міської програми «Соціальна підтримка учасників антитерористичної операції та членів їх сімей» на 2017-2019 роки»</t>
  </si>
  <si>
    <t>Відділ охорони здоров’я Сумської міської ради, Департамент соціального захисту населення Сумської міської ради,</t>
  </si>
  <si>
    <t>2.1. Забезпечення медикаментами  учасників АТО/ООС відповідно до постанови КМУ від 27.01.2016 № 34,  виконання міської програми «Соціальна підтримка учасників антитерористичної операції та членів їх сімей» на 2017-2019 роки»</t>
  </si>
  <si>
    <t>3.1. Надання медичної допомоги членам сімей загиблих (померлих) учасників антирористичної операції</t>
  </si>
  <si>
    <t xml:space="preserve">2.1. Забезпечення  зубопротезуванням учасників АТО/ООС </t>
  </si>
  <si>
    <t xml:space="preserve"> Відділ охорони здоров’я Сумської міської ради, департамент соціального захисту населення Сумської міської ради,</t>
  </si>
  <si>
    <t>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t>
  </si>
  <si>
    <t xml:space="preserve">На виконання міської програми " Про програму підвищення енергоефективності в бюджетній сфері міста Суми на 2017-2019 роки" </t>
  </si>
  <si>
    <t xml:space="preserve">Підвищення енергоефективності </t>
  </si>
  <si>
    <t>Підвищення енергоефективності</t>
  </si>
  <si>
    <t>1.1. Капітальний ремонт будівлі (утеплення стін підвалу з улаштуванням відмостки);                                                                1.2. Капітальний ремонт будівлі (заміна віконних блоків);                                                                                  1.3. Капітальний ремонт будівель (утеплення фасаду, цоколю);                                                                                          1.4. Енергоефективна термомодернізація  (капітальний ремонт);                                                                                      1.5. Капітальний ремонт системи вентиляції та системи електропостачання.</t>
  </si>
  <si>
    <t>Оновлення матеріально-технічної бази закладів та впровадження сучасних діагностичних та лікувальних технологій. Створення комфортних і безпечних умов лікування хворих.</t>
  </si>
  <si>
    <t xml:space="preserve">Забезпечення надання стоматололгічної допомоги відповідно до галузевих стандартів.                                                 </t>
  </si>
  <si>
    <t>Забезпечення надання вторинної (амбулаторної та стаціонарної) медичної допомоги відповідно до галузевих стандартів</t>
  </si>
  <si>
    <t xml:space="preserve">1.1. Забезпечення пацієнтів у разі їх стаціонарного лікування лікарськими засобами відповідно до Національного переліку (постанова КМУ від 16.03.2017 № 180)                                                                                  1.2. Придбання медичних виробів та інших                          1.3. Проведення необхідних лабораторних обстежень                                                                                                                                                                                                                    1.4. Забезпечення хворих дітей медикаментами під час проведення оздоровчої кампанії                                                             1.5. Забезпечення спеціалізованим дороговартісним лікуванням дітей, хворих на дитячий церебральний параліч, ювенільний ревматоїдний артрит, первинний імунодефіцит та ін.                                                                                       1.6. Забезпечення вагітних жінок та дітей з цукровим діабетом інсуліновими помпами та тест-системами для контролю за рівнем глікемії                                                                                          1.7. Забезпечення слуховими протезами осіб з порушеннями слуху </t>
  </si>
  <si>
    <t>6.1. Придбання обладнання довгострокового користування                                                                6.2. Капітальні ремонти приміщень</t>
  </si>
  <si>
    <t>Впровадження сучасних діагностичних та лікувальних технологій. Оновлення матеріально-технічної бази закладів у зв'язку з реформуванням у 2019 році закладів спеціалізованої допомоги та впровадження програми "Безкоштовна діагностіка", запуском нових електронних інструментів в електронній системі охорони здоров'я, впровадженням електронного рецепту за програмою "Доступні ліки" .   Створення комфортних і безпечних умов лікування хворих.</t>
  </si>
  <si>
    <t>Забезпечення надання вторинної (амбулаторної та стаціонарної) медичної допомоги  відповідно до галузевих стандартів</t>
  </si>
  <si>
    <t xml:space="preserve">2.1. Забезпечення медикаментами  учасників АТО/ООС </t>
  </si>
  <si>
    <t>Придбання обладнання в рамках здійснення і заходів щодо соціально-економічного розвитку</t>
  </si>
  <si>
    <t xml:space="preserve">Підпрограма 8.   ВИКОНАННЯ ІНВЕСТИЦІЙНИХ ПРОЕКТІВ В РАМКАХ ЗДІЙСНЕННЯ ЗАХОДІВ ЩОДО СОЦІАЛЬНО-ЕКОНОМІЧНОГО РОЗВИТКУ </t>
  </si>
  <si>
    <t>Інша субвенція (на виконання повноважень депутатів обласної ради)</t>
  </si>
  <si>
    <t>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t>
  </si>
  <si>
    <t>Підпрограма 11. БУДІВНИЦТВО ТА РЕКОНСТРУКЦІЯ МЕДИЧНИХ УСТАНОВ ТА ЗАКЛАДІВ</t>
  </si>
  <si>
    <t xml:space="preserve">Підпрограма 12. МЕДИЧНЕ ОБСЛУГОВУВАННЯ НАСЕЛЕННЯ ЗА ПРОГРАМОЮ МЕДИЧНИХ ГАРАНТІЙ </t>
  </si>
  <si>
    <t>Фінансування медзакладів за новою системою у сфері надання первинної меддопомоги</t>
  </si>
  <si>
    <t>Кошти від Національної служби здоров'я за кількістю укладених декларацій з пацієнтами</t>
  </si>
  <si>
    <t>Відділ охорони здоров’я Сумської міської ради, департамент соціального захисту населення Сумської міської ради</t>
  </si>
  <si>
    <t xml:space="preserve">Сумський міський голова </t>
  </si>
  <si>
    <t>О.М. Лисенко</t>
  </si>
  <si>
    <t xml:space="preserve">Оновлення матеріально-технічної бази закладів та впровадження сучасних діагностичних та лікувальних технологій. </t>
  </si>
  <si>
    <t>Кількість придбанної комп'ютерної техніки, шт.</t>
  </si>
  <si>
    <t>збільшення  питомої ваги  кількості осіб, що отримали  пільгове зубопротезування, до загальної  кількості  осіб, що перебувають  на черзі на пільгове,%</t>
  </si>
  <si>
    <t>РАЗОМ</t>
  </si>
  <si>
    <t>Кошти національної служби здоров’я України</t>
  </si>
  <si>
    <t>Кошти на виконання інших програм (п.2 підпрограми 2, п.2 підпрограми 3, п.2 підпрограми 4,  п.2, п.3  підпрограма 7, підпрограма 9, 10, 11, 12)</t>
  </si>
  <si>
    <t>РАЗОМ ПО ПРОГРАМІ (без коштів на виконання інших міських програм)</t>
  </si>
  <si>
    <t>Виконавець: Чумаченко О.Ю.</t>
  </si>
  <si>
    <t>Всього на виконання програми (без коштів на виконання інших міських програм), грн</t>
  </si>
  <si>
    <t>Додаток 3                                                                                                                 до рішення Сумської міської ради "Про внесення змін до рішення Сумської міської ради від 19 грудня 2018 року №4333 - МР "Про затвердження комплексної міської Програми «Охорона здоров’я м. Суми на 2019-2021 роки» (зі змінами)</t>
  </si>
  <si>
    <t xml:space="preserve">Додаток 2                                                                                                       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 </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</si>
  <si>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</si>
  <si>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</si>
  <si>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</si>
  <si>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</si>
  <si>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</si>
  <si>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</si>
  <si>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</si>
  <si>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</si>
  <si>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</si>
  <si>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</si>
  <si>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</si>
  <si>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</si>
  <si>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_________"  "                   2019 р.</t>
  </si>
  <si>
    <t>_________"  "                    2019 р.</t>
  </si>
  <si>
    <t>_________"___"__________2019 р.</t>
  </si>
  <si>
    <t>2020 (проєкт)</t>
  </si>
  <si>
    <t>2020 рік (проєкт)</t>
  </si>
  <si>
    <t>Кошти міського бюджету (загальний фонд) / кошти бюджету ОТГ</t>
  </si>
  <si>
    <t>Супровід медичними працівниками заходів в м.Суми</t>
  </si>
  <si>
    <t>3.1. Забезпечення супровіду медичними працівниками заходів в м. Суми</t>
  </si>
  <si>
    <t>Забезпечення супровіду медичними працівниками заходів в м. Суми</t>
  </si>
  <si>
    <t>2020-2021 роки</t>
  </si>
  <si>
    <t>Кошти міського бюджету (загальний фонд) /кошти бюджету ОТГ (загальний фонд)</t>
  </si>
  <si>
    <t>Кошти міського бюджету (загальний фонд)/ кошти бюджету ОТГ (загальний фонд)</t>
  </si>
  <si>
    <t>Кошти міського бюджету (загальний фонд) / кошти бюджету ОТГ (загальний фонд)</t>
  </si>
  <si>
    <t>Кошти міського бюджету (спеціальний  фонд) / кошти бюджету ОТГ (спеціальний фонд)</t>
  </si>
  <si>
    <t>Кошти міського бюджету (спеціальний  фонд)/ кошти бюджету ОТГ (спеціальний фонд)</t>
  </si>
  <si>
    <t>КНП "ЦПМСД №1" СМР, КНП "ЦПМСД № 2" СМР, КНП "ЦМКЛ" СМР, КНП "КЛ №4" СМР, КНП "КЛ № 5" СМР, КНП "ДКЛСЗ" СМР, КНП " КПБПДМ" СМР, КНП "КСП" СМР</t>
  </si>
  <si>
    <t>Інша субвенція (на виконання повноважень депутатів обласної ради), загальний фонд</t>
  </si>
  <si>
    <t>3.1. Оплата за споживання теплової енергії                                                         3.2. Оплата за споживання гарячої води, холодної води та водовідведення                                                                                     3.3. Оплата за споживання електричної енергії                         3.4. Оплата інших енергоносіїв та інших комунальних послуг</t>
  </si>
  <si>
    <t>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за споживання природного газу                     5.5.Оплата інших енергоносіїв та інших комунальних послуг</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</si>
  <si>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інших енергоносіїв та інших комунальних послуг                      </t>
  </si>
  <si>
    <t xml:space="preserve">5.1. Оплата за споживання теплової енергії                                    5.2. Оплата за споживання гарячої води, холодної води та водовідведення                                                                            5.3. Оплата за споживання електричної енергії               5.4. Оплата інших енергоносіїв та інших комунальних послуг                       </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</si>
  <si>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</si>
  <si>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</si>
  <si>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 6188 - МР</t>
  </si>
  <si>
    <t>від 18 грудня 2019 року № 6188 - МР</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</si>
</sst>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000"/>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000"/>
    <numFmt numFmtId="194" formatCode="0.00000"/>
    <numFmt numFmtId="195" formatCode="0.0000"/>
  </numFmts>
  <fonts count="67">
    <font>
      <sz val="10"/>
      <name val="Arial"/>
      <family val="0"/>
    </font>
    <font>
      <b/>
      <sz val="14"/>
      <name val="Times New Roman"/>
      <family val="1"/>
    </font>
    <font>
      <sz val="12"/>
      <name val="Times New Roman"/>
      <family val="1"/>
    </font>
    <font>
      <sz val="14"/>
      <name val="Times New Roman"/>
      <family val="1"/>
    </font>
    <font>
      <u val="single"/>
      <sz val="7.5"/>
      <color indexed="12"/>
      <name val="Arial"/>
      <family val="2"/>
    </font>
    <font>
      <u val="single"/>
      <sz val="7.5"/>
      <color indexed="36"/>
      <name val="Arial"/>
      <family val="2"/>
    </font>
    <font>
      <sz val="8"/>
      <name val="Arial"/>
      <family val="2"/>
    </font>
    <font>
      <sz val="12"/>
      <name val="Arial"/>
      <family val="2"/>
    </font>
    <font>
      <sz val="8"/>
      <color indexed="8"/>
      <name val="Arial"/>
      <family val="2"/>
    </font>
    <font>
      <sz val="14"/>
      <color indexed="8"/>
      <name val="Times New Roman"/>
      <family val="1"/>
    </font>
    <font>
      <sz val="16"/>
      <name val="Times New Roman"/>
      <family val="1"/>
    </font>
    <font>
      <b/>
      <sz val="18"/>
      <name val="Times New Roman"/>
      <family val="1"/>
    </font>
    <font>
      <sz val="10"/>
      <name val="Arial Cyr"/>
      <family val="2"/>
    </font>
    <font>
      <b/>
      <sz val="16"/>
      <name val="Times New Roman"/>
      <family val="1"/>
    </font>
    <font>
      <sz val="14"/>
      <name val="Arial"/>
      <family val="2"/>
    </font>
    <font>
      <b/>
      <i/>
      <sz val="16"/>
      <name val="Times New Roman"/>
      <family val="1"/>
    </font>
    <font>
      <i/>
      <sz val="16"/>
      <name val="Times New Roman"/>
      <family val="1"/>
    </font>
    <font>
      <vertAlign val="superscript"/>
      <sz val="16"/>
      <name val="Times New Roman"/>
      <family val="1"/>
    </font>
    <font>
      <sz val="16"/>
      <name val="Arial"/>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b/>
      <sz val="14"/>
      <color indexed="36"/>
      <name val="Times New Roman"/>
      <family val="1"/>
    </font>
    <font>
      <sz val="10"/>
      <color indexed="36"/>
      <name val="Arial"/>
      <family val="2"/>
    </font>
    <font>
      <sz val="14"/>
      <color indexed="9"/>
      <name val="Times New Roman"/>
      <family val="1"/>
    </font>
    <font>
      <b/>
      <sz val="16"/>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b/>
      <sz val="14"/>
      <color rgb="FF7030A0"/>
      <name val="Times New Roman"/>
      <family val="1"/>
    </font>
    <font>
      <sz val="10"/>
      <color rgb="FF7030A0"/>
      <name val="Arial"/>
      <family val="2"/>
    </font>
    <font>
      <sz val="14"/>
      <color theme="1"/>
      <name val="Times New Roman"/>
      <family val="1"/>
    </font>
    <font>
      <sz val="14"/>
      <color theme="0"/>
      <name val="Times New Roman"/>
      <family val="1"/>
    </font>
    <font>
      <b/>
      <sz val="16"/>
      <color theme="0"/>
      <name val="Times New Roman"/>
      <family val="1"/>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rgb="FFFFFF00"/>
        <bgColor indexed="64"/>
      </patternFill>
    </fill>
    <fill>
      <patternFill patternType="solid">
        <fgColor theme="0" tint="-0.04997999966144562"/>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8" fillId="0" borderId="0">
      <alignment/>
      <protection/>
    </xf>
    <xf numFmtId="0" fontId="0" fillId="0" borderId="0">
      <alignment/>
      <protection/>
    </xf>
    <xf numFmtId="0" fontId="6" fillId="0" borderId="0">
      <alignment horizontal="left"/>
      <protection/>
    </xf>
    <xf numFmtId="0" fontId="2" fillId="0" borderId="0">
      <alignment/>
      <protection/>
    </xf>
    <xf numFmtId="0" fontId="2" fillId="0" borderId="0">
      <alignment/>
      <protection/>
    </xf>
    <xf numFmtId="0" fontId="12" fillId="0" borderId="0">
      <alignment/>
      <protection/>
    </xf>
    <xf numFmtId="0" fontId="5"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9" applyNumberFormat="0" applyFill="0" applyAlignment="0" applyProtection="0"/>
    <xf numFmtId="0" fontId="2" fillId="0" borderId="0">
      <alignment/>
      <protection/>
    </xf>
    <xf numFmtId="0" fontId="58"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59" fillId="31" borderId="0" applyNumberFormat="0" applyBorder="0" applyAlignment="0" applyProtection="0"/>
  </cellStyleXfs>
  <cellXfs count="363">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0" xfId="0" applyFont="1" applyBorder="1" applyAlignment="1">
      <alignment horizontal="center"/>
    </xf>
    <xf numFmtId="1" fontId="60" fillId="32" borderId="0" xfId="0" applyNumberFormat="1" applyFont="1" applyFill="1" applyAlignment="1">
      <alignment vertical="top"/>
    </xf>
    <xf numFmtId="0" fontId="3" fillId="32" borderId="0" xfId="0" applyFont="1" applyFill="1" applyAlignment="1">
      <alignment/>
    </xf>
    <xf numFmtId="0" fontId="3" fillId="32" borderId="0" xfId="0" applyFont="1" applyFill="1" applyAlignment="1">
      <alignment vertical="top"/>
    </xf>
    <xf numFmtId="0" fontId="3" fillId="32" borderId="0" xfId="0" applyFont="1" applyFill="1" applyAlignment="1">
      <alignment horizontal="center" vertical="center"/>
    </xf>
    <xf numFmtId="0" fontId="3" fillId="32" borderId="0" xfId="57" applyFont="1" applyFill="1" applyAlignment="1">
      <alignment wrapText="1"/>
      <protection/>
    </xf>
    <xf numFmtId="0" fontId="3" fillId="32" borderId="0" xfId="0" applyFont="1" applyFill="1" applyAlignment="1">
      <alignment horizontal="center"/>
    </xf>
    <xf numFmtId="0" fontId="3" fillId="32" borderId="0" xfId="0" applyFont="1" applyFill="1" applyAlignment="1">
      <alignment wrapText="1"/>
    </xf>
    <xf numFmtId="0" fontId="1" fillId="32" borderId="0" xfId="0" applyFont="1" applyFill="1" applyAlignment="1">
      <alignment horizontal="center"/>
    </xf>
    <xf numFmtId="0" fontId="3" fillId="32" borderId="0" xfId="0" applyFont="1" applyFill="1" applyAlignment="1">
      <alignment vertical="top" wrapText="1"/>
    </xf>
    <xf numFmtId="0" fontId="7" fillId="32" borderId="0" xfId="0" applyFont="1" applyFill="1" applyAlignment="1">
      <alignment/>
    </xf>
    <xf numFmtId="1" fontId="3" fillId="32" borderId="0" xfId="0" applyNumberFormat="1" applyFont="1" applyFill="1" applyAlignment="1">
      <alignment horizontal="center" vertical="center"/>
    </xf>
    <xf numFmtId="0" fontId="3" fillId="32" borderId="0" xfId="0" applyFont="1" applyFill="1" applyAlignment="1">
      <alignment vertical="center"/>
    </xf>
    <xf numFmtId="1" fontId="3" fillId="32" borderId="0" xfId="0" applyNumberFormat="1" applyFont="1" applyFill="1" applyAlignment="1">
      <alignment/>
    </xf>
    <xf numFmtId="186" fontId="61" fillId="32" borderId="0" xfId="0" applyNumberFormat="1" applyFont="1" applyFill="1" applyBorder="1" applyAlignment="1">
      <alignment horizontal="center" wrapText="1"/>
    </xf>
    <xf numFmtId="0" fontId="60" fillId="32" borderId="0" xfId="0" applyFont="1" applyFill="1" applyAlignment="1">
      <alignment vertical="top"/>
    </xf>
    <xf numFmtId="0" fontId="0" fillId="32" borderId="0" xfId="0" applyFont="1" applyFill="1" applyAlignment="1">
      <alignment/>
    </xf>
    <xf numFmtId="0" fontId="62" fillId="32" borderId="0" xfId="0" applyFont="1" applyFill="1" applyAlignment="1">
      <alignment/>
    </xf>
    <xf numFmtId="0" fontId="60" fillId="32" borderId="0" xfId="0" applyFont="1" applyFill="1" applyAlignment="1">
      <alignment/>
    </xf>
    <xf numFmtId="0" fontId="3" fillId="32" borderId="0" xfId="0" applyFont="1" applyFill="1" applyAlignment="1">
      <alignment horizontal="left" vertical="center"/>
    </xf>
    <xf numFmtId="0" fontId="60" fillId="32" borderId="0" xfId="0" applyFont="1" applyFill="1" applyAlignment="1">
      <alignment horizontal="left" vertical="center"/>
    </xf>
    <xf numFmtId="0" fontId="60" fillId="32" borderId="0" xfId="0" applyFont="1" applyFill="1" applyAlignment="1">
      <alignment vertical="center"/>
    </xf>
    <xf numFmtId="0" fontId="3" fillId="32" borderId="0" xfId="0" applyFont="1" applyFill="1" applyAlignment="1">
      <alignment/>
    </xf>
    <xf numFmtId="0" fontId="3" fillId="32" borderId="0" xfId="0" applyFont="1" applyFill="1" applyAlignment="1">
      <alignment horizontal="right"/>
    </xf>
    <xf numFmtId="0" fontId="60" fillId="32" borderId="0" xfId="0" applyFont="1" applyFill="1" applyBorder="1" applyAlignment="1">
      <alignment vertical="center"/>
    </xf>
    <xf numFmtId="0" fontId="63" fillId="32" borderId="0" xfId="0" applyFont="1" applyFill="1" applyBorder="1" applyAlignment="1">
      <alignment vertical="center"/>
    </xf>
    <xf numFmtId="0" fontId="3" fillId="32" borderId="0" xfId="0" applyFont="1" applyFill="1" applyBorder="1" applyAlignment="1">
      <alignment vertical="center"/>
    </xf>
    <xf numFmtId="0" fontId="3" fillId="32" borderId="0" xfId="0" applyFont="1" applyFill="1" applyBorder="1" applyAlignment="1">
      <alignment/>
    </xf>
    <xf numFmtId="186" fontId="60" fillId="32" borderId="0" xfId="0" applyNumberFormat="1" applyFont="1" applyFill="1" applyAlignment="1">
      <alignment vertical="center"/>
    </xf>
    <xf numFmtId="186" fontId="3" fillId="32" borderId="0" xfId="0" applyNumberFormat="1" applyFont="1" applyFill="1" applyAlignment="1">
      <alignment vertical="center"/>
    </xf>
    <xf numFmtId="186" fontId="3" fillId="32" borderId="0" xfId="0" applyNumberFormat="1" applyFont="1" applyFill="1" applyBorder="1" applyAlignment="1">
      <alignment vertical="center"/>
    </xf>
    <xf numFmtId="186" fontId="60" fillId="32" borderId="0" xfId="0" applyNumberFormat="1" applyFont="1" applyFill="1" applyBorder="1" applyAlignment="1">
      <alignment vertical="center"/>
    </xf>
    <xf numFmtId="186" fontId="3" fillId="32" borderId="0" xfId="0" applyNumberFormat="1" applyFont="1" applyFill="1" applyAlignment="1">
      <alignment/>
    </xf>
    <xf numFmtId="0" fontId="10" fillId="32" borderId="0" xfId="0" applyFont="1" applyFill="1" applyAlignment="1">
      <alignment/>
    </xf>
    <xf numFmtId="186" fontId="10" fillId="32" borderId="0" xfId="0" applyNumberFormat="1" applyFont="1" applyFill="1" applyAlignment="1">
      <alignment/>
    </xf>
    <xf numFmtId="0" fontId="1" fillId="32" borderId="0" xfId="0" applyFont="1" applyFill="1" applyBorder="1" applyAlignment="1">
      <alignment vertical="top" wrapText="1"/>
    </xf>
    <xf numFmtId="186" fontId="1" fillId="32" borderId="0" xfId="0" applyNumberFormat="1" applyFont="1" applyFill="1" applyBorder="1" applyAlignment="1">
      <alignment horizontal="left" vertical="top" wrapText="1"/>
    </xf>
    <xf numFmtId="0" fontId="3" fillId="32" borderId="0" xfId="0" applyFont="1" applyFill="1" applyBorder="1" applyAlignment="1">
      <alignment vertical="top" wrapText="1"/>
    </xf>
    <xf numFmtId="0" fontId="3" fillId="32" borderId="0" xfId="0" applyFont="1" applyFill="1" applyBorder="1" applyAlignment="1">
      <alignment horizontal="left" vertical="top"/>
    </xf>
    <xf numFmtId="49" fontId="3" fillId="32" borderId="0" xfId="0" applyNumberFormat="1" applyFont="1" applyFill="1" applyBorder="1" applyAlignment="1">
      <alignment horizontal="left" vertical="top" wrapText="1"/>
    </xf>
    <xf numFmtId="0" fontId="3" fillId="32" borderId="0" xfId="0" applyFont="1" applyFill="1" applyBorder="1" applyAlignment="1">
      <alignment horizontal="center" vertical="center"/>
    </xf>
    <xf numFmtId="0" fontId="3" fillId="32" borderId="0" xfId="57" applyFont="1" applyFill="1" applyBorder="1" applyAlignment="1">
      <alignment horizontal="left" vertical="top" wrapText="1"/>
      <protection/>
    </xf>
    <xf numFmtId="0" fontId="3" fillId="32" borderId="0" xfId="0" applyFont="1" applyFill="1" applyBorder="1" applyAlignment="1">
      <alignment horizontal="left" vertical="top" wrapText="1"/>
    </xf>
    <xf numFmtId="0" fontId="10" fillId="32" borderId="0" xfId="0" applyFont="1" applyFill="1" applyAlignment="1">
      <alignment horizontal="center" vertical="center"/>
    </xf>
    <xf numFmtId="0" fontId="10" fillId="32" borderId="0" xfId="0" applyFont="1" applyFill="1" applyAlignment="1">
      <alignment wrapText="1"/>
    </xf>
    <xf numFmtId="0" fontId="10" fillId="32" borderId="0" xfId="0" applyFont="1" applyFill="1" applyAlignment="1">
      <alignment horizontal="center"/>
    </xf>
    <xf numFmtId="0" fontId="10" fillId="32" borderId="0" xfId="0" applyFont="1" applyFill="1" applyAlignment="1">
      <alignment vertical="top" wrapText="1"/>
    </xf>
    <xf numFmtId="0" fontId="10" fillId="32" borderId="0" xfId="0" applyFont="1" applyFill="1" applyAlignment="1">
      <alignment vertical="top"/>
    </xf>
    <xf numFmtId="0" fontId="3" fillId="32" borderId="0" xfId="0" applyFont="1" applyFill="1" applyAlignment="1">
      <alignment horizontal="left"/>
    </xf>
    <xf numFmtId="0" fontId="1" fillId="32" borderId="0" xfId="0" applyFont="1" applyFill="1" applyBorder="1" applyAlignment="1">
      <alignment horizontal="left" vertical="top"/>
    </xf>
    <xf numFmtId="0" fontId="64" fillId="32" borderId="0" xfId="0" applyFont="1" applyFill="1" applyAlignment="1">
      <alignment wrapText="1"/>
    </xf>
    <xf numFmtId="187" fontId="64" fillId="32" borderId="0" xfId="0" applyNumberFormat="1" applyFont="1" applyFill="1" applyAlignment="1">
      <alignment wrapText="1"/>
    </xf>
    <xf numFmtId="0" fontId="14" fillId="0" borderId="0" xfId="0" applyFont="1" applyAlignment="1">
      <alignment/>
    </xf>
    <xf numFmtId="0" fontId="3" fillId="0" borderId="0" xfId="0" applyFont="1" applyAlignment="1">
      <alignment horizontal="left" wrapText="1"/>
    </xf>
    <xf numFmtId="0" fontId="3" fillId="0" borderId="0" xfId="0" applyFont="1" applyAlignment="1">
      <alignment horizontal="justify"/>
    </xf>
    <xf numFmtId="0" fontId="1" fillId="32" borderId="10" xfId="0" applyFont="1" applyFill="1" applyBorder="1" applyAlignment="1">
      <alignment horizontal="center" vertical="center" wrapText="1"/>
    </xf>
    <xf numFmtId="0" fontId="60" fillId="32" borderId="0" xfId="0" applyFont="1" applyFill="1" applyAlignment="1">
      <alignment horizontal="center" vertical="center"/>
    </xf>
    <xf numFmtId="186" fontId="3" fillId="32" borderId="0" xfId="0" applyNumberFormat="1" applyFont="1" applyFill="1" applyBorder="1" applyAlignment="1">
      <alignment/>
    </xf>
    <xf numFmtId="0" fontId="13" fillId="32" borderId="10" xfId="0" applyFont="1" applyFill="1" applyBorder="1" applyAlignment="1">
      <alignment/>
    </xf>
    <xf numFmtId="0" fontId="13" fillId="32" borderId="11" xfId="0" applyFont="1" applyFill="1" applyBorder="1" applyAlignment="1">
      <alignment/>
    </xf>
    <xf numFmtId="0" fontId="13" fillId="32" borderId="12" xfId="0" applyFont="1" applyFill="1" applyBorder="1" applyAlignment="1">
      <alignment/>
    </xf>
    <xf numFmtId="0" fontId="13" fillId="32" borderId="13" xfId="0" applyFont="1" applyFill="1" applyBorder="1" applyAlignment="1">
      <alignment/>
    </xf>
    <xf numFmtId="0" fontId="13" fillId="32" borderId="0" xfId="0" applyFont="1" applyFill="1" applyBorder="1" applyAlignment="1">
      <alignment/>
    </xf>
    <xf numFmtId="0" fontId="1" fillId="32" borderId="0" xfId="0" applyFont="1" applyFill="1" applyBorder="1" applyAlignment="1">
      <alignment/>
    </xf>
    <xf numFmtId="0" fontId="10" fillId="32" borderId="0" xfId="0" applyFont="1" applyFill="1" applyBorder="1" applyAlignment="1">
      <alignment/>
    </xf>
    <xf numFmtId="0" fontId="10" fillId="32" borderId="0" xfId="0" applyFont="1" applyFill="1" applyBorder="1" applyAlignment="1">
      <alignment horizontal="left" vertical="top" wrapText="1"/>
    </xf>
    <xf numFmtId="0" fontId="13" fillId="32" borderId="10" xfId="0" applyFont="1" applyFill="1" applyBorder="1" applyAlignment="1">
      <alignment horizontal="center" vertical="center" wrapText="1"/>
    </xf>
    <xf numFmtId="0" fontId="15" fillId="32" borderId="10" xfId="0" applyFont="1" applyFill="1" applyBorder="1" applyAlignment="1">
      <alignment horizontal="justify" vertical="top" wrapText="1"/>
    </xf>
    <xf numFmtId="0" fontId="10" fillId="32" borderId="10" xfId="0" applyFont="1" applyFill="1" applyBorder="1" applyAlignment="1">
      <alignment horizontal="right" vertical="top" wrapText="1"/>
    </xf>
    <xf numFmtId="0" fontId="13" fillId="33" borderId="10" xfId="55" applyFont="1" applyFill="1" applyBorder="1" applyAlignment="1">
      <alignment horizontal="left" vertical="top" wrapText="1"/>
      <protection/>
    </xf>
    <xf numFmtId="0" fontId="13" fillId="32" borderId="10" xfId="55" applyFont="1" applyFill="1" applyBorder="1" applyAlignment="1">
      <alignment horizontal="left" vertical="top" wrapText="1"/>
      <protection/>
    </xf>
    <xf numFmtId="0" fontId="16" fillId="32" borderId="10" xfId="0" applyFont="1" applyFill="1" applyBorder="1" applyAlignment="1">
      <alignment horizontal="left" vertical="top" wrapText="1"/>
    </xf>
    <xf numFmtId="0" fontId="10" fillId="32" borderId="10" xfId="0" applyFont="1" applyFill="1" applyBorder="1" applyAlignment="1">
      <alignment vertical="top" wrapText="1"/>
    </xf>
    <xf numFmtId="0" fontId="10" fillId="32" borderId="10" xfId="56" applyFont="1" applyFill="1" applyBorder="1" applyAlignment="1">
      <alignment vertical="top" wrapText="1"/>
      <protection/>
    </xf>
    <xf numFmtId="1" fontId="13" fillId="32" borderId="10" xfId="0" applyNumberFormat="1" applyFont="1" applyFill="1" applyBorder="1" applyAlignment="1">
      <alignment horizontal="left" vertical="top" wrapText="1"/>
    </xf>
    <xf numFmtId="0" fontId="10" fillId="32" borderId="10" xfId="0" applyFont="1" applyFill="1" applyBorder="1" applyAlignment="1">
      <alignment wrapText="1"/>
    </xf>
    <xf numFmtId="0" fontId="13" fillId="32" borderId="10" xfId="0" applyFont="1" applyFill="1" applyBorder="1" applyAlignment="1">
      <alignment vertical="top" wrapText="1" shrinkToFit="1"/>
    </xf>
    <xf numFmtId="0" fontId="10" fillId="32" borderId="10" xfId="0" applyFont="1" applyFill="1" applyBorder="1" applyAlignment="1">
      <alignment vertical="top" wrapText="1" shrinkToFit="1"/>
    </xf>
    <xf numFmtId="0" fontId="10" fillId="32" borderId="10" xfId="0" applyFont="1" applyFill="1" applyBorder="1" applyAlignment="1">
      <alignment wrapText="1" shrinkToFit="1"/>
    </xf>
    <xf numFmtId="0" fontId="10" fillId="32" borderId="10" xfId="55" applyFont="1" applyFill="1" applyBorder="1" applyAlignment="1">
      <alignment horizontal="left" vertical="top" wrapText="1"/>
      <protection/>
    </xf>
    <xf numFmtId="0" fontId="10" fillId="32" borderId="10" xfId="0" applyFont="1" applyFill="1" applyBorder="1" applyAlignment="1">
      <alignment horizontal="right" vertical="center" wrapText="1"/>
    </xf>
    <xf numFmtId="0" fontId="13" fillId="32" borderId="10" xfId="0" applyFont="1" applyFill="1" applyBorder="1" applyAlignment="1">
      <alignment horizontal="right" vertical="top"/>
    </xf>
    <xf numFmtId="0" fontId="10" fillId="32" borderId="10" xfId="0" applyFont="1" applyFill="1" applyBorder="1" applyAlignment="1">
      <alignment horizontal="right" wrapText="1"/>
    </xf>
    <xf numFmtId="0" fontId="13" fillId="32" borderId="10" xfId="0" applyFont="1" applyFill="1" applyBorder="1" applyAlignment="1">
      <alignment horizontal="right"/>
    </xf>
    <xf numFmtId="49" fontId="10" fillId="32" borderId="10" xfId="55" applyNumberFormat="1" applyFont="1" applyFill="1" applyBorder="1" applyAlignment="1">
      <alignment horizontal="left" vertical="top" wrapText="1"/>
      <protection/>
    </xf>
    <xf numFmtId="0" fontId="10" fillId="32" borderId="10" xfId="56" applyFont="1" applyFill="1" applyBorder="1" applyAlignment="1">
      <alignment wrapText="1"/>
      <protection/>
    </xf>
    <xf numFmtId="0" fontId="10" fillId="0" borderId="10" xfId="56" applyFont="1" applyFill="1" applyBorder="1" applyAlignment="1">
      <alignment wrapText="1"/>
      <protection/>
    </xf>
    <xf numFmtId="0" fontId="10" fillId="0" borderId="10" xfId="56" applyFont="1" applyBorder="1" applyAlignment="1">
      <alignment wrapText="1"/>
      <protection/>
    </xf>
    <xf numFmtId="0" fontId="13" fillId="32" borderId="10" xfId="0" applyFont="1" applyFill="1" applyBorder="1" applyAlignment="1">
      <alignment vertical="top" wrapText="1"/>
    </xf>
    <xf numFmtId="0" fontId="10" fillId="32" borderId="0" xfId="0" applyFont="1" applyFill="1" applyAlignment="1">
      <alignment horizontal="left"/>
    </xf>
    <xf numFmtId="0" fontId="13" fillId="32" borderId="10" xfId="0" applyFont="1" applyFill="1" applyBorder="1" applyAlignment="1">
      <alignment horizontal="center" wrapText="1"/>
    </xf>
    <xf numFmtId="0" fontId="13" fillId="32" borderId="10" xfId="0" applyFont="1" applyFill="1" applyBorder="1" applyAlignment="1">
      <alignment horizontal="center" vertical="top" wrapText="1"/>
    </xf>
    <xf numFmtId="188" fontId="13" fillId="32" borderId="10" xfId="0" applyNumberFormat="1" applyFont="1" applyFill="1" applyBorder="1" applyAlignment="1">
      <alignment horizontal="justify" vertical="top" wrapText="1"/>
    </xf>
    <xf numFmtId="188" fontId="15" fillId="32" borderId="10" xfId="0" applyNumberFormat="1" applyFont="1" applyFill="1" applyBorder="1" applyAlignment="1">
      <alignment horizontal="center" vertical="top" wrapText="1"/>
    </xf>
    <xf numFmtId="0" fontId="13" fillId="32" borderId="10" xfId="0" applyFont="1" applyFill="1" applyBorder="1" applyAlignment="1">
      <alignment horizontal="left" vertical="top" wrapText="1"/>
    </xf>
    <xf numFmtId="0" fontId="10" fillId="32" borderId="10" xfId="0" applyFont="1" applyFill="1" applyBorder="1" applyAlignment="1">
      <alignment horizontal="left" vertical="top" wrapText="1"/>
    </xf>
    <xf numFmtId="188" fontId="13" fillId="33" borderId="10" xfId="0" applyNumberFormat="1" applyFont="1" applyFill="1" applyBorder="1" applyAlignment="1">
      <alignment horizontal="justify" vertical="top" wrapText="1"/>
    </xf>
    <xf numFmtId="188" fontId="13" fillId="33" borderId="10" xfId="0" applyNumberFormat="1" applyFont="1" applyFill="1" applyBorder="1" applyAlignment="1">
      <alignment horizontal="center" vertical="top" wrapText="1"/>
    </xf>
    <xf numFmtId="188" fontId="10" fillId="32" borderId="0" xfId="0" applyNumberFormat="1" applyFont="1" applyFill="1" applyAlignment="1">
      <alignment/>
    </xf>
    <xf numFmtId="188" fontId="13" fillId="32" borderId="10" xfId="0" applyNumberFormat="1" applyFont="1" applyFill="1" applyBorder="1" applyAlignment="1">
      <alignment horizontal="center" vertical="top" wrapText="1"/>
    </xf>
    <xf numFmtId="0" fontId="10" fillId="32" borderId="10" xfId="0" applyFont="1" applyFill="1" applyBorder="1" applyAlignment="1">
      <alignment/>
    </xf>
    <xf numFmtId="186" fontId="10" fillId="32" borderId="10" xfId="0" applyNumberFormat="1" applyFont="1" applyFill="1" applyBorder="1" applyAlignment="1">
      <alignment/>
    </xf>
    <xf numFmtId="0" fontId="10" fillId="32" borderId="10" xfId="0" applyFont="1" applyFill="1" applyBorder="1" applyAlignment="1">
      <alignment horizontal="justify" vertical="top" wrapText="1"/>
    </xf>
    <xf numFmtId="4" fontId="10" fillId="32" borderId="10" xfId="0" applyNumberFormat="1" applyFont="1" applyFill="1" applyBorder="1" applyAlignment="1">
      <alignment horizontal="center" vertical="top" wrapText="1"/>
    </xf>
    <xf numFmtId="4" fontId="13" fillId="32" borderId="10" xfId="0" applyNumberFormat="1" applyFont="1" applyFill="1" applyBorder="1" applyAlignment="1">
      <alignment horizontal="center" vertical="top" wrapText="1"/>
    </xf>
    <xf numFmtId="3" fontId="10" fillId="32" borderId="10" xfId="0" applyNumberFormat="1" applyFont="1" applyFill="1" applyBorder="1" applyAlignment="1">
      <alignment horizontal="center" vertical="top" wrapText="1"/>
    </xf>
    <xf numFmtId="188" fontId="10" fillId="32" borderId="10" xfId="0" applyNumberFormat="1" applyFont="1" applyFill="1" applyBorder="1" applyAlignment="1">
      <alignment horizontal="center" vertical="top" wrapText="1"/>
    </xf>
    <xf numFmtId="0" fontId="10" fillId="32" borderId="10" xfId="0" applyFont="1" applyFill="1" applyBorder="1" applyAlignment="1">
      <alignment horizontal="center" vertical="top" wrapText="1"/>
    </xf>
    <xf numFmtId="0" fontId="10" fillId="32" borderId="0" xfId="0" applyFont="1" applyFill="1" applyAlignment="1">
      <alignment vertical="center"/>
    </xf>
    <xf numFmtId="0" fontId="10" fillId="32" borderId="10" xfId="58" applyFont="1" applyFill="1" applyBorder="1" applyAlignment="1">
      <alignment horizontal="center" vertical="center" wrapText="1"/>
      <protection/>
    </xf>
    <xf numFmtId="1" fontId="10" fillId="32" borderId="10" xfId="0" applyNumberFormat="1" applyFont="1" applyFill="1" applyBorder="1" applyAlignment="1">
      <alignment horizontal="center" vertical="top" wrapText="1"/>
    </xf>
    <xf numFmtId="186" fontId="10" fillId="32" borderId="10" xfId="0" applyNumberFormat="1" applyFont="1" applyFill="1" applyBorder="1" applyAlignment="1">
      <alignment horizontal="center" vertical="top" wrapText="1"/>
    </xf>
    <xf numFmtId="0" fontId="10" fillId="32" borderId="10" xfId="0" applyFont="1" applyFill="1" applyBorder="1" applyAlignment="1">
      <alignment horizontal="left" wrapText="1"/>
    </xf>
    <xf numFmtId="186" fontId="10" fillId="32" borderId="10" xfId="0" applyNumberFormat="1" applyFont="1" applyFill="1" applyBorder="1" applyAlignment="1">
      <alignment horizontal="center" wrapText="1"/>
    </xf>
    <xf numFmtId="1" fontId="10" fillId="32" borderId="10" xfId="56" applyNumberFormat="1" applyFont="1" applyFill="1" applyBorder="1" applyAlignment="1">
      <alignment horizontal="center" wrapText="1"/>
      <protection/>
    </xf>
    <xf numFmtId="186" fontId="10" fillId="32" borderId="10" xfId="56" applyNumberFormat="1" applyFont="1" applyFill="1" applyBorder="1" applyAlignment="1">
      <alignment horizontal="center" wrapText="1"/>
      <protection/>
    </xf>
    <xf numFmtId="2" fontId="10" fillId="32" borderId="10" xfId="0" applyNumberFormat="1" applyFont="1" applyFill="1" applyBorder="1" applyAlignment="1">
      <alignment/>
    </xf>
    <xf numFmtId="1" fontId="10" fillId="32" borderId="10" xfId="0" applyNumberFormat="1" applyFont="1" applyFill="1" applyBorder="1" applyAlignment="1">
      <alignment horizontal="left" vertical="top" wrapText="1"/>
    </xf>
    <xf numFmtId="0" fontId="13" fillId="34" borderId="10" xfId="0" applyFont="1" applyFill="1" applyBorder="1" applyAlignment="1">
      <alignment horizontal="right"/>
    </xf>
    <xf numFmtId="0" fontId="10" fillId="32" borderId="10" xfId="0" applyFont="1" applyFill="1" applyBorder="1" applyAlignment="1">
      <alignment horizontal="left"/>
    </xf>
    <xf numFmtId="0" fontId="18" fillId="32" borderId="10" xfId="0" applyFont="1" applyFill="1" applyBorder="1" applyAlignment="1">
      <alignment/>
    </xf>
    <xf numFmtId="0" fontId="13" fillId="35" borderId="10" xfId="0" applyFont="1" applyFill="1" applyBorder="1" applyAlignment="1">
      <alignment horizontal="right" vertical="top"/>
    </xf>
    <xf numFmtId="188" fontId="10" fillId="32" borderId="10" xfId="0" applyNumberFormat="1" applyFont="1" applyFill="1" applyBorder="1" applyAlignment="1">
      <alignment horizontal="left"/>
    </xf>
    <xf numFmtId="186" fontId="13" fillId="33" borderId="10" xfId="0" applyNumberFormat="1" applyFont="1" applyFill="1" applyBorder="1" applyAlignment="1">
      <alignment/>
    </xf>
    <xf numFmtId="186" fontId="13" fillId="33" borderId="10" xfId="56" applyNumberFormat="1" applyFont="1" applyFill="1" applyBorder="1" applyAlignment="1">
      <alignment horizontal="center" wrapText="1"/>
      <protection/>
    </xf>
    <xf numFmtId="0" fontId="13" fillId="33" borderId="12" xfId="55" applyFont="1" applyFill="1" applyBorder="1" applyAlignment="1">
      <alignment horizontal="left" vertical="top" wrapText="1"/>
      <protection/>
    </xf>
    <xf numFmtId="0" fontId="10" fillId="33" borderId="10" xfId="0" applyFont="1" applyFill="1" applyBorder="1" applyAlignment="1">
      <alignment/>
    </xf>
    <xf numFmtId="0" fontId="13" fillId="33" borderId="14" xfId="55" applyFont="1" applyFill="1" applyBorder="1" applyAlignment="1">
      <alignment horizontal="left" vertical="top" wrapText="1"/>
      <protection/>
    </xf>
    <xf numFmtId="186" fontId="13" fillId="33" borderId="15" xfId="0" applyNumberFormat="1" applyFont="1" applyFill="1" applyBorder="1" applyAlignment="1">
      <alignment/>
    </xf>
    <xf numFmtId="186" fontId="13" fillId="33" borderId="15" xfId="56" applyNumberFormat="1" applyFont="1" applyFill="1" applyBorder="1" applyAlignment="1">
      <alignment horizontal="center" wrapText="1"/>
      <protection/>
    </xf>
    <xf numFmtId="0" fontId="13" fillId="32" borderId="10" xfId="0" applyFont="1" applyFill="1" applyBorder="1" applyAlignment="1">
      <alignment horizontal="center" vertical="top"/>
    </xf>
    <xf numFmtId="0" fontId="10" fillId="32" borderId="10" xfId="0" applyFont="1" applyFill="1" applyBorder="1" applyAlignment="1">
      <alignment horizontal="center" vertical="center" wrapText="1"/>
    </xf>
    <xf numFmtId="186" fontId="10" fillId="32" borderId="10" xfId="0" applyNumberFormat="1" applyFont="1" applyFill="1" applyBorder="1" applyAlignment="1">
      <alignment horizontal="left" vertical="top" wrapText="1"/>
    </xf>
    <xf numFmtId="16" fontId="10" fillId="32" borderId="10" xfId="0" applyNumberFormat="1" applyFont="1" applyFill="1" applyBorder="1" applyAlignment="1">
      <alignment horizontal="left" vertical="top" wrapText="1"/>
    </xf>
    <xf numFmtId="186" fontId="13" fillId="32" borderId="10" xfId="0" applyNumberFormat="1" applyFont="1" applyFill="1" applyBorder="1" applyAlignment="1">
      <alignment horizontal="left" vertical="top" wrapText="1"/>
    </xf>
    <xf numFmtId="0" fontId="13" fillId="32" borderId="10" xfId="57" applyFont="1" applyFill="1" applyBorder="1" applyAlignment="1">
      <alignment horizontal="center" vertical="top" wrapText="1"/>
      <protection/>
    </xf>
    <xf numFmtId="0" fontId="10" fillId="32" borderId="10" xfId="57" applyFont="1" applyFill="1" applyBorder="1" applyAlignment="1">
      <alignment horizontal="left" vertical="top" wrapText="1"/>
      <protection/>
    </xf>
    <xf numFmtId="0" fontId="10" fillId="32" borderId="10" xfId="57" applyFont="1" applyFill="1" applyBorder="1" applyAlignment="1">
      <alignment vertical="top" wrapText="1"/>
      <protection/>
    </xf>
    <xf numFmtId="16" fontId="10" fillId="32" borderId="10" xfId="0" applyNumberFormat="1" applyFont="1" applyFill="1" applyBorder="1" applyAlignment="1">
      <alignment horizontal="justify" vertical="top"/>
    </xf>
    <xf numFmtId="49" fontId="13" fillId="32" borderId="10" xfId="0" applyNumberFormat="1" applyFont="1" applyFill="1" applyBorder="1" applyAlignment="1">
      <alignment horizontal="left" vertical="top" wrapText="1"/>
    </xf>
    <xf numFmtId="49" fontId="10" fillId="32" borderId="10" xfId="0" applyNumberFormat="1" applyFont="1" applyFill="1" applyBorder="1" applyAlignment="1">
      <alignment horizontal="left" vertical="top" wrapText="1"/>
    </xf>
    <xf numFmtId="0" fontId="13" fillId="32" borderId="15" xfId="0" applyFont="1" applyFill="1" applyBorder="1" applyAlignment="1">
      <alignment horizontal="left" vertical="top"/>
    </xf>
    <xf numFmtId="0" fontId="10" fillId="32" borderId="10" xfId="0" applyNumberFormat="1" applyFont="1" applyFill="1" applyBorder="1" applyAlignment="1">
      <alignment vertical="top" wrapText="1"/>
    </xf>
    <xf numFmtId="0" fontId="10" fillId="32" borderId="10" xfId="0" applyFont="1" applyFill="1" applyBorder="1" applyAlignment="1">
      <alignment vertical="top"/>
    </xf>
    <xf numFmtId="0" fontId="13" fillId="32" borderId="16" xfId="0" applyFont="1" applyFill="1" applyBorder="1" applyAlignment="1">
      <alignment horizontal="left" vertical="top"/>
    </xf>
    <xf numFmtId="0" fontId="13" fillId="32" borderId="17" xfId="0" applyFont="1" applyFill="1" applyBorder="1" applyAlignment="1">
      <alignment horizontal="left" vertical="top"/>
    </xf>
    <xf numFmtId="0" fontId="13" fillId="32" borderId="18" xfId="0" applyFont="1" applyFill="1" applyBorder="1" applyAlignment="1">
      <alignment horizontal="left" vertical="top"/>
    </xf>
    <xf numFmtId="0" fontId="13" fillId="32" borderId="10" xfId="0" applyFont="1" applyFill="1" applyBorder="1" applyAlignment="1">
      <alignment horizontal="left" vertical="top"/>
    </xf>
    <xf numFmtId="0" fontId="13" fillId="32" borderId="13" xfId="0" applyFont="1" applyFill="1" applyBorder="1" applyAlignment="1">
      <alignment horizontal="left" vertical="top"/>
    </xf>
    <xf numFmtId="0" fontId="13" fillId="32" borderId="10" xfId="0" applyFont="1" applyFill="1" applyBorder="1" applyAlignment="1">
      <alignment vertical="top"/>
    </xf>
    <xf numFmtId="0" fontId="10" fillId="32" borderId="19" xfId="0" applyFont="1" applyFill="1" applyBorder="1" applyAlignment="1">
      <alignment vertical="top" wrapText="1"/>
    </xf>
    <xf numFmtId="0" fontId="1" fillId="32" borderId="10" xfId="0" applyFont="1" applyFill="1" applyBorder="1" applyAlignment="1">
      <alignment horizontal="center" vertical="center" wrapText="1"/>
    </xf>
    <xf numFmtId="0" fontId="13" fillId="32" borderId="10" xfId="0" applyFont="1" applyFill="1" applyBorder="1" applyAlignment="1">
      <alignment vertical="top" wrapText="1"/>
    </xf>
    <xf numFmtId="0" fontId="10" fillId="32" borderId="10" xfId="0" applyFont="1" applyFill="1" applyBorder="1" applyAlignment="1">
      <alignment vertical="top" wrapText="1"/>
    </xf>
    <xf numFmtId="0" fontId="13" fillId="32" borderId="15" xfId="0" applyFont="1" applyFill="1" applyBorder="1" applyAlignment="1">
      <alignment horizontal="left" vertical="top" wrapText="1"/>
    </xf>
    <xf numFmtId="0" fontId="3" fillId="0" borderId="0" xfId="0" applyFont="1" applyAlignment="1">
      <alignment horizontal="left"/>
    </xf>
    <xf numFmtId="0" fontId="13" fillId="32" borderId="0" xfId="0" applyFont="1" applyFill="1" applyBorder="1" applyAlignment="1">
      <alignment horizontal="left" vertical="top"/>
    </xf>
    <xf numFmtId="0" fontId="13" fillId="32" borderId="10" xfId="0" applyFont="1" applyFill="1" applyBorder="1" applyAlignment="1">
      <alignment horizontal="left" vertical="top"/>
    </xf>
    <xf numFmtId="0" fontId="13" fillId="32" borderId="16" xfId="0" applyFont="1" applyFill="1" applyBorder="1" applyAlignment="1">
      <alignment horizontal="left" vertical="top"/>
    </xf>
    <xf numFmtId="0" fontId="13" fillId="32" borderId="17" xfId="0" applyFont="1" applyFill="1" applyBorder="1" applyAlignment="1">
      <alignment horizontal="left" vertical="top"/>
    </xf>
    <xf numFmtId="0" fontId="13" fillId="32" borderId="18" xfId="0" applyFont="1" applyFill="1" applyBorder="1" applyAlignment="1">
      <alignment horizontal="left" vertical="top"/>
    </xf>
    <xf numFmtId="0" fontId="13" fillId="32" borderId="10" xfId="0" applyFont="1" applyFill="1" applyBorder="1" applyAlignment="1">
      <alignment horizontal="left" vertical="top" wrapText="1"/>
    </xf>
    <xf numFmtId="0" fontId="10" fillId="32" borderId="10" xfId="0" applyFont="1" applyFill="1" applyBorder="1" applyAlignment="1">
      <alignment horizontal="left" vertical="top" wrapText="1"/>
    </xf>
    <xf numFmtId="0" fontId="10" fillId="32" borderId="10" xfId="0" applyFont="1" applyFill="1" applyBorder="1" applyAlignment="1">
      <alignment vertical="top" wrapText="1"/>
    </xf>
    <xf numFmtId="0" fontId="10" fillId="32" borderId="0" xfId="0" applyFont="1" applyFill="1" applyBorder="1" applyAlignment="1">
      <alignment wrapText="1"/>
    </xf>
    <xf numFmtId="2" fontId="10" fillId="32" borderId="0" xfId="0" applyNumberFormat="1" applyFont="1" applyFill="1" applyBorder="1" applyAlignment="1">
      <alignment/>
    </xf>
    <xf numFmtId="0" fontId="13" fillId="32" borderId="0" xfId="0" applyFont="1" applyFill="1" applyBorder="1" applyAlignment="1">
      <alignment horizontal="left" vertical="top" wrapText="1"/>
    </xf>
    <xf numFmtId="186" fontId="13" fillId="32" borderId="0" xfId="0" applyNumberFormat="1" applyFont="1" applyFill="1" applyBorder="1" applyAlignment="1">
      <alignment horizontal="left" vertical="top" wrapText="1"/>
    </xf>
    <xf numFmtId="0" fontId="10" fillId="32" borderId="0" xfId="0" applyFont="1" applyFill="1" applyBorder="1" applyAlignment="1">
      <alignment vertical="top" wrapText="1"/>
    </xf>
    <xf numFmtId="0" fontId="3" fillId="32" borderId="0" xfId="0" applyFont="1" applyFill="1" applyBorder="1" applyAlignment="1">
      <alignment horizontal="center" vertical="top" wrapText="1"/>
    </xf>
    <xf numFmtId="0" fontId="10" fillId="32" borderId="10" xfId="0" applyFont="1" applyFill="1" applyBorder="1" applyAlignment="1">
      <alignment vertical="top" wrapText="1"/>
    </xf>
    <xf numFmtId="0" fontId="10" fillId="32" borderId="10" xfId="0" applyFont="1" applyFill="1" applyBorder="1" applyAlignment="1">
      <alignment horizontal="center" vertical="top"/>
    </xf>
    <xf numFmtId="0" fontId="13" fillId="32" borderId="10" xfId="0" applyFont="1" applyFill="1" applyBorder="1" applyAlignment="1">
      <alignment horizontal="left" vertical="top" wrapText="1"/>
    </xf>
    <xf numFmtId="0" fontId="10" fillId="32" borderId="10" xfId="0" applyFont="1" applyFill="1" applyBorder="1" applyAlignment="1">
      <alignment/>
    </xf>
    <xf numFmtId="0" fontId="10" fillId="32" borderId="10" xfId="0" applyFont="1" applyFill="1" applyBorder="1" applyAlignment="1">
      <alignment vertical="top" wrapText="1"/>
    </xf>
    <xf numFmtId="0" fontId="10" fillId="32" borderId="15" xfId="0" applyFont="1" applyFill="1" applyBorder="1" applyAlignment="1">
      <alignment vertical="center" wrapText="1"/>
    </xf>
    <xf numFmtId="0" fontId="10" fillId="32" borderId="19" xfId="0" applyFont="1" applyFill="1" applyBorder="1" applyAlignment="1">
      <alignment vertical="center" wrapText="1"/>
    </xf>
    <xf numFmtId="0" fontId="13" fillId="32" borderId="15" xfId="0" applyFont="1" applyFill="1" applyBorder="1" applyAlignment="1">
      <alignment vertical="top" wrapText="1"/>
    </xf>
    <xf numFmtId="0" fontId="13" fillId="32" borderId="19" xfId="0" applyFont="1" applyFill="1" applyBorder="1" applyAlignment="1">
      <alignment vertical="top" wrapText="1"/>
    </xf>
    <xf numFmtId="0" fontId="13" fillId="36" borderId="20" xfId="0" applyFont="1" applyFill="1" applyBorder="1" applyAlignment="1">
      <alignment/>
    </xf>
    <xf numFmtId="0" fontId="10" fillId="36" borderId="0" xfId="0" applyFont="1" applyFill="1" applyBorder="1" applyAlignment="1">
      <alignment/>
    </xf>
    <xf numFmtId="0" fontId="10" fillId="36" borderId="21" xfId="0" applyFont="1" applyFill="1" applyBorder="1" applyAlignment="1">
      <alignment/>
    </xf>
    <xf numFmtId="186" fontId="10" fillId="32" borderId="10" xfId="0" applyNumberFormat="1" applyFont="1" applyFill="1" applyBorder="1" applyAlignment="1">
      <alignment vertical="top" wrapText="1"/>
    </xf>
    <xf numFmtId="0" fontId="10" fillId="32" borderId="0" xfId="0" applyFont="1" applyFill="1" applyAlignment="1">
      <alignment horizontal="right"/>
    </xf>
    <xf numFmtId="0" fontId="13" fillId="32" borderId="10" xfId="0" applyFont="1" applyFill="1" applyBorder="1" applyAlignment="1">
      <alignment horizontal="left" vertical="top" wrapText="1"/>
    </xf>
    <xf numFmtId="0" fontId="10" fillId="32" borderId="10" xfId="0" applyFont="1" applyFill="1" applyBorder="1" applyAlignment="1">
      <alignment horizontal="left" vertical="top" wrapText="1"/>
    </xf>
    <xf numFmtId="0" fontId="10" fillId="32" borderId="10" xfId="0" applyFont="1" applyFill="1" applyBorder="1" applyAlignment="1">
      <alignment vertical="top" wrapText="1"/>
    </xf>
    <xf numFmtId="0" fontId="10" fillId="32" borderId="0" xfId="0" applyFont="1" applyFill="1" applyAlignment="1">
      <alignment horizontal="left"/>
    </xf>
    <xf numFmtId="0" fontId="13" fillId="37" borderId="10" xfId="0" applyFont="1" applyFill="1" applyBorder="1" applyAlignment="1">
      <alignment horizontal="left" vertical="top" wrapText="1"/>
    </xf>
    <xf numFmtId="0" fontId="10" fillId="37" borderId="10" xfId="57" applyFont="1" applyFill="1" applyBorder="1" applyAlignment="1">
      <alignment horizontal="left" vertical="top" wrapText="1"/>
      <protection/>
    </xf>
    <xf numFmtId="0" fontId="10" fillId="37" borderId="10" xfId="0" applyFont="1" applyFill="1" applyBorder="1" applyAlignment="1">
      <alignment horizontal="center" vertical="center" wrapText="1"/>
    </xf>
    <xf numFmtId="0" fontId="10" fillId="37" borderId="10" xfId="0" applyFont="1" applyFill="1" applyBorder="1" applyAlignment="1">
      <alignment horizontal="left" vertical="top" wrapText="1"/>
    </xf>
    <xf numFmtId="186" fontId="10" fillId="37" borderId="10" xfId="0" applyNumberFormat="1" applyFont="1" applyFill="1" applyBorder="1" applyAlignment="1">
      <alignment horizontal="left" vertical="top" wrapText="1"/>
    </xf>
    <xf numFmtId="0" fontId="10" fillId="37" borderId="10" xfId="57" applyFont="1" applyFill="1" applyBorder="1" applyAlignment="1">
      <alignment vertical="top" wrapText="1"/>
      <protection/>
    </xf>
    <xf numFmtId="0" fontId="10" fillId="37" borderId="10" xfId="0" applyFont="1" applyFill="1" applyBorder="1" applyAlignment="1">
      <alignment vertical="top" wrapText="1"/>
    </xf>
    <xf numFmtId="186" fontId="10" fillId="37" borderId="10" xfId="0" applyNumberFormat="1" applyFont="1" applyFill="1" applyBorder="1" applyAlignment="1">
      <alignment/>
    </xf>
    <xf numFmtId="0" fontId="1" fillId="32" borderId="10" xfId="0" applyFont="1" applyFill="1" applyBorder="1" applyAlignment="1">
      <alignment horizontal="center" vertical="center" wrapText="1"/>
    </xf>
    <xf numFmtId="0" fontId="13" fillId="32" borderId="10" xfId="0" applyFont="1" applyFill="1" applyBorder="1" applyAlignment="1">
      <alignment horizontal="left" vertical="top" wrapText="1"/>
    </xf>
    <xf numFmtId="0" fontId="10" fillId="32" borderId="10" xfId="0" applyFont="1" applyFill="1" applyBorder="1" applyAlignment="1">
      <alignment horizontal="left" vertical="top" wrapText="1"/>
    </xf>
    <xf numFmtId="0" fontId="10" fillId="32" borderId="10" xfId="0" applyFont="1" applyFill="1" applyBorder="1" applyAlignment="1">
      <alignment horizontal="center" vertical="center" wrapText="1"/>
    </xf>
    <xf numFmtId="0" fontId="10" fillId="32" borderId="10" xfId="57" applyFont="1" applyFill="1" applyBorder="1" applyAlignment="1">
      <alignment horizontal="left" vertical="top" wrapText="1"/>
      <protection/>
    </xf>
    <xf numFmtId="0" fontId="13" fillId="32" borderId="10" xfId="0" applyFont="1" applyFill="1" applyBorder="1" applyAlignment="1">
      <alignment horizontal="center" vertical="top"/>
    </xf>
    <xf numFmtId="0" fontId="10" fillId="32" borderId="10" xfId="0" applyFont="1" applyFill="1" applyBorder="1" applyAlignment="1">
      <alignment vertical="top" wrapText="1"/>
    </xf>
    <xf numFmtId="0" fontId="13" fillId="32" borderId="10" xfId="0" applyFont="1" applyFill="1" applyBorder="1" applyAlignment="1">
      <alignment vertical="top" wrapText="1"/>
    </xf>
    <xf numFmtId="49" fontId="9" fillId="0" borderId="10" xfId="0" applyNumberFormat="1" applyFont="1" applyBorder="1" applyAlignment="1">
      <alignment horizontal="center" vertical="center" wrapText="1"/>
    </xf>
    <xf numFmtId="0" fontId="10" fillId="32" borderId="15" xfId="57" applyFont="1" applyFill="1" applyBorder="1" applyAlignment="1">
      <alignment vertical="top" wrapText="1"/>
      <protection/>
    </xf>
    <xf numFmtId="0" fontId="10" fillId="32" borderId="19" xfId="57" applyFont="1" applyFill="1" applyBorder="1" applyAlignment="1">
      <alignment vertical="top" wrapText="1"/>
      <protection/>
    </xf>
    <xf numFmtId="0" fontId="10" fillId="32" borderId="15" xfId="0" applyFont="1" applyFill="1" applyBorder="1" applyAlignment="1">
      <alignment vertical="top" wrapText="1"/>
    </xf>
    <xf numFmtId="0" fontId="10" fillId="32" borderId="22" xfId="0" applyFont="1" applyFill="1" applyBorder="1" applyAlignment="1">
      <alignment vertical="top" wrapText="1"/>
    </xf>
    <xf numFmtId="0" fontId="13" fillId="38" borderId="10" xfId="0" applyFont="1" applyFill="1" applyBorder="1" applyAlignment="1">
      <alignment vertical="top" wrapText="1"/>
    </xf>
    <xf numFmtId="186" fontId="13" fillId="38" borderId="10" xfId="0" applyNumberFormat="1" applyFont="1" applyFill="1" applyBorder="1" applyAlignment="1">
      <alignment horizontal="left" vertical="top" wrapText="1"/>
    </xf>
    <xf numFmtId="0" fontId="10" fillId="38" borderId="10" xfId="0" applyFont="1" applyFill="1" applyBorder="1" applyAlignment="1">
      <alignment vertical="top" wrapText="1"/>
    </xf>
    <xf numFmtId="0" fontId="13" fillId="32" borderId="10" xfId="0" applyFont="1" applyFill="1" applyBorder="1" applyAlignment="1">
      <alignment horizontal="left" vertical="top" wrapText="1"/>
    </xf>
    <xf numFmtId="0" fontId="10" fillId="32" borderId="10" xfId="0" applyFont="1" applyFill="1" applyBorder="1" applyAlignment="1">
      <alignment horizontal="left" vertical="top" wrapText="1"/>
    </xf>
    <xf numFmtId="0" fontId="13" fillId="32" borderId="22" xfId="0" applyFont="1" applyFill="1" applyBorder="1" applyAlignment="1">
      <alignment horizontal="left" vertical="top" wrapText="1"/>
    </xf>
    <xf numFmtId="0" fontId="10" fillId="32" borderId="22" xfId="57" applyFont="1" applyFill="1" applyBorder="1" applyAlignment="1">
      <alignment horizontal="left" vertical="top" wrapText="1"/>
      <protection/>
    </xf>
    <xf numFmtId="0" fontId="10" fillId="32" borderId="22" xfId="0" applyFont="1" applyFill="1" applyBorder="1" applyAlignment="1">
      <alignment horizontal="center" vertical="center" wrapText="1"/>
    </xf>
    <xf numFmtId="0" fontId="10" fillId="32" borderId="22" xfId="57" applyFont="1" applyFill="1" applyBorder="1" applyAlignment="1">
      <alignment horizontal="center" vertical="top" wrapText="1"/>
      <protection/>
    </xf>
    <xf numFmtId="0" fontId="10" fillId="32" borderId="10" xfId="0" applyFont="1" applyFill="1" applyBorder="1" applyAlignment="1">
      <alignment vertical="top" wrapText="1"/>
    </xf>
    <xf numFmtId="0" fontId="13" fillId="32" borderId="22" xfId="57" applyFont="1" applyFill="1" applyBorder="1" applyAlignment="1">
      <alignment horizontal="center" vertical="top" wrapText="1"/>
      <protection/>
    </xf>
    <xf numFmtId="0" fontId="10" fillId="0" borderId="10" xfId="0" applyFont="1" applyFill="1" applyBorder="1" applyAlignment="1">
      <alignment horizontal="left" vertical="top" wrapText="1"/>
    </xf>
    <xf numFmtId="186" fontId="10" fillId="0" borderId="10" xfId="0" applyNumberFormat="1" applyFont="1" applyFill="1" applyBorder="1" applyAlignment="1">
      <alignment horizontal="left" vertical="top" wrapText="1"/>
    </xf>
    <xf numFmtId="0" fontId="10" fillId="32" borderId="10" xfId="0" applyFont="1" applyFill="1" applyBorder="1" applyAlignment="1">
      <alignment horizontal="left" vertical="top" wrapText="1"/>
    </xf>
    <xf numFmtId="0" fontId="1" fillId="0" borderId="14" xfId="0" applyFont="1" applyBorder="1" applyAlignment="1">
      <alignment horizontal="center" wrapText="1"/>
    </xf>
    <xf numFmtId="0" fontId="1" fillId="0" borderId="23" xfId="0" applyFont="1" applyBorder="1" applyAlignment="1">
      <alignment horizontal="center" wrapText="1"/>
    </xf>
    <xf numFmtId="0" fontId="3" fillId="0" borderId="10" xfId="0" applyFont="1" applyBorder="1" applyAlignment="1">
      <alignment horizontal="left" vertical="top" wrapText="1"/>
    </xf>
    <xf numFmtId="0" fontId="3" fillId="32" borderId="10" xfId="0" applyFont="1" applyFill="1" applyBorder="1" applyAlignment="1">
      <alignment horizontal="left" vertical="top" wrapText="1"/>
    </xf>
    <xf numFmtId="0" fontId="3" fillId="0" borderId="0" xfId="57" applyFont="1" applyFill="1" applyAlignment="1">
      <alignment horizontal="left"/>
      <protection/>
    </xf>
    <xf numFmtId="0" fontId="3" fillId="0" borderId="0" xfId="0" applyFont="1" applyAlignment="1">
      <alignment horizontal="left" wrapText="1"/>
    </xf>
    <xf numFmtId="0" fontId="3" fillId="0" borderId="0" xfId="0" applyFont="1" applyAlignment="1">
      <alignment horizontal="left"/>
    </xf>
    <xf numFmtId="0" fontId="1" fillId="0" borderId="12" xfId="0"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top" wrapText="1"/>
    </xf>
    <xf numFmtId="0" fontId="1" fillId="0" borderId="18" xfId="0" applyFont="1" applyBorder="1" applyAlignment="1">
      <alignment horizontal="center" vertical="top" wrapText="1"/>
    </xf>
    <xf numFmtId="0" fontId="10" fillId="0" borderId="0" xfId="0" applyFont="1" applyAlignment="1">
      <alignment horizontal="left" wrapText="1"/>
    </xf>
    <xf numFmtId="0" fontId="13" fillId="32" borderId="15" xfId="57" applyFont="1" applyFill="1" applyBorder="1" applyAlignment="1">
      <alignment horizontal="center" vertical="top" wrapText="1"/>
      <protection/>
    </xf>
    <xf numFmtId="0" fontId="13" fillId="32" borderId="22" xfId="57" applyFont="1" applyFill="1" applyBorder="1" applyAlignment="1">
      <alignment horizontal="center" vertical="top" wrapText="1"/>
      <protection/>
    </xf>
    <xf numFmtId="0" fontId="10" fillId="32" borderId="15" xfId="57" applyFont="1" applyFill="1" applyBorder="1" applyAlignment="1">
      <alignment horizontal="left" vertical="top" wrapText="1"/>
      <protection/>
    </xf>
    <xf numFmtId="0" fontId="10" fillId="32" borderId="22" xfId="57" applyFont="1" applyFill="1" applyBorder="1" applyAlignment="1">
      <alignment horizontal="left" vertical="top" wrapText="1"/>
      <protection/>
    </xf>
    <xf numFmtId="0" fontId="13" fillId="32" borderId="14" xfId="0" applyFont="1" applyFill="1" applyBorder="1" applyAlignment="1">
      <alignment horizontal="left" vertical="top"/>
    </xf>
    <xf numFmtId="0" fontId="13" fillId="32" borderId="24" xfId="0" applyFont="1" applyFill="1" applyBorder="1" applyAlignment="1">
      <alignment horizontal="left" vertical="top"/>
    </xf>
    <xf numFmtId="0" fontId="13" fillId="32" borderId="23" xfId="0" applyFont="1" applyFill="1" applyBorder="1" applyAlignment="1">
      <alignment horizontal="left" vertical="top"/>
    </xf>
    <xf numFmtId="0" fontId="13" fillId="32" borderId="20" xfId="0" applyFont="1" applyFill="1" applyBorder="1" applyAlignment="1">
      <alignment horizontal="left" vertical="top"/>
    </xf>
    <xf numFmtId="0" fontId="13" fillId="32" borderId="0" xfId="0" applyFont="1" applyFill="1" applyBorder="1" applyAlignment="1">
      <alignment horizontal="left" vertical="top"/>
    </xf>
    <xf numFmtId="0" fontId="13" fillId="32" borderId="21" xfId="0" applyFont="1" applyFill="1" applyBorder="1" applyAlignment="1">
      <alignment horizontal="left" vertical="top"/>
    </xf>
    <xf numFmtId="0" fontId="13" fillId="32" borderId="16" xfId="0" applyFont="1" applyFill="1" applyBorder="1" applyAlignment="1">
      <alignment horizontal="left" vertical="top"/>
    </xf>
    <xf numFmtId="0" fontId="13" fillId="32" borderId="17" xfId="0" applyFont="1" applyFill="1" applyBorder="1" applyAlignment="1">
      <alignment horizontal="left" vertical="top"/>
    </xf>
    <xf numFmtId="0" fontId="13" fillId="32" borderId="18" xfId="0" applyFont="1" applyFill="1" applyBorder="1" applyAlignment="1">
      <alignment horizontal="left" vertical="top"/>
    </xf>
    <xf numFmtId="0" fontId="13" fillId="32" borderId="15" xfId="0" applyFont="1" applyFill="1" applyBorder="1" applyAlignment="1">
      <alignment horizontal="center" vertical="top"/>
    </xf>
    <xf numFmtId="0" fontId="13" fillId="32" borderId="19" xfId="0" applyFont="1" applyFill="1" applyBorder="1" applyAlignment="1">
      <alignment horizontal="center" vertical="top"/>
    </xf>
    <xf numFmtId="49" fontId="13" fillId="32" borderId="15" xfId="0" applyNumberFormat="1" applyFont="1" applyFill="1" applyBorder="1" applyAlignment="1">
      <alignment horizontal="left" vertical="top" wrapText="1"/>
    </xf>
    <xf numFmtId="49" fontId="13" fillId="32" borderId="19" xfId="0" applyNumberFormat="1" applyFont="1" applyFill="1" applyBorder="1" applyAlignment="1">
      <alignment horizontal="left" vertical="top" wrapText="1"/>
    </xf>
    <xf numFmtId="49" fontId="10" fillId="32" borderId="15" xfId="0" applyNumberFormat="1" applyFont="1" applyFill="1" applyBorder="1" applyAlignment="1">
      <alignment horizontal="left" vertical="top" wrapText="1"/>
    </xf>
    <xf numFmtId="49" fontId="10" fillId="32" borderId="19" xfId="0" applyNumberFormat="1" applyFont="1" applyFill="1" applyBorder="1" applyAlignment="1">
      <alignment horizontal="left" vertical="top" wrapText="1"/>
    </xf>
    <xf numFmtId="0" fontId="10" fillId="32" borderId="15" xfId="0" applyFont="1" applyFill="1" applyBorder="1" applyAlignment="1">
      <alignment horizontal="center" vertical="center" wrapText="1"/>
    </xf>
    <xf numFmtId="0" fontId="10" fillId="32" borderId="19" xfId="0" applyFont="1" applyFill="1" applyBorder="1" applyAlignment="1">
      <alignment horizontal="center" vertical="center" wrapText="1"/>
    </xf>
    <xf numFmtId="0" fontId="10" fillId="32" borderId="22" xfId="0" applyFont="1" applyFill="1" applyBorder="1" applyAlignment="1">
      <alignment horizontal="center" vertical="center" wrapText="1"/>
    </xf>
    <xf numFmtId="0" fontId="10" fillId="32" borderId="15" xfId="57" applyFont="1" applyFill="1" applyBorder="1" applyAlignment="1">
      <alignment horizontal="center" vertical="top" wrapText="1"/>
      <protection/>
    </xf>
    <xf numFmtId="0" fontId="10" fillId="32" borderId="22" xfId="57" applyFont="1" applyFill="1" applyBorder="1" applyAlignment="1">
      <alignment horizontal="center" vertical="top" wrapText="1"/>
      <protection/>
    </xf>
    <xf numFmtId="0" fontId="13" fillId="32" borderId="13" xfId="0" applyFont="1" applyFill="1" applyBorder="1" applyAlignment="1">
      <alignment horizontal="left" vertical="top" wrapText="1"/>
    </xf>
    <xf numFmtId="0" fontId="13" fillId="32" borderId="11" xfId="0" applyFont="1" applyFill="1" applyBorder="1" applyAlignment="1">
      <alignment horizontal="left" vertical="top" wrapText="1"/>
    </xf>
    <xf numFmtId="0" fontId="10" fillId="32" borderId="10" xfId="57" applyFont="1" applyFill="1" applyBorder="1" applyAlignment="1">
      <alignment vertical="top" wrapText="1"/>
      <protection/>
    </xf>
    <xf numFmtId="0" fontId="10" fillId="32" borderId="10" xfId="0" applyFont="1" applyFill="1" applyBorder="1" applyAlignment="1">
      <alignment horizontal="center" vertical="center" wrapText="1"/>
    </xf>
    <xf numFmtId="0" fontId="13" fillId="32" borderId="10" xfId="0" applyFont="1" applyFill="1" applyBorder="1" applyAlignment="1">
      <alignment horizontal="left" vertical="top"/>
    </xf>
    <xf numFmtId="0" fontId="13" fillId="32" borderId="10" xfId="0" applyFont="1" applyFill="1" applyBorder="1" applyAlignment="1">
      <alignment horizontal="center" vertical="top"/>
    </xf>
    <xf numFmtId="0" fontId="13" fillId="33" borderId="12"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1" xfId="0" applyFont="1" applyFill="1" applyBorder="1" applyAlignment="1">
      <alignment horizontal="center" vertical="center"/>
    </xf>
    <xf numFmtId="0" fontId="13" fillId="32" borderId="15" xfId="0" applyFont="1" applyFill="1" applyBorder="1" applyAlignment="1">
      <alignment horizontal="center" vertical="top" wrapText="1"/>
    </xf>
    <xf numFmtId="0" fontId="13" fillId="32" borderId="22" xfId="0" applyFont="1" applyFill="1" applyBorder="1" applyAlignment="1">
      <alignment horizontal="center" vertical="top" wrapText="1"/>
    </xf>
    <xf numFmtId="0" fontId="13" fillId="0" borderId="10" xfId="0" applyFont="1" applyBorder="1" applyAlignment="1">
      <alignment horizontal="left" vertical="top" wrapText="1"/>
    </xf>
    <xf numFmtId="0" fontId="13" fillId="32" borderId="19" xfId="57" applyFont="1" applyFill="1" applyBorder="1" applyAlignment="1">
      <alignment horizontal="center" vertical="top" wrapText="1"/>
      <protection/>
    </xf>
    <xf numFmtId="0" fontId="13" fillId="32" borderId="10" xfId="0" applyFont="1" applyFill="1" applyBorder="1" applyAlignment="1">
      <alignment horizontal="left" vertical="top" wrapText="1"/>
    </xf>
    <xf numFmtId="0" fontId="10" fillId="32" borderId="10" xfId="0" applyFont="1" applyFill="1" applyBorder="1" applyAlignment="1">
      <alignment horizontal="left" vertical="top" wrapText="1"/>
    </xf>
    <xf numFmtId="0" fontId="10" fillId="32" borderId="14" xfId="0" applyFont="1" applyFill="1" applyBorder="1" applyAlignment="1">
      <alignment horizontal="center" vertical="center" wrapText="1"/>
    </xf>
    <xf numFmtId="0" fontId="10" fillId="32" borderId="20" xfId="0" applyFont="1" applyFill="1" applyBorder="1" applyAlignment="1">
      <alignment horizontal="center" vertical="center" wrapText="1"/>
    </xf>
    <xf numFmtId="0" fontId="10" fillId="32" borderId="16" xfId="0" applyFont="1" applyFill="1" applyBorder="1" applyAlignment="1">
      <alignment horizontal="center" vertical="center" wrapText="1"/>
    </xf>
    <xf numFmtId="0" fontId="10" fillId="32" borderId="15" xfId="57" applyFont="1" applyFill="1" applyBorder="1" applyAlignment="1">
      <alignment horizontal="center" vertical="center" wrapText="1"/>
      <protection/>
    </xf>
    <xf numFmtId="0" fontId="10" fillId="32" borderId="22" xfId="57" applyFont="1" applyFill="1" applyBorder="1" applyAlignment="1">
      <alignment horizontal="center" vertical="center" wrapText="1"/>
      <protection/>
    </xf>
    <xf numFmtId="0" fontId="10" fillId="32" borderId="19" xfId="57" applyFont="1" applyFill="1" applyBorder="1" applyAlignment="1">
      <alignment horizontal="center" vertical="center" wrapText="1"/>
      <protection/>
    </xf>
    <xf numFmtId="0" fontId="10" fillId="32" borderId="10" xfId="57" applyFont="1" applyFill="1" applyBorder="1" applyAlignment="1">
      <alignment horizontal="left" vertical="top" wrapText="1"/>
      <protection/>
    </xf>
    <xf numFmtId="0" fontId="10" fillId="32" borderId="10" xfId="0" applyFont="1" applyFill="1" applyBorder="1" applyAlignment="1">
      <alignment vertical="top" wrapText="1"/>
    </xf>
    <xf numFmtId="0" fontId="10" fillId="32" borderId="10" xfId="0" applyFont="1" applyFill="1" applyBorder="1" applyAlignment="1">
      <alignment horizontal="center" vertical="top"/>
    </xf>
    <xf numFmtId="0" fontId="13" fillId="32" borderId="10" xfId="57" applyFont="1" applyFill="1" applyBorder="1" applyAlignment="1">
      <alignment horizontal="center" vertical="top" wrapText="1"/>
      <protection/>
    </xf>
    <xf numFmtId="0" fontId="13" fillId="32" borderId="14" xfId="0" applyFont="1" applyFill="1" applyBorder="1" applyAlignment="1">
      <alignment horizontal="center" vertical="top"/>
    </xf>
    <xf numFmtId="0" fontId="13" fillId="32" borderId="24" xfId="0" applyFont="1" applyFill="1" applyBorder="1" applyAlignment="1">
      <alignment horizontal="center" vertical="top"/>
    </xf>
    <xf numFmtId="0" fontId="13" fillId="32" borderId="23" xfId="0" applyFont="1" applyFill="1" applyBorder="1" applyAlignment="1">
      <alignment horizontal="center" vertical="top"/>
    </xf>
    <xf numFmtId="0" fontId="13" fillId="32" borderId="20" xfId="0" applyFont="1" applyFill="1" applyBorder="1" applyAlignment="1">
      <alignment horizontal="center" vertical="top"/>
    </xf>
    <xf numFmtId="0" fontId="13" fillId="32" borderId="0" xfId="0" applyFont="1" applyFill="1" applyBorder="1" applyAlignment="1">
      <alignment horizontal="center" vertical="top"/>
    </xf>
    <xf numFmtId="0" fontId="13" fillId="32" borderId="21" xfId="0" applyFont="1" applyFill="1" applyBorder="1" applyAlignment="1">
      <alignment horizontal="center" vertical="top"/>
    </xf>
    <xf numFmtId="0" fontId="13" fillId="32" borderId="16" xfId="0" applyFont="1" applyFill="1" applyBorder="1" applyAlignment="1">
      <alignment horizontal="center" vertical="top"/>
    </xf>
    <xf numFmtId="0" fontId="13" fillId="32" borderId="17" xfId="0" applyFont="1" applyFill="1" applyBorder="1" applyAlignment="1">
      <alignment horizontal="center" vertical="top"/>
    </xf>
    <xf numFmtId="0" fontId="13" fillId="32" borderId="18" xfId="0" applyFont="1" applyFill="1" applyBorder="1" applyAlignment="1">
      <alignment horizontal="center" vertical="top"/>
    </xf>
    <xf numFmtId="0" fontId="13" fillId="32" borderId="22" xfId="0" applyFont="1" applyFill="1" applyBorder="1" applyAlignment="1">
      <alignment horizontal="center" vertical="top"/>
    </xf>
    <xf numFmtId="0" fontId="11" fillId="32" borderId="0" xfId="0" applyFont="1" applyFill="1" applyAlignment="1">
      <alignment horizontal="center" vertical="center"/>
    </xf>
    <xf numFmtId="0" fontId="13" fillId="33" borderId="10" xfId="57" applyFont="1" applyFill="1" applyBorder="1" applyAlignment="1">
      <alignment horizontal="center" vertical="center" wrapText="1"/>
      <protection/>
    </xf>
    <xf numFmtId="0" fontId="1" fillId="32" borderId="10" xfId="0" applyFont="1" applyFill="1" applyBorder="1" applyAlignment="1">
      <alignment horizontal="center" vertical="center" wrapText="1"/>
    </xf>
    <xf numFmtId="0" fontId="60" fillId="32" borderId="0" xfId="0" applyFont="1" applyFill="1" applyAlignment="1">
      <alignment horizontal="center" vertical="center"/>
    </xf>
    <xf numFmtId="0" fontId="13" fillId="32" borderId="10" xfId="0" applyFont="1" applyFill="1" applyBorder="1" applyAlignment="1">
      <alignment vertical="top" wrapText="1"/>
    </xf>
    <xf numFmtId="0" fontId="13" fillId="32" borderId="15" xfId="0" applyFont="1" applyFill="1" applyBorder="1" applyAlignment="1">
      <alignment horizontal="left" vertical="top" wrapText="1"/>
    </xf>
    <xf numFmtId="0" fontId="13" fillId="32" borderId="22" xfId="0" applyFont="1" applyFill="1" applyBorder="1" applyAlignment="1">
      <alignment horizontal="left" vertical="top" wrapText="1"/>
    </xf>
    <xf numFmtId="0" fontId="13" fillId="32" borderId="19" xfId="0" applyFont="1" applyFill="1" applyBorder="1" applyAlignment="1">
      <alignment horizontal="left" vertical="top" wrapText="1"/>
    </xf>
    <xf numFmtId="0" fontId="10" fillId="32" borderId="19" xfId="57" applyFont="1" applyFill="1" applyBorder="1" applyAlignment="1">
      <alignment horizontal="left" vertical="top" wrapText="1"/>
      <protection/>
    </xf>
    <xf numFmtId="0" fontId="10" fillId="32" borderId="15" xfId="0" applyFont="1" applyFill="1" applyBorder="1" applyAlignment="1">
      <alignment horizontal="center" vertical="top" wrapText="1"/>
    </xf>
    <xf numFmtId="0" fontId="10" fillId="32" borderId="22" xfId="0" applyFont="1" applyFill="1" applyBorder="1" applyAlignment="1">
      <alignment horizontal="center" vertical="top" wrapText="1"/>
    </xf>
    <xf numFmtId="0" fontId="10" fillId="32" borderId="19" xfId="0" applyFont="1" applyFill="1" applyBorder="1" applyAlignment="1">
      <alignment horizontal="center" vertical="top" wrapText="1"/>
    </xf>
    <xf numFmtId="0" fontId="1" fillId="32" borderId="10" xfId="0" applyFont="1" applyFill="1" applyBorder="1" applyAlignment="1">
      <alignment horizontal="center" wrapText="1"/>
    </xf>
    <xf numFmtId="0" fontId="10" fillId="32" borderId="19" xfId="57" applyFont="1" applyFill="1" applyBorder="1" applyAlignment="1">
      <alignment horizontal="center" vertical="top" wrapText="1"/>
      <protection/>
    </xf>
    <xf numFmtId="0" fontId="10" fillId="32" borderId="15" xfId="0" applyFont="1" applyFill="1" applyBorder="1" applyAlignment="1">
      <alignment horizontal="left" vertical="top" wrapText="1"/>
    </xf>
    <xf numFmtId="0" fontId="10" fillId="32" borderId="19" xfId="0" applyFont="1" applyFill="1" applyBorder="1" applyAlignment="1">
      <alignment horizontal="left" vertical="top" wrapText="1"/>
    </xf>
    <xf numFmtId="0" fontId="10" fillId="32" borderId="22" xfId="0" applyFont="1" applyFill="1" applyBorder="1" applyAlignment="1">
      <alignment horizontal="left" vertical="top" wrapText="1"/>
    </xf>
    <xf numFmtId="0" fontId="10" fillId="32" borderId="15" xfId="0" applyFont="1" applyFill="1" applyBorder="1" applyAlignment="1">
      <alignment horizontal="left" vertical="center" wrapText="1"/>
    </xf>
    <xf numFmtId="0" fontId="10" fillId="32" borderId="19" xfId="0" applyFont="1" applyFill="1" applyBorder="1" applyAlignment="1">
      <alignment horizontal="left" vertical="center" wrapText="1"/>
    </xf>
    <xf numFmtId="0" fontId="10" fillId="32" borderId="15" xfId="57" applyFont="1" applyFill="1" applyBorder="1" applyAlignment="1">
      <alignment horizontal="left" vertical="center" wrapText="1"/>
      <protection/>
    </xf>
    <xf numFmtId="0" fontId="10" fillId="32" borderId="19" xfId="57" applyFont="1" applyFill="1" applyBorder="1" applyAlignment="1">
      <alignment horizontal="left" vertical="center" wrapText="1"/>
      <protection/>
    </xf>
    <xf numFmtId="0" fontId="13" fillId="38" borderId="10" xfId="0" applyFont="1" applyFill="1" applyBorder="1" applyAlignment="1">
      <alignment horizontal="left" vertical="top"/>
    </xf>
    <xf numFmtId="0" fontId="13" fillId="36" borderId="12" xfId="0" applyFont="1" applyFill="1" applyBorder="1" applyAlignment="1">
      <alignment horizontal="center" vertical="center"/>
    </xf>
    <xf numFmtId="0" fontId="13" fillId="36" borderId="13" xfId="0" applyFont="1" applyFill="1" applyBorder="1" applyAlignment="1">
      <alignment horizontal="center" vertical="center"/>
    </xf>
    <xf numFmtId="0" fontId="13" fillId="36" borderId="11" xfId="0" applyFont="1" applyFill="1" applyBorder="1" applyAlignment="1">
      <alignment horizontal="center" vertical="center"/>
    </xf>
    <xf numFmtId="0" fontId="13" fillId="36" borderId="12" xfId="0" applyFont="1" applyFill="1" applyBorder="1" applyAlignment="1">
      <alignment horizontal="center" wrapText="1"/>
    </xf>
    <xf numFmtId="0" fontId="13" fillId="36" borderId="13" xfId="0" applyFont="1" applyFill="1" applyBorder="1" applyAlignment="1">
      <alignment horizontal="center" wrapText="1"/>
    </xf>
    <xf numFmtId="0" fontId="13" fillId="36" borderId="11" xfId="0" applyFont="1" applyFill="1" applyBorder="1" applyAlignment="1">
      <alignment horizontal="center" wrapText="1"/>
    </xf>
    <xf numFmtId="0" fontId="13" fillId="32" borderId="15" xfId="0" applyFont="1" applyFill="1" applyBorder="1" applyAlignment="1">
      <alignment horizontal="left" vertical="top"/>
    </xf>
    <xf numFmtId="0" fontId="13" fillId="32" borderId="19" xfId="0" applyFont="1" applyFill="1" applyBorder="1" applyAlignment="1">
      <alignment horizontal="left" vertical="top"/>
    </xf>
    <xf numFmtId="0" fontId="10" fillId="32" borderId="10" xfId="0" applyFont="1" applyFill="1" applyBorder="1" applyAlignment="1">
      <alignment horizontal="left" wrapText="1"/>
    </xf>
    <xf numFmtId="0" fontId="13" fillId="36" borderId="12" xfId="0" applyFont="1" applyFill="1" applyBorder="1" applyAlignment="1">
      <alignment horizontal="left"/>
    </xf>
    <xf numFmtId="0" fontId="13" fillId="36" borderId="13" xfId="0" applyFont="1" applyFill="1" applyBorder="1" applyAlignment="1">
      <alignment horizontal="left"/>
    </xf>
    <xf numFmtId="0" fontId="13" fillId="36" borderId="11" xfId="0" applyFont="1" applyFill="1" applyBorder="1" applyAlignment="1">
      <alignment horizontal="left"/>
    </xf>
    <xf numFmtId="188" fontId="13" fillId="32" borderId="12" xfId="0" applyNumberFormat="1" applyFont="1" applyFill="1" applyBorder="1" applyAlignment="1">
      <alignment horizontal="center" vertical="top" wrapText="1"/>
    </xf>
    <xf numFmtId="188" fontId="13" fillId="32" borderId="13" xfId="0" applyNumberFormat="1" applyFont="1" applyFill="1" applyBorder="1" applyAlignment="1">
      <alignment horizontal="center" vertical="top" wrapText="1"/>
    </xf>
    <xf numFmtId="188" fontId="13" fillId="32" borderId="11" xfId="0" applyNumberFormat="1" applyFont="1" applyFill="1" applyBorder="1" applyAlignment="1">
      <alignment horizontal="center" vertical="top" wrapText="1"/>
    </xf>
    <xf numFmtId="0" fontId="13" fillId="32" borderId="10" xfId="0" applyFont="1" applyFill="1" applyBorder="1" applyAlignment="1">
      <alignment horizontal="left"/>
    </xf>
    <xf numFmtId="0" fontId="13" fillId="32" borderId="10" xfId="0" applyFont="1" applyFill="1" applyBorder="1" applyAlignment="1">
      <alignment horizontal="left" wrapText="1"/>
    </xf>
    <xf numFmtId="0" fontId="13" fillId="33" borderId="10" xfId="0" applyFont="1" applyFill="1" applyBorder="1" applyAlignment="1">
      <alignment horizontal="left"/>
    </xf>
    <xf numFmtId="0" fontId="10" fillId="32" borderId="10" xfId="0" applyFont="1" applyFill="1" applyBorder="1" applyAlignment="1">
      <alignment horizontal="left"/>
    </xf>
    <xf numFmtId="0" fontId="18" fillId="32" borderId="10" xfId="0" applyFont="1" applyFill="1" applyBorder="1" applyAlignment="1">
      <alignment/>
    </xf>
    <xf numFmtId="0" fontId="65" fillId="32" borderId="10" xfId="0" applyFont="1" applyFill="1" applyBorder="1" applyAlignment="1">
      <alignment horizontal="center" vertical="center" wrapText="1"/>
    </xf>
    <xf numFmtId="0" fontId="13" fillId="32" borderId="10" xfId="0" applyFont="1" applyFill="1" applyBorder="1" applyAlignment="1">
      <alignment horizontal="center" vertical="center" wrapText="1"/>
    </xf>
    <xf numFmtId="0" fontId="13" fillId="33" borderId="12" xfId="0" applyFont="1" applyFill="1" applyBorder="1" applyAlignment="1">
      <alignment horizontal="left" wrapText="1"/>
    </xf>
    <xf numFmtId="0" fontId="13" fillId="33" borderId="13" xfId="0" applyFont="1" applyFill="1" applyBorder="1" applyAlignment="1">
      <alignment horizontal="left" wrapText="1"/>
    </xf>
    <xf numFmtId="0" fontId="13" fillId="33" borderId="11" xfId="0" applyFont="1" applyFill="1" applyBorder="1" applyAlignment="1">
      <alignment horizontal="left" wrapText="1"/>
    </xf>
    <xf numFmtId="0" fontId="10" fillId="32" borderId="10" xfId="0" applyFont="1" applyFill="1" applyBorder="1" applyAlignment="1">
      <alignment horizontal="left" vertical="center"/>
    </xf>
    <xf numFmtId="0" fontId="13" fillId="32" borderId="10" xfId="0" applyFont="1" applyFill="1" applyBorder="1" applyAlignment="1">
      <alignment horizontal="center" wrapText="1"/>
    </xf>
    <xf numFmtId="0" fontId="10" fillId="32" borderId="10" xfId="0" applyFont="1" applyFill="1" applyBorder="1" applyAlignment="1">
      <alignment horizontal="left" vertical="center" wrapText="1"/>
    </xf>
    <xf numFmtId="0" fontId="10" fillId="32" borderId="0" xfId="0" applyFont="1" applyFill="1" applyAlignment="1">
      <alignment horizontal="left"/>
    </xf>
    <xf numFmtId="0" fontId="10" fillId="32" borderId="0" xfId="0" applyFont="1" applyFill="1" applyAlignment="1">
      <alignment horizontal="left" wrapText="1"/>
    </xf>
    <xf numFmtId="0" fontId="13" fillId="32" borderId="0" xfId="0" applyFont="1" applyFill="1" applyAlignment="1">
      <alignment horizontal="center" vertical="center" wrapText="1"/>
    </xf>
    <xf numFmtId="0" fontId="13" fillId="32" borderId="12" xfId="0" applyFont="1" applyFill="1" applyBorder="1" applyAlignment="1">
      <alignment horizontal="left"/>
    </xf>
    <xf numFmtId="0" fontId="13" fillId="32" borderId="13" xfId="0" applyFont="1" applyFill="1" applyBorder="1" applyAlignment="1">
      <alignment horizontal="left"/>
    </xf>
    <xf numFmtId="0" fontId="13" fillId="32" borderId="11" xfId="0" applyFont="1" applyFill="1" applyBorder="1" applyAlignment="1">
      <alignment horizontal="left"/>
    </xf>
    <xf numFmtId="0" fontId="13" fillId="36" borderId="12" xfId="0" applyFont="1" applyFill="1" applyBorder="1" applyAlignment="1">
      <alignment horizontal="left" wrapText="1"/>
    </xf>
    <xf numFmtId="0" fontId="13" fillId="36" borderId="13" xfId="0" applyFont="1" applyFill="1" applyBorder="1" applyAlignment="1">
      <alignment horizontal="left" wrapText="1"/>
    </xf>
    <xf numFmtId="0" fontId="13" fillId="36" borderId="11" xfId="0" applyFont="1" applyFill="1" applyBorder="1" applyAlignment="1">
      <alignment horizontal="left"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Dnepr" xfId="55"/>
    <cellStyle name="Обычный_Запит ПЦМ 2012 свод4 по уоз" xfId="56"/>
    <cellStyle name="Обычный_Лист1" xfId="57"/>
    <cellStyle name="Обычный_проект 010116" xfId="58"/>
    <cellStyle name="Followed Hyperlink" xfId="59"/>
    <cellStyle name="Плохой" xfId="60"/>
    <cellStyle name="Пояснение" xfId="61"/>
    <cellStyle name="Примечание" xfId="62"/>
    <cellStyle name="Percent" xfId="63"/>
    <cellStyle name="Процентный 2" xfId="64"/>
    <cellStyle name="Связанная ячейка" xfId="65"/>
    <cellStyle name="Стиль 1"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M29"/>
  <sheetViews>
    <sheetView view="pageBreakPreview" zoomScale="84" zoomScaleSheetLayoutView="84" zoomScalePageLayoutView="0" workbookViewId="0" topLeftCell="A1">
      <selection activeCell="B18" sqref="B18:C18"/>
    </sheetView>
  </sheetViews>
  <sheetFormatPr defaultColWidth="9.140625" defaultRowHeight="12.75"/>
  <cols>
    <col min="1" max="1" width="40.8515625" style="1" customWidth="1"/>
    <col min="2" max="2" width="38.8515625" style="1" customWidth="1"/>
    <col min="3" max="3" width="52.140625" style="1" customWidth="1"/>
    <col min="4" max="4" width="9.140625" style="1" customWidth="1"/>
    <col min="5" max="5" width="37.421875" style="1" customWidth="1"/>
    <col min="6" max="16384" width="9.140625" style="1" customWidth="1"/>
  </cols>
  <sheetData>
    <row r="1" ht="18.75">
      <c r="C1" s="1" t="s">
        <v>1</v>
      </c>
    </row>
    <row r="2" spans="3:13" ht="114" customHeight="1">
      <c r="C2" s="4" t="s">
        <v>295</v>
      </c>
      <c r="F2" s="234"/>
      <c r="G2" s="234"/>
      <c r="H2" s="234"/>
      <c r="I2" s="2"/>
      <c r="J2" s="2"/>
      <c r="K2" s="2"/>
      <c r="L2" s="59"/>
      <c r="M2" s="59"/>
    </row>
    <row r="3" spans="3:13" ht="24" customHeight="1">
      <c r="C3" s="4" t="s">
        <v>320</v>
      </c>
      <c r="E3" s="61"/>
      <c r="F3" s="235"/>
      <c r="G3" s="235"/>
      <c r="H3" s="235"/>
      <c r="J3" s="59"/>
      <c r="K3" s="59"/>
      <c r="L3" s="59"/>
      <c r="M3" s="59"/>
    </row>
    <row r="4" spans="3:13" ht="30" customHeight="1">
      <c r="C4" s="4"/>
      <c r="E4" s="61"/>
      <c r="F4" s="60"/>
      <c r="G4" s="60"/>
      <c r="H4" s="60"/>
      <c r="J4" s="59"/>
      <c r="K4" s="59"/>
      <c r="L4" s="59"/>
      <c r="M4" s="59"/>
    </row>
    <row r="5" spans="1:13" ht="17.25" customHeight="1">
      <c r="A5" s="239" t="s">
        <v>24</v>
      </c>
      <c r="B5" s="239"/>
      <c r="C5" s="239"/>
      <c r="F5" s="236"/>
      <c r="G5" s="236"/>
      <c r="H5" s="236"/>
      <c r="I5" s="236"/>
      <c r="J5" s="236"/>
      <c r="K5" s="236"/>
      <c r="L5" s="236"/>
      <c r="M5" s="236"/>
    </row>
    <row r="6" spans="1:3" ht="17.25" customHeight="1">
      <c r="A6" s="239" t="s">
        <v>63</v>
      </c>
      <c r="B6" s="239"/>
      <c r="C6" s="239"/>
    </row>
    <row r="7" spans="1:3" ht="17.25" customHeight="1">
      <c r="A7" s="239" t="s">
        <v>31</v>
      </c>
      <c r="B7" s="239"/>
      <c r="C7" s="239"/>
    </row>
    <row r="8" ht="22.5" customHeight="1"/>
    <row r="9" spans="1:3" ht="37.5" customHeight="1">
      <c r="A9" s="240" t="s">
        <v>23</v>
      </c>
      <c r="B9" s="230" t="s">
        <v>25</v>
      </c>
      <c r="C9" s="231"/>
    </row>
    <row r="10" spans="1:3" ht="37.5" customHeight="1">
      <c r="A10" s="241"/>
      <c r="B10" s="242" t="s">
        <v>26</v>
      </c>
      <c r="C10" s="243"/>
    </row>
    <row r="11" spans="1:3" ht="18.75">
      <c r="A11" s="7">
        <v>1</v>
      </c>
      <c r="B11" s="237">
        <v>2</v>
      </c>
      <c r="C11" s="238"/>
    </row>
    <row r="12" spans="1:3" ht="49.5" customHeight="1">
      <c r="A12" s="211" t="s">
        <v>284</v>
      </c>
      <c r="B12" s="232" t="s">
        <v>27</v>
      </c>
      <c r="C12" s="232"/>
    </row>
    <row r="13" spans="1:3" ht="49.5" customHeight="1">
      <c r="A13" s="211" t="s">
        <v>285</v>
      </c>
      <c r="B13" s="232" t="s">
        <v>30</v>
      </c>
      <c r="C13" s="232"/>
    </row>
    <row r="14" spans="1:3" ht="49.5" customHeight="1">
      <c r="A14" s="211" t="s">
        <v>286</v>
      </c>
      <c r="B14" s="232" t="s">
        <v>28</v>
      </c>
      <c r="C14" s="232"/>
    </row>
    <row r="15" spans="1:3" ht="49.5" customHeight="1">
      <c r="A15" s="211" t="s">
        <v>287</v>
      </c>
      <c r="B15" s="232" t="s">
        <v>187</v>
      </c>
      <c r="C15" s="232"/>
    </row>
    <row r="16" spans="1:3" ht="49.5" customHeight="1">
      <c r="A16" s="211" t="s">
        <v>288</v>
      </c>
      <c r="B16" s="232" t="s">
        <v>186</v>
      </c>
      <c r="C16" s="232"/>
    </row>
    <row r="17" spans="1:3" ht="49.5" customHeight="1">
      <c r="A17" s="211" t="s">
        <v>289</v>
      </c>
      <c r="B17" s="233" t="s">
        <v>318</v>
      </c>
      <c r="C17" s="233"/>
    </row>
    <row r="18" spans="1:3" ht="55.5" customHeight="1">
      <c r="A18" s="211" t="s">
        <v>290</v>
      </c>
      <c r="B18" s="233" t="s">
        <v>317</v>
      </c>
      <c r="C18" s="233"/>
    </row>
    <row r="19" spans="1:3" ht="57" customHeight="1">
      <c r="A19" s="211" t="s">
        <v>291</v>
      </c>
      <c r="B19" s="232" t="s">
        <v>29</v>
      </c>
      <c r="C19" s="232"/>
    </row>
    <row r="20" spans="1:3" ht="41.25" customHeight="1">
      <c r="A20" s="211" t="s">
        <v>292</v>
      </c>
      <c r="B20" s="233" t="s">
        <v>188</v>
      </c>
      <c r="C20" s="233"/>
    </row>
    <row r="21" spans="1:3" ht="41.25" customHeight="1">
      <c r="A21" s="211" t="s">
        <v>293</v>
      </c>
      <c r="B21" s="233" t="s">
        <v>189</v>
      </c>
      <c r="C21" s="233"/>
    </row>
    <row r="22" spans="1:3" ht="41.25" customHeight="1">
      <c r="A22" s="211" t="s">
        <v>294</v>
      </c>
      <c r="B22" s="233" t="s">
        <v>190</v>
      </c>
      <c r="C22" s="233"/>
    </row>
    <row r="23" spans="1:3" ht="14.25" customHeight="1">
      <c r="A23" s="176"/>
      <c r="B23" s="49"/>
      <c r="C23" s="49"/>
    </row>
    <row r="24" spans="1:3" ht="14.25" customHeight="1">
      <c r="A24" s="176"/>
      <c r="B24" s="49"/>
      <c r="C24" s="49"/>
    </row>
    <row r="25" spans="1:3" ht="14.25" customHeight="1">
      <c r="A25" s="176"/>
      <c r="B25" s="49"/>
      <c r="C25" s="49"/>
    </row>
    <row r="26" ht="14.25" customHeight="1"/>
    <row r="27" spans="1:11" ht="22.5" customHeight="1">
      <c r="A27" s="9" t="s">
        <v>271</v>
      </c>
      <c r="B27" s="40"/>
      <c r="C27" s="30" t="s">
        <v>272</v>
      </c>
      <c r="D27" s="40"/>
      <c r="E27" s="50"/>
      <c r="F27" s="40"/>
      <c r="G27" s="51"/>
      <c r="H27" s="51"/>
      <c r="I27" s="51"/>
      <c r="J27" s="52"/>
      <c r="K27" s="51"/>
    </row>
    <row r="28" spans="1:8" ht="20.25" customHeight="1">
      <c r="A28" s="162" t="s">
        <v>280</v>
      </c>
      <c r="B28"/>
      <c r="C28" s="5"/>
      <c r="D28" s="3"/>
      <c r="F28" s="4"/>
      <c r="H28" s="6"/>
    </row>
    <row r="29" ht="18.75">
      <c r="A29" s="1" t="s">
        <v>298</v>
      </c>
    </row>
  </sheetData>
  <sheetProtection/>
  <mergeCells count="21">
    <mergeCell ref="B13:C13"/>
    <mergeCell ref="B21:C21"/>
    <mergeCell ref="A7:C7"/>
    <mergeCell ref="B12:C12"/>
    <mergeCell ref="A6:C6"/>
    <mergeCell ref="A9:A10"/>
    <mergeCell ref="B22:C22"/>
    <mergeCell ref="B10:C10"/>
    <mergeCell ref="B16:C16"/>
    <mergeCell ref="B20:C20"/>
    <mergeCell ref="B19:C19"/>
    <mergeCell ref="B9:C9"/>
    <mergeCell ref="B14:C14"/>
    <mergeCell ref="B18:C18"/>
    <mergeCell ref="B17:C17"/>
    <mergeCell ref="B15:C15"/>
    <mergeCell ref="F2:H2"/>
    <mergeCell ref="F3:H3"/>
    <mergeCell ref="F5:M5"/>
    <mergeCell ref="B11:C11"/>
    <mergeCell ref="A5:C5"/>
  </mergeCells>
  <printOptions/>
  <pageMargins left="0.7086614173228347" right="0.5118110236220472" top="0.9448818897637796" bottom="0.5511811023622047" header="0.31496062992125984" footer="0.31496062992125984"/>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tabColor rgb="FF92D050"/>
  </sheetPr>
  <dimension ref="A1:Q155"/>
  <sheetViews>
    <sheetView view="pageBreakPreview" zoomScale="35" zoomScaleNormal="74" zoomScaleSheetLayoutView="35" zoomScalePageLayoutView="0" workbookViewId="0" topLeftCell="A1">
      <pane ySplit="10" topLeftCell="A28" activePane="bottomLeft" state="frozen"/>
      <selection pane="topLeft" activeCell="A1" sqref="A1"/>
      <selection pane="bottomLeft" activeCell="K3" sqref="K3:N3"/>
    </sheetView>
  </sheetViews>
  <sheetFormatPr defaultColWidth="9.140625" defaultRowHeight="12.75"/>
  <cols>
    <col min="1" max="1" width="6.7109375" style="9" customWidth="1"/>
    <col min="2" max="2" width="34.8515625" style="9" customWidth="1"/>
    <col min="3" max="3" width="66.00390625" style="10" customWidth="1"/>
    <col min="4" max="4" width="16.421875" style="11" customWidth="1"/>
    <col min="5" max="5" width="40.421875" style="9" customWidth="1"/>
    <col min="6" max="6" width="42.28125" style="14" customWidth="1"/>
    <col min="7" max="7" width="19.140625" style="14" customWidth="1"/>
    <col min="8" max="8" width="16.28125" style="14" customWidth="1"/>
    <col min="9" max="9" width="15.8515625" style="14" customWidth="1"/>
    <col min="10" max="10" width="18.421875" style="14" customWidth="1"/>
    <col min="11" max="11" width="64.57421875" style="16" customWidth="1"/>
    <col min="12" max="12" width="17.8515625" style="9" customWidth="1"/>
    <col min="13" max="13" width="24.8515625" style="9" customWidth="1"/>
    <col min="14" max="14" width="12.140625" style="9" bestFit="1" customWidth="1"/>
    <col min="15" max="15" width="14.57421875" style="9" customWidth="1"/>
    <col min="16" max="16" width="13.28125" style="9" bestFit="1" customWidth="1"/>
    <col min="17" max="17" width="10.00390625" style="9" bestFit="1" customWidth="1"/>
    <col min="18" max="16384" width="9.140625" style="9" customWidth="1"/>
  </cols>
  <sheetData>
    <row r="1" spans="6:14" ht="23.25" customHeight="1" hidden="1">
      <c r="F1" s="12"/>
      <c r="G1" s="12"/>
      <c r="H1" s="12"/>
      <c r="I1" s="12"/>
      <c r="J1" s="12"/>
      <c r="K1" s="14" t="s">
        <v>10</v>
      </c>
      <c r="L1" s="13"/>
      <c r="M1" s="13"/>
      <c r="N1" s="13"/>
    </row>
    <row r="2" ht="129.75" customHeight="1">
      <c r="K2" s="14" t="s">
        <v>283</v>
      </c>
    </row>
    <row r="3" spans="1:14" ht="19.5" customHeight="1">
      <c r="A3" s="15"/>
      <c r="K3" s="244" t="s">
        <v>319</v>
      </c>
      <c r="L3" s="244"/>
      <c r="M3" s="244"/>
      <c r="N3" s="244"/>
    </row>
    <row r="4" ht="45.75" customHeight="1">
      <c r="A4" s="15"/>
    </row>
    <row r="5" spans="1:11" ht="33.75" customHeight="1">
      <c r="A5" s="304" t="s">
        <v>64</v>
      </c>
      <c r="B5" s="304"/>
      <c r="C5" s="304"/>
      <c r="D5" s="304"/>
      <c r="E5" s="304"/>
      <c r="F5" s="304"/>
      <c r="G5" s="304"/>
      <c r="H5" s="304"/>
      <c r="I5" s="304"/>
      <c r="J5" s="304"/>
      <c r="K5" s="304"/>
    </row>
    <row r="6" spans="7:8" ht="44.25" customHeight="1">
      <c r="G6" s="57" t="s">
        <v>139</v>
      </c>
      <c r="H6" s="58">
        <f>H27+H50+H68+H95</f>
        <v>528.0999999999999</v>
      </c>
    </row>
    <row r="7" spans="1:11" ht="20.25" customHeight="1">
      <c r="A7" s="306" t="s">
        <v>2</v>
      </c>
      <c r="B7" s="306" t="s">
        <v>3</v>
      </c>
      <c r="C7" s="306" t="s">
        <v>4</v>
      </c>
      <c r="D7" s="306" t="s">
        <v>5</v>
      </c>
      <c r="E7" s="306" t="s">
        <v>6</v>
      </c>
      <c r="F7" s="306" t="s">
        <v>7</v>
      </c>
      <c r="G7" s="316" t="s">
        <v>36</v>
      </c>
      <c r="H7" s="316"/>
      <c r="I7" s="316"/>
      <c r="J7" s="316"/>
      <c r="K7" s="306" t="s">
        <v>8</v>
      </c>
    </row>
    <row r="8" spans="1:11" ht="20.25" customHeight="1">
      <c r="A8" s="306"/>
      <c r="B8" s="306"/>
      <c r="C8" s="306"/>
      <c r="D8" s="306"/>
      <c r="E8" s="306"/>
      <c r="F8" s="306"/>
      <c r="G8" s="306" t="s">
        <v>37</v>
      </c>
      <c r="H8" s="316" t="s">
        <v>38</v>
      </c>
      <c r="I8" s="316"/>
      <c r="J8" s="316"/>
      <c r="K8" s="306"/>
    </row>
    <row r="9" spans="1:11" s="11" customFormat="1" ht="42.75" customHeight="1">
      <c r="A9" s="306"/>
      <c r="B9" s="306"/>
      <c r="C9" s="306"/>
      <c r="D9" s="306"/>
      <c r="E9" s="306"/>
      <c r="F9" s="306"/>
      <c r="G9" s="306"/>
      <c r="H9" s="158" t="s">
        <v>240</v>
      </c>
      <c r="I9" s="203" t="s">
        <v>299</v>
      </c>
      <c r="J9" s="62" t="s">
        <v>39</v>
      </c>
      <c r="K9" s="306"/>
    </row>
    <row r="10" spans="1:16" s="11" customFormat="1" ht="19.5" customHeight="1">
      <c r="A10" s="62">
        <v>1</v>
      </c>
      <c r="B10" s="62">
        <v>2</v>
      </c>
      <c r="C10" s="62">
        <v>3</v>
      </c>
      <c r="D10" s="62">
        <v>4</v>
      </c>
      <c r="E10" s="62">
        <v>5</v>
      </c>
      <c r="F10" s="62">
        <v>6</v>
      </c>
      <c r="G10" s="62">
        <v>7</v>
      </c>
      <c r="H10" s="62">
        <v>8</v>
      </c>
      <c r="I10" s="62">
        <v>9</v>
      </c>
      <c r="J10" s="62">
        <v>10</v>
      </c>
      <c r="K10" s="62">
        <v>11</v>
      </c>
      <c r="O10" s="17"/>
      <c r="P10" s="18"/>
    </row>
    <row r="11" spans="1:15" s="19" customFormat="1" ht="59.25" customHeight="1">
      <c r="A11" s="305" t="s">
        <v>11</v>
      </c>
      <c r="B11" s="305"/>
      <c r="C11" s="305"/>
      <c r="D11" s="305"/>
      <c r="E11" s="305"/>
      <c r="F11" s="305"/>
      <c r="G11" s="305"/>
      <c r="H11" s="305"/>
      <c r="I11" s="305"/>
      <c r="J11" s="305"/>
      <c r="K11" s="305"/>
      <c r="O11" s="17"/>
    </row>
    <row r="12" spans="1:16" ht="165.75" customHeight="1">
      <c r="A12" s="137">
        <v>1</v>
      </c>
      <c r="B12" s="95" t="s">
        <v>32</v>
      </c>
      <c r="C12" s="102" t="s">
        <v>231</v>
      </c>
      <c r="D12" s="138" t="s">
        <v>42</v>
      </c>
      <c r="E12" s="102" t="s">
        <v>41</v>
      </c>
      <c r="F12" s="205" t="s">
        <v>306</v>
      </c>
      <c r="G12" s="139">
        <f aca="true" t="shared" si="0" ref="G12:G17">H12+I12+J12</f>
        <v>35605.4</v>
      </c>
      <c r="H12" s="139">
        <v>11170</v>
      </c>
      <c r="I12" s="139">
        <v>11884.9</v>
      </c>
      <c r="J12" s="139">
        <v>12550.5</v>
      </c>
      <c r="K12" s="79" t="s">
        <v>40</v>
      </c>
      <c r="L12" s="8"/>
      <c r="O12" s="17"/>
      <c r="P12" s="20"/>
    </row>
    <row r="13" spans="1:15" ht="108" customHeight="1">
      <c r="A13" s="137">
        <v>2</v>
      </c>
      <c r="B13" s="95" t="s">
        <v>33</v>
      </c>
      <c r="C13" s="79" t="s">
        <v>232</v>
      </c>
      <c r="D13" s="138" t="s">
        <v>42</v>
      </c>
      <c r="E13" s="102" t="s">
        <v>41</v>
      </c>
      <c r="F13" s="205" t="s">
        <v>307</v>
      </c>
      <c r="G13" s="139">
        <f t="shared" si="0"/>
        <v>5737.7</v>
      </c>
      <c r="H13" s="139">
        <v>1800</v>
      </c>
      <c r="I13" s="139">
        <v>1915.2</v>
      </c>
      <c r="J13" s="139">
        <v>2022.5</v>
      </c>
      <c r="K13" s="79" t="s">
        <v>12</v>
      </c>
      <c r="L13" s="8"/>
      <c r="O13" s="17"/>
    </row>
    <row r="14" spans="1:16" ht="132" customHeight="1">
      <c r="A14" s="137">
        <v>3</v>
      </c>
      <c r="B14" s="101" t="s">
        <v>34</v>
      </c>
      <c r="C14" s="102" t="s">
        <v>313</v>
      </c>
      <c r="D14" s="138" t="s">
        <v>42</v>
      </c>
      <c r="E14" s="102" t="s">
        <v>41</v>
      </c>
      <c r="F14" s="205" t="s">
        <v>308</v>
      </c>
      <c r="G14" s="139">
        <f t="shared" si="0"/>
        <v>3872.5</v>
      </c>
      <c r="H14" s="139">
        <v>2200</v>
      </c>
      <c r="I14" s="139">
        <v>1672.5</v>
      </c>
      <c r="J14" s="139">
        <v>0</v>
      </c>
      <c r="K14" s="79" t="s">
        <v>43</v>
      </c>
      <c r="L14" s="8"/>
      <c r="O14" s="17"/>
      <c r="P14" s="21"/>
    </row>
    <row r="15" spans="1:16" ht="85.5" customHeight="1">
      <c r="A15" s="258">
        <v>4</v>
      </c>
      <c r="B15" s="309" t="s">
        <v>48</v>
      </c>
      <c r="C15" s="318" t="s">
        <v>191</v>
      </c>
      <c r="D15" s="264" t="s">
        <v>193</v>
      </c>
      <c r="E15" s="318" t="s">
        <v>41</v>
      </c>
      <c r="F15" s="205" t="s">
        <v>308</v>
      </c>
      <c r="G15" s="139">
        <f t="shared" si="0"/>
        <v>91.8</v>
      </c>
      <c r="H15" s="139">
        <v>91.8</v>
      </c>
      <c r="I15" s="139"/>
      <c r="J15" s="139"/>
      <c r="K15" s="318" t="s">
        <v>194</v>
      </c>
      <c r="L15" s="8"/>
      <c r="O15" s="17"/>
      <c r="P15" s="21"/>
    </row>
    <row r="16" spans="1:16" ht="81.75" customHeight="1">
      <c r="A16" s="259"/>
      <c r="B16" s="311"/>
      <c r="C16" s="319"/>
      <c r="D16" s="265"/>
      <c r="E16" s="319"/>
      <c r="F16" s="169" t="s">
        <v>312</v>
      </c>
      <c r="G16" s="139">
        <f t="shared" si="0"/>
        <v>50</v>
      </c>
      <c r="H16" s="139">
        <v>50</v>
      </c>
      <c r="I16" s="139"/>
      <c r="J16" s="139"/>
      <c r="K16" s="319"/>
      <c r="L16" s="8"/>
      <c r="O16" s="17"/>
      <c r="P16" s="21"/>
    </row>
    <row r="17" spans="1:16" ht="140.25" customHeight="1">
      <c r="A17" s="137">
        <v>5</v>
      </c>
      <c r="B17" s="95" t="s">
        <v>55</v>
      </c>
      <c r="C17" s="140" t="s">
        <v>192</v>
      </c>
      <c r="D17" s="138" t="s">
        <v>42</v>
      </c>
      <c r="E17" s="102" t="s">
        <v>41</v>
      </c>
      <c r="F17" s="205" t="s">
        <v>309</v>
      </c>
      <c r="G17" s="139">
        <f t="shared" si="0"/>
        <v>3020.8</v>
      </c>
      <c r="H17" s="139">
        <v>3020.8</v>
      </c>
      <c r="I17" s="139"/>
      <c r="J17" s="139"/>
      <c r="K17" s="160" t="s">
        <v>254</v>
      </c>
      <c r="L17" s="22"/>
      <c r="P17" s="20"/>
    </row>
    <row r="18" spans="1:17" ht="37.5" customHeight="1">
      <c r="A18" s="273" t="s">
        <v>45</v>
      </c>
      <c r="B18" s="273"/>
      <c r="C18" s="273"/>
      <c r="D18" s="273"/>
      <c r="E18" s="273"/>
      <c r="F18" s="101"/>
      <c r="G18" s="141">
        <f>G12+G13+G14+G17+G15+G16</f>
        <v>48378.200000000004</v>
      </c>
      <c r="H18" s="141">
        <f>H12+H13+H14+H17+H15+H16</f>
        <v>18332.6</v>
      </c>
      <c r="I18" s="141">
        <f>I12+I13+I14+I17</f>
        <v>15472.6</v>
      </c>
      <c r="J18" s="141">
        <f>J12+J13+J14+J17</f>
        <v>14573</v>
      </c>
      <c r="K18" s="79"/>
      <c r="L18" s="22"/>
      <c r="P18" s="23"/>
      <c r="Q18" s="24"/>
    </row>
    <row r="19" spans="1:17" ht="85.5" customHeight="1">
      <c r="A19" s="249" t="s">
        <v>46</v>
      </c>
      <c r="B19" s="250"/>
      <c r="C19" s="250"/>
      <c r="D19" s="250"/>
      <c r="E19" s="251"/>
      <c r="F19" s="204" t="s">
        <v>306</v>
      </c>
      <c r="G19" s="141">
        <f>G12+G13+G14+G15</f>
        <v>45307.4</v>
      </c>
      <c r="H19" s="141">
        <f>H12+H13+H14+H15</f>
        <v>15261.8</v>
      </c>
      <c r="I19" s="141">
        <f>I12+I13+I14</f>
        <v>15472.6</v>
      </c>
      <c r="J19" s="141">
        <f>J12+J13+J14</f>
        <v>14573</v>
      </c>
      <c r="K19" s="79"/>
      <c r="L19" s="22"/>
      <c r="P19" s="23"/>
      <c r="Q19" s="24"/>
    </row>
    <row r="20" spans="1:17" ht="86.25" customHeight="1">
      <c r="A20" s="252"/>
      <c r="B20" s="253"/>
      <c r="C20" s="253"/>
      <c r="D20" s="253"/>
      <c r="E20" s="254"/>
      <c r="F20" s="204" t="s">
        <v>310</v>
      </c>
      <c r="G20" s="141">
        <f>G17</f>
        <v>3020.8</v>
      </c>
      <c r="H20" s="141">
        <f>H17</f>
        <v>3020.8</v>
      </c>
      <c r="I20" s="141">
        <f>I17</f>
        <v>0</v>
      </c>
      <c r="J20" s="141">
        <f>J17</f>
        <v>0</v>
      </c>
      <c r="K20" s="79"/>
      <c r="L20" s="25"/>
      <c r="Q20" s="20"/>
    </row>
    <row r="21" spans="1:17" ht="83.25" customHeight="1">
      <c r="A21" s="255"/>
      <c r="B21" s="256"/>
      <c r="C21" s="256"/>
      <c r="D21" s="256"/>
      <c r="E21" s="257"/>
      <c r="F21" s="168" t="s">
        <v>312</v>
      </c>
      <c r="G21" s="141">
        <f>G16</f>
        <v>50</v>
      </c>
      <c r="H21" s="141">
        <f>H16</f>
        <v>50</v>
      </c>
      <c r="I21" s="141">
        <f>I16</f>
        <v>0</v>
      </c>
      <c r="J21" s="141">
        <f>J16</f>
        <v>0</v>
      </c>
      <c r="K21" s="170"/>
      <c r="L21" s="25"/>
      <c r="Q21" s="20"/>
    </row>
    <row r="22" spans="1:11" s="19" customFormat="1" ht="72" customHeight="1">
      <c r="A22" s="305" t="s">
        <v>44</v>
      </c>
      <c r="B22" s="305"/>
      <c r="C22" s="305"/>
      <c r="D22" s="305"/>
      <c r="E22" s="305"/>
      <c r="F22" s="305"/>
      <c r="G22" s="305"/>
      <c r="H22" s="305"/>
      <c r="I22" s="305"/>
      <c r="J22" s="305"/>
      <c r="K22" s="305"/>
    </row>
    <row r="23" spans="1:14" s="26" customFormat="1" ht="144.75" customHeight="1">
      <c r="A23" s="245">
        <v>1</v>
      </c>
      <c r="B23" s="309" t="s">
        <v>47</v>
      </c>
      <c r="C23" s="247" t="s">
        <v>257</v>
      </c>
      <c r="D23" s="264" t="s">
        <v>42</v>
      </c>
      <c r="E23" s="267" t="s">
        <v>41</v>
      </c>
      <c r="F23" s="205" t="s">
        <v>308</v>
      </c>
      <c r="G23" s="139">
        <f aca="true" t="shared" si="1" ref="G23:G38">H23+I23+J23</f>
        <v>20722.6</v>
      </c>
      <c r="H23" s="139">
        <f>12652.9-10.1</f>
        <v>12642.8</v>
      </c>
      <c r="I23" s="139">
        <v>7420.2</v>
      </c>
      <c r="J23" s="139">
        <v>659.6</v>
      </c>
      <c r="K23" s="247" t="s">
        <v>256</v>
      </c>
      <c r="N23" s="27"/>
    </row>
    <row r="24" spans="1:11" s="26" customFormat="1" ht="111.75" customHeight="1">
      <c r="A24" s="246"/>
      <c r="B24" s="310"/>
      <c r="C24" s="248"/>
      <c r="D24" s="266"/>
      <c r="E24" s="268"/>
      <c r="F24" s="205" t="s">
        <v>309</v>
      </c>
      <c r="G24" s="139">
        <f t="shared" si="1"/>
        <v>1047.1</v>
      </c>
      <c r="H24" s="139">
        <v>1047.1</v>
      </c>
      <c r="I24" s="139">
        <v>0</v>
      </c>
      <c r="J24" s="139">
        <v>0</v>
      </c>
      <c r="K24" s="248"/>
    </row>
    <row r="25" spans="1:11" s="26" customFormat="1" ht="143.25" customHeight="1">
      <c r="A25" s="246"/>
      <c r="B25" s="310"/>
      <c r="C25" s="248"/>
      <c r="D25" s="266"/>
      <c r="E25" s="268"/>
      <c r="F25" s="227" t="s">
        <v>221</v>
      </c>
      <c r="G25" s="139">
        <f t="shared" si="1"/>
        <v>20511.5</v>
      </c>
      <c r="H25" s="139">
        <f>11046.5+15</f>
        <v>11061.5</v>
      </c>
      <c r="I25" s="139">
        <v>9450</v>
      </c>
      <c r="J25" s="139">
        <v>0</v>
      </c>
      <c r="K25" s="248"/>
    </row>
    <row r="26" spans="1:11" s="26" customFormat="1" ht="115.5" customHeight="1">
      <c r="A26" s="226"/>
      <c r="B26" s="221"/>
      <c r="C26" s="222"/>
      <c r="D26" s="223"/>
      <c r="E26" s="224"/>
      <c r="F26" s="220" t="s">
        <v>264</v>
      </c>
      <c r="G26" s="139">
        <f t="shared" si="1"/>
        <v>10.1</v>
      </c>
      <c r="H26" s="139">
        <v>10.1</v>
      </c>
      <c r="I26" s="139"/>
      <c r="J26" s="139"/>
      <c r="K26" s="222"/>
    </row>
    <row r="27" spans="1:11" s="26" customFormat="1" ht="144" customHeight="1">
      <c r="A27" s="142">
        <v>2</v>
      </c>
      <c r="B27" s="195" t="s">
        <v>243</v>
      </c>
      <c r="C27" s="196" t="s">
        <v>242</v>
      </c>
      <c r="D27" s="197" t="s">
        <v>42</v>
      </c>
      <c r="E27" s="196" t="s">
        <v>244</v>
      </c>
      <c r="F27" s="198" t="s">
        <v>308</v>
      </c>
      <c r="G27" s="199">
        <f>H27+I27+J27</f>
        <v>415.2</v>
      </c>
      <c r="H27" s="199">
        <v>131.6</v>
      </c>
      <c r="I27" s="199">
        <v>141.8</v>
      </c>
      <c r="J27" s="199">
        <v>141.8</v>
      </c>
      <c r="K27" s="200" t="s">
        <v>138</v>
      </c>
    </row>
    <row r="28" spans="1:12" s="19" customFormat="1" ht="91.5" customHeight="1">
      <c r="A28" s="245">
        <v>3</v>
      </c>
      <c r="B28" s="278" t="s">
        <v>48</v>
      </c>
      <c r="C28" s="267" t="s">
        <v>156</v>
      </c>
      <c r="D28" s="264" t="s">
        <v>42</v>
      </c>
      <c r="E28" s="267" t="s">
        <v>41</v>
      </c>
      <c r="F28" s="209" t="s">
        <v>308</v>
      </c>
      <c r="G28" s="139">
        <f t="shared" si="1"/>
        <v>47377.1</v>
      </c>
      <c r="H28" s="139">
        <v>15688.4</v>
      </c>
      <c r="I28" s="139">
        <v>22155.1</v>
      </c>
      <c r="J28" s="139">
        <v>9533.6</v>
      </c>
      <c r="K28" s="247" t="s">
        <v>14</v>
      </c>
      <c r="L28" s="28"/>
    </row>
    <row r="29" spans="1:12" s="19" customFormat="1" ht="91.5" customHeight="1">
      <c r="A29" s="246"/>
      <c r="B29" s="279"/>
      <c r="C29" s="268"/>
      <c r="D29" s="266"/>
      <c r="E29" s="268"/>
      <c r="F29" s="229" t="s">
        <v>50</v>
      </c>
      <c r="G29" s="139">
        <f t="shared" si="1"/>
        <v>37.7</v>
      </c>
      <c r="H29" s="139">
        <v>37.7</v>
      </c>
      <c r="I29" s="139"/>
      <c r="J29" s="139"/>
      <c r="K29" s="248"/>
      <c r="L29" s="28"/>
    </row>
    <row r="30" spans="1:12" s="19" customFormat="1" ht="104.25" customHeight="1">
      <c r="A30" s="246"/>
      <c r="B30" s="279"/>
      <c r="C30" s="268"/>
      <c r="D30" s="266"/>
      <c r="E30" s="268"/>
      <c r="F30" s="102" t="s">
        <v>221</v>
      </c>
      <c r="G30" s="139">
        <f t="shared" si="1"/>
        <v>150.5</v>
      </c>
      <c r="H30" s="139">
        <f>125.6+18.4</f>
        <v>144</v>
      </c>
      <c r="I30" s="139">
        <v>6.5</v>
      </c>
      <c r="J30" s="139"/>
      <c r="K30" s="248"/>
      <c r="L30" s="28"/>
    </row>
    <row r="31" spans="1:16" s="19" customFormat="1" ht="80.25" customHeight="1">
      <c r="A31" s="246"/>
      <c r="B31" s="279"/>
      <c r="C31" s="268"/>
      <c r="D31" s="266"/>
      <c r="E31" s="268"/>
      <c r="F31" s="205" t="s">
        <v>309</v>
      </c>
      <c r="G31" s="139">
        <f t="shared" si="1"/>
        <v>551.8</v>
      </c>
      <c r="H31" s="139">
        <v>551.8</v>
      </c>
      <c r="I31" s="139">
        <v>0</v>
      </c>
      <c r="J31" s="139">
        <v>0</v>
      </c>
      <c r="K31" s="248"/>
      <c r="N31" s="29"/>
      <c r="O31" s="29"/>
      <c r="P31" s="29"/>
    </row>
    <row r="32" spans="1:13" s="19" customFormat="1" ht="75.75" customHeight="1">
      <c r="A32" s="293">
        <v>4</v>
      </c>
      <c r="B32" s="282" t="s">
        <v>49</v>
      </c>
      <c r="C32" s="290" t="s">
        <v>157</v>
      </c>
      <c r="D32" s="272" t="s">
        <v>42</v>
      </c>
      <c r="E32" s="290" t="s">
        <v>41</v>
      </c>
      <c r="F32" s="209" t="s">
        <v>308</v>
      </c>
      <c r="G32" s="139">
        <f t="shared" si="1"/>
        <v>63377.59</v>
      </c>
      <c r="H32" s="139">
        <v>40705.7</v>
      </c>
      <c r="I32" s="139">
        <v>17063.1</v>
      </c>
      <c r="J32" s="139">
        <v>5608.79</v>
      </c>
      <c r="K32" s="290" t="s">
        <v>15</v>
      </c>
      <c r="M32" s="307"/>
    </row>
    <row r="33" spans="1:13" s="19" customFormat="1" ht="123" customHeight="1">
      <c r="A33" s="293"/>
      <c r="B33" s="282"/>
      <c r="C33" s="290"/>
      <c r="D33" s="272"/>
      <c r="E33" s="290"/>
      <c r="F33" s="102" t="s">
        <v>50</v>
      </c>
      <c r="G33" s="139">
        <f t="shared" si="1"/>
        <v>212465.8</v>
      </c>
      <c r="H33" s="139">
        <f>167141.3-18.5</f>
        <v>167122.8</v>
      </c>
      <c r="I33" s="139">
        <v>45343</v>
      </c>
      <c r="J33" s="139">
        <v>0</v>
      </c>
      <c r="K33" s="290"/>
      <c r="M33" s="307"/>
    </row>
    <row r="34" spans="1:13" s="19" customFormat="1" ht="156.75" customHeight="1">
      <c r="A34" s="293"/>
      <c r="B34" s="282"/>
      <c r="C34" s="290"/>
      <c r="D34" s="272"/>
      <c r="E34" s="290"/>
      <c r="F34" s="102" t="s">
        <v>221</v>
      </c>
      <c r="G34" s="139">
        <f t="shared" si="1"/>
        <v>1481</v>
      </c>
      <c r="H34" s="139">
        <f>1214.4+266.6</f>
        <v>1481</v>
      </c>
      <c r="I34" s="139"/>
      <c r="J34" s="139"/>
      <c r="K34" s="290"/>
      <c r="M34" s="63"/>
    </row>
    <row r="35" spans="1:15" s="19" customFormat="1" ht="100.5" customHeight="1">
      <c r="A35" s="293"/>
      <c r="B35" s="282"/>
      <c r="C35" s="290"/>
      <c r="D35" s="272"/>
      <c r="E35" s="290"/>
      <c r="F35" s="205" t="s">
        <v>309</v>
      </c>
      <c r="G35" s="139">
        <f t="shared" si="1"/>
        <v>1526.1</v>
      </c>
      <c r="H35" s="139">
        <v>1526.1</v>
      </c>
      <c r="I35" s="139">
        <v>0</v>
      </c>
      <c r="J35" s="139">
        <v>0</v>
      </c>
      <c r="K35" s="290"/>
      <c r="M35" s="11"/>
      <c r="N35" s="29"/>
      <c r="O35" s="29"/>
    </row>
    <row r="36" spans="1:12" s="19" customFormat="1" ht="84.75" customHeight="1">
      <c r="A36" s="258">
        <v>5</v>
      </c>
      <c r="B36" s="309" t="s">
        <v>34</v>
      </c>
      <c r="C36" s="318" t="s">
        <v>314</v>
      </c>
      <c r="D36" s="264" t="s">
        <v>42</v>
      </c>
      <c r="E36" s="267" t="s">
        <v>41</v>
      </c>
      <c r="F36" s="209" t="s">
        <v>308</v>
      </c>
      <c r="G36" s="139">
        <f t="shared" si="1"/>
        <v>56474.7</v>
      </c>
      <c r="H36" s="139">
        <v>20070</v>
      </c>
      <c r="I36" s="139">
        <v>23639.4</v>
      </c>
      <c r="J36" s="139">
        <v>12765.3</v>
      </c>
      <c r="K36" s="318" t="s">
        <v>16</v>
      </c>
      <c r="L36" s="28"/>
    </row>
    <row r="37" spans="1:11" s="19" customFormat="1" ht="91.5" customHeight="1">
      <c r="A37" s="303"/>
      <c r="B37" s="310"/>
      <c r="C37" s="320"/>
      <c r="D37" s="266"/>
      <c r="E37" s="268"/>
      <c r="F37" s="205" t="s">
        <v>309</v>
      </c>
      <c r="G37" s="139">
        <f t="shared" si="1"/>
        <v>114.1</v>
      </c>
      <c r="H37" s="139">
        <v>114.1</v>
      </c>
      <c r="I37" s="139">
        <v>0</v>
      </c>
      <c r="J37" s="139">
        <v>0</v>
      </c>
      <c r="K37" s="320"/>
    </row>
    <row r="38" spans="1:11" s="19" customFormat="1" ht="221.25" customHeight="1">
      <c r="A38" s="259"/>
      <c r="B38" s="311"/>
      <c r="C38" s="319"/>
      <c r="D38" s="265"/>
      <c r="E38" s="317"/>
      <c r="F38" s="227" t="s">
        <v>220</v>
      </c>
      <c r="G38" s="228">
        <f t="shared" si="1"/>
        <v>725.81</v>
      </c>
      <c r="H38" s="228">
        <f>618.41+107.4</f>
        <v>725.81</v>
      </c>
      <c r="I38" s="139"/>
      <c r="J38" s="139"/>
      <c r="K38" s="319"/>
    </row>
    <row r="39" spans="1:13" s="19" customFormat="1" ht="293.25" customHeight="1">
      <c r="A39" s="137">
        <v>6</v>
      </c>
      <c r="B39" s="95" t="s">
        <v>55</v>
      </c>
      <c r="C39" s="145" t="s">
        <v>258</v>
      </c>
      <c r="D39" s="138" t="s">
        <v>42</v>
      </c>
      <c r="E39" s="143" t="s">
        <v>41</v>
      </c>
      <c r="F39" s="205" t="s">
        <v>309</v>
      </c>
      <c r="G39" s="139">
        <f>H39+I39+J39</f>
        <v>50798.4</v>
      </c>
      <c r="H39" s="139">
        <v>13268.4</v>
      </c>
      <c r="I39" s="139">
        <v>27530</v>
      </c>
      <c r="J39" s="139">
        <v>10000</v>
      </c>
      <c r="K39" s="160" t="s">
        <v>259</v>
      </c>
      <c r="L39" s="28"/>
      <c r="M39" s="41"/>
    </row>
    <row r="40" spans="1:12" s="19" customFormat="1" ht="66" customHeight="1">
      <c r="A40" s="273" t="s">
        <v>45</v>
      </c>
      <c r="B40" s="273"/>
      <c r="C40" s="273"/>
      <c r="D40" s="273"/>
      <c r="E40" s="273"/>
      <c r="F40" s="101"/>
      <c r="G40" s="141">
        <f>G23+G24+G28+G31+G32+G33+G35+G36+G37+G39+G25+G27+G30+G38+G34+G26+G29</f>
        <v>477787.1</v>
      </c>
      <c r="H40" s="141">
        <f>H23+H24+H28+H31+H32+H33+H35+H36+H37+H39+H25+H27+H30+H38+H34+H26+H29</f>
        <v>286328.91</v>
      </c>
      <c r="I40" s="141">
        <f>I23+I24+I28+I31+I32+I33+I35+I36+I37+I39+I25+I27+I30+I38+I34+I26+I29</f>
        <v>152749.09999999998</v>
      </c>
      <c r="J40" s="141">
        <f>J23+J24+J28+J31+J32+J33+J35+J36+J37+J39+J25+J27+J30+J38+J34+J26+J29</f>
        <v>38709.090000000004</v>
      </c>
      <c r="K40" s="79"/>
      <c r="L40" s="28"/>
    </row>
    <row r="41" spans="1:12" s="19" customFormat="1" ht="96.75" customHeight="1">
      <c r="A41" s="294" t="s">
        <v>46</v>
      </c>
      <c r="B41" s="295"/>
      <c r="C41" s="295"/>
      <c r="D41" s="295"/>
      <c r="E41" s="296"/>
      <c r="F41" s="204" t="s">
        <v>308</v>
      </c>
      <c r="G41" s="141">
        <f>G23+G28+G32+G36+G27</f>
        <v>188367.19</v>
      </c>
      <c r="H41" s="141">
        <f>H23+H28+H32+H36+H27</f>
        <v>89238.5</v>
      </c>
      <c r="I41" s="141">
        <f>I23+I28+I32+I36+I27</f>
        <v>70419.59999999999</v>
      </c>
      <c r="J41" s="141">
        <f>J23+J28+J32+J36+J27</f>
        <v>28709.09</v>
      </c>
      <c r="K41" s="79"/>
      <c r="L41" s="28"/>
    </row>
    <row r="42" spans="1:12" s="19" customFormat="1" ht="90" customHeight="1">
      <c r="A42" s="297"/>
      <c r="B42" s="298"/>
      <c r="C42" s="298"/>
      <c r="D42" s="298"/>
      <c r="E42" s="299"/>
      <c r="F42" s="204" t="s">
        <v>309</v>
      </c>
      <c r="G42" s="141">
        <f>G24+G31+G37+G39+G35</f>
        <v>54037.5</v>
      </c>
      <c r="H42" s="141">
        <f>H24+H31+H37+H39+H35</f>
        <v>16507.5</v>
      </c>
      <c r="I42" s="141">
        <f>I24+I31+I37+I39+I35</f>
        <v>27530</v>
      </c>
      <c r="J42" s="141">
        <f>J24+J31+J37+J39+J35</f>
        <v>10000</v>
      </c>
      <c r="K42" s="79"/>
      <c r="L42" s="28"/>
    </row>
    <row r="43" spans="1:12" s="19" customFormat="1" ht="64.5" customHeight="1">
      <c r="A43" s="297"/>
      <c r="B43" s="298"/>
      <c r="C43" s="298"/>
      <c r="D43" s="298"/>
      <c r="E43" s="299"/>
      <c r="F43" s="101" t="s">
        <v>50</v>
      </c>
      <c r="G43" s="141">
        <f>G33</f>
        <v>212465.8</v>
      </c>
      <c r="H43" s="141">
        <f>H33+H29</f>
        <v>167160.5</v>
      </c>
      <c r="I43" s="141">
        <f>I33</f>
        <v>45343</v>
      </c>
      <c r="J43" s="141">
        <f>J33+J30</f>
        <v>0</v>
      </c>
      <c r="K43" s="79"/>
      <c r="L43" s="28"/>
    </row>
    <row r="44" spans="1:12" s="19" customFormat="1" ht="129" customHeight="1">
      <c r="A44" s="297"/>
      <c r="B44" s="298"/>
      <c r="C44" s="298"/>
      <c r="D44" s="298"/>
      <c r="E44" s="299"/>
      <c r="F44" s="101" t="s">
        <v>221</v>
      </c>
      <c r="G44" s="141">
        <f>G25+G34+G30</f>
        <v>22143</v>
      </c>
      <c r="H44" s="141">
        <f>H25+H34+H30</f>
        <v>12686.5</v>
      </c>
      <c r="I44" s="141">
        <f>I25+I34+I30</f>
        <v>9456.5</v>
      </c>
      <c r="J44" s="141">
        <f>J25+J34+J30</f>
        <v>0</v>
      </c>
      <c r="K44" s="79"/>
      <c r="L44" s="28"/>
    </row>
    <row r="45" spans="1:12" s="19" customFormat="1" ht="191.25" customHeight="1">
      <c r="A45" s="297"/>
      <c r="B45" s="298"/>
      <c r="C45" s="298"/>
      <c r="D45" s="298"/>
      <c r="E45" s="299"/>
      <c r="F45" s="101" t="s">
        <v>220</v>
      </c>
      <c r="G45" s="141">
        <f>G38</f>
        <v>725.81</v>
      </c>
      <c r="H45" s="141">
        <f>H38</f>
        <v>725.81</v>
      </c>
      <c r="I45" s="141">
        <f>I38</f>
        <v>0</v>
      </c>
      <c r="J45" s="141">
        <f>J38</f>
        <v>0</v>
      </c>
      <c r="K45" s="79"/>
      <c r="L45" s="28"/>
    </row>
    <row r="46" spans="1:12" s="19" customFormat="1" ht="113.25" customHeight="1">
      <c r="A46" s="300"/>
      <c r="B46" s="301"/>
      <c r="C46" s="301"/>
      <c r="D46" s="301"/>
      <c r="E46" s="302"/>
      <c r="F46" s="219" t="s">
        <v>264</v>
      </c>
      <c r="G46" s="141">
        <f>G26</f>
        <v>10.1</v>
      </c>
      <c r="H46" s="141">
        <f>H26</f>
        <v>10.1</v>
      </c>
      <c r="I46" s="141">
        <f>I26</f>
        <v>0</v>
      </c>
      <c r="J46" s="141">
        <f>J26</f>
        <v>0</v>
      </c>
      <c r="K46" s="225"/>
      <c r="L46" s="28"/>
    </row>
    <row r="47" spans="1:11" s="19" customFormat="1" ht="73.5" customHeight="1">
      <c r="A47" s="275" t="s">
        <v>52</v>
      </c>
      <c r="B47" s="276"/>
      <c r="C47" s="276"/>
      <c r="D47" s="276"/>
      <c r="E47" s="276"/>
      <c r="F47" s="276"/>
      <c r="G47" s="276"/>
      <c r="H47" s="276"/>
      <c r="I47" s="276"/>
      <c r="J47" s="276"/>
      <c r="K47" s="277"/>
    </row>
    <row r="48" spans="1:14" s="19" customFormat="1" ht="150" customHeight="1">
      <c r="A48" s="245">
        <v>1</v>
      </c>
      <c r="B48" s="184" t="s">
        <v>54</v>
      </c>
      <c r="C48" s="247" t="s">
        <v>51</v>
      </c>
      <c r="D48" s="182" t="s">
        <v>42</v>
      </c>
      <c r="E48" s="247" t="s">
        <v>41</v>
      </c>
      <c r="F48" s="205" t="s">
        <v>308</v>
      </c>
      <c r="G48" s="139">
        <f>H48+I48+J48</f>
        <v>3214.5</v>
      </c>
      <c r="H48" s="139">
        <v>2476.6</v>
      </c>
      <c r="I48" s="139">
        <v>737.9</v>
      </c>
      <c r="J48" s="139">
        <v>0</v>
      </c>
      <c r="K48" s="247" t="s">
        <v>260</v>
      </c>
      <c r="L48" s="28"/>
      <c r="M48" s="30"/>
      <c r="N48" s="30"/>
    </row>
    <row r="49" spans="1:14" s="19" customFormat="1" ht="217.5" customHeight="1">
      <c r="A49" s="281"/>
      <c r="B49" s="185"/>
      <c r="C49" s="312"/>
      <c r="D49" s="183"/>
      <c r="E49" s="312"/>
      <c r="F49" s="192" t="s">
        <v>221</v>
      </c>
      <c r="G49" s="139">
        <f>H49+I49+J49</f>
        <v>125</v>
      </c>
      <c r="H49" s="139">
        <v>125</v>
      </c>
      <c r="I49" s="139"/>
      <c r="J49" s="139"/>
      <c r="K49" s="312"/>
      <c r="L49" s="28"/>
      <c r="M49" s="30"/>
      <c r="N49" s="30"/>
    </row>
    <row r="50" spans="1:14" s="19" customFormat="1" ht="205.5" customHeight="1">
      <c r="A50" s="142">
        <v>2</v>
      </c>
      <c r="B50" s="195" t="s">
        <v>243</v>
      </c>
      <c r="C50" s="196" t="s">
        <v>245</v>
      </c>
      <c r="D50" s="197" t="s">
        <v>42</v>
      </c>
      <c r="E50" s="196" t="s">
        <v>248</v>
      </c>
      <c r="F50" s="198" t="s">
        <v>308</v>
      </c>
      <c r="G50" s="199">
        <f>H50+I50+J50</f>
        <v>30.1</v>
      </c>
      <c r="H50" s="199">
        <v>11.1</v>
      </c>
      <c r="I50" s="199">
        <v>9.5</v>
      </c>
      <c r="J50" s="199">
        <v>9.5</v>
      </c>
      <c r="K50" s="200" t="s">
        <v>138</v>
      </c>
      <c r="L50" s="28"/>
      <c r="M50" s="30"/>
      <c r="N50" s="30"/>
    </row>
    <row r="51" spans="1:12" s="32" customFormat="1" ht="68.25" customHeight="1">
      <c r="A51" s="293">
        <v>3</v>
      </c>
      <c r="B51" s="308" t="s">
        <v>48</v>
      </c>
      <c r="C51" s="290" t="s">
        <v>141</v>
      </c>
      <c r="D51" s="272" t="s">
        <v>42</v>
      </c>
      <c r="E51" s="271" t="s">
        <v>41</v>
      </c>
      <c r="F51" s="209" t="s">
        <v>308</v>
      </c>
      <c r="G51" s="139">
        <f aca="true" t="shared" si="2" ref="G51:G58">SUM(H51:J51)</f>
        <v>5225.75</v>
      </c>
      <c r="H51" s="139">
        <v>2364.5</v>
      </c>
      <c r="I51" s="139">
        <v>2247.35</v>
      </c>
      <c r="J51" s="139">
        <v>613.9</v>
      </c>
      <c r="K51" s="271" t="s">
        <v>17</v>
      </c>
      <c r="L51" s="31"/>
    </row>
    <row r="52" spans="1:15" s="33" customFormat="1" ht="108.75" customHeight="1">
      <c r="A52" s="293"/>
      <c r="B52" s="308"/>
      <c r="C52" s="290"/>
      <c r="D52" s="272"/>
      <c r="E52" s="271"/>
      <c r="F52" s="209" t="s">
        <v>309</v>
      </c>
      <c r="G52" s="139">
        <f t="shared" si="2"/>
        <v>4.2</v>
      </c>
      <c r="H52" s="139">
        <v>4.2</v>
      </c>
      <c r="I52" s="139"/>
      <c r="J52" s="139"/>
      <c r="K52" s="271"/>
      <c r="M52" s="30"/>
      <c r="N52" s="30"/>
      <c r="O52" s="34"/>
    </row>
    <row r="53" spans="1:12" s="19" customFormat="1" ht="93.75" customHeight="1">
      <c r="A53" s="293">
        <v>4</v>
      </c>
      <c r="B53" s="282" t="s">
        <v>49</v>
      </c>
      <c r="C53" s="290" t="s">
        <v>140</v>
      </c>
      <c r="D53" s="272" t="s">
        <v>42</v>
      </c>
      <c r="E53" s="271" t="s">
        <v>41</v>
      </c>
      <c r="F53" s="209" t="s">
        <v>308</v>
      </c>
      <c r="G53" s="139">
        <f t="shared" si="2"/>
        <v>8347.900000000001</v>
      </c>
      <c r="H53" s="139">
        <v>5859.8</v>
      </c>
      <c r="I53" s="139">
        <v>2107.4</v>
      </c>
      <c r="J53" s="139">
        <v>380.7</v>
      </c>
      <c r="K53" s="290" t="s">
        <v>15</v>
      </c>
      <c r="L53" s="28"/>
    </row>
    <row r="54" spans="1:12" s="19" customFormat="1" ht="83.25" customHeight="1">
      <c r="A54" s="293"/>
      <c r="B54" s="282"/>
      <c r="C54" s="290"/>
      <c r="D54" s="272"/>
      <c r="E54" s="271"/>
      <c r="F54" s="209" t="s">
        <v>309</v>
      </c>
      <c r="G54" s="139">
        <f t="shared" si="2"/>
        <v>7.7</v>
      </c>
      <c r="H54" s="139">
        <v>7.7</v>
      </c>
      <c r="I54" s="139"/>
      <c r="J54" s="139"/>
      <c r="K54" s="290"/>
      <c r="L54" s="28"/>
    </row>
    <row r="55" spans="1:14" s="19" customFormat="1" ht="86.25" customHeight="1">
      <c r="A55" s="293"/>
      <c r="B55" s="282"/>
      <c r="C55" s="290"/>
      <c r="D55" s="272"/>
      <c r="E55" s="271"/>
      <c r="F55" s="102" t="s">
        <v>50</v>
      </c>
      <c r="G55" s="139">
        <f t="shared" si="2"/>
        <v>29847.199999999997</v>
      </c>
      <c r="H55" s="139">
        <v>23499.6</v>
      </c>
      <c r="I55" s="139">
        <v>6347.6</v>
      </c>
      <c r="J55" s="139">
        <v>0</v>
      </c>
      <c r="K55" s="290"/>
      <c r="M55" s="30"/>
      <c r="N55" s="30"/>
    </row>
    <row r="56" spans="1:12" s="19" customFormat="1" ht="86.25" customHeight="1">
      <c r="A56" s="274">
        <v>5</v>
      </c>
      <c r="B56" s="282" t="s">
        <v>34</v>
      </c>
      <c r="C56" s="283" t="s">
        <v>315</v>
      </c>
      <c r="D56" s="272" t="s">
        <v>42</v>
      </c>
      <c r="E56" s="271" t="s">
        <v>41</v>
      </c>
      <c r="F56" s="209" t="s">
        <v>308</v>
      </c>
      <c r="G56" s="139">
        <f t="shared" si="2"/>
        <v>9390.5</v>
      </c>
      <c r="H56" s="139">
        <v>3498.8</v>
      </c>
      <c r="I56" s="139">
        <v>3825.8</v>
      </c>
      <c r="J56" s="139">
        <v>2065.9</v>
      </c>
      <c r="K56" s="291" t="s">
        <v>16</v>
      </c>
      <c r="L56" s="28"/>
    </row>
    <row r="57" spans="1:11" s="19" customFormat="1" ht="96.75" customHeight="1">
      <c r="A57" s="274"/>
      <c r="B57" s="282"/>
      <c r="C57" s="283"/>
      <c r="D57" s="272"/>
      <c r="E57" s="271"/>
      <c r="F57" s="209" t="s">
        <v>309</v>
      </c>
      <c r="G57" s="139">
        <f t="shared" si="2"/>
        <v>0</v>
      </c>
      <c r="H57" s="139">
        <v>0</v>
      </c>
      <c r="I57" s="139"/>
      <c r="J57" s="139"/>
      <c r="K57" s="291"/>
    </row>
    <row r="58" spans="1:12" s="19" customFormat="1" ht="151.5" customHeight="1">
      <c r="A58" s="137">
        <v>6</v>
      </c>
      <c r="B58" s="95" t="s">
        <v>55</v>
      </c>
      <c r="C58" s="145" t="s">
        <v>65</v>
      </c>
      <c r="D58" s="138" t="s">
        <v>42</v>
      </c>
      <c r="E58" s="144" t="s">
        <v>41</v>
      </c>
      <c r="F58" s="209" t="s">
        <v>309</v>
      </c>
      <c r="G58" s="139">
        <f t="shared" si="2"/>
        <v>15357.1</v>
      </c>
      <c r="H58" s="139">
        <v>316.5</v>
      </c>
      <c r="I58" s="139">
        <v>15040.6</v>
      </c>
      <c r="J58" s="139"/>
      <c r="K58" s="160" t="s">
        <v>254</v>
      </c>
      <c r="L58" s="28"/>
    </row>
    <row r="59" spans="1:12" s="19" customFormat="1" ht="26.25" customHeight="1">
      <c r="A59" s="273" t="s">
        <v>45</v>
      </c>
      <c r="B59" s="273"/>
      <c r="C59" s="273"/>
      <c r="D59" s="273"/>
      <c r="E59" s="273"/>
      <c r="F59" s="101"/>
      <c r="G59" s="141">
        <f>G48+G51+G52+G53+G54+G55+G56+G57+G58+G50+G49</f>
        <v>71549.95000000001</v>
      </c>
      <c r="H59" s="141">
        <f>H48+H51+H52+H53+H54+H55+H56+H57+H58+H50+H49</f>
        <v>38163.8</v>
      </c>
      <c r="I59" s="141">
        <f>I48+I51+I52+I53+I54+I55+I56+I57+I58+I50+I49</f>
        <v>30316.15</v>
      </c>
      <c r="J59" s="141">
        <f>J48+J51+J52+J53+J54+J55+J56+J57+J58+J50+J49</f>
        <v>3070</v>
      </c>
      <c r="K59" s="79"/>
      <c r="L59" s="28"/>
    </row>
    <row r="60" spans="1:12" s="19" customFormat="1" ht="91.5" customHeight="1">
      <c r="A60" s="249" t="s">
        <v>46</v>
      </c>
      <c r="B60" s="250"/>
      <c r="C60" s="250"/>
      <c r="D60" s="250"/>
      <c r="E60" s="251"/>
      <c r="F60" s="204" t="s">
        <v>308</v>
      </c>
      <c r="G60" s="141">
        <f>G48+G51+G53+G56+G50</f>
        <v>26208.75</v>
      </c>
      <c r="H60" s="141">
        <f>H48+H51+H53+H56+H50</f>
        <v>14210.800000000001</v>
      </c>
      <c r="I60" s="141">
        <f>I48+I51+I53+I56+I50</f>
        <v>8927.95</v>
      </c>
      <c r="J60" s="141">
        <f>J48+J51+J53+J56+J50</f>
        <v>3070</v>
      </c>
      <c r="K60" s="79"/>
      <c r="L60" s="28"/>
    </row>
    <row r="61" spans="1:12" s="19" customFormat="1" ht="81" customHeight="1">
      <c r="A61" s="252"/>
      <c r="B61" s="253"/>
      <c r="C61" s="253"/>
      <c r="D61" s="253"/>
      <c r="E61" s="254"/>
      <c r="F61" s="204" t="s">
        <v>309</v>
      </c>
      <c r="G61" s="141">
        <f>G52+G54+G57+G58</f>
        <v>15369</v>
      </c>
      <c r="H61" s="141">
        <f>H52+H54+H57+H58</f>
        <v>328.4</v>
      </c>
      <c r="I61" s="141">
        <f>I52+I54+I57+I58</f>
        <v>15040.6</v>
      </c>
      <c r="J61" s="141">
        <f>J52+J54+J57+J58</f>
        <v>0</v>
      </c>
      <c r="K61" s="79"/>
      <c r="L61" s="28"/>
    </row>
    <row r="62" spans="1:12" s="19" customFormat="1" ht="69" customHeight="1">
      <c r="A62" s="252"/>
      <c r="B62" s="253"/>
      <c r="C62" s="253"/>
      <c r="D62" s="253"/>
      <c r="E62" s="254"/>
      <c r="F62" s="101" t="s">
        <v>50</v>
      </c>
      <c r="G62" s="141">
        <f>G55</f>
        <v>29847.199999999997</v>
      </c>
      <c r="H62" s="141">
        <f>H55</f>
        <v>23499.6</v>
      </c>
      <c r="I62" s="141">
        <f>I55</f>
        <v>6347.6</v>
      </c>
      <c r="J62" s="141">
        <f>J55</f>
        <v>0</v>
      </c>
      <c r="K62" s="79"/>
      <c r="L62" s="28"/>
    </row>
    <row r="63" spans="1:12" s="19" customFormat="1" ht="137.25" customHeight="1">
      <c r="A63" s="255"/>
      <c r="B63" s="256"/>
      <c r="C63" s="256"/>
      <c r="D63" s="256"/>
      <c r="E63" s="257"/>
      <c r="F63" s="191" t="s">
        <v>221</v>
      </c>
      <c r="G63" s="141">
        <f>G49</f>
        <v>125</v>
      </c>
      <c r="H63" s="141">
        <f>H49</f>
        <v>125</v>
      </c>
      <c r="I63" s="141">
        <f>I49</f>
        <v>0</v>
      </c>
      <c r="J63" s="141">
        <f>J49</f>
        <v>0</v>
      </c>
      <c r="K63" s="177"/>
      <c r="L63" s="28"/>
    </row>
    <row r="64" spans="1:11" s="19" customFormat="1" ht="79.5" customHeight="1">
      <c r="A64" s="275" t="s">
        <v>56</v>
      </c>
      <c r="B64" s="276"/>
      <c r="C64" s="276"/>
      <c r="D64" s="276"/>
      <c r="E64" s="276"/>
      <c r="F64" s="276"/>
      <c r="G64" s="276"/>
      <c r="H64" s="276"/>
      <c r="I64" s="276"/>
      <c r="J64" s="276"/>
      <c r="K64" s="277"/>
    </row>
    <row r="65" spans="1:12" s="19" customFormat="1" ht="87.75" customHeight="1">
      <c r="A65" s="245">
        <v>1</v>
      </c>
      <c r="B65" s="309" t="s">
        <v>47</v>
      </c>
      <c r="C65" s="247" t="s">
        <v>22</v>
      </c>
      <c r="D65" s="313" t="s">
        <v>42</v>
      </c>
      <c r="E65" s="247" t="s">
        <v>41</v>
      </c>
      <c r="F65" s="205" t="s">
        <v>308</v>
      </c>
      <c r="G65" s="139">
        <f aca="true" t="shared" si="3" ref="G65:G76">SUM(H65:J65)</f>
        <v>846.5</v>
      </c>
      <c r="H65" s="139">
        <v>321.2</v>
      </c>
      <c r="I65" s="139">
        <v>254.6</v>
      </c>
      <c r="J65" s="139">
        <v>270.7</v>
      </c>
      <c r="K65" s="247" t="s">
        <v>255</v>
      </c>
      <c r="L65" s="28"/>
    </row>
    <row r="66" spans="1:11" s="19" customFormat="1" ht="93" customHeight="1">
      <c r="A66" s="246"/>
      <c r="B66" s="310"/>
      <c r="C66" s="248"/>
      <c r="D66" s="314"/>
      <c r="E66" s="248"/>
      <c r="F66" s="205" t="s">
        <v>309</v>
      </c>
      <c r="G66" s="139">
        <f t="shared" si="3"/>
        <v>19.4</v>
      </c>
      <c r="H66" s="102">
        <v>19.4</v>
      </c>
      <c r="I66" s="139"/>
      <c r="J66" s="139"/>
      <c r="K66" s="248"/>
    </row>
    <row r="67" spans="1:11" s="19" customFormat="1" ht="111" customHeight="1">
      <c r="A67" s="281"/>
      <c r="B67" s="311"/>
      <c r="C67" s="312"/>
      <c r="D67" s="315"/>
      <c r="E67" s="312"/>
      <c r="F67" s="192" t="s">
        <v>221</v>
      </c>
      <c r="G67" s="139">
        <f t="shared" si="3"/>
        <v>45</v>
      </c>
      <c r="H67" s="139">
        <v>45</v>
      </c>
      <c r="I67" s="139">
        <v>0</v>
      </c>
      <c r="J67" s="139">
        <v>0</v>
      </c>
      <c r="K67" s="312"/>
    </row>
    <row r="68" spans="1:15" s="19" customFormat="1" ht="151.5" customHeight="1">
      <c r="A68" s="142">
        <v>2</v>
      </c>
      <c r="B68" s="195" t="s">
        <v>243</v>
      </c>
      <c r="C68" s="196" t="s">
        <v>261</v>
      </c>
      <c r="D68" s="197" t="s">
        <v>42</v>
      </c>
      <c r="E68" s="196" t="s">
        <v>270</v>
      </c>
      <c r="F68" s="198" t="s">
        <v>308</v>
      </c>
      <c r="G68" s="199">
        <f>H68+I68+J68</f>
        <v>99.4</v>
      </c>
      <c r="H68" s="199">
        <v>31</v>
      </c>
      <c r="I68" s="199">
        <v>34.2</v>
      </c>
      <c r="J68" s="199">
        <v>34.2</v>
      </c>
      <c r="K68" s="200" t="s">
        <v>138</v>
      </c>
      <c r="M68" s="30"/>
      <c r="N68" s="30"/>
      <c r="O68" s="34"/>
    </row>
    <row r="69" spans="1:12" s="19" customFormat="1" ht="110.25" customHeight="1">
      <c r="A69" s="293">
        <v>3</v>
      </c>
      <c r="B69" s="308" t="s">
        <v>48</v>
      </c>
      <c r="C69" s="290" t="s">
        <v>158</v>
      </c>
      <c r="D69" s="272" t="s">
        <v>42</v>
      </c>
      <c r="E69" s="290" t="s">
        <v>41</v>
      </c>
      <c r="F69" s="205" t="s">
        <v>308</v>
      </c>
      <c r="G69" s="139">
        <f t="shared" si="3"/>
        <v>1346</v>
      </c>
      <c r="H69" s="139">
        <v>326.4</v>
      </c>
      <c r="I69" s="139">
        <v>495.9</v>
      </c>
      <c r="J69" s="139">
        <v>523.7</v>
      </c>
      <c r="K69" s="271" t="s">
        <v>17</v>
      </c>
      <c r="L69" s="28"/>
    </row>
    <row r="70" spans="1:15" s="19" customFormat="1" ht="90" customHeight="1">
      <c r="A70" s="293"/>
      <c r="B70" s="308"/>
      <c r="C70" s="290"/>
      <c r="D70" s="272"/>
      <c r="E70" s="290"/>
      <c r="F70" s="205" t="s">
        <v>309</v>
      </c>
      <c r="G70" s="139">
        <f t="shared" si="3"/>
        <v>37.1</v>
      </c>
      <c r="H70" s="139">
        <v>37.1</v>
      </c>
      <c r="I70" s="139"/>
      <c r="J70" s="139"/>
      <c r="K70" s="271"/>
      <c r="M70" s="30"/>
      <c r="N70" s="30"/>
      <c r="O70" s="34"/>
    </row>
    <row r="71" spans="1:15" s="19" customFormat="1" ht="78.75" customHeight="1">
      <c r="A71" s="293">
        <v>4</v>
      </c>
      <c r="B71" s="282" t="s">
        <v>49</v>
      </c>
      <c r="C71" s="290" t="s">
        <v>159</v>
      </c>
      <c r="D71" s="272" t="s">
        <v>42</v>
      </c>
      <c r="E71" s="290" t="s">
        <v>41</v>
      </c>
      <c r="F71" s="209" t="s">
        <v>308</v>
      </c>
      <c r="G71" s="139">
        <f t="shared" si="3"/>
        <v>10941.9</v>
      </c>
      <c r="H71" s="139">
        <v>1000.4</v>
      </c>
      <c r="I71" s="139">
        <v>4218.7</v>
      </c>
      <c r="J71" s="139">
        <v>5722.8</v>
      </c>
      <c r="K71" s="290" t="s">
        <v>15</v>
      </c>
      <c r="L71" s="35"/>
      <c r="O71" s="26"/>
    </row>
    <row r="72" spans="1:12" s="19" customFormat="1" ht="84.75" customHeight="1">
      <c r="A72" s="293"/>
      <c r="B72" s="282"/>
      <c r="C72" s="290"/>
      <c r="D72" s="272"/>
      <c r="E72" s="290"/>
      <c r="F72" s="209" t="s">
        <v>309</v>
      </c>
      <c r="G72" s="139">
        <f t="shared" si="3"/>
        <v>1400.1</v>
      </c>
      <c r="H72" s="139">
        <v>1400.1</v>
      </c>
      <c r="I72" s="139"/>
      <c r="J72" s="139"/>
      <c r="K72" s="290"/>
      <c r="L72" s="35"/>
    </row>
    <row r="73" spans="1:14" s="19" customFormat="1" ht="100.5" customHeight="1">
      <c r="A73" s="293"/>
      <c r="B73" s="282"/>
      <c r="C73" s="290"/>
      <c r="D73" s="272"/>
      <c r="E73" s="290"/>
      <c r="F73" s="102" t="s">
        <v>50</v>
      </c>
      <c r="G73" s="139">
        <f t="shared" si="3"/>
        <v>5197</v>
      </c>
      <c r="H73" s="139">
        <v>4064.8</v>
      </c>
      <c r="I73" s="139">
        <v>1132.2</v>
      </c>
      <c r="J73" s="139">
        <v>0</v>
      </c>
      <c r="K73" s="290"/>
      <c r="L73" s="36"/>
      <c r="M73" s="30"/>
      <c r="N73" s="30"/>
    </row>
    <row r="74" spans="1:12" s="19" customFormat="1" ht="102.75" customHeight="1">
      <c r="A74" s="274">
        <v>5</v>
      </c>
      <c r="B74" s="282" t="s">
        <v>34</v>
      </c>
      <c r="C74" s="283" t="s">
        <v>316</v>
      </c>
      <c r="D74" s="272" t="s">
        <v>42</v>
      </c>
      <c r="E74" s="290" t="s">
        <v>41</v>
      </c>
      <c r="F74" s="209" t="s">
        <v>308</v>
      </c>
      <c r="G74" s="139">
        <f t="shared" si="3"/>
        <v>1348.4</v>
      </c>
      <c r="H74" s="139">
        <v>535.6</v>
      </c>
      <c r="I74" s="139">
        <v>527.8</v>
      </c>
      <c r="J74" s="139">
        <v>285</v>
      </c>
      <c r="K74" s="291" t="s">
        <v>16</v>
      </c>
      <c r="L74" s="35"/>
    </row>
    <row r="75" spans="1:12" s="33" customFormat="1" ht="103.5" customHeight="1">
      <c r="A75" s="274"/>
      <c r="B75" s="282"/>
      <c r="C75" s="283"/>
      <c r="D75" s="272"/>
      <c r="E75" s="290"/>
      <c r="F75" s="209" t="s">
        <v>309</v>
      </c>
      <c r="G75" s="139">
        <f t="shared" si="3"/>
        <v>88.7</v>
      </c>
      <c r="H75" s="139">
        <v>88.7</v>
      </c>
      <c r="I75" s="139"/>
      <c r="J75" s="139"/>
      <c r="K75" s="291"/>
      <c r="L75" s="37"/>
    </row>
    <row r="76" spans="1:12" s="33" customFormat="1" ht="90" customHeight="1">
      <c r="A76" s="137">
        <v>6</v>
      </c>
      <c r="B76" s="95" t="s">
        <v>35</v>
      </c>
      <c r="C76" s="145" t="s">
        <v>160</v>
      </c>
      <c r="D76" s="138" t="s">
        <v>42</v>
      </c>
      <c r="E76" s="143" t="s">
        <v>41</v>
      </c>
      <c r="F76" s="209" t="s">
        <v>309</v>
      </c>
      <c r="G76" s="139">
        <f t="shared" si="3"/>
        <v>1540</v>
      </c>
      <c r="H76" s="139">
        <v>410</v>
      </c>
      <c r="I76" s="139">
        <v>1130</v>
      </c>
      <c r="J76" s="139"/>
      <c r="K76" s="160" t="s">
        <v>254</v>
      </c>
      <c r="L76" s="38"/>
    </row>
    <row r="77" spans="1:12" s="33" customFormat="1" ht="31.5" customHeight="1">
      <c r="A77" s="273" t="s">
        <v>45</v>
      </c>
      <c r="B77" s="273"/>
      <c r="C77" s="273"/>
      <c r="D77" s="273"/>
      <c r="E77" s="273"/>
      <c r="F77" s="101"/>
      <c r="G77" s="141">
        <f>G65+G66+G69+G70+G71+G72+G73+G74+G75+G76+G68+G67</f>
        <v>22909.500000000004</v>
      </c>
      <c r="H77" s="141">
        <f>H65+H66+H69+H70+H71+H72+H73+H74+H75+H76+H68+H67</f>
        <v>8279.7</v>
      </c>
      <c r="I77" s="141">
        <f>I65+I66+I69+I70+I71+I72+I73+I74+I75+I76+I68+I67</f>
        <v>7793.4</v>
      </c>
      <c r="J77" s="141">
        <f>J65+J66+J69+J70+J71+J72+J73+J74+J75+J76+J68+J67</f>
        <v>6836.400000000001</v>
      </c>
      <c r="K77" s="79"/>
      <c r="L77" s="38"/>
    </row>
    <row r="78" spans="1:12" s="33" customFormat="1" ht="81" customHeight="1">
      <c r="A78" s="273" t="s">
        <v>46</v>
      </c>
      <c r="B78" s="273"/>
      <c r="C78" s="273"/>
      <c r="D78" s="273"/>
      <c r="E78" s="273"/>
      <c r="F78" s="204" t="s">
        <v>308</v>
      </c>
      <c r="G78" s="141">
        <f>G65+G69+G71+G74+G68</f>
        <v>14582.199999999999</v>
      </c>
      <c r="H78" s="141">
        <f>H65+H69+H71+H74+H68</f>
        <v>2214.6</v>
      </c>
      <c r="I78" s="141">
        <f>I65+I69+I71+I74+I68</f>
        <v>5531.2</v>
      </c>
      <c r="J78" s="141">
        <f>J65+J69+J71+J74+J68</f>
        <v>6836.400000000001</v>
      </c>
      <c r="K78" s="79"/>
      <c r="L78" s="38"/>
    </row>
    <row r="79" spans="1:12" s="33" customFormat="1" ht="90" customHeight="1">
      <c r="A79" s="274"/>
      <c r="B79" s="274"/>
      <c r="C79" s="274"/>
      <c r="D79" s="274"/>
      <c r="E79" s="274"/>
      <c r="F79" s="204" t="s">
        <v>309</v>
      </c>
      <c r="G79" s="141">
        <f>G66+G70+G72+G75+G76</f>
        <v>3085.3</v>
      </c>
      <c r="H79" s="141">
        <f>H66+H70+H72+H75+H76</f>
        <v>1955.3</v>
      </c>
      <c r="I79" s="141">
        <f>I66+I70+I72+I75+I76</f>
        <v>1130</v>
      </c>
      <c r="J79" s="141">
        <f>J66+J70+J72+J75+J76</f>
        <v>0</v>
      </c>
      <c r="K79" s="79"/>
      <c r="L79" s="38"/>
    </row>
    <row r="80" spans="1:12" s="33" customFormat="1" ht="83.25" customHeight="1">
      <c r="A80" s="292"/>
      <c r="B80" s="292"/>
      <c r="C80" s="292"/>
      <c r="D80" s="292"/>
      <c r="E80" s="292"/>
      <c r="F80" s="101" t="s">
        <v>50</v>
      </c>
      <c r="G80" s="141">
        <f>G73</f>
        <v>5197</v>
      </c>
      <c r="H80" s="141">
        <f>H73</f>
        <v>4064.8</v>
      </c>
      <c r="I80" s="141">
        <f>I73</f>
        <v>1132.2</v>
      </c>
      <c r="J80" s="141">
        <f>J73</f>
        <v>0</v>
      </c>
      <c r="K80" s="79"/>
      <c r="L80" s="38"/>
    </row>
    <row r="81" spans="1:12" s="33" customFormat="1" ht="117" customHeight="1">
      <c r="A81" s="178"/>
      <c r="B81" s="178"/>
      <c r="C81" s="178"/>
      <c r="D81" s="178"/>
      <c r="E81" s="178"/>
      <c r="F81" s="191" t="s">
        <v>221</v>
      </c>
      <c r="G81" s="141">
        <f>G67</f>
        <v>45</v>
      </c>
      <c r="H81" s="141">
        <f>H67</f>
        <v>45</v>
      </c>
      <c r="I81" s="141">
        <f>I67</f>
        <v>0</v>
      </c>
      <c r="J81" s="141">
        <f>J67</f>
        <v>0</v>
      </c>
      <c r="K81" s="177"/>
      <c r="L81" s="38"/>
    </row>
    <row r="82" spans="1:11" ht="91.5" customHeight="1">
      <c r="A82" s="275" t="s">
        <v>58</v>
      </c>
      <c r="B82" s="276"/>
      <c r="C82" s="276"/>
      <c r="D82" s="276"/>
      <c r="E82" s="276"/>
      <c r="F82" s="276"/>
      <c r="G82" s="276"/>
      <c r="H82" s="276"/>
      <c r="I82" s="276"/>
      <c r="J82" s="276"/>
      <c r="K82" s="277"/>
    </row>
    <row r="83" spans="1:11" ht="101.25" customHeight="1">
      <c r="A83" s="258">
        <v>1</v>
      </c>
      <c r="B83" s="260" t="s">
        <v>59</v>
      </c>
      <c r="C83" s="262" t="s">
        <v>18</v>
      </c>
      <c r="D83" s="264" t="s">
        <v>42</v>
      </c>
      <c r="E83" s="212" t="s">
        <v>41</v>
      </c>
      <c r="F83" s="102" t="s">
        <v>221</v>
      </c>
      <c r="G83" s="139">
        <f>SUM(H83:J83)</f>
        <v>7682.3</v>
      </c>
      <c r="H83" s="139">
        <v>4580.5</v>
      </c>
      <c r="I83" s="139">
        <f>3701.8-I84</f>
        <v>3101.8</v>
      </c>
      <c r="J83" s="139">
        <v>0</v>
      </c>
      <c r="K83" s="318" t="s">
        <v>19</v>
      </c>
    </row>
    <row r="84" spans="1:11" ht="88.5" customHeight="1">
      <c r="A84" s="259"/>
      <c r="B84" s="261"/>
      <c r="C84" s="263"/>
      <c r="D84" s="265"/>
      <c r="E84" s="213"/>
      <c r="F84" s="205" t="s">
        <v>308</v>
      </c>
      <c r="G84" s="139">
        <f>SUM(H84:J84)</f>
        <v>6005</v>
      </c>
      <c r="H84" s="139">
        <v>5405</v>
      </c>
      <c r="I84" s="139">
        <v>600</v>
      </c>
      <c r="J84" s="139"/>
      <c r="K84" s="319"/>
    </row>
    <row r="85" spans="1:11" ht="135" customHeight="1">
      <c r="A85" s="137">
        <v>2</v>
      </c>
      <c r="B85" s="95" t="s">
        <v>57</v>
      </c>
      <c r="C85" s="147" t="s">
        <v>20</v>
      </c>
      <c r="D85" s="138" t="s">
        <v>42</v>
      </c>
      <c r="E85" s="143" t="s">
        <v>41</v>
      </c>
      <c r="F85" s="102" t="s">
        <v>221</v>
      </c>
      <c r="G85" s="139">
        <f>SUM(H85:J85)</f>
        <v>1456.3000000000002</v>
      </c>
      <c r="H85" s="139">
        <f>9000-7543.7</f>
        <v>1456.3000000000002</v>
      </c>
      <c r="I85" s="139"/>
      <c r="J85" s="139"/>
      <c r="K85" s="79" t="s">
        <v>21</v>
      </c>
    </row>
    <row r="86" spans="1:11" ht="24.75" customHeight="1">
      <c r="A86" s="273" t="s">
        <v>45</v>
      </c>
      <c r="B86" s="273"/>
      <c r="C86" s="273"/>
      <c r="D86" s="273"/>
      <c r="E86" s="273"/>
      <c r="F86" s="101"/>
      <c r="G86" s="141">
        <f>G83+G85+G84</f>
        <v>15143.6</v>
      </c>
      <c r="H86" s="141">
        <f>H83+H85+H84</f>
        <v>11441.8</v>
      </c>
      <c r="I86" s="141">
        <f>I83+I85+I84</f>
        <v>3701.8</v>
      </c>
      <c r="J86" s="141">
        <f>J83+J85+J84</f>
        <v>0</v>
      </c>
      <c r="K86" s="79"/>
    </row>
    <row r="87" spans="1:11" ht="87" customHeight="1">
      <c r="A87" s="249" t="s">
        <v>46</v>
      </c>
      <c r="B87" s="250"/>
      <c r="C87" s="250"/>
      <c r="D87" s="250"/>
      <c r="E87" s="251"/>
      <c r="F87" s="204" t="s">
        <v>308</v>
      </c>
      <c r="G87" s="141">
        <f>G84</f>
        <v>6005</v>
      </c>
      <c r="H87" s="141">
        <f>H84</f>
        <v>5405</v>
      </c>
      <c r="I87" s="141">
        <f>I84</f>
        <v>600</v>
      </c>
      <c r="J87" s="141">
        <f>J84</f>
        <v>0</v>
      </c>
      <c r="K87" s="209"/>
    </row>
    <row r="88" spans="1:11" ht="107.25" customHeight="1">
      <c r="A88" s="255"/>
      <c r="B88" s="256"/>
      <c r="C88" s="256"/>
      <c r="D88" s="256"/>
      <c r="E88" s="257"/>
      <c r="F88" s="101" t="s">
        <v>221</v>
      </c>
      <c r="G88" s="141">
        <f>G83+G85</f>
        <v>9138.6</v>
      </c>
      <c r="H88" s="141">
        <f>H83+H85</f>
        <v>6036.8</v>
      </c>
      <c r="I88" s="141">
        <f>I83+I85</f>
        <v>3101.8</v>
      </c>
      <c r="J88" s="141">
        <f>J83+J85</f>
        <v>0</v>
      </c>
      <c r="K88" s="79"/>
    </row>
    <row r="89" spans="1:11" ht="64.5" customHeight="1">
      <c r="A89" s="275" t="s">
        <v>66</v>
      </c>
      <c r="B89" s="276"/>
      <c r="C89" s="276"/>
      <c r="D89" s="276"/>
      <c r="E89" s="276"/>
      <c r="F89" s="276"/>
      <c r="G89" s="276"/>
      <c r="H89" s="276"/>
      <c r="I89" s="276"/>
      <c r="J89" s="276"/>
      <c r="K89" s="277"/>
    </row>
    <row r="90" spans="1:11" ht="102" customHeight="1">
      <c r="A90" s="137" t="s">
        <v>61</v>
      </c>
      <c r="B90" s="146" t="s">
        <v>62</v>
      </c>
      <c r="C90" s="147" t="s">
        <v>60</v>
      </c>
      <c r="D90" s="138" t="s">
        <v>42</v>
      </c>
      <c r="E90" s="143" t="s">
        <v>41</v>
      </c>
      <c r="F90" s="209" t="s">
        <v>308</v>
      </c>
      <c r="G90" s="139">
        <f>SUM(H90:J90)</f>
        <v>8590.6</v>
      </c>
      <c r="H90" s="139">
        <v>2602.5</v>
      </c>
      <c r="I90" s="139">
        <v>2894.2</v>
      </c>
      <c r="J90" s="139">
        <v>3093.9</v>
      </c>
      <c r="K90" s="79" t="s">
        <v>80</v>
      </c>
    </row>
    <row r="91" spans="1:16" ht="42.75" customHeight="1">
      <c r="A91" s="273" t="s">
        <v>45</v>
      </c>
      <c r="B91" s="273"/>
      <c r="C91" s="273"/>
      <c r="D91" s="273"/>
      <c r="E91" s="273"/>
      <c r="F91" s="101"/>
      <c r="G91" s="141">
        <f>G90</f>
        <v>8590.6</v>
      </c>
      <c r="H91" s="141">
        <f>H90</f>
        <v>2602.5</v>
      </c>
      <c r="I91" s="141">
        <f>I90</f>
        <v>2894.2</v>
      </c>
      <c r="J91" s="141">
        <f>J90</f>
        <v>3093.9</v>
      </c>
      <c r="K91" s="79"/>
      <c r="M91" s="39"/>
      <c r="N91" s="39"/>
      <c r="O91" s="39"/>
      <c r="P91" s="39"/>
    </row>
    <row r="92" spans="1:16" ht="101.25" customHeight="1">
      <c r="A92" s="273" t="s">
        <v>46</v>
      </c>
      <c r="B92" s="273"/>
      <c r="C92" s="273"/>
      <c r="D92" s="273"/>
      <c r="E92" s="273"/>
      <c r="F92" s="210" t="s">
        <v>308</v>
      </c>
      <c r="G92" s="141">
        <f>G90</f>
        <v>8590.6</v>
      </c>
      <c r="H92" s="141">
        <f>H90</f>
        <v>2602.5</v>
      </c>
      <c r="I92" s="141">
        <f>I90</f>
        <v>2894.2</v>
      </c>
      <c r="J92" s="141">
        <f>J90</f>
        <v>3093.9</v>
      </c>
      <c r="K92" s="79"/>
      <c r="M92" s="39"/>
      <c r="N92" s="39"/>
      <c r="O92" s="39"/>
      <c r="P92" s="39"/>
    </row>
    <row r="93" spans="1:16" ht="64.5" customHeight="1">
      <c r="A93" s="275" t="s">
        <v>154</v>
      </c>
      <c r="B93" s="276"/>
      <c r="C93" s="276"/>
      <c r="D93" s="276"/>
      <c r="E93" s="276"/>
      <c r="F93" s="276"/>
      <c r="G93" s="276"/>
      <c r="H93" s="276"/>
      <c r="I93" s="276"/>
      <c r="J93" s="276"/>
      <c r="K93" s="277"/>
      <c r="M93" s="39"/>
      <c r="O93" s="39"/>
      <c r="P93" s="39"/>
    </row>
    <row r="94" spans="1:16" ht="99" customHeight="1">
      <c r="A94" s="137" t="s">
        <v>61</v>
      </c>
      <c r="B94" s="95" t="s">
        <v>53</v>
      </c>
      <c r="C94" s="147" t="s">
        <v>155</v>
      </c>
      <c r="D94" s="138" t="s">
        <v>42</v>
      </c>
      <c r="E94" s="143" t="s">
        <v>41</v>
      </c>
      <c r="F94" s="209" t="s">
        <v>308</v>
      </c>
      <c r="G94" s="139">
        <f>SUM(H94:J94)</f>
        <v>5948.4</v>
      </c>
      <c r="H94" s="139">
        <v>1928.6</v>
      </c>
      <c r="I94" s="139">
        <v>1920.9</v>
      </c>
      <c r="J94" s="139">
        <v>2098.9</v>
      </c>
      <c r="K94" s="144" t="s">
        <v>161</v>
      </c>
      <c r="L94" s="39"/>
      <c r="M94" s="39"/>
      <c r="N94" s="39"/>
      <c r="O94" s="39"/>
      <c r="P94" s="39"/>
    </row>
    <row r="95" spans="1:16" ht="235.5" customHeight="1">
      <c r="A95" s="137">
        <v>2</v>
      </c>
      <c r="B95" s="195" t="s">
        <v>243</v>
      </c>
      <c r="C95" s="196" t="s">
        <v>247</v>
      </c>
      <c r="D95" s="197" t="s">
        <v>42</v>
      </c>
      <c r="E95" s="196" t="s">
        <v>248</v>
      </c>
      <c r="F95" s="201" t="s">
        <v>308</v>
      </c>
      <c r="G95" s="199">
        <f>SUM(H95:J95)</f>
        <v>1362.4</v>
      </c>
      <c r="H95" s="199">
        <v>354.4</v>
      </c>
      <c r="I95" s="199">
        <v>504</v>
      </c>
      <c r="J95" s="199">
        <v>504</v>
      </c>
      <c r="K95" s="200" t="s">
        <v>138</v>
      </c>
      <c r="L95" s="39"/>
      <c r="M95" s="39"/>
      <c r="N95" s="39"/>
      <c r="O95" s="39"/>
      <c r="P95" s="39"/>
    </row>
    <row r="96" spans="1:16" ht="213" customHeight="1">
      <c r="A96" s="137">
        <v>3</v>
      </c>
      <c r="B96" s="195" t="s">
        <v>243</v>
      </c>
      <c r="C96" s="196" t="s">
        <v>246</v>
      </c>
      <c r="D96" s="197" t="s">
        <v>193</v>
      </c>
      <c r="E96" s="196" t="s">
        <v>248</v>
      </c>
      <c r="F96" s="201" t="s">
        <v>307</v>
      </c>
      <c r="G96" s="199">
        <f>SUM(H96:J96)</f>
        <v>113.6</v>
      </c>
      <c r="H96" s="199">
        <v>33.6</v>
      </c>
      <c r="I96" s="199">
        <v>40</v>
      </c>
      <c r="J96" s="199">
        <v>40</v>
      </c>
      <c r="K96" s="200" t="s">
        <v>197</v>
      </c>
      <c r="L96" s="39"/>
      <c r="M96" s="39"/>
      <c r="N96" s="39"/>
      <c r="O96" s="39"/>
      <c r="P96" s="39"/>
    </row>
    <row r="97" spans="1:16" ht="313.5" customHeight="1">
      <c r="A97" s="137">
        <v>4</v>
      </c>
      <c r="B97" s="101" t="s">
        <v>195</v>
      </c>
      <c r="C97" s="143" t="s">
        <v>196</v>
      </c>
      <c r="D97" s="138" t="s">
        <v>193</v>
      </c>
      <c r="E97" s="143" t="s">
        <v>41</v>
      </c>
      <c r="F97" s="209" t="s">
        <v>309</v>
      </c>
      <c r="G97" s="139">
        <f>SUM(H97:J97)</f>
        <v>5500</v>
      </c>
      <c r="H97" s="139">
        <v>3000</v>
      </c>
      <c r="I97" s="139">
        <v>2500</v>
      </c>
      <c r="J97" s="139"/>
      <c r="K97" s="144" t="s">
        <v>222</v>
      </c>
      <c r="L97" s="39"/>
      <c r="M97" s="39"/>
      <c r="N97" s="39"/>
      <c r="O97" s="39"/>
      <c r="P97" s="39"/>
    </row>
    <row r="98" spans="1:16" ht="101.25" customHeight="1">
      <c r="A98" s="208">
        <v>5</v>
      </c>
      <c r="B98" s="210" t="s">
        <v>302</v>
      </c>
      <c r="C98" s="147" t="s">
        <v>303</v>
      </c>
      <c r="D98" s="206" t="s">
        <v>305</v>
      </c>
      <c r="E98" s="207" t="s">
        <v>41</v>
      </c>
      <c r="F98" s="227" t="s">
        <v>301</v>
      </c>
      <c r="G98" s="228">
        <f>SUM(H98:J98)</f>
        <v>50</v>
      </c>
      <c r="H98" s="228">
        <v>0</v>
      </c>
      <c r="I98" s="228">
        <v>50</v>
      </c>
      <c r="J98" s="228">
        <v>0</v>
      </c>
      <c r="K98" s="209" t="s">
        <v>304</v>
      </c>
      <c r="L98" s="39"/>
      <c r="M98" s="39"/>
      <c r="N98" s="39"/>
      <c r="O98" s="39"/>
      <c r="P98" s="39"/>
    </row>
    <row r="99" spans="1:16" ht="53.25" customHeight="1">
      <c r="A99" s="273" t="s">
        <v>45</v>
      </c>
      <c r="B99" s="273"/>
      <c r="C99" s="273"/>
      <c r="D99" s="273"/>
      <c r="E99" s="273"/>
      <c r="F99" s="101"/>
      <c r="G99" s="141">
        <f>G94+G95+G96+G97+G98</f>
        <v>12974.4</v>
      </c>
      <c r="H99" s="141">
        <f>H94+H95+H96+H97+H98</f>
        <v>5316.6</v>
      </c>
      <c r="I99" s="141">
        <f>I94+I95+I96+I97+I98</f>
        <v>5014.9</v>
      </c>
      <c r="J99" s="141">
        <f>J94+J95+J96+J97+J98</f>
        <v>2642.9</v>
      </c>
      <c r="K99" s="79"/>
      <c r="M99" s="39"/>
      <c r="N99" s="39"/>
      <c r="O99" s="39"/>
      <c r="P99" s="39"/>
    </row>
    <row r="100" spans="1:16" ht="112.5" customHeight="1">
      <c r="A100" s="249" t="s">
        <v>46</v>
      </c>
      <c r="B100" s="250"/>
      <c r="C100" s="250"/>
      <c r="D100" s="250"/>
      <c r="E100" s="251"/>
      <c r="F100" s="210" t="s">
        <v>308</v>
      </c>
      <c r="G100" s="141">
        <f>G94+G95+G96</f>
        <v>7424.4</v>
      </c>
      <c r="H100" s="141">
        <f>H94+H95+H96+H98</f>
        <v>2316.6</v>
      </c>
      <c r="I100" s="141">
        <f>I94+I95+I96+I98</f>
        <v>2514.9</v>
      </c>
      <c r="J100" s="141">
        <f>J94+J95+J96+J98</f>
        <v>2642.9</v>
      </c>
      <c r="K100" s="79"/>
      <c r="M100" s="39"/>
      <c r="N100" s="39"/>
      <c r="O100" s="39"/>
      <c r="P100" s="39"/>
    </row>
    <row r="101" spans="1:16" ht="144.75" customHeight="1">
      <c r="A101" s="255"/>
      <c r="B101" s="256"/>
      <c r="C101" s="256"/>
      <c r="D101" s="256"/>
      <c r="E101" s="257"/>
      <c r="F101" s="210" t="s">
        <v>309</v>
      </c>
      <c r="G101" s="141">
        <f>G97</f>
        <v>5500</v>
      </c>
      <c r="H101" s="141">
        <f>H97</f>
        <v>3000</v>
      </c>
      <c r="I101" s="141">
        <f>I97</f>
        <v>2500</v>
      </c>
      <c r="J101" s="141">
        <f>J97</f>
        <v>0</v>
      </c>
      <c r="K101" s="79"/>
      <c r="M101" s="39"/>
      <c r="N101" s="39"/>
      <c r="O101" s="39"/>
      <c r="P101" s="39"/>
    </row>
    <row r="102" spans="1:16" ht="65.25" customHeight="1">
      <c r="A102" s="326" t="s">
        <v>263</v>
      </c>
      <c r="B102" s="327"/>
      <c r="C102" s="327"/>
      <c r="D102" s="327"/>
      <c r="E102" s="327"/>
      <c r="F102" s="327"/>
      <c r="G102" s="327"/>
      <c r="H102" s="327"/>
      <c r="I102" s="327"/>
      <c r="J102" s="327"/>
      <c r="K102" s="328"/>
      <c r="L102" s="70"/>
      <c r="M102" s="70"/>
      <c r="N102" s="70"/>
      <c r="O102" s="39"/>
      <c r="P102" s="39"/>
    </row>
    <row r="103" spans="1:16" ht="90" customHeight="1">
      <c r="A103" s="332" t="s">
        <v>125</v>
      </c>
      <c r="B103" s="309" t="s">
        <v>262</v>
      </c>
      <c r="C103" s="318" t="s">
        <v>200</v>
      </c>
      <c r="D103" s="321" t="s">
        <v>193</v>
      </c>
      <c r="E103" s="323" t="s">
        <v>41</v>
      </c>
      <c r="F103" s="204" t="s">
        <v>309</v>
      </c>
      <c r="G103" s="139">
        <f>SUM(H103:J103)</f>
        <v>679.9</v>
      </c>
      <c r="H103" s="141">
        <v>679.9</v>
      </c>
      <c r="I103" s="141"/>
      <c r="J103" s="141"/>
      <c r="K103" s="318" t="s">
        <v>198</v>
      </c>
      <c r="M103" s="39"/>
      <c r="N103" s="39"/>
      <c r="O103" s="39"/>
      <c r="P103" s="39"/>
    </row>
    <row r="104" spans="1:16" ht="150" customHeight="1">
      <c r="A104" s="333"/>
      <c r="B104" s="311"/>
      <c r="C104" s="319"/>
      <c r="D104" s="322"/>
      <c r="E104" s="324"/>
      <c r="F104" s="191" t="s">
        <v>224</v>
      </c>
      <c r="G104" s="139">
        <f>SUM(H104:J104)</f>
        <v>4139.2</v>
      </c>
      <c r="H104" s="141">
        <v>4139.2</v>
      </c>
      <c r="I104" s="141"/>
      <c r="J104" s="141"/>
      <c r="K104" s="319"/>
      <c r="M104" s="39"/>
      <c r="N104" s="39"/>
      <c r="O104" s="39"/>
      <c r="P104" s="39"/>
    </row>
    <row r="105" spans="1:16" ht="53.25" customHeight="1">
      <c r="A105" s="273" t="s">
        <v>45</v>
      </c>
      <c r="B105" s="273"/>
      <c r="C105" s="273"/>
      <c r="D105" s="273"/>
      <c r="E105" s="273"/>
      <c r="F105" s="101"/>
      <c r="G105" s="141">
        <f>G103+G104</f>
        <v>4819.099999999999</v>
      </c>
      <c r="H105" s="141">
        <f>H103+H104</f>
        <v>4819.099999999999</v>
      </c>
      <c r="I105" s="141">
        <f>I103+I104</f>
        <v>0</v>
      </c>
      <c r="J105" s="141">
        <f>J103+J104</f>
        <v>0</v>
      </c>
      <c r="K105" s="79"/>
      <c r="M105" s="39"/>
      <c r="N105" s="39"/>
      <c r="O105" s="39"/>
      <c r="P105" s="39"/>
    </row>
    <row r="106" spans="1:16" ht="87.75" customHeight="1">
      <c r="A106" s="249" t="s">
        <v>46</v>
      </c>
      <c r="B106" s="250"/>
      <c r="C106" s="250"/>
      <c r="D106" s="250"/>
      <c r="E106" s="251"/>
      <c r="F106" s="204" t="s">
        <v>309</v>
      </c>
      <c r="G106" s="141">
        <f aca="true" t="shared" si="4" ref="G106:J107">G103</f>
        <v>679.9</v>
      </c>
      <c r="H106" s="141">
        <f t="shared" si="4"/>
        <v>679.9</v>
      </c>
      <c r="I106" s="141">
        <f t="shared" si="4"/>
        <v>0</v>
      </c>
      <c r="J106" s="141">
        <f t="shared" si="4"/>
        <v>0</v>
      </c>
      <c r="K106" s="79"/>
      <c r="M106" s="39"/>
      <c r="N106" s="39"/>
      <c r="O106" s="39"/>
      <c r="P106" s="39"/>
    </row>
    <row r="107" spans="1:16" ht="146.25" customHeight="1">
      <c r="A107" s="255"/>
      <c r="B107" s="256"/>
      <c r="C107" s="256"/>
      <c r="D107" s="256"/>
      <c r="E107" s="257"/>
      <c r="F107" s="101" t="s">
        <v>224</v>
      </c>
      <c r="G107" s="141">
        <f t="shared" si="4"/>
        <v>4139.2</v>
      </c>
      <c r="H107" s="141">
        <f t="shared" si="4"/>
        <v>4139.2</v>
      </c>
      <c r="I107" s="141">
        <f t="shared" si="4"/>
        <v>0</v>
      </c>
      <c r="J107" s="141">
        <f t="shared" si="4"/>
        <v>0</v>
      </c>
      <c r="K107" s="79"/>
      <c r="M107" s="39"/>
      <c r="N107" s="39"/>
      <c r="O107" s="39"/>
      <c r="P107" s="39"/>
    </row>
    <row r="108" spans="1:16" ht="66.75" customHeight="1">
      <c r="A108" s="329" t="s">
        <v>249</v>
      </c>
      <c r="B108" s="330"/>
      <c r="C108" s="330"/>
      <c r="D108" s="330"/>
      <c r="E108" s="330"/>
      <c r="F108" s="330"/>
      <c r="G108" s="330"/>
      <c r="H108" s="330"/>
      <c r="I108" s="330"/>
      <c r="J108" s="330"/>
      <c r="K108" s="331"/>
      <c r="L108" s="70"/>
      <c r="M108" s="70"/>
      <c r="N108" s="70"/>
      <c r="O108" s="64"/>
      <c r="P108" s="39"/>
    </row>
    <row r="109" spans="1:16" ht="94.5" customHeight="1">
      <c r="A109" s="294" t="s">
        <v>125</v>
      </c>
      <c r="B109" s="309" t="s">
        <v>250</v>
      </c>
      <c r="C109" s="318" t="s">
        <v>253</v>
      </c>
      <c r="D109" s="284" t="s">
        <v>193</v>
      </c>
      <c r="E109" s="287" t="s">
        <v>41</v>
      </c>
      <c r="F109" s="204" t="s">
        <v>308</v>
      </c>
      <c r="G109" s="141">
        <f>H109+I109+J109</f>
        <v>409.1</v>
      </c>
      <c r="H109" s="141"/>
      <c r="I109" s="141">
        <v>199</v>
      </c>
      <c r="J109" s="141">
        <v>210.1</v>
      </c>
      <c r="K109" s="214" t="s">
        <v>202</v>
      </c>
      <c r="L109" s="70"/>
      <c r="M109" s="70"/>
      <c r="N109" s="70"/>
      <c r="O109" s="64"/>
      <c r="P109" s="39"/>
    </row>
    <row r="110" spans="1:16" ht="82.5" customHeight="1">
      <c r="A110" s="297"/>
      <c r="B110" s="310"/>
      <c r="C110" s="320"/>
      <c r="D110" s="285"/>
      <c r="E110" s="288"/>
      <c r="F110" s="204" t="s">
        <v>309</v>
      </c>
      <c r="G110" s="141">
        <f>H110+I110+J110</f>
        <v>30855.4</v>
      </c>
      <c r="H110" s="141">
        <v>8116.9</v>
      </c>
      <c r="I110" s="141">
        <v>11059.6</v>
      </c>
      <c r="J110" s="141">
        <v>11678.9</v>
      </c>
      <c r="K110" s="215"/>
      <c r="M110" s="39"/>
      <c r="N110" s="39"/>
      <c r="O110" s="39"/>
      <c r="P110" s="39"/>
    </row>
    <row r="111" spans="1:16" ht="145.5" customHeight="1">
      <c r="A111" s="300"/>
      <c r="B111" s="311"/>
      <c r="C111" s="319"/>
      <c r="D111" s="286"/>
      <c r="E111" s="289"/>
      <c r="F111" s="101" t="s">
        <v>201</v>
      </c>
      <c r="G111" s="141">
        <f>H111+I111+J111</f>
        <v>18614.7</v>
      </c>
      <c r="H111" s="141">
        <v>3900</v>
      </c>
      <c r="I111" s="141">
        <v>14714.7</v>
      </c>
      <c r="J111" s="141">
        <v>0</v>
      </c>
      <c r="K111" s="215"/>
      <c r="M111" s="39"/>
      <c r="N111" s="39"/>
      <c r="O111" s="39"/>
      <c r="P111" s="39"/>
    </row>
    <row r="112" spans="1:16" ht="29.25" customHeight="1">
      <c r="A112" s="273" t="s">
        <v>45</v>
      </c>
      <c r="B112" s="273"/>
      <c r="C112" s="273"/>
      <c r="D112" s="273"/>
      <c r="E112" s="273"/>
      <c r="F112" s="101"/>
      <c r="G112" s="141">
        <f>G110+G111+G109</f>
        <v>49879.200000000004</v>
      </c>
      <c r="H112" s="141">
        <f>H110+H111+H109</f>
        <v>12016.9</v>
      </c>
      <c r="I112" s="141">
        <f>I110+I111+I109</f>
        <v>25973.300000000003</v>
      </c>
      <c r="J112" s="141">
        <f>J110+J111+J109</f>
        <v>11889</v>
      </c>
      <c r="K112" s="209"/>
      <c r="M112" s="39"/>
      <c r="N112" s="39"/>
      <c r="O112" s="39"/>
      <c r="P112" s="39"/>
    </row>
    <row r="113" spans="1:16" ht="91.5" customHeight="1">
      <c r="A113" s="249" t="s">
        <v>46</v>
      </c>
      <c r="B113" s="250"/>
      <c r="C113" s="250"/>
      <c r="D113" s="250"/>
      <c r="E113" s="251"/>
      <c r="F113" s="204" t="s">
        <v>308</v>
      </c>
      <c r="G113" s="141">
        <f>G109</f>
        <v>409.1</v>
      </c>
      <c r="H113" s="141">
        <f>H109</f>
        <v>0</v>
      </c>
      <c r="I113" s="141">
        <f>I109</f>
        <v>199</v>
      </c>
      <c r="J113" s="141">
        <f>J109</f>
        <v>210.1</v>
      </c>
      <c r="K113" s="209"/>
      <c r="M113" s="39"/>
      <c r="N113" s="39"/>
      <c r="O113" s="39"/>
      <c r="P113" s="39"/>
    </row>
    <row r="114" spans="1:16" ht="85.5" customHeight="1">
      <c r="A114" s="252"/>
      <c r="B114" s="253"/>
      <c r="C114" s="253"/>
      <c r="D114" s="253"/>
      <c r="E114" s="254"/>
      <c r="F114" s="204" t="s">
        <v>309</v>
      </c>
      <c r="G114" s="141">
        <f>G110</f>
        <v>30855.4</v>
      </c>
      <c r="H114" s="141">
        <f aca="true" t="shared" si="5" ref="H114:J115">H110</f>
        <v>8116.9</v>
      </c>
      <c r="I114" s="141">
        <f t="shared" si="5"/>
        <v>11059.6</v>
      </c>
      <c r="J114" s="141">
        <f t="shared" si="5"/>
        <v>11678.9</v>
      </c>
      <c r="K114" s="79"/>
      <c r="M114" s="39"/>
      <c r="N114" s="39"/>
      <c r="O114" s="39"/>
      <c r="P114" s="39"/>
    </row>
    <row r="115" spans="1:16" ht="63.75" customHeight="1">
      <c r="A115" s="255"/>
      <c r="B115" s="256"/>
      <c r="C115" s="256"/>
      <c r="D115" s="256"/>
      <c r="E115" s="257"/>
      <c r="F115" s="101" t="s">
        <v>201</v>
      </c>
      <c r="G115" s="141">
        <f>G111</f>
        <v>18614.7</v>
      </c>
      <c r="H115" s="141">
        <f t="shared" si="5"/>
        <v>3900</v>
      </c>
      <c r="I115" s="141">
        <f t="shared" si="5"/>
        <v>14714.7</v>
      </c>
      <c r="J115" s="141">
        <f t="shared" si="5"/>
        <v>0</v>
      </c>
      <c r="K115" s="79"/>
      <c r="M115" s="39"/>
      <c r="N115" s="39"/>
      <c r="O115" s="39"/>
      <c r="P115" s="39"/>
    </row>
    <row r="116" spans="1:16" ht="69" customHeight="1">
      <c r="A116" s="329" t="s">
        <v>265</v>
      </c>
      <c r="B116" s="330"/>
      <c r="C116" s="330"/>
      <c r="D116" s="330"/>
      <c r="E116" s="330"/>
      <c r="F116" s="330"/>
      <c r="G116" s="330"/>
      <c r="H116" s="330"/>
      <c r="I116" s="330"/>
      <c r="J116" s="330"/>
      <c r="K116" s="331"/>
      <c r="L116" s="70"/>
      <c r="M116" s="70"/>
      <c r="N116" s="70"/>
      <c r="O116" s="39"/>
      <c r="P116" s="39"/>
    </row>
    <row r="117" spans="1:16" ht="177.75" customHeight="1">
      <c r="A117" s="148" t="s">
        <v>125</v>
      </c>
      <c r="B117" s="161" t="s">
        <v>250</v>
      </c>
      <c r="C117" s="149" t="s">
        <v>219</v>
      </c>
      <c r="D117" s="150" t="s">
        <v>193</v>
      </c>
      <c r="E117" s="95" t="s">
        <v>41</v>
      </c>
      <c r="F117" s="101" t="s">
        <v>203</v>
      </c>
      <c r="G117" s="141">
        <f>H117+I117+J117</f>
        <v>9592.65358</v>
      </c>
      <c r="H117" s="141">
        <v>9592.65358</v>
      </c>
      <c r="I117" s="141">
        <v>0</v>
      </c>
      <c r="J117" s="141">
        <v>0</v>
      </c>
      <c r="K117" s="79"/>
      <c r="M117" s="39"/>
      <c r="N117" s="39"/>
      <c r="O117" s="39"/>
      <c r="P117" s="39"/>
    </row>
    <row r="118" spans="1:16" ht="27.75" customHeight="1">
      <c r="A118" s="273" t="s">
        <v>45</v>
      </c>
      <c r="B118" s="273"/>
      <c r="C118" s="273"/>
      <c r="D118" s="273"/>
      <c r="E118" s="273"/>
      <c r="F118" s="101"/>
      <c r="G118" s="141">
        <f>G117</f>
        <v>9592.65358</v>
      </c>
      <c r="H118" s="141">
        <f aca="true" t="shared" si="6" ref="H118:J119">H117</f>
        <v>9592.65358</v>
      </c>
      <c r="I118" s="141">
        <f t="shared" si="6"/>
        <v>0</v>
      </c>
      <c r="J118" s="141">
        <f t="shared" si="6"/>
        <v>0</v>
      </c>
      <c r="K118" s="79"/>
      <c r="M118" s="39"/>
      <c r="N118" s="39"/>
      <c r="O118" s="39"/>
      <c r="P118" s="39"/>
    </row>
    <row r="119" spans="1:16" ht="42" customHeight="1">
      <c r="A119" s="151" t="s">
        <v>46</v>
      </c>
      <c r="B119" s="152"/>
      <c r="C119" s="152"/>
      <c r="D119" s="152"/>
      <c r="E119" s="153"/>
      <c r="F119" s="101" t="s">
        <v>203</v>
      </c>
      <c r="G119" s="141">
        <f>G118</f>
        <v>9592.65358</v>
      </c>
      <c r="H119" s="141">
        <f t="shared" si="6"/>
        <v>9592.65358</v>
      </c>
      <c r="I119" s="141">
        <f t="shared" si="6"/>
        <v>0</v>
      </c>
      <c r="J119" s="141">
        <f t="shared" si="6"/>
        <v>0</v>
      </c>
      <c r="K119" s="79"/>
      <c r="M119" s="39"/>
      <c r="N119" s="39"/>
      <c r="O119" s="39"/>
      <c r="P119" s="39"/>
    </row>
    <row r="120" spans="1:16" ht="62.25" customHeight="1">
      <c r="A120" s="326" t="s">
        <v>266</v>
      </c>
      <c r="B120" s="327"/>
      <c r="C120" s="327"/>
      <c r="D120" s="327"/>
      <c r="E120" s="327"/>
      <c r="F120" s="327"/>
      <c r="G120" s="327"/>
      <c r="H120" s="327"/>
      <c r="I120" s="327"/>
      <c r="J120" s="327"/>
      <c r="K120" s="328"/>
      <c r="L120" s="70"/>
      <c r="M120" s="70"/>
      <c r="N120" s="70"/>
      <c r="O120" s="64"/>
      <c r="P120" s="39"/>
    </row>
    <row r="121" spans="1:16" ht="152.25" customHeight="1">
      <c r="A121" s="154" t="s">
        <v>125</v>
      </c>
      <c r="B121" s="101" t="s">
        <v>204</v>
      </c>
      <c r="C121" s="155"/>
      <c r="D121" s="156" t="s">
        <v>193</v>
      </c>
      <c r="E121" s="95" t="s">
        <v>205</v>
      </c>
      <c r="F121" s="204" t="s">
        <v>309</v>
      </c>
      <c r="G121" s="141">
        <f>H121+I121+J121</f>
        <v>14316.7</v>
      </c>
      <c r="H121" s="141">
        <v>7316.7</v>
      </c>
      <c r="I121" s="141">
        <v>7000</v>
      </c>
      <c r="J121" s="141">
        <v>0</v>
      </c>
      <c r="K121" s="79"/>
      <c r="M121" s="39"/>
      <c r="N121" s="39"/>
      <c r="O121" s="39"/>
      <c r="P121" s="39"/>
    </row>
    <row r="122" spans="1:16" ht="29.25" customHeight="1">
      <c r="A122" s="273" t="s">
        <v>45</v>
      </c>
      <c r="B122" s="273"/>
      <c r="C122" s="273"/>
      <c r="D122" s="273"/>
      <c r="E122" s="273"/>
      <c r="F122" s="101"/>
      <c r="G122" s="141">
        <f>G121</f>
        <v>14316.7</v>
      </c>
      <c r="H122" s="141">
        <f>H121</f>
        <v>7316.7</v>
      </c>
      <c r="I122" s="141">
        <f>I121</f>
        <v>7000</v>
      </c>
      <c r="J122" s="141">
        <f>J121</f>
        <v>0</v>
      </c>
      <c r="K122" s="157"/>
      <c r="M122" s="39"/>
      <c r="N122" s="39"/>
      <c r="O122" s="39"/>
      <c r="P122" s="39"/>
    </row>
    <row r="123" spans="1:16" ht="101.25" customHeight="1">
      <c r="A123" s="151" t="s">
        <v>46</v>
      </c>
      <c r="B123" s="152"/>
      <c r="C123" s="152"/>
      <c r="D123" s="152"/>
      <c r="E123" s="153"/>
      <c r="F123" s="204" t="s">
        <v>309</v>
      </c>
      <c r="G123" s="141">
        <f>G121</f>
        <v>14316.7</v>
      </c>
      <c r="H123" s="141">
        <f>H121</f>
        <v>7316.7</v>
      </c>
      <c r="I123" s="141">
        <f>I121</f>
        <v>7000</v>
      </c>
      <c r="J123" s="141">
        <f>J121</f>
        <v>0</v>
      </c>
      <c r="K123" s="79"/>
      <c r="M123" s="39"/>
      <c r="N123" s="39"/>
      <c r="O123" s="39"/>
      <c r="P123" s="39"/>
    </row>
    <row r="124" spans="1:16" ht="40.5" customHeight="1">
      <c r="A124" s="326" t="s">
        <v>267</v>
      </c>
      <c r="B124" s="327"/>
      <c r="C124" s="327"/>
      <c r="D124" s="327"/>
      <c r="E124" s="327"/>
      <c r="F124" s="327"/>
      <c r="G124" s="327"/>
      <c r="H124" s="327"/>
      <c r="I124" s="327"/>
      <c r="J124" s="327"/>
      <c r="K124" s="328"/>
      <c r="M124" s="39"/>
      <c r="N124" s="39"/>
      <c r="O124" s="39"/>
      <c r="P124" s="39"/>
    </row>
    <row r="125" spans="1:16" ht="166.5" customHeight="1">
      <c r="A125" s="164" t="s">
        <v>125</v>
      </c>
      <c r="B125" s="179" t="s">
        <v>268</v>
      </c>
      <c r="C125" s="164"/>
      <c r="D125" s="156" t="s">
        <v>193</v>
      </c>
      <c r="E125" s="204" t="s">
        <v>311</v>
      </c>
      <c r="F125" s="179" t="s">
        <v>277</v>
      </c>
      <c r="G125" s="141">
        <f>H125+I125+J125</f>
        <v>509751.9</v>
      </c>
      <c r="H125" s="141">
        <f>67000+63096.6</f>
        <v>130096.6</v>
      </c>
      <c r="I125" s="141">
        <v>379655.3</v>
      </c>
      <c r="J125" s="141">
        <v>0</v>
      </c>
      <c r="K125" s="189" t="s">
        <v>269</v>
      </c>
      <c r="M125" s="39"/>
      <c r="N125" s="39"/>
      <c r="O125" s="39"/>
      <c r="P125" s="39"/>
    </row>
    <row r="126" spans="1:16" ht="33.75" customHeight="1">
      <c r="A126" s="273" t="s">
        <v>45</v>
      </c>
      <c r="B126" s="273"/>
      <c r="C126" s="273"/>
      <c r="D126" s="273"/>
      <c r="E126" s="273"/>
      <c r="F126" s="168"/>
      <c r="G126" s="141">
        <f>G125</f>
        <v>509751.9</v>
      </c>
      <c r="H126" s="141">
        <f>H125</f>
        <v>130096.6</v>
      </c>
      <c r="I126" s="141">
        <f>I125</f>
        <v>379655.3</v>
      </c>
      <c r="J126" s="141">
        <f>J125</f>
        <v>0</v>
      </c>
      <c r="K126" s="170"/>
      <c r="M126" s="39"/>
      <c r="N126" s="39"/>
      <c r="O126" s="39"/>
      <c r="P126" s="39"/>
    </row>
    <row r="127" spans="1:16" ht="43.5" customHeight="1">
      <c r="A127" s="165" t="s">
        <v>46</v>
      </c>
      <c r="B127" s="166"/>
      <c r="C127" s="166"/>
      <c r="D127" s="166"/>
      <c r="E127" s="167"/>
      <c r="F127" s="179" t="s">
        <v>277</v>
      </c>
      <c r="G127" s="141">
        <f>G125</f>
        <v>509751.9</v>
      </c>
      <c r="H127" s="141">
        <f>H125</f>
        <v>130096.6</v>
      </c>
      <c r="I127" s="141">
        <f>I125</f>
        <v>379655.3</v>
      </c>
      <c r="J127" s="141">
        <f>J125</f>
        <v>0</v>
      </c>
      <c r="K127" s="170"/>
      <c r="M127" s="39"/>
      <c r="N127" s="39"/>
      <c r="O127" s="39"/>
      <c r="P127" s="39"/>
    </row>
    <row r="128" spans="1:16" ht="83.25" customHeight="1">
      <c r="A128" s="325" t="s">
        <v>279</v>
      </c>
      <c r="B128" s="325"/>
      <c r="C128" s="325"/>
      <c r="D128" s="325"/>
      <c r="E128" s="325"/>
      <c r="F128" s="216"/>
      <c r="G128" s="217">
        <f>G18+G40+G59+G77+G86+G91+G99+G105-(G27+G50+G68+G95+G96)</f>
        <v>660131.75</v>
      </c>
      <c r="H128" s="217">
        <f>H18+H40+H59+H77+H86+H91+H99+H105-(H27+H50+H68+H95+H96)</f>
        <v>374723.3099999999</v>
      </c>
      <c r="I128" s="217">
        <f>I18+I40+I59+I77+I86+I91+I99+I105-(I27+I50+I68+I95+I96)</f>
        <v>217212.64999999997</v>
      </c>
      <c r="J128" s="217">
        <f>J18+J40+J59+J77+J86+J91+J99+J105-(J27+J50+J68+J95+J96)</f>
        <v>68195.79</v>
      </c>
      <c r="K128" s="218"/>
      <c r="L128" s="41"/>
      <c r="M128" s="41"/>
      <c r="N128" s="41"/>
      <c r="O128" s="41"/>
      <c r="P128" s="39"/>
    </row>
    <row r="129" spans="1:16" ht="88.5" customHeight="1">
      <c r="A129" s="250" t="s">
        <v>46</v>
      </c>
      <c r="B129" s="250"/>
      <c r="C129" s="250"/>
      <c r="D129" s="250"/>
      <c r="E129" s="251"/>
      <c r="F129" s="204" t="s">
        <v>308</v>
      </c>
      <c r="G129" s="141">
        <f>H129+I129+J129</f>
        <v>294514.83999999997</v>
      </c>
      <c r="H129" s="141">
        <f>H19+H41+H60+H78+H87+H92+H100-(H27+H50+H68+H95+H96)</f>
        <v>130688.10000000002</v>
      </c>
      <c r="I129" s="141">
        <f>I19+I41+I60+I78+I87+I92+I100-(I27+I50+I68+I95+I96)</f>
        <v>105630.94999999998</v>
      </c>
      <c r="J129" s="141">
        <f>J19+J41+J60+J78+J87+J92+J100-(J27+J50+J68+J95+J96)</f>
        <v>58195.79</v>
      </c>
      <c r="K129" s="79"/>
      <c r="L129" s="39"/>
      <c r="M129" s="39"/>
      <c r="N129" s="39"/>
      <c r="O129" s="39"/>
      <c r="P129" s="39"/>
    </row>
    <row r="130" spans="1:16" ht="82.5" customHeight="1">
      <c r="A130" s="253"/>
      <c r="B130" s="253"/>
      <c r="C130" s="253"/>
      <c r="D130" s="253"/>
      <c r="E130" s="254"/>
      <c r="F130" s="204" t="s">
        <v>309</v>
      </c>
      <c r="G130" s="141">
        <f aca="true" t="shared" si="7" ref="G130:G135">H130+I130+J130</f>
        <v>81692.44</v>
      </c>
      <c r="H130" s="141">
        <f>H20+H42+H61+H79+H101+H106-0.03</f>
        <v>25491.870000000003</v>
      </c>
      <c r="I130" s="141">
        <f>I20+I42+I61+I79+I101+I106-0.03</f>
        <v>46200.57</v>
      </c>
      <c r="J130" s="141">
        <f>J20+J42+J61+J79+J101+J106</f>
        <v>10000</v>
      </c>
      <c r="K130" s="79"/>
      <c r="M130" s="39"/>
      <c r="N130" s="39"/>
      <c r="O130" s="39"/>
      <c r="P130" s="39"/>
    </row>
    <row r="131" spans="1:16" ht="64.5" customHeight="1">
      <c r="A131" s="253"/>
      <c r="B131" s="253"/>
      <c r="C131" s="253"/>
      <c r="D131" s="253"/>
      <c r="E131" s="254"/>
      <c r="F131" s="191" t="s">
        <v>50</v>
      </c>
      <c r="G131" s="141">
        <f t="shared" si="7"/>
        <v>247547.69999999998</v>
      </c>
      <c r="H131" s="141">
        <f>H43+H62+H80</f>
        <v>194724.9</v>
      </c>
      <c r="I131" s="141">
        <f>I43+I62+I80</f>
        <v>52822.799999999996</v>
      </c>
      <c r="J131" s="141">
        <f>J43+J62+J80</f>
        <v>0</v>
      </c>
      <c r="K131" s="79"/>
      <c r="M131" s="39"/>
      <c r="N131" s="39"/>
      <c r="O131" s="39"/>
      <c r="P131" s="39"/>
    </row>
    <row r="132" spans="1:16" ht="122.25" customHeight="1">
      <c r="A132" s="253"/>
      <c r="B132" s="253"/>
      <c r="C132" s="253"/>
      <c r="D132" s="253"/>
      <c r="E132" s="254"/>
      <c r="F132" s="191" t="str">
        <f>F25</f>
        <v>Субвенція з місцевого бюджету на здійснення переданих видатків у сфері охорони здоров'я за рахунок коштів медичної субвенції</v>
      </c>
      <c r="G132" s="141">
        <f t="shared" si="7"/>
        <v>31451.6</v>
      </c>
      <c r="H132" s="141">
        <f>H44+H88+H63+H81</f>
        <v>18893.3</v>
      </c>
      <c r="I132" s="141">
        <f>I44+I88+I63+I81</f>
        <v>12558.3</v>
      </c>
      <c r="J132" s="141">
        <f>J44+J88+J63+J81</f>
        <v>0</v>
      </c>
      <c r="K132" s="79"/>
      <c r="M132" s="39"/>
      <c r="N132" s="39"/>
      <c r="O132" s="39"/>
      <c r="P132" s="39"/>
    </row>
    <row r="133" spans="1:16" ht="166.5" customHeight="1">
      <c r="A133" s="253"/>
      <c r="B133" s="253"/>
      <c r="C133" s="253"/>
      <c r="D133" s="253"/>
      <c r="E133" s="254"/>
      <c r="F133" s="101" t="str">
        <f>F45</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v>
      </c>
      <c r="G133" s="141">
        <f t="shared" si="7"/>
        <v>725.81</v>
      </c>
      <c r="H133" s="141">
        <f>H45</f>
        <v>725.81</v>
      </c>
      <c r="I133" s="141">
        <f>I45</f>
        <v>0</v>
      </c>
      <c r="J133" s="141">
        <f>J45</f>
        <v>0</v>
      </c>
      <c r="K133" s="79"/>
      <c r="M133" s="39"/>
      <c r="N133" s="39"/>
      <c r="O133" s="39"/>
      <c r="P133" s="39"/>
    </row>
    <row r="134" spans="1:16" ht="63.75" customHeight="1">
      <c r="A134" s="253"/>
      <c r="B134" s="253"/>
      <c r="C134" s="253"/>
      <c r="D134" s="253"/>
      <c r="E134" s="254"/>
      <c r="F134" s="179" t="str">
        <f>F21</f>
        <v>Інша субвенція (на виконання повноважень депутатів обласної ради), загальний фонд</v>
      </c>
      <c r="G134" s="141">
        <f t="shared" si="7"/>
        <v>60.1</v>
      </c>
      <c r="H134" s="141">
        <f>H21+H46</f>
        <v>60.1</v>
      </c>
      <c r="I134" s="141">
        <f>I21+I46</f>
        <v>0</v>
      </c>
      <c r="J134" s="141">
        <f>J21+J46</f>
        <v>0</v>
      </c>
      <c r="K134" s="181"/>
      <c r="M134" s="39"/>
      <c r="N134" s="39"/>
      <c r="O134" s="39"/>
      <c r="P134" s="39"/>
    </row>
    <row r="135" spans="1:16" ht="125.25" customHeight="1">
      <c r="A135" s="256"/>
      <c r="B135" s="256"/>
      <c r="C135" s="256"/>
      <c r="D135" s="256"/>
      <c r="E135" s="257"/>
      <c r="F135" s="191" t="str">
        <f>F104</f>
        <v>Субвенція з державного бюджету місцевим бюджетам на здійснення заходів щодо соціально-економічного розвитку окремих територій</v>
      </c>
      <c r="G135" s="141">
        <f t="shared" si="7"/>
        <v>4139.2</v>
      </c>
      <c r="H135" s="141">
        <f>H104</f>
        <v>4139.2</v>
      </c>
      <c r="I135" s="141">
        <f>I104</f>
        <v>0</v>
      </c>
      <c r="J135" s="141">
        <f>J104</f>
        <v>0</v>
      </c>
      <c r="K135" s="193"/>
      <c r="M135" s="39"/>
      <c r="N135" s="39"/>
      <c r="O135" s="39"/>
      <c r="P135" s="39"/>
    </row>
    <row r="136" spans="1:16" ht="48" customHeight="1">
      <c r="A136" s="269" t="s">
        <v>278</v>
      </c>
      <c r="B136" s="269"/>
      <c r="C136" s="269"/>
      <c r="D136" s="269"/>
      <c r="E136" s="270"/>
      <c r="F136" s="179"/>
      <c r="G136" s="141">
        <f>G112+G118+G122+G126+(G27+G50+G68+G95+G96)</f>
        <v>585561.1535799999</v>
      </c>
      <c r="H136" s="141">
        <f>H112+H118+H122+H125+(H27+H50+H68+H95+H96)</f>
        <v>159584.55358</v>
      </c>
      <c r="I136" s="141">
        <f>I112+I118+I122+I125+(I27+I50+I68+I95+I96)</f>
        <v>413358.1</v>
      </c>
      <c r="J136" s="141">
        <f>J112+J118+J122+J125+(J27+J50+J68+J95+J96)</f>
        <v>12618.5</v>
      </c>
      <c r="K136" s="181"/>
      <c r="L136" s="39"/>
      <c r="M136" s="39"/>
      <c r="N136" s="39"/>
      <c r="O136" s="39"/>
      <c r="P136" s="39"/>
    </row>
    <row r="137" spans="1:16" ht="36" customHeight="1">
      <c r="A137" s="280" t="s">
        <v>276</v>
      </c>
      <c r="B137" s="280"/>
      <c r="C137" s="280"/>
      <c r="D137" s="280"/>
      <c r="E137" s="280"/>
      <c r="F137" s="179"/>
      <c r="G137" s="141">
        <f>G136+G128</f>
        <v>1245692.90358</v>
      </c>
      <c r="H137" s="141">
        <f>H136+H128</f>
        <v>534307.8635799999</v>
      </c>
      <c r="I137" s="141">
        <f>I136+I128</f>
        <v>630570.75</v>
      </c>
      <c r="J137" s="141">
        <f>J136+J128</f>
        <v>80814.29</v>
      </c>
      <c r="K137" s="181"/>
      <c r="M137" s="39"/>
      <c r="N137" s="39"/>
      <c r="O137" s="39"/>
      <c r="P137" s="39"/>
    </row>
    <row r="138" spans="1:16" ht="21.75" customHeight="1">
      <c r="A138" s="163"/>
      <c r="B138" s="163"/>
      <c r="C138" s="163"/>
      <c r="D138" s="163"/>
      <c r="E138" s="163"/>
      <c r="F138" s="173"/>
      <c r="G138" s="174"/>
      <c r="H138" s="174"/>
      <c r="I138" s="173"/>
      <c r="J138" s="173"/>
      <c r="K138" s="175"/>
      <c r="M138" s="39"/>
      <c r="N138" s="39"/>
      <c r="O138" s="39"/>
      <c r="P138" s="39"/>
    </row>
    <row r="139" spans="1:16" ht="21.75" customHeight="1">
      <c r="A139" s="56"/>
      <c r="B139" s="56"/>
      <c r="C139" s="56"/>
      <c r="D139" s="56"/>
      <c r="E139" s="56"/>
      <c r="F139" s="42"/>
      <c r="G139" s="43"/>
      <c r="H139" s="43"/>
      <c r="I139" s="43"/>
      <c r="J139" s="43"/>
      <c r="K139" s="44"/>
      <c r="M139" s="39"/>
      <c r="N139" s="39"/>
      <c r="O139" s="39"/>
      <c r="P139" s="39"/>
    </row>
    <row r="140" spans="1:16" ht="21.75" customHeight="1">
      <c r="A140" s="45"/>
      <c r="C140" s="46"/>
      <c r="D140" s="47"/>
      <c r="E140" s="48"/>
      <c r="F140" s="49"/>
      <c r="G140" s="49"/>
      <c r="H140" s="49"/>
      <c r="I140" s="49"/>
      <c r="J140" s="49"/>
      <c r="K140" s="44"/>
      <c r="M140" s="39"/>
      <c r="N140" s="39"/>
      <c r="O140" s="39"/>
      <c r="P140" s="39"/>
    </row>
    <row r="141" spans="1:16" ht="21.75" customHeight="1">
      <c r="A141" s="40" t="s">
        <v>271</v>
      </c>
      <c r="B141" s="40"/>
      <c r="C141" s="190"/>
      <c r="D141" s="50"/>
      <c r="E141" s="40"/>
      <c r="F141" s="51"/>
      <c r="G141" s="51"/>
      <c r="H141" s="51"/>
      <c r="I141" s="52" t="s">
        <v>272</v>
      </c>
      <c r="J141" s="51"/>
      <c r="M141" s="39"/>
      <c r="N141" s="39"/>
      <c r="O141" s="39"/>
      <c r="P141" s="39"/>
    </row>
    <row r="142" spans="1:15" s="40" customFormat="1" ht="21.75" customHeight="1">
      <c r="A142" s="194" t="s">
        <v>280</v>
      </c>
      <c r="C142" s="54"/>
      <c r="D142" s="50"/>
      <c r="F142" s="51"/>
      <c r="G142" s="51"/>
      <c r="H142" s="51"/>
      <c r="I142" s="51"/>
      <c r="J142" s="51"/>
      <c r="K142" s="53"/>
      <c r="O142" s="41"/>
    </row>
    <row r="143" spans="1:11" s="40" customFormat="1" ht="21.75" customHeight="1">
      <c r="A143" s="40" t="s">
        <v>296</v>
      </c>
      <c r="D143" s="50"/>
      <c r="F143" s="51"/>
      <c r="G143" s="51"/>
      <c r="H143" s="51"/>
      <c r="I143" s="51"/>
      <c r="J143" s="51"/>
      <c r="K143" s="53"/>
    </row>
    <row r="144" ht="15.75" customHeight="1"/>
    <row r="147" ht="18.75">
      <c r="O147" s="39"/>
    </row>
    <row r="149" ht="18.75">
      <c r="B149" s="55"/>
    </row>
    <row r="155" spans="1:11" ht="18.75">
      <c r="A155" s="55"/>
      <c r="C155" s="55"/>
      <c r="D155" s="55"/>
      <c r="E155" s="55"/>
      <c r="F155" s="55"/>
      <c r="G155" s="55"/>
      <c r="H155" s="55"/>
      <c r="I155" s="55"/>
      <c r="J155" s="55"/>
      <c r="K155" s="55"/>
    </row>
  </sheetData>
  <sheetProtection/>
  <mergeCells count="144">
    <mergeCell ref="A18:E18"/>
    <mergeCell ref="A47:K47"/>
    <mergeCell ref="K51:K52"/>
    <mergeCell ref="A40:E40"/>
    <mergeCell ref="A109:A111"/>
    <mergeCell ref="B109:B111"/>
    <mergeCell ref="C109:C111"/>
    <mergeCell ref="A102:K102"/>
    <mergeCell ref="A103:A104"/>
    <mergeCell ref="B103:B104"/>
    <mergeCell ref="K15:K16"/>
    <mergeCell ref="A23:A25"/>
    <mergeCell ref="K23:K25"/>
    <mergeCell ref="C48:C49"/>
    <mergeCell ref="E48:E49"/>
    <mergeCell ref="K48:K49"/>
    <mergeCell ref="K36:K38"/>
    <mergeCell ref="B36:B38"/>
    <mergeCell ref="B23:B25"/>
    <mergeCell ref="E28:E31"/>
    <mergeCell ref="A128:E128"/>
    <mergeCell ref="A124:K124"/>
    <mergeCell ref="A126:E126"/>
    <mergeCell ref="A106:E107"/>
    <mergeCell ref="A108:K108"/>
    <mergeCell ref="A122:E122"/>
    <mergeCell ref="A116:K116"/>
    <mergeCell ref="A118:E118"/>
    <mergeCell ref="A120:K120"/>
    <mergeCell ref="A112:E112"/>
    <mergeCell ref="D103:D104"/>
    <mergeCell ref="E103:E104"/>
    <mergeCell ref="C103:C104"/>
    <mergeCell ref="K103:K104"/>
    <mergeCell ref="A100:E101"/>
    <mergeCell ref="A82:K82"/>
    <mergeCell ref="A86:E86"/>
    <mergeCell ref="A91:E91"/>
    <mergeCell ref="K83:K84"/>
    <mergeCell ref="K71:K73"/>
    <mergeCell ref="B69:B70"/>
    <mergeCell ref="C69:C70"/>
    <mergeCell ref="A69:A70"/>
    <mergeCell ref="B71:B73"/>
    <mergeCell ref="C71:C73"/>
    <mergeCell ref="E71:E73"/>
    <mergeCell ref="E69:E70"/>
    <mergeCell ref="K7:K9"/>
    <mergeCell ref="G7:J7"/>
    <mergeCell ref="D7:D9"/>
    <mergeCell ref="A22:K22"/>
    <mergeCell ref="A32:A35"/>
    <mergeCell ref="C23:C25"/>
    <mergeCell ref="E7:E9"/>
    <mergeCell ref="F7:F9"/>
    <mergeCell ref="B15:B16"/>
    <mergeCell ref="A15:A16"/>
    <mergeCell ref="G8:G9"/>
    <mergeCell ref="H8:J8"/>
    <mergeCell ref="E36:E38"/>
    <mergeCell ref="E15:E16"/>
    <mergeCell ref="D15:D16"/>
    <mergeCell ref="C15:C16"/>
    <mergeCell ref="D23:D25"/>
    <mergeCell ref="E23:E25"/>
    <mergeCell ref="C36:C38"/>
    <mergeCell ref="D36:D38"/>
    <mergeCell ref="D32:D35"/>
    <mergeCell ref="A51:A52"/>
    <mergeCell ref="B51:B52"/>
    <mergeCell ref="K74:K75"/>
    <mergeCell ref="B65:B67"/>
    <mergeCell ref="A65:A67"/>
    <mergeCell ref="E65:E67"/>
    <mergeCell ref="D65:D67"/>
    <mergeCell ref="C65:C67"/>
    <mergeCell ref="K65:K67"/>
    <mergeCell ref="A5:K5"/>
    <mergeCell ref="A11:K11"/>
    <mergeCell ref="B7:B9"/>
    <mergeCell ref="A7:A9"/>
    <mergeCell ref="C7:C9"/>
    <mergeCell ref="M32:M33"/>
    <mergeCell ref="B32:B35"/>
    <mergeCell ref="C32:C35"/>
    <mergeCell ref="E32:E35"/>
    <mergeCell ref="K32:K35"/>
    <mergeCell ref="A36:A38"/>
    <mergeCell ref="B56:B57"/>
    <mergeCell ref="A71:A73"/>
    <mergeCell ref="B74:B75"/>
    <mergeCell ref="C74:C75"/>
    <mergeCell ref="A105:E105"/>
    <mergeCell ref="E51:E52"/>
    <mergeCell ref="D51:D52"/>
    <mergeCell ref="A93:K93"/>
    <mergeCell ref="A99:E99"/>
    <mergeCell ref="A78:E78"/>
    <mergeCell ref="C53:C55"/>
    <mergeCell ref="E53:E55"/>
    <mergeCell ref="A53:A55"/>
    <mergeCell ref="C51:C52"/>
    <mergeCell ref="A41:E46"/>
    <mergeCell ref="A74:A75"/>
    <mergeCell ref="A92:E92"/>
    <mergeCell ref="K53:K55"/>
    <mergeCell ref="K56:K57"/>
    <mergeCell ref="K69:K70"/>
    <mergeCell ref="D56:D57"/>
    <mergeCell ref="D53:D55"/>
    <mergeCell ref="A87:E88"/>
    <mergeCell ref="A80:E80"/>
    <mergeCell ref="D69:D70"/>
    <mergeCell ref="E74:E75"/>
    <mergeCell ref="A79:E79"/>
    <mergeCell ref="B28:B31"/>
    <mergeCell ref="A137:E137"/>
    <mergeCell ref="A48:A49"/>
    <mergeCell ref="A60:E63"/>
    <mergeCell ref="B53:B55"/>
    <mergeCell ref="C56:C57"/>
    <mergeCell ref="D71:D73"/>
    <mergeCell ref="D109:D111"/>
    <mergeCell ref="E109:E111"/>
    <mergeCell ref="C28:C31"/>
    <mergeCell ref="A129:E135"/>
    <mergeCell ref="A136:E136"/>
    <mergeCell ref="E56:E57"/>
    <mergeCell ref="D74:D75"/>
    <mergeCell ref="A77:E77"/>
    <mergeCell ref="A56:A57"/>
    <mergeCell ref="A64:K64"/>
    <mergeCell ref="A89:K89"/>
    <mergeCell ref="A59:E59"/>
    <mergeCell ref="K3:N3"/>
    <mergeCell ref="A28:A31"/>
    <mergeCell ref="K28:K31"/>
    <mergeCell ref="A113:E115"/>
    <mergeCell ref="A19:E21"/>
    <mergeCell ref="A83:A84"/>
    <mergeCell ref="B83:B84"/>
    <mergeCell ref="C83:C84"/>
    <mergeCell ref="D83:D84"/>
    <mergeCell ref="D28:D31"/>
  </mergeCells>
  <printOptions/>
  <pageMargins left="0.7086614173228347" right="0.7086614173228347" top="1.141732283464567" bottom="0.5118110236220472" header="0.31496062992125984" footer="0.31496062992125984"/>
  <pageSetup fitToHeight="14" horizontalDpi="600" verticalDpi="600" orientation="landscape" paperSize="9" scale="39" r:id="rId3"/>
  <rowBreaks count="11" manualBreakCount="11">
    <brk id="17" max="10" man="1"/>
    <brk id="27" max="10" man="1"/>
    <brk id="38" max="10" man="1"/>
    <brk id="46" max="10" man="1"/>
    <brk id="67" max="10" man="1"/>
    <brk id="76" max="10" man="1"/>
    <brk id="88" max="10" man="1"/>
    <brk id="96" max="10" man="1"/>
    <brk id="104" max="10" man="1"/>
    <brk id="115" max="10" man="1"/>
    <brk id="127" max="10" man="1"/>
  </rowBreaks>
  <legacyDrawing r:id="rId2"/>
</worksheet>
</file>

<file path=xl/worksheets/sheet3.xml><?xml version="1.0" encoding="utf-8"?>
<worksheet xmlns="http://schemas.openxmlformats.org/spreadsheetml/2006/main" xmlns:r="http://schemas.openxmlformats.org/officeDocument/2006/relationships">
  <sheetPr>
    <tabColor rgb="FF92D050"/>
  </sheetPr>
  <dimension ref="A1:P271"/>
  <sheetViews>
    <sheetView tabSelected="1" view="pageBreakPreview" zoomScale="64" zoomScaleNormal="64" zoomScaleSheetLayoutView="64" zoomScalePageLayoutView="0" workbookViewId="0" topLeftCell="A1">
      <pane ySplit="10" topLeftCell="A104" activePane="bottomLeft" state="frozen"/>
      <selection pane="topLeft" activeCell="A1" sqref="A1"/>
      <selection pane="bottomLeft" activeCell="I9" sqref="I9:I10"/>
    </sheetView>
  </sheetViews>
  <sheetFormatPr defaultColWidth="9.140625" defaultRowHeight="12.75"/>
  <cols>
    <col min="1" max="1" width="58.28125" style="40" customWidth="1"/>
    <col min="2" max="2" width="23.7109375" style="40" customWidth="1"/>
    <col min="3" max="3" width="21.00390625" style="40" customWidth="1"/>
    <col min="4" max="4" width="22.00390625" style="40" customWidth="1"/>
    <col min="5" max="5" width="21.140625" style="40" customWidth="1"/>
    <col min="6" max="7" width="21.421875" style="40" customWidth="1"/>
    <col min="8" max="8" width="20.421875" style="40" customWidth="1"/>
    <col min="9" max="9" width="23.8515625" style="40" customWidth="1"/>
    <col min="10" max="10" width="21.140625" style="40" customWidth="1"/>
    <col min="11" max="11" width="20.00390625" style="40" customWidth="1"/>
    <col min="12" max="12" width="21.28125" style="40" customWidth="1"/>
    <col min="13" max="13" width="17.421875" style="40" bestFit="1" customWidth="1"/>
    <col min="14" max="16384" width="9.140625" style="40" customWidth="1"/>
  </cols>
  <sheetData>
    <row r="1" spans="8:10" ht="20.25" hidden="1">
      <c r="H1" s="354" t="s">
        <v>9</v>
      </c>
      <c r="I1" s="354"/>
      <c r="J1" s="354"/>
    </row>
    <row r="2" spans="1:11" ht="99.75" customHeight="1">
      <c r="A2" s="71"/>
      <c r="H2" s="355" t="s">
        <v>282</v>
      </c>
      <c r="I2" s="355"/>
      <c r="J2" s="355"/>
      <c r="K2" s="355"/>
    </row>
    <row r="3" spans="1:11" ht="24.75" customHeight="1">
      <c r="A3" s="72"/>
      <c r="H3" s="244" t="s">
        <v>319</v>
      </c>
      <c r="I3" s="244"/>
      <c r="J3" s="244"/>
      <c r="K3" s="244"/>
    </row>
    <row r="4" spans="8:10" ht="20.25" hidden="1">
      <c r="H4" s="96"/>
      <c r="I4" s="96"/>
      <c r="J4" s="96"/>
    </row>
    <row r="5" spans="1:11" ht="20.25">
      <c r="A5" s="356" t="s">
        <v>136</v>
      </c>
      <c r="B5" s="356"/>
      <c r="C5" s="356"/>
      <c r="D5" s="356"/>
      <c r="E5" s="356"/>
      <c r="F5" s="356"/>
      <c r="G5" s="356"/>
      <c r="H5" s="356"/>
      <c r="I5" s="356"/>
      <c r="J5" s="356"/>
      <c r="K5" s="356"/>
    </row>
    <row r="6" spans="1:11" ht="20.25">
      <c r="A6" s="52"/>
      <c r="K6" s="40" t="s">
        <v>67</v>
      </c>
    </row>
    <row r="7" spans="1:11" ht="20.25">
      <c r="A7" s="347" t="s">
        <v>68</v>
      </c>
      <c r="B7" s="346" t="s">
        <v>69</v>
      </c>
      <c r="C7" s="347" t="s">
        <v>241</v>
      </c>
      <c r="D7" s="347"/>
      <c r="E7" s="347"/>
      <c r="F7" s="347" t="s">
        <v>300</v>
      </c>
      <c r="G7" s="347"/>
      <c r="H7" s="347"/>
      <c r="I7" s="347" t="s">
        <v>70</v>
      </c>
      <c r="J7" s="347"/>
      <c r="K7" s="347"/>
    </row>
    <row r="8" spans="1:11" ht="20.25">
      <c r="A8" s="347"/>
      <c r="B8" s="346"/>
      <c r="C8" s="347"/>
      <c r="D8" s="347"/>
      <c r="E8" s="347"/>
      <c r="F8" s="347"/>
      <c r="G8" s="347"/>
      <c r="H8" s="347"/>
      <c r="I8" s="347"/>
      <c r="J8" s="347"/>
      <c r="K8" s="347"/>
    </row>
    <row r="9" spans="1:11" ht="20.25">
      <c r="A9" s="347"/>
      <c r="B9" s="346"/>
      <c r="C9" s="352" t="s">
        <v>0</v>
      </c>
      <c r="D9" s="352" t="s">
        <v>71</v>
      </c>
      <c r="E9" s="352"/>
      <c r="F9" s="352" t="s">
        <v>0</v>
      </c>
      <c r="G9" s="352" t="s">
        <v>71</v>
      </c>
      <c r="H9" s="352"/>
      <c r="I9" s="352" t="s">
        <v>0</v>
      </c>
      <c r="J9" s="352" t="s">
        <v>71</v>
      </c>
      <c r="K9" s="352"/>
    </row>
    <row r="10" spans="1:11" ht="40.5">
      <c r="A10" s="347"/>
      <c r="B10" s="346"/>
      <c r="C10" s="352"/>
      <c r="D10" s="97" t="s">
        <v>72</v>
      </c>
      <c r="E10" s="97" t="s">
        <v>73</v>
      </c>
      <c r="F10" s="352"/>
      <c r="G10" s="97" t="s">
        <v>72</v>
      </c>
      <c r="H10" s="97" t="s">
        <v>73</v>
      </c>
      <c r="I10" s="352"/>
      <c r="J10" s="97" t="s">
        <v>72</v>
      </c>
      <c r="K10" s="97" t="s">
        <v>73</v>
      </c>
    </row>
    <row r="11" spans="1:11" ht="20.25">
      <c r="A11" s="73">
        <v>1</v>
      </c>
      <c r="B11" s="98">
        <v>2</v>
      </c>
      <c r="C11" s="97">
        <v>3</v>
      </c>
      <c r="D11" s="97">
        <v>4</v>
      </c>
      <c r="E11" s="97">
        <v>5</v>
      </c>
      <c r="F11" s="97">
        <v>6</v>
      </c>
      <c r="G11" s="97">
        <v>7</v>
      </c>
      <c r="H11" s="97">
        <v>8</v>
      </c>
      <c r="I11" s="97">
        <v>9</v>
      </c>
      <c r="J11" s="97">
        <v>10</v>
      </c>
      <c r="K11" s="97">
        <v>11</v>
      </c>
    </row>
    <row r="12" spans="1:12" ht="63.75" customHeight="1">
      <c r="A12" s="74" t="s">
        <v>281</v>
      </c>
      <c r="B12" s="99">
        <f>C12+F12+I12</f>
        <v>660131750</v>
      </c>
      <c r="C12" s="100">
        <f>C16+C62+C98+C135+C165+C190+C211+C232-(C65+C100+C137+C213+C214)</f>
        <v>374723310</v>
      </c>
      <c r="D12" s="100">
        <f>D16+D62+D98+D135+D165+D190+D211+D232-(D65+D100+D137+D213+D214)</f>
        <v>345092210</v>
      </c>
      <c r="E12" s="100">
        <f aca="true" t="shared" si="0" ref="E12:K12">E16+E62+E98+E135+E165+E190+E211+E232-(E65+E100+E137+E213+E214)</f>
        <v>29631100</v>
      </c>
      <c r="F12" s="100">
        <f t="shared" si="0"/>
        <v>217212650</v>
      </c>
      <c r="G12" s="100">
        <f t="shared" si="0"/>
        <v>171012050</v>
      </c>
      <c r="H12" s="100">
        <f t="shared" si="0"/>
        <v>46200600</v>
      </c>
      <c r="I12" s="100">
        <f t="shared" si="0"/>
        <v>68195790</v>
      </c>
      <c r="J12" s="100">
        <f t="shared" si="0"/>
        <v>58195790</v>
      </c>
      <c r="K12" s="100">
        <f t="shared" si="0"/>
        <v>10000000</v>
      </c>
      <c r="L12" s="40">
        <f>B12-'Додаток 2'!G128*1000</f>
        <v>0</v>
      </c>
    </row>
    <row r="13" spans="1:11" ht="39" customHeight="1">
      <c r="A13" s="282" t="s">
        <v>81</v>
      </c>
      <c r="B13" s="282"/>
      <c r="C13" s="282"/>
      <c r="D13" s="282"/>
      <c r="E13" s="282"/>
      <c r="F13" s="282"/>
      <c r="G13" s="282"/>
      <c r="H13" s="282"/>
      <c r="I13" s="282"/>
      <c r="J13" s="282"/>
      <c r="K13" s="282"/>
    </row>
    <row r="14" spans="1:11" ht="28.5" customHeight="1">
      <c r="A14" s="343" t="str">
        <f>'Додаток 2'!A11:K11</f>
        <v>Підпрограма 1. СПРИЯННЯ ПОКРАЩЕННЮ НАДАННЯ ПЕРВИННОЇ МЕДИКО-САНІТАРНОЇ ДОПОМОГИ НАСЕЛЕННЮ М. СУМИ</v>
      </c>
      <c r="B14" s="343"/>
      <c r="C14" s="343"/>
      <c r="D14" s="343"/>
      <c r="E14" s="343"/>
      <c r="F14" s="343"/>
      <c r="G14" s="343"/>
      <c r="H14" s="343"/>
      <c r="I14" s="343"/>
      <c r="J14" s="343"/>
      <c r="K14" s="343"/>
    </row>
    <row r="15" spans="1:11" ht="26.25" customHeight="1">
      <c r="A15" s="75" t="s">
        <v>82</v>
      </c>
      <c r="B15" s="283" t="s">
        <v>168</v>
      </c>
      <c r="C15" s="283"/>
      <c r="D15" s="283"/>
      <c r="E15" s="283"/>
      <c r="F15" s="283"/>
      <c r="G15" s="283"/>
      <c r="H15" s="283"/>
      <c r="I15" s="283"/>
      <c r="J15" s="283"/>
      <c r="K15" s="283"/>
    </row>
    <row r="16" spans="1:12" ht="26.25" customHeight="1">
      <c r="A16" s="76" t="s">
        <v>74</v>
      </c>
      <c r="B16" s="103">
        <f>C16+F16+I16</f>
        <v>48378200</v>
      </c>
      <c r="C16" s="104">
        <f>D16+E16</f>
        <v>18332600</v>
      </c>
      <c r="D16" s="104">
        <f>D19+D40</f>
        <v>15311800</v>
      </c>
      <c r="E16" s="104">
        <f>E19+E40</f>
        <v>3020800</v>
      </c>
      <c r="F16" s="104">
        <f>G16+H16</f>
        <v>15472600</v>
      </c>
      <c r="G16" s="104">
        <f>G19+G40</f>
        <v>15472600</v>
      </c>
      <c r="H16" s="104">
        <f>H19+H40</f>
        <v>0</v>
      </c>
      <c r="I16" s="104">
        <f>J16+K16</f>
        <v>14573000</v>
      </c>
      <c r="J16" s="104">
        <f>J19+J40</f>
        <v>14573000</v>
      </c>
      <c r="K16" s="104">
        <f>K19+K40</f>
        <v>0</v>
      </c>
      <c r="L16" s="105">
        <f>B16-'Додаток 2'!G18*1000</f>
        <v>0</v>
      </c>
    </row>
    <row r="17" spans="1:11" ht="26.25" customHeight="1">
      <c r="A17" s="77" t="s">
        <v>225</v>
      </c>
      <c r="B17" s="338"/>
      <c r="C17" s="339"/>
      <c r="D17" s="339"/>
      <c r="E17" s="339"/>
      <c r="F17" s="339"/>
      <c r="G17" s="339"/>
      <c r="H17" s="339"/>
      <c r="I17" s="339"/>
      <c r="J17" s="339"/>
      <c r="K17" s="340"/>
    </row>
    <row r="18" spans="1:11" ht="33" customHeight="1">
      <c r="A18" s="125" t="s">
        <v>83</v>
      </c>
      <c r="B18" s="341" t="s">
        <v>134</v>
      </c>
      <c r="C18" s="341"/>
      <c r="D18" s="341"/>
      <c r="E18" s="341"/>
      <c r="F18" s="341"/>
      <c r="G18" s="341"/>
      <c r="H18" s="341"/>
      <c r="I18" s="341"/>
      <c r="J18" s="341"/>
      <c r="K18" s="341"/>
    </row>
    <row r="19" spans="1:12" ht="22.5" customHeight="1">
      <c r="A19" s="77" t="s">
        <v>226</v>
      </c>
      <c r="B19" s="99">
        <f>C19+F19+I19</f>
        <v>7035100</v>
      </c>
      <c r="C19" s="106">
        <f>D19+E19</f>
        <v>5362600</v>
      </c>
      <c r="D19" s="106">
        <f>SUM(D20:D23)</f>
        <v>2341800</v>
      </c>
      <c r="E19" s="106">
        <f>SUM(E20:E23)</f>
        <v>3020800</v>
      </c>
      <c r="F19" s="106">
        <f>G19+H19</f>
        <v>1672500</v>
      </c>
      <c r="G19" s="106">
        <f>SUM(G20:G23)</f>
        <v>1672500</v>
      </c>
      <c r="H19" s="106">
        <f>SUM(H20:H23)</f>
        <v>0</v>
      </c>
      <c r="I19" s="106">
        <f>J19+K19</f>
        <v>0</v>
      </c>
      <c r="J19" s="106">
        <f>SUM(J20:J23)</f>
        <v>0</v>
      </c>
      <c r="K19" s="106">
        <f>SUM(K20:K23)</f>
        <v>0</v>
      </c>
      <c r="L19" s="105">
        <f>('Додаток 2'!G14+'Додаток 2'!G15+'Додаток 2'!G17+'Додаток 2'!G16)*1000-B19</f>
        <v>0</v>
      </c>
    </row>
    <row r="20" spans="1:11" ht="48.75" customHeight="1">
      <c r="A20" s="86" t="str">
        <f>'Додаток 2'!B14</f>
        <v>Видатки на оплату вартості комунальних послуг та енергоносіїв</v>
      </c>
      <c r="B20" s="107"/>
      <c r="C20" s="108">
        <f>E20+D20</f>
        <v>2200000</v>
      </c>
      <c r="D20" s="108">
        <f>'Додаток 2'!H14*1000</f>
        <v>2200000</v>
      </c>
      <c r="E20" s="108"/>
      <c r="F20" s="108">
        <f>G20+H20</f>
        <v>1672500</v>
      </c>
      <c r="G20" s="108">
        <f>'Додаток 2'!I14*1000</f>
        <v>1672500</v>
      </c>
      <c r="H20" s="108"/>
      <c r="I20" s="108">
        <f>J20+K20</f>
        <v>0</v>
      </c>
      <c r="J20" s="108">
        <f>'Додаток 2'!J14*1000</f>
        <v>0</v>
      </c>
      <c r="K20" s="108"/>
    </row>
    <row r="21" spans="1:11" ht="60" customHeight="1">
      <c r="A21" s="86" t="s">
        <v>48</v>
      </c>
      <c r="B21" s="107"/>
      <c r="C21" s="108">
        <f>E21+D21</f>
        <v>141800</v>
      </c>
      <c r="D21" s="108">
        <f>'Додаток 2'!H15*1000+'Додаток 2'!H16*1000</f>
        <v>141800</v>
      </c>
      <c r="E21" s="108"/>
      <c r="F21" s="108"/>
      <c r="G21" s="108"/>
      <c r="H21" s="108"/>
      <c r="I21" s="108"/>
      <c r="J21" s="108"/>
      <c r="K21" s="108"/>
    </row>
    <row r="22" spans="1:11" ht="46.5" customHeight="1">
      <c r="A22" s="86" t="s">
        <v>84</v>
      </c>
      <c r="B22" s="107"/>
      <c r="C22" s="108">
        <f>E22+D22</f>
        <v>1020800</v>
      </c>
      <c r="D22" s="108"/>
      <c r="E22" s="108">
        <f>1000000+20800</f>
        <v>1020800</v>
      </c>
      <c r="F22" s="108"/>
      <c r="G22" s="108"/>
      <c r="H22" s="108"/>
      <c r="I22" s="108"/>
      <c r="J22" s="108"/>
      <c r="K22" s="108"/>
    </row>
    <row r="23" spans="1:11" ht="49.5" customHeight="1">
      <c r="A23" s="86" t="s">
        <v>85</v>
      </c>
      <c r="B23" s="107"/>
      <c r="C23" s="108">
        <f>E23+D23</f>
        <v>2000000</v>
      </c>
      <c r="D23" s="108"/>
      <c r="E23" s="108">
        <f>2000000</f>
        <v>2000000</v>
      </c>
      <c r="F23" s="108"/>
      <c r="G23" s="108"/>
      <c r="H23" s="108"/>
      <c r="I23" s="108"/>
      <c r="J23" s="108"/>
      <c r="K23" s="108"/>
    </row>
    <row r="24" spans="1:11" ht="27" customHeight="1">
      <c r="A24" s="78" t="s">
        <v>75</v>
      </c>
      <c r="B24" s="107"/>
      <c r="C24" s="107"/>
      <c r="D24" s="107"/>
      <c r="E24" s="107"/>
      <c r="F24" s="107"/>
      <c r="G24" s="107"/>
      <c r="H24" s="107"/>
      <c r="I24" s="107"/>
      <c r="J24" s="107"/>
      <c r="K24" s="107"/>
    </row>
    <row r="25" spans="1:11" ht="26.25" customHeight="1">
      <c r="A25" s="101" t="s">
        <v>86</v>
      </c>
      <c r="B25" s="109"/>
      <c r="C25" s="110"/>
      <c r="D25" s="110"/>
      <c r="E25" s="110"/>
      <c r="F25" s="110"/>
      <c r="G25" s="110"/>
      <c r="H25" s="110"/>
      <c r="I25" s="110"/>
      <c r="J25" s="110"/>
      <c r="K25" s="111"/>
    </row>
    <row r="26" spans="1:11" ht="20.25">
      <c r="A26" s="79" t="s">
        <v>87</v>
      </c>
      <c r="B26" s="109"/>
      <c r="C26" s="112">
        <v>2</v>
      </c>
      <c r="D26" s="112"/>
      <c r="E26" s="112"/>
      <c r="F26" s="112">
        <f>C26</f>
        <v>2</v>
      </c>
      <c r="G26" s="112"/>
      <c r="H26" s="112"/>
      <c r="I26" s="112"/>
      <c r="J26" s="110"/>
      <c r="K26" s="111"/>
    </row>
    <row r="27" spans="1:11" ht="21" customHeight="1">
      <c r="A27" s="101" t="s">
        <v>76</v>
      </c>
      <c r="B27" s="109"/>
      <c r="C27" s="112"/>
      <c r="D27" s="112"/>
      <c r="E27" s="112"/>
      <c r="F27" s="112"/>
      <c r="G27" s="112"/>
      <c r="H27" s="112"/>
      <c r="I27" s="112"/>
      <c r="J27" s="112"/>
      <c r="K27" s="111"/>
    </row>
    <row r="28" spans="1:11" ht="20.25" customHeight="1">
      <c r="A28" s="102" t="s">
        <v>89</v>
      </c>
      <c r="B28" s="109"/>
      <c r="C28" s="112">
        <f>4</f>
        <v>4</v>
      </c>
      <c r="D28" s="112"/>
      <c r="E28" s="110"/>
      <c r="F28" s="112"/>
      <c r="G28" s="112"/>
      <c r="H28" s="110"/>
      <c r="I28" s="112"/>
      <c r="J28" s="112"/>
      <c r="K28" s="111"/>
    </row>
    <row r="29" spans="1:11" ht="42" customHeight="1">
      <c r="A29" s="80" t="s">
        <v>171</v>
      </c>
      <c r="B29" s="109"/>
      <c r="C29" s="112">
        <v>69</v>
      </c>
      <c r="D29" s="112"/>
      <c r="E29" s="110"/>
      <c r="F29" s="112"/>
      <c r="G29" s="112"/>
      <c r="H29" s="110"/>
      <c r="I29" s="112"/>
      <c r="J29" s="112"/>
      <c r="K29" s="111"/>
    </row>
    <row r="30" spans="1:11" ht="29.25" customHeight="1">
      <c r="A30" s="102" t="s">
        <v>77</v>
      </c>
      <c r="B30" s="109"/>
      <c r="C30" s="112">
        <v>2</v>
      </c>
      <c r="D30" s="112"/>
      <c r="E30" s="110"/>
      <c r="F30" s="112"/>
      <c r="G30" s="112"/>
      <c r="H30" s="110"/>
      <c r="I30" s="112"/>
      <c r="J30" s="112"/>
      <c r="K30" s="111"/>
    </row>
    <row r="31" spans="1:11" ht="28.5" customHeight="1">
      <c r="A31" s="119" t="s">
        <v>229</v>
      </c>
      <c r="B31" s="109"/>
      <c r="C31" s="112">
        <f>6738.31+3997.55</f>
        <v>10735.86</v>
      </c>
      <c r="D31" s="110"/>
      <c r="E31" s="110"/>
      <c r="F31" s="112">
        <f>C31</f>
        <v>10735.86</v>
      </c>
      <c r="G31" s="110"/>
      <c r="H31" s="110"/>
      <c r="I31" s="112"/>
      <c r="J31" s="110"/>
      <c r="K31" s="111"/>
    </row>
    <row r="32" spans="1:11" ht="18" customHeight="1">
      <c r="A32" s="81" t="s">
        <v>78</v>
      </c>
      <c r="B32" s="109"/>
      <c r="C32" s="112"/>
      <c r="D32" s="110"/>
      <c r="E32" s="110"/>
      <c r="F32" s="112">
        <f>C32</f>
        <v>0</v>
      </c>
      <c r="G32" s="110"/>
      <c r="H32" s="110"/>
      <c r="I32" s="112"/>
      <c r="J32" s="110"/>
      <c r="K32" s="111"/>
    </row>
    <row r="33" spans="1:11" ht="39.75" customHeight="1">
      <c r="A33" s="82" t="s">
        <v>169</v>
      </c>
      <c r="B33" s="109"/>
      <c r="C33" s="110">
        <f>(C22/C28)/1000</f>
        <v>255.2</v>
      </c>
      <c r="D33" s="110"/>
      <c r="E33" s="110"/>
      <c r="F33" s="110"/>
      <c r="G33" s="110"/>
      <c r="H33" s="110"/>
      <c r="I33" s="110"/>
      <c r="J33" s="110"/>
      <c r="K33" s="111"/>
    </row>
    <row r="34" spans="1:11" ht="39.75" customHeight="1">
      <c r="A34" s="82" t="s">
        <v>170</v>
      </c>
      <c r="B34" s="109"/>
      <c r="C34" s="110">
        <f>(C23/C30)/1000</f>
        <v>1000</v>
      </c>
      <c r="D34" s="110"/>
      <c r="E34" s="110"/>
      <c r="F34" s="110"/>
      <c r="G34" s="110"/>
      <c r="H34" s="110"/>
      <c r="I34" s="110"/>
      <c r="J34" s="110"/>
      <c r="K34" s="111"/>
    </row>
    <row r="35" spans="1:11" ht="66.75" customHeight="1">
      <c r="A35" s="82" t="s">
        <v>230</v>
      </c>
      <c r="B35" s="109"/>
      <c r="C35" s="110">
        <f>C20/C31</f>
        <v>204.92070500174182</v>
      </c>
      <c r="D35" s="110"/>
      <c r="E35" s="110"/>
      <c r="F35" s="110">
        <f>F20/F31</f>
        <v>155.78630868882416</v>
      </c>
      <c r="G35" s="110"/>
      <c r="H35" s="110"/>
      <c r="I35" s="110"/>
      <c r="J35" s="110"/>
      <c r="K35" s="111"/>
    </row>
    <row r="36" spans="1:11" ht="25.5" customHeight="1">
      <c r="A36" s="83" t="s">
        <v>79</v>
      </c>
      <c r="B36" s="109"/>
      <c r="C36" s="112"/>
      <c r="D36" s="110"/>
      <c r="E36" s="110"/>
      <c r="F36" s="112"/>
      <c r="G36" s="110"/>
      <c r="H36" s="110"/>
      <c r="I36" s="112"/>
      <c r="J36" s="110"/>
      <c r="K36" s="111"/>
    </row>
    <row r="37" spans="1:11" ht="66" customHeight="1">
      <c r="A37" s="84" t="s">
        <v>172</v>
      </c>
      <c r="B37" s="109"/>
      <c r="C37" s="113">
        <f>C28/C29*100</f>
        <v>5.797101449275362</v>
      </c>
      <c r="D37" s="110"/>
      <c r="E37" s="110"/>
      <c r="F37" s="113"/>
      <c r="G37" s="110"/>
      <c r="H37" s="110"/>
      <c r="I37" s="113"/>
      <c r="J37" s="110"/>
      <c r="K37" s="111"/>
    </row>
    <row r="38" spans="1:11" ht="30" customHeight="1" hidden="1">
      <c r="A38" s="85" t="s">
        <v>148</v>
      </c>
      <c r="B38" s="109"/>
      <c r="C38" s="113">
        <v>43.4</v>
      </c>
      <c r="D38" s="113"/>
      <c r="E38" s="113"/>
      <c r="F38" s="113">
        <f>C38-0.1</f>
        <v>43.3</v>
      </c>
      <c r="G38" s="113"/>
      <c r="H38" s="113"/>
      <c r="I38" s="113">
        <f>F38-0.2</f>
        <v>43.099999999999994</v>
      </c>
      <c r="J38" s="110"/>
      <c r="K38" s="111"/>
    </row>
    <row r="39" spans="1:11" ht="34.5" customHeight="1">
      <c r="A39" s="125" t="s">
        <v>228</v>
      </c>
      <c r="B39" s="341" t="s">
        <v>227</v>
      </c>
      <c r="C39" s="341"/>
      <c r="D39" s="341"/>
      <c r="E39" s="341"/>
      <c r="F39" s="341"/>
      <c r="G39" s="341"/>
      <c r="H39" s="341"/>
      <c r="I39" s="341"/>
      <c r="J39" s="341"/>
      <c r="K39" s="341"/>
    </row>
    <row r="40" spans="1:12" ht="26.25" customHeight="1">
      <c r="A40" s="77" t="s">
        <v>226</v>
      </c>
      <c r="B40" s="99">
        <f>C40+F40+I40</f>
        <v>41343100</v>
      </c>
      <c r="C40" s="106">
        <f>D40+E40</f>
        <v>12970000</v>
      </c>
      <c r="D40" s="106">
        <f>D41+D42</f>
        <v>12970000</v>
      </c>
      <c r="E40" s="106">
        <f>E41+E42</f>
        <v>0</v>
      </c>
      <c r="F40" s="106">
        <f>G40+H40</f>
        <v>13800100</v>
      </c>
      <c r="G40" s="106">
        <f>G41+G42</f>
        <v>13800100</v>
      </c>
      <c r="H40" s="106">
        <f>H41+H42</f>
        <v>0</v>
      </c>
      <c r="I40" s="106">
        <f>J40+K40</f>
        <v>14573000</v>
      </c>
      <c r="J40" s="106">
        <f>J41+J42</f>
        <v>14573000</v>
      </c>
      <c r="K40" s="106">
        <f>K41+K42</f>
        <v>0</v>
      </c>
      <c r="L40" s="40">
        <f>('Додаток 2'!G12+'Додаток 2'!G13)*1000-'Додаток 3'!C40-'Додаток 3'!F40-'Додаток 3'!I40</f>
        <v>0</v>
      </c>
    </row>
    <row r="41" spans="1:11" ht="45.75" customHeight="1">
      <c r="A41" s="86" t="str">
        <f>'Додаток 2'!B12</f>
        <v>Забезпечення виконання соціальних гарантій для пільгових категорій населення</v>
      </c>
      <c r="B41" s="107"/>
      <c r="C41" s="108">
        <f>E41+D41</f>
        <v>11170000</v>
      </c>
      <c r="D41" s="108">
        <f>'Додаток 2'!H12*1000</f>
        <v>11170000</v>
      </c>
      <c r="E41" s="108"/>
      <c r="F41" s="108">
        <f>G41+H41</f>
        <v>11884900</v>
      </c>
      <c r="G41" s="108">
        <f>'Додаток 2'!I12*1000</f>
        <v>11884900</v>
      </c>
      <c r="H41" s="108"/>
      <c r="I41" s="108">
        <f>J41+K41</f>
        <v>12550500</v>
      </c>
      <c r="J41" s="108">
        <f>'Додаток 2'!J12*1000</f>
        <v>12550500</v>
      </c>
      <c r="K41" s="108"/>
    </row>
    <row r="42" spans="1:11" ht="42" customHeight="1">
      <c r="A42" s="86" t="str">
        <f>'Додаток 2'!B13</f>
        <v>Придбання медикаментів та перев’язувальних матеріалів</v>
      </c>
      <c r="B42" s="107"/>
      <c r="C42" s="108">
        <f>E42+D42</f>
        <v>1800000</v>
      </c>
      <c r="D42" s="108">
        <f>'Додаток 2'!H13*1000</f>
        <v>1800000</v>
      </c>
      <c r="E42" s="108"/>
      <c r="F42" s="108">
        <f>G42+H42</f>
        <v>1915200</v>
      </c>
      <c r="G42" s="108">
        <f>'Додаток 2'!I13*1000</f>
        <v>1915200</v>
      </c>
      <c r="H42" s="108"/>
      <c r="I42" s="108">
        <f>J42+K42</f>
        <v>2022500</v>
      </c>
      <c r="J42" s="108">
        <f>'Додаток 2'!J13*1000</f>
        <v>2022500</v>
      </c>
      <c r="K42" s="108"/>
    </row>
    <row r="43" spans="1:11" ht="19.5" customHeight="1">
      <c r="A43" s="78" t="s">
        <v>75</v>
      </c>
      <c r="B43" s="107"/>
      <c r="C43" s="108"/>
      <c r="D43" s="108"/>
      <c r="E43" s="108"/>
      <c r="F43" s="108"/>
      <c r="G43" s="108"/>
      <c r="H43" s="108"/>
      <c r="I43" s="108"/>
      <c r="J43" s="108"/>
      <c r="K43" s="108"/>
    </row>
    <row r="44" spans="1:11" ht="19.5" customHeight="1">
      <c r="A44" s="101" t="s">
        <v>86</v>
      </c>
      <c r="B44" s="107"/>
      <c r="C44" s="108"/>
      <c r="D44" s="108"/>
      <c r="E44" s="108"/>
      <c r="F44" s="108"/>
      <c r="G44" s="108"/>
      <c r="H44" s="108"/>
      <c r="I44" s="108"/>
      <c r="J44" s="108"/>
      <c r="K44" s="108"/>
    </row>
    <row r="45" spans="1:11" ht="23.25" customHeight="1">
      <c r="A45" s="79" t="s">
        <v>87</v>
      </c>
      <c r="B45" s="107"/>
      <c r="C45" s="112">
        <v>2</v>
      </c>
      <c r="D45" s="112"/>
      <c r="E45" s="112"/>
      <c r="F45" s="112">
        <f>C45</f>
        <v>2</v>
      </c>
      <c r="G45" s="112"/>
      <c r="H45" s="112"/>
      <c r="I45" s="112">
        <f>F45</f>
        <v>2</v>
      </c>
      <c r="J45" s="108"/>
      <c r="K45" s="108"/>
    </row>
    <row r="46" spans="1:11" ht="27.75" customHeight="1">
      <c r="A46" s="79" t="s">
        <v>88</v>
      </c>
      <c r="B46" s="109"/>
      <c r="C46" s="112">
        <v>617</v>
      </c>
      <c r="D46" s="110"/>
      <c r="E46" s="110"/>
      <c r="F46" s="112">
        <v>591</v>
      </c>
      <c r="G46" s="110"/>
      <c r="H46" s="110"/>
      <c r="I46" s="112">
        <f>F46</f>
        <v>591</v>
      </c>
      <c r="J46" s="110"/>
      <c r="K46" s="111"/>
    </row>
    <row r="47" spans="1:11" ht="48" customHeight="1">
      <c r="A47" s="79" t="s">
        <v>175</v>
      </c>
      <c r="B47" s="109"/>
      <c r="C47" s="112">
        <v>168</v>
      </c>
      <c r="D47" s="110"/>
      <c r="E47" s="110"/>
      <c r="F47" s="112">
        <v>191</v>
      </c>
      <c r="G47" s="110"/>
      <c r="H47" s="110"/>
      <c r="I47" s="112">
        <f>F47</f>
        <v>191</v>
      </c>
      <c r="J47" s="110"/>
      <c r="K47" s="111"/>
    </row>
    <row r="48" spans="1:11" ht="26.25" customHeight="1">
      <c r="A48" s="101" t="s">
        <v>76</v>
      </c>
      <c r="B48" s="107"/>
      <c r="C48" s="108"/>
      <c r="D48" s="108"/>
      <c r="E48" s="108"/>
      <c r="F48" s="108"/>
      <c r="G48" s="108"/>
      <c r="H48" s="108"/>
      <c r="I48" s="108"/>
      <c r="J48" s="108"/>
      <c r="K48" s="108"/>
    </row>
    <row r="49" spans="1:11" ht="28.5" customHeight="1">
      <c r="A49" s="102" t="s">
        <v>178</v>
      </c>
      <c r="B49" s="109"/>
      <c r="C49" s="112">
        <v>130</v>
      </c>
      <c r="D49" s="112"/>
      <c r="E49" s="112"/>
      <c r="F49" s="112">
        <f>C49</f>
        <v>130</v>
      </c>
      <c r="G49" s="112"/>
      <c r="H49" s="112"/>
      <c r="I49" s="112">
        <f>F49</f>
        <v>130</v>
      </c>
      <c r="J49" s="112"/>
      <c r="K49" s="111"/>
    </row>
    <row r="50" spans="1:11" ht="25.5" customHeight="1">
      <c r="A50" s="102" t="s">
        <v>177</v>
      </c>
      <c r="B50" s="109"/>
      <c r="C50" s="112">
        <v>60319</v>
      </c>
      <c r="D50" s="112"/>
      <c r="E50" s="110"/>
      <c r="F50" s="112">
        <f>C50</f>
        <v>60319</v>
      </c>
      <c r="G50" s="112"/>
      <c r="H50" s="110"/>
      <c r="I50" s="112">
        <f>F50</f>
        <v>60319</v>
      </c>
      <c r="J50" s="112"/>
      <c r="K50" s="111"/>
    </row>
    <row r="51" spans="1:11" ht="45" customHeight="1">
      <c r="A51" s="102" t="s">
        <v>173</v>
      </c>
      <c r="B51" s="109"/>
      <c r="C51" s="112">
        <f>517693/1000</f>
        <v>517.693</v>
      </c>
      <c r="D51" s="112"/>
      <c r="E51" s="110"/>
      <c r="F51" s="112">
        <f>506.751</f>
        <v>506.751</v>
      </c>
      <c r="G51" s="112"/>
      <c r="H51" s="110"/>
      <c r="I51" s="112">
        <f>510.539</f>
        <v>510.539</v>
      </c>
      <c r="J51" s="112"/>
      <c r="K51" s="111"/>
    </row>
    <row r="52" spans="1:11" ht="26.25" customHeight="1">
      <c r="A52" s="81" t="s">
        <v>78</v>
      </c>
      <c r="B52" s="107"/>
      <c r="C52" s="108"/>
      <c r="D52" s="108"/>
      <c r="E52" s="108"/>
      <c r="F52" s="108"/>
      <c r="G52" s="108"/>
      <c r="H52" s="108"/>
      <c r="I52" s="108"/>
      <c r="J52" s="108"/>
      <c r="K52" s="108"/>
    </row>
    <row r="53" spans="1:11" ht="41.25" customHeight="1">
      <c r="A53" s="124" t="s">
        <v>174</v>
      </c>
      <c r="B53" s="109"/>
      <c r="C53" s="112">
        <f>C51*1000/C47</f>
        <v>3081.5059523809523</v>
      </c>
      <c r="D53" s="110"/>
      <c r="E53" s="110"/>
      <c r="F53" s="112">
        <f>F51*1000/F47</f>
        <v>2653.1465968586385</v>
      </c>
      <c r="G53" s="110"/>
      <c r="H53" s="110"/>
      <c r="I53" s="112">
        <f>I51*1000/I47</f>
        <v>2672.979057591623</v>
      </c>
      <c r="J53" s="110"/>
      <c r="K53" s="111"/>
    </row>
    <row r="54" spans="1:11" ht="64.5" customHeight="1">
      <c r="A54" s="124" t="s">
        <v>176</v>
      </c>
      <c r="B54" s="109"/>
      <c r="C54" s="112">
        <f>C49*1000/C47</f>
        <v>773.8095238095239</v>
      </c>
      <c r="D54" s="110"/>
      <c r="E54" s="110"/>
      <c r="F54" s="112">
        <f>F49*1000/F47</f>
        <v>680.6282722513089</v>
      </c>
      <c r="G54" s="110"/>
      <c r="H54" s="110"/>
      <c r="I54" s="112">
        <f>I49*1000/I47</f>
        <v>680.6282722513089</v>
      </c>
      <c r="J54" s="110"/>
      <c r="K54" s="111"/>
    </row>
    <row r="55" spans="1:11" ht="41.25" customHeight="1">
      <c r="A55" s="82" t="s">
        <v>90</v>
      </c>
      <c r="B55" s="109"/>
      <c r="C55" s="110">
        <f>C41/C50</f>
        <v>185.18211508811487</v>
      </c>
      <c r="D55" s="110"/>
      <c r="E55" s="110"/>
      <c r="F55" s="110">
        <f>F41/F50</f>
        <v>197.0341020242378</v>
      </c>
      <c r="G55" s="110"/>
      <c r="H55" s="110"/>
      <c r="I55" s="110">
        <f>I41/I50</f>
        <v>208.06876771829772</v>
      </c>
      <c r="J55" s="110"/>
      <c r="K55" s="111"/>
    </row>
    <row r="56" spans="1:11" ht="26.25" customHeight="1">
      <c r="A56" s="83" t="s">
        <v>79</v>
      </c>
      <c r="B56" s="107"/>
      <c r="C56" s="108"/>
      <c r="D56" s="108"/>
      <c r="E56" s="108"/>
      <c r="F56" s="108"/>
      <c r="G56" s="108"/>
      <c r="H56" s="108"/>
      <c r="I56" s="108"/>
      <c r="J56" s="108"/>
      <c r="K56" s="108"/>
    </row>
    <row r="57" spans="1:11" ht="48.75" customHeight="1">
      <c r="A57" s="84" t="s">
        <v>179</v>
      </c>
      <c r="B57" s="109"/>
      <c r="C57" s="112">
        <v>80</v>
      </c>
      <c r="D57" s="110"/>
      <c r="E57" s="110"/>
      <c r="F57" s="112">
        <f>C57</f>
        <v>80</v>
      </c>
      <c r="G57" s="110"/>
      <c r="H57" s="110"/>
      <c r="I57" s="112">
        <f>F57</f>
        <v>80</v>
      </c>
      <c r="J57" s="110"/>
      <c r="K57" s="111"/>
    </row>
    <row r="58" spans="1:11" ht="46.5" customHeight="1">
      <c r="A58" s="82" t="s">
        <v>149</v>
      </c>
      <c r="B58" s="109"/>
      <c r="C58" s="114">
        <v>52668.1</v>
      </c>
      <c r="D58" s="110"/>
      <c r="E58" s="110"/>
      <c r="F58" s="114">
        <f>C58+300</f>
        <v>52968.1</v>
      </c>
      <c r="G58" s="110"/>
      <c r="H58" s="110"/>
      <c r="I58" s="114">
        <f>C58</f>
        <v>52668.1</v>
      </c>
      <c r="J58" s="110"/>
      <c r="K58" s="111"/>
    </row>
    <row r="59" spans="1:11" ht="52.5" customHeight="1">
      <c r="A59" s="348" t="str">
        <f>'Додаток 2'!A22:K22</f>
        <v>Підпрограма 2. РОЗВИТОК МЕРЕЖІ ЗАКЛАДІВ ОХОРОНИ ЗДОРОВ'Я, ЯКІ НАДАЮТЬ ВТОРИННУ (СПЕЦІАЛІЗОВАНУ) МЕДИЧНУ ДОПОМОГУ НАСЕЛЕННЮ </v>
      </c>
      <c r="B59" s="349"/>
      <c r="C59" s="349"/>
      <c r="D59" s="349"/>
      <c r="E59" s="349"/>
      <c r="F59" s="349"/>
      <c r="G59" s="349"/>
      <c r="H59" s="349"/>
      <c r="I59" s="349"/>
      <c r="J59" s="349"/>
      <c r="K59" s="350"/>
    </row>
    <row r="60" spans="1:11" s="115" customFormat="1" ht="30.75" customHeight="1">
      <c r="A60" s="87" t="s">
        <v>82</v>
      </c>
      <c r="B60" s="351" t="s">
        <v>13</v>
      </c>
      <c r="C60" s="351"/>
      <c r="D60" s="351"/>
      <c r="E60" s="351"/>
      <c r="F60" s="351"/>
      <c r="G60" s="351"/>
      <c r="H60" s="351"/>
      <c r="I60" s="351"/>
      <c r="J60" s="351"/>
      <c r="K60" s="351"/>
    </row>
    <row r="61" spans="1:11" ht="28.5" customHeight="1">
      <c r="A61" s="88" t="s">
        <v>91</v>
      </c>
      <c r="B61" s="282" t="s">
        <v>135</v>
      </c>
      <c r="C61" s="282"/>
      <c r="D61" s="282"/>
      <c r="E61" s="282"/>
      <c r="F61" s="282"/>
      <c r="G61" s="282"/>
      <c r="H61" s="282"/>
      <c r="I61" s="282"/>
      <c r="J61" s="282"/>
      <c r="K61" s="282"/>
    </row>
    <row r="62" spans="1:12" ht="33" customHeight="1">
      <c r="A62" s="76" t="s">
        <v>74</v>
      </c>
      <c r="B62" s="103">
        <f>C62+F62+I62</f>
        <v>477787100</v>
      </c>
      <c r="C62" s="104">
        <f>D62+E62</f>
        <v>286328910</v>
      </c>
      <c r="D62" s="104">
        <f>D63+D66+D67+D68+D69+D70+D65</f>
        <v>269821410</v>
      </c>
      <c r="E62" s="104">
        <f>E63+E66+E67+E68+E69+E70+E65</f>
        <v>16507500</v>
      </c>
      <c r="F62" s="104">
        <f aca="true" t="shared" si="1" ref="F62:F70">G62+H62</f>
        <v>152749100</v>
      </c>
      <c r="G62" s="104">
        <f>G63+G66+G67+G68+G69+G70+G65</f>
        <v>125219100</v>
      </c>
      <c r="H62" s="104">
        <f>H63+H66+H67+H68+H69+H70+H65</f>
        <v>27530000</v>
      </c>
      <c r="I62" s="104">
        <f aca="true" t="shared" si="2" ref="I62:I70">J62+K62</f>
        <v>38709090</v>
      </c>
      <c r="J62" s="104">
        <f>J63+J66+J67+J68+J69+J70+J65</f>
        <v>28709090</v>
      </c>
      <c r="K62" s="104">
        <f>K63+K66+K67+K68+K69+K70+K65</f>
        <v>10000000</v>
      </c>
      <c r="L62" s="41">
        <f>B62-'Додаток 2'!G40*1000</f>
        <v>0</v>
      </c>
    </row>
    <row r="63" spans="1:11" ht="69.75" customHeight="1">
      <c r="A63" s="86" t="s">
        <v>93</v>
      </c>
      <c r="B63" s="107"/>
      <c r="C63" s="108">
        <f aca="true" t="shared" si="3" ref="C63:C70">E63+D63</f>
        <v>24761499.999999996</v>
      </c>
      <c r="D63" s="108">
        <f>('Додаток 2'!H23+'Додаток 2'!H25+'Додаток 2'!H26)*1000</f>
        <v>23714399.999999996</v>
      </c>
      <c r="E63" s="108">
        <f>'Додаток 2'!H24*1000</f>
        <v>1047099.9999999999</v>
      </c>
      <c r="F63" s="108">
        <f t="shared" si="1"/>
        <v>16870200</v>
      </c>
      <c r="G63" s="108">
        <f>('Додаток 2'!I23+'Додаток 2'!I25)*1000</f>
        <v>16870200</v>
      </c>
      <c r="H63" s="108">
        <f>'Додаток 2'!I24*1000</f>
        <v>0</v>
      </c>
      <c r="I63" s="108">
        <f t="shared" si="2"/>
        <v>659600</v>
      </c>
      <c r="J63" s="108">
        <f>'Додаток 2'!J23*1000</f>
        <v>659600</v>
      </c>
      <c r="K63" s="108"/>
    </row>
    <row r="64" spans="1:11" ht="51.75" customHeight="1">
      <c r="A64" s="86" t="s">
        <v>94</v>
      </c>
      <c r="B64" s="107"/>
      <c r="C64" s="108">
        <f t="shared" si="3"/>
        <v>12499630</v>
      </c>
      <c r="D64" s="108">
        <f>10489630+1000000+1010000</f>
        <v>12499630</v>
      </c>
      <c r="E64" s="108"/>
      <c r="F64" s="108">
        <f t="shared" si="1"/>
        <v>9450000</v>
      </c>
      <c r="G64" s="108">
        <v>9450000</v>
      </c>
      <c r="H64" s="108"/>
      <c r="I64" s="108"/>
      <c r="J64" s="108"/>
      <c r="K64" s="108"/>
    </row>
    <row r="65" spans="1:11" ht="40.5">
      <c r="A65" s="86" t="s">
        <v>137</v>
      </c>
      <c r="B65" s="107"/>
      <c r="C65" s="108">
        <f t="shared" si="3"/>
        <v>131600</v>
      </c>
      <c r="D65" s="202">
        <f>'Додаток 2'!H27*1000</f>
        <v>131600</v>
      </c>
      <c r="E65" s="108"/>
      <c r="F65" s="108">
        <f t="shared" si="1"/>
        <v>141800</v>
      </c>
      <c r="G65" s="108">
        <f>'Додаток 2'!I27*1000</f>
        <v>141800</v>
      </c>
      <c r="H65" s="108"/>
      <c r="I65" s="108">
        <f t="shared" si="2"/>
        <v>141800</v>
      </c>
      <c r="J65" s="108">
        <f>G65</f>
        <v>141800</v>
      </c>
      <c r="K65" s="108"/>
    </row>
    <row r="66" spans="1:11" ht="71.25" customHeight="1">
      <c r="A66" s="86" t="s">
        <v>48</v>
      </c>
      <c r="B66" s="107"/>
      <c r="C66" s="108">
        <f t="shared" si="3"/>
        <v>16421900</v>
      </c>
      <c r="D66" s="108">
        <f>('Додаток 2'!H28+'Додаток 2'!H30+'Додаток 2'!H29)*1000</f>
        <v>15870100</v>
      </c>
      <c r="E66" s="108">
        <f>'Додаток 2'!H31*1000</f>
        <v>551800</v>
      </c>
      <c r="F66" s="108">
        <f t="shared" si="1"/>
        <v>22161600</v>
      </c>
      <c r="G66" s="108">
        <f>('Додаток 2'!I28+'Додаток 2'!I30)*1000</f>
        <v>22161600</v>
      </c>
      <c r="H66" s="108">
        <f>'Додаток 2'!I31*1000</f>
        <v>0</v>
      </c>
      <c r="I66" s="108">
        <f t="shared" si="2"/>
        <v>9533600</v>
      </c>
      <c r="J66" s="108">
        <f>'Додаток 2'!J28*1000</f>
        <v>9533600</v>
      </c>
      <c r="K66" s="108">
        <f>'Додаток 2'!J31*1000</f>
        <v>0</v>
      </c>
    </row>
    <row r="67" spans="1:11" ht="48" customHeight="1">
      <c r="A67" s="86" t="s">
        <v>49</v>
      </c>
      <c r="B67" s="107"/>
      <c r="C67" s="108">
        <f t="shared" si="3"/>
        <v>210835600</v>
      </c>
      <c r="D67" s="108">
        <f>('Додаток 2'!H32+'Додаток 2'!H33+'Додаток 2'!H34)*1000</f>
        <v>209309500</v>
      </c>
      <c r="E67" s="108">
        <f>'Додаток 2'!H35*1000</f>
        <v>1526100</v>
      </c>
      <c r="F67" s="108">
        <f t="shared" si="1"/>
        <v>62406100</v>
      </c>
      <c r="G67" s="108">
        <f>('Додаток 2'!I32+'Додаток 2'!I33+'Додаток 2'!I34)*1000</f>
        <v>62406100</v>
      </c>
      <c r="H67" s="108">
        <f>'Додаток 2'!I35*1000</f>
        <v>0</v>
      </c>
      <c r="I67" s="108">
        <f t="shared" si="2"/>
        <v>5608790</v>
      </c>
      <c r="J67" s="108">
        <f>('Додаток 2'!J32+'Додаток 2'!J33+'Додаток 2'!J34)*1000</f>
        <v>5608790</v>
      </c>
      <c r="K67" s="108">
        <f>'Додаток 2'!J35*1000</f>
        <v>0</v>
      </c>
    </row>
    <row r="68" spans="1:11" ht="48" customHeight="1">
      <c r="A68" s="86" t="s">
        <v>34</v>
      </c>
      <c r="B68" s="107"/>
      <c r="C68" s="108">
        <f t="shared" si="3"/>
        <v>20909910</v>
      </c>
      <c r="D68" s="108">
        <f>('Додаток 2'!H36+'Додаток 2'!H38)*1000</f>
        <v>20795810</v>
      </c>
      <c r="E68" s="108">
        <f>'Додаток 2'!H37*1000</f>
        <v>114100</v>
      </c>
      <c r="F68" s="108">
        <f t="shared" si="1"/>
        <v>23639400</v>
      </c>
      <c r="G68" s="108">
        <f>'Додаток 2'!I36*1000</f>
        <v>23639400</v>
      </c>
      <c r="H68" s="108">
        <f>'Додаток 2'!I37*1000</f>
        <v>0</v>
      </c>
      <c r="I68" s="108">
        <f t="shared" si="2"/>
        <v>12765300</v>
      </c>
      <c r="J68" s="108">
        <f>'Додаток 2'!J36*1000</f>
        <v>12765300</v>
      </c>
      <c r="K68" s="108">
        <f>'Додаток 2'!J37*1000</f>
        <v>0</v>
      </c>
    </row>
    <row r="69" spans="1:12" ht="48" customHeight="1">
      <c r="A69" s="86" t="s">
        <v>84</v>
      </c>
      <c r="B69" s="107"/>
      <c r="C69" s="108">
        <f t="shared" si="3"/>
        <v>7969143</v>
      </c>
      <c r="D69" s="108"/>
      <c r="E69" s="108">
        <f>'Додаток 2'!H39*1000-E70</f>
        <v>7969143</v>
      </c>
      <c r="F69" s="108">
        <f t="shared" si="1"/>
        <v>5479400</v>
      </c>
      <c r="G69" s="108"/>
      <c r="H69" s="108">
        <f>'Додаток 2'!I39*1000-'Додаток 3'!H70</f>
        <v>5479400</v>
      </c>
      <c r="I69" s="108">
        <f t="shared" si="2"/>
        <v>10000000</v>
      </c>
      <c r="J69" s="108"/>
      <c r="K69" s="108">
        <f>'Додаток 2'!J39*1000</f>
        <v>10000000</v>
      </c>
      <c r="L69" s="41"/>
    </row>
    <row r="70" spans="1:13" ht="49.5" customHeight="1">
      <c r="A70" s="86" t="s">
        <v>85</v>
      </c>
      <c r="B70" s="107"/>
      <c r="C70" s="108">
        <f t="shared" si="3"/>
        <v>5299257</v>
      </c>
      <c r="D70" s="108"/>
      <c r="E70" s="108">
        <v>5299257</v>
      </c>
      <c r="F70" s="108">
        <f t="shared" si="1"/>
        <v>22050600</v>
      </c>
      <c r="G70" s="108"/>
      <c r="H70" s="108">
        <v>22050600</v>
      </c>
      <c r="I70" s="108">
        <f t="shared" si="2"/>
        <v>0</v>
      </c>
      <c r="J70" s="108"/>
      <c r="K70" s="108"/>
      <c r="M70" s="41"/>
    </row>
    <row r="71" spans="1:11" ht="20.25">
      <c r="A71" s="78" t="s">
        <v>75</v>
      </c>
      <c r="B71" s="107"/>
      <c r="C71" s="107"/>
      <c r="D71" s="107"/>
      <c r="E71" s="107"/>
      <c r="F71" s="107"/>
      <c r="G71" s="107"/>
      <c r="H71" s="107"/>
      <c r="I71" s="107"/>
      <c r="J71" s="107"/>
      <c r="K71" s="107"/>
    </row>
    <row r="72" spans="1:11" ht="20.25">
      <c r="A72" s="101" t="s">
        <v>86</v>
      </c>
      <c r="B72" s="109"/>
      <c r="C72" s="110"/>
      <c r="D72" s="110"/>
      <c r="E72" s="110"/>
      <c r="F72" s="110"/>
      <c r="G72" s="110"/>
      <c r="H72" s="110"/>
      <c r="I72" s="110"/>
      <c r="J72" s="110"/>
      <c r="K72" s="111"/>
    </row>
    <row r="73" spans="1:11" ht="40.5">
      <c r="A73" s="80" t="s">
        <v>92</v>
      </c>
      <c r="B73" s="109"/>
      <c r="C73" s="112">
        <v>64</v>
      </c>
      <c r="D73" s="110"/>
      <c r="E73" s="110"/>
      <c r="F73" s="112">
        <f>C73</f>
        <v>64</v>
      </c>
      <c r="G73" s="110"/>
      <c r="H73" s="110"/>
      <c r="I73" s="112">
        <f>F73</f>
        <v>64</v>
      </c>
      <c r="J73" s="110"/>
      <c r="K73" s="111"/>
    </row>
    <row r="74" spans="1:11" ht="20.25">
      <c r="A74" s="80" t="s">
        <v>142</v>
      </c>
      <c r="B74" s="109"/>
      <c r="C74" s="110">
        <f>885</f>
        <v>885</v>
      </c>
      <c r="D74" s="110"/>
      <c r="E74" s="110"/>
      <c r="F74" s="112">
        <f>C74</f>
        <v>885</v>
      </c>
      <c r="G74" s="110"/>
      <c r="H74" s="110"/>
      <c r="I74" s="112">
        <f>F74</f>
        <v>885</v>
      </c>
      <c r="J74" s="110"/>
      <c r="K74" s="111"/>
    </row>
    <row r="75" spans="1:11" ht="20.25">
      <c r="A75" s="79" t="s">
        <v>87</v>
      </c>
      <c r="B75" s="109"/>
      <c r="C75" s="112">
        <v>4</v>
      </c>
      <c r="D75" s="112"/>
      <c r="E75" s="112"/>
      <c r="F75" s="112">
        <f>C75</f>
        <v>4</v>
      </c>
      <c r="G75" s="112"/>
      <c r="H75" s="112"/>
      <c r="I75" s="112">
        <f>F75</f>
        <v>4</v>
      </c>
      <c r="J75" s="110"/>
      <c r="K75" s="111"/>
    </row>
    <row r="76" spans="1:11" ht="20.25">
      <c r="A76" s="79" t="s">
        <v>88</v>
      </c>
      <c r="B76" s="109"/>
      <c r="C76" s="110">
        <v>554.75</v>
      </c>
      <c r="D76" s="110"/>
      <c r="E76" s="110"/>
      <c r="F76" s="110">
        <f>C76</f>
        <v>554.75</v>
      </c>
      <c r="G76" s="110"/>
      <c r="H76" s="110"/>
      <c r="I76" s="110">
        <f>F76</f>
        <v>554.75</v>
      </c>
      <c r="J76" s="110"/>
      <c r="K76" s="111"/>
    </row>
    <row r="77" spans="1:11" ht="20.25">
      <c r="A77" s="101" t="s">
        <v>76</v>
      </c>
      <c r="B77" s="109"/>
      <c r="C77" s="112"/>
      <c r="D77" s="112"/>
      <c r="E77" s="112"/>
      <c r="F77" s="112"/>
      <c r="G77" s="112"/>
      <c r="H77" s="112"/>
      <c r="I77" s="112"/>
      <c r="J77" s="112"/>
      <c r="K77" s="111"/>
    </row>
    <row r="78" spans="1:11" ht="31.5" customHeight="1">
      <c r="A78" s="102" t="s">
        <v>89</v>
      </c>
      <c r="B78" s="109"/>
      <c r="C78" s="116">
        <v>11</v>
      </c>
      <c r="D78" s="112"/>
      <c r="E78" s="110"/>
      <c r="F78" s="112">
        <f>C78</f>
        <v>11</v>
      </c>
      <c r="G78" s="112"/>
      <c r="H78" s="110"/>
      <c r="I78" s="112">
        <f>F78</f>
        <v>11</v>
      </c>
      <c r="J78" s="112"/>
      <c r="K78" s="111"/>
    </row>
    <row r="79" spans="1:11" ht="40.5">
      <c r="A79" s="102" t="s">
        <v>171</v>
      </c>
      <c r="B79" s="109"/>
      <c r="C79" s="116">
        <v>1944</v>
      </c>
      <c r="D79" s="112"/>
      <c r="E79" s="110"/>
      <c r="F79" s="112">
        <f>C79-C78</f>
        <v>1933</v>
      </c>
      <c r="G79" s="112"/>
      <c r="H79" s="110"/>
      <c r="I79" s="112">
        <f>F79-F78</f>
        <v>1922</v>
      </c>
      <c r="J79" s="112"/>
      <c r="K79" s="111"/>
    </row>
    <row r="80" spans="1:11" ht="25.5" customHeight="1">
      <c r="A80" s="102" t="s">
        <v>77</v>
      </c>
      <c r="B80" s="109"/>
      <c r="C80" s="112">
        <v>4</v>
      </c>
      <c r="D80" s="112"/>
      <c r="E80" s="110"/>
      <c r="F80" s="112">
        <f>C80</f>
        <v>4</v>
      </c>
      <c r="G80" s="112"/>
      <c r="H80" s="110"/>
      <c r="I80" s="112">
        <f>F80</f>
        <v>4</v>
      </c>
      <c r="J80" s="112"/>
      <c r="K80" s="111"/>
    </row>
    <row r="81" spans="1:11" ht="30" customHeight="1">
      <c r="A81" s="102" t="s">
        <v>229</v>
      </c>
      <c r="B81" s="109"/>
      <c r="C81" s="112">
        <v>125075.22</v>
      </c>
      <c r="D81" s="110"/>
      <c r="E81" s="110"/>
      <c r="F81" s="112">
        <f>C81</f>
        <v>125075.22</v>
      </c>
      <c r="G81" s="110"/>
      <c r="H81" s="110"/>
      <c r="I81" s="112">
        <f>F81</f>
        <v>125075.22</v>
      </c>
      <c r="J81" s="110"/>
      <c r="K81" s="111"/>
    </row>
    <row r="82" spans="1:11" ht="32.25" customHeight="1">
      <c r="A82" s="81" t="s">
        <v>78</v>
      </c>
      <c r="B82" s="109"/>
      <c r="C82" s="112"/>
      <c r="D82" s="110"/>
      <c r="E82" s="110"/>
      <c r="F82" s="112"/>
      <c r="G82" s="110"/>
      <c r="H82" s="110"/>
      <c r="I82" s="112"/>
      <c r="J82" s="110"/>
      <c r="K82" s="111"/>
    </row>
    <row r="83" spans="1:11" ht="63" customHeight="1">
      <c r="A83" s="80" t="s">
        <v>180</v>
      </c>
      <c r="B83" s="109"/>
      <c r="C83" s="112">
        <f>(C64/C73)/1000</f>
        <v>195.30671875</v>
      </c>
      <c r="D83" s="110"/>
      <c r="E83" s="110"/>
      <c r="F83" s="112">
        <f>(F64/F73)/1000</f>
        <v>147.65625</v>
      </c>
      <c r="G83" s="110"/>
      <c r="H83" s="110"/>
      <c r="I83" s="112">
        <f>(I64/I73)/1000</f>
        <v>0</v>
      </c>
      <c r="J83" s="110"/>
      <c r="K83" s="111"/>
    </row>
    <row r="84" spans="1:11" ht="44.25" customHeight="1">
      <c r="A84" s="82" t="s">
        <v>143</v>
      </c>
      <c r="B84" s="109"/>
      <c r="C84" s="112">
        <f>C65/C74</f>
        <v>148.70056497175142</v>
      </c>
      <c r="D84" s="110"/>
      <c r="E84" s="110"/>
      <c r="F84" s="112">
        <f>F65/F74</f>
        <v>160.22598870056498</v>
      </c>
      <c r="G84" s="110"/>
      <c r="H84" s="110"/>
      <c r="I84" s="112">
        <f>I65/I74</f>
        <v>160.22598870056498</v>
      </c>
      <c r="J84" s="110"/>
      <c r="K84" s="111"/>
    </row>
    <row r="85" spans="1:11" ht="40.5">
      <c r="A85" s="82" t="s">
        <v>145</v>
      </c>
      <c r="B85" s="109"/>
      <c r="C85" s="110">
        <v>16.25</v>
      </c>
      <c r="D85" s="110"/>
      <c r="E85" s="110"/>
      <c r="F85" s="110">
        <f>C85*1.067</f>
        <v>17.338749999999997</v>
      </c>
      <c r="G85" s="110"/>
      <c r="H85" s="110"/>
      <c r="I85" s="110">
        <f>F85*1.055</f>
        <v>18.292381249999995</v>
      </c>
      <c r="J85" s="110"/>
      <c r="K85" s="111"/>
    </row>
    <row r="86" spans="1:11" ht="46.5" customHeight="1">
      <c r="A86" s="82" t="s">
        <v>169</v>
      </c>
      <c r="B86" s="109"/>
      <c r="C86" s="110">
        <f>(C69/C78)/1000</f>
        <v>724.4675454545454</v>
      </c>
      <c r="D86" s="110"/>
      <c r="E86" s="110"/>
      <c r="F86" s="110">
        <f>(F69/F78)/1000</f>
        <v>498.1272727272727</v>
      </c>
      <c r="G86" s="110"/>
      <c r="H86" s="110"/>
      <c r="I86" s="110">
        <f>(I69/I78)/1000</f>
        <v>909.090909090909</v>
      </c>
      <c r="J86" s="110"/>
      <c r="K86" s="111"/>
    </row>
    <row r="87" spans="1:11" ht="40.5">
      <c r="A87" s="82" t="s">
        <v>170</v>
      </c>
      <c r="B87" s="109"/>
      <c r="C87" s="110">
        <f>(C70/C80)/1000</f>
        <v>1324.81425</v>
      </c>
      <c r="D87" s="110"/>
      <c r="E87" s="110"/>
      <c r="F87" s="110">
        <f>(F70/F80)/1000</f>
        <v>5512.65</v>
      </c>
      <c r="G87" s="110"/>
      <c r="H87" s="110"/>
      <c r="I87" s="110">
        <f>(I70/I80)/1000</f>
        <v>0</v>
      </c>
      <c r="J87" s="110"/>
      <c r="K87" s="111"/>
    </row>
    <row r="88" spans="1:11" ht="58.5" customHeight="1">
      <c r="A88" s="82" t="s">
        <v>230</v>
      </c>
      <c r="B88" s="109"/>
      <c r="C88" s="110">
        <f>C68/C81</f>
        <v>167.17867855839071</v>
      </c>
      <c r="D88" s="110"/>
      <c r="E88" s="110"/>
      <c r="F88" s="110">
        <f>F66/F81</f>
        <v>177.1861764464616</v>
      </c>
      <c r="G88" s="110"/>
      <c r="H88" s="110"/>
      <c r="I88" s="110">
        <f>I66/I81</f>
        <v>76.22293208838649</v>
      </c>
      <c r="J88" s="110"/>
      <c r="K88" s="111"/>
    </row>
    <row r="89" spans="1:11" ht="26.25" customHeight="1">
      <c r="A89" s="83" t="s">
        <v>79</v>
      </c>
      <c r="B89" s="109"/>
      <c r="C89" s="112"/>
      <c r="D89" s="110"/>
      <c r="E89" s="110"/>
      <c r="F89" s="112"/>
      <c r="G89" s="110"/>
      <c r="H89" s="110"/>
      <c r="I89" s="112"/>
      <c r="J89" s="110"/>
      <c r="K89" s="111"/>
    </row>
    <row r="90" spans="1:11" ht="42" customHeight="1">
      <c r="A90" s="84" t="s">
        <v>181</v>
      </c>
      <c r="B90" s="109"/>
      <c r="C90" s="112">
        <v>100</v>
      </c>
      <c r="D90" s="110"/>
      <c r="E90" s="110"/>
      <c r="F90" s="112">
        <f>C90</f>
        <v>100</v>
      </c>
      <c r="G90" s="110"/>
      <c r="H90" s="110"/>
      <c r="I90" s="112">
        <f>F90</f>
        <v>100</v>
      </c>
      <c r="J90" s="110"/>
      <c r="K90" s="111"/>
    </row>
    <row r="91" spans="1:11" ht="29.25" customHeight="1">
      <c r="A91" s="82" t="s">
        <v>96</v>
      </c>
      <c r="B91" s="109"/>
      <c r="C91" s="114">
        <v>0.01</v>
      </c>
      <c r="D91" s="110"/>
      <c r="E91" s="110"/>
      <c r="F91" s="110">
        <f>C91</f>
        <v>0.01</v>
      </c>
      <c r="G91" s="110"/>
      <c r="H91" s="110"/>
      <c r="I91" s="110">
        <f>F91</f>
        <v>0.01</v>
      </c>
      <c r="J91" s="110"/>
      <c r="K91" s="111"/>
    </row>
    <row r="92" spans="1:11" ht="72" customHeight="1">
      <c r="A92" s="80" t="s">
        <v>182</v>
      </c>
      <c r="B92" s="109"/>
      <c r="C92" s="112">
        <f>C78/C79*100</f>
        <v>0.565843621399177</v>
      </c>
      <c r="D92" s="110"/>
      <c r="E92" s="110"/>
      <c r="F92" s="112">
        <f>F78/F79*100</f>
        <v>0.5690636316606311</v>
      </c>
      <c r="G92" s="110"/>
      <c r="H92" s="110"/>
      <c r="I92" s="112">
        <f>I78/I79*100</f>
        <v>0.5723204994797086</v>
      </c>
      <c r="J92" s="110"/>
      <c r="K92" s="111"/>
    </row>
    <row r="93" spans="1:11" ht="42" customHeight="1">
      <c r="A93" s="80" t="s">
        <v>183</v>
      </c>
      <c r="B93" s="109"/>
      <c r="C93" s="113">
        <v>61.1</v>
      </c>
      <c r="D93" s="110"/>
      <c r="E93" s="110"/>
      <c r="F93" s="113">
        <f>C93-0.3</f>
        <v>60.800000000000004</v>
      </c>
      <c r="G93" s="110"/>
      <c r="H93" s="110"/>
      <c r="I93" s="113">
        <f>F93-0.2</f>
        <v>60.6</v>
      </c>
      <c r="J93" s="110"/>
      <c r="K93" s="111"/>
    </row>
    <row r="94" spans="1:11" ht="42" customHeight="1">
      <c r="A94" s="80" t="s">
        <v>184</v>
      </c>
      <c r="B94" s="109"/>
      <c r="C94" s="112">
        <v>1</v>
      </c>
      <c r="D94" s="110"/>
      <c r="E94" s="110"/>
      <c r="F94" s="112">
        <f>C94</f>
        <v>1</v>
      </c>
      <c r="G94" s="110"/>
      <c r="H94" s="110"/>
      <c r="I94" s="112">
        <f>F94</f>
        <v>1</v>
      </c>
      <c r="J94" s="110"/>
      <c r="K94" s="111"/>
    </row>
    <row r="95" spans="1:11" ht="30" customHeight="1">
      <c r="A95" s="343" t="str">
        <f>'Додаток 2'!A47:K47</f>
        <v>Підпрограма 3. ОХОРОНА МАТЕРИНСТВА ТА ДИТИНСТВА</v>
      </c>
      <c r="B95" s="343"/>
      <c r="C95" s="343"/>
      <c r="D95" s="343"/>
      <c r="E95" s="343"/>
      <c r="F95" s="343"/>
      <c r="G95" s="343"/>
      <c r="H95" s="343"/>
      <c r="I95" s="343"/>
      <c r="J95" s="343"/>
      <c r="K95" s="343"/>
    </row>
    <row r="96" spans="1:11" ht="33" customHeight="1">
      <c r="A96" s="89" t="s">
        <v>82</v>
      </c>
      <c r="B96" s="344" t="s">
        <v>185</v>
      </c>
      <c r="C96" s="344"/>
      <c r="D96" s="344"/>
      <c r="E96" s="344"/>
      <c r="F96" s="344"/>
      <c r="G96" s="344"/>
      <c r="H96" s="344"/>
      <c r="I96" s="344"/>
      <c r="J96" s="344"/>
      <c r="K96" s="344"/>
    </row>
    <row r="97" spans="1:11" ht="27" customHeight="1">
      <c r="A97" s="88" t="s">
        <v>95</v>
      </c>
      <c r="B97" s="282" t="s">
        <v>127</v>
      </c>
      <c r="C97" s="282"/>
      <c r="D97" s="282"/>
      <c r="E97" s="282"/>
      <c r="F97" s="282"/>
      <c r="G97" s="282"/>
      <c r="H97" s="282"/>
      <c r="I97" s="282"/>
      <c r="J97" s="282"/>
      <c r="K97" s="282"/>
    </row>
    <row r="98" spans="1:12" ht="42.75" customHeight="1">
      <c r="A98" s="76" t="s">
        <v>74</v>
      </c>
      <c r="B98" s="104">
        <f>C98+F98+I98</f>
        <v>71549950</v>
      </c>
      <c r="C98" s="104">
        <f>D98+E98</f>
        <v>38163800</v>
      </c>
      <c r="D98" s="104">
        <f>D99+D101+D102+D103+D104+D105+D100</f>
        <v>37835400</v>
      </c>
      <c r="E98" s="104">
        <f>E99+E101+E102+E103+E104+E105</f>
        <v>328400</v>
      </c>
      <c r="F98" s="104">
        <f aca="true" t="shared" si="4" ref="F98:F105">G98+H98</f>
        <v>30316150</v>
      </c>
      <c r="G98" s="104">
        <f>G99+G101+G102+G103+G104+G105+G100</f>
        <v>15275550</v>
      </c>
      <c r="H98" s="104">
        <f>H99+H101+H102+H103+H104+H105</f>
        <v>15040600</v>
      </c>
      <c r="I98" s="104">
        <f aca="true" t="shared" si="5" ref="I98:I105">J98+K98</f>
        <v>3070000</v>
      </c>
      <c r="J98" s="104">
        <f>J99+J101+J102+J103+J104+J105+J100</f>
        <v>3070000</v>
      </c>
      <c r="K98" s="104">
        <f>K99+K101+K102+K103+K104+K105</f>
        <v>0</v>
      </c>
      <c r="L98" s="40">
        <f>B98-'Додаток 2'!G59*1000</f>
        <v>0</v>
      </c>
    </row>
    <row r="99" spans="1:11" ht="64.5" customHeight="1">
      <c r="A99" s="86" t="s">
        <v>54</v>
      </c>
      <c r="B99" s="107"/>
      <c r="C99" s="108">
        <f aca="true" t="shared" si="6" ref="C99:C105">E99+D99</f>
        <v>2601600</v>
      </c>
      <c r="D99" s="108">
        <f>('Додаток 2'!H48+'Додаток 2'!H49)*1000</f>
        <v>2601600</v>
      </c>
      <c r="E99" s="108"/>
      <c r="F99" s="108">
        <f t="shared" si="4"/>
        <v>737900</v>
      </c>
      <c r="G99" s="108">
        <f>'Додаток 2'!I48*1000</f>
        <v>737900</v>
      </c>
      <c r="H99" s="108"/>
      <c r="I99" s="108">
        <f t="shared" si="5"/>
        <v>0</v>
      </c>
      <c r="J99" s="108">
        <f>'Додаток 2'!J48</f>
        <v>0</v>
      </c>
      <c r="K99" s="108"/>
    </row>
    <row r="100" spans="1:11" ht="38.25" customHeight="1">
      <c r="A100" s="86" t="s">
        <v>144</v>
      </c>
      <c r="B100" s="107"/>
      <c r="C100" s="108">
        <f t="shared" si="6"/>
        <v>11100</v>
      </c>
      <c r="D100" s="202">
        <f>'Додаток 2'!H50*1000</f>
        <v>11100</v>
      </c>
      <c r="E100" s="108"/>
      <c r="F100" s="108">
        <f t="shared" si="4"/>
        <v>9500</v>
      </c>
      <c r="G100" s="108">
        <f>'Додаток 2'!I50*1000</f>
        <v>9500</v>
      </c>
      <c r="H100" s="108"/>
      <c r="I100" s="108">
        <f t="shared" si="5"/>
        <v>9500</v>
      </c>
      <c r="J100" s="108">
        <f>'Додаток 2'!J50*1000</f>
        <v>9500</v>
      </c>
      <c r="K100" s="108"/>
    </row>
    <row r="101" spans="1:11" ht="72" customHeight="1">
      <c r="A101" s="86" t="s">
        <v>48</v>
      </c>
      <c r="B101" s="107"/>
      <c r="C101" s="108">
        <f t="shared" si="6"/>
        <v>2368700</v>
      </c>
      <c r="D101" s="108">
        <f>'Додаток 2'!H51*1000</f>
        <v>2364500</v>
      </c>
      <c r="E101" s="108">
        <f>'Додаток 2'!H52*1000</f>
        <v>4200</v>
      </c>
      <c r="F101" s="108">
        <f t="shared" si="4"/>
        <v>2247350</v>
      </c>
      <c r="G101" s="108">
        <f>'Додаток 2'!I51*1000</f>
        <v>2247350</v>
      </c>
      <c r="H101" s="108">
        <f>'Додаток 2'!I52*1000</f>
        <v>0</v>
      </c>
      <c r="I101" s="108">
        <f t="shared" si="5"/>
        <v>613900</v>
      </c>
      <c r="J101" s="108">
        <f>'Додаток 2'!J51*1000</f>
        <v>613900</v>
      </c>
      <c r="K101" s="108">
        <v>0</v>
      </c>
    </row>
    <row r="102" spans="1:11" ht="39.75" customHeight="1">
      <c r="A102" s="86" t="s">
        <v>49</v>
      </c>
      <c r="B102" s="107"/>
      <c r="C102" s="108">
        <f t="shared" si="6"/>
        <v>29367099.999999996</v>
      </c>
      <c r="D102" s="108">
        <f>('Додаток 2'!H53+'Додаток 2'!H55)*1000</f>
        <v>29359399.999999996</v>
      </c>
      <c r="E102" s="108">
        <f>'Додаток 2'!H54*1000</f>
        <v>7700</v>
      </c>
      <c r="F102" s="108">
        <f t="shared" si="4"/>
        <v>8455000</v>
      </c>
      <c r="G102" s="108">
        <f>('Додаток 2'!I53+'Додаток 2'!I55)*1000</f>
        <v>8455000</v>
      </c>
      <c r="H102" s="108">
        <f>'Додаток 2'!I54</f>
        <v>0</v>
      </c>
      <c r="I102" s="108">
        <f t="shared" si="5"/>
        <v>380700</v>
      </c>
      <c r="J102" s="108">
        <f>'Додаток 2'!J53*1000</f>
        <v>380700</v>
      </c>
      <c r="K102" s="108"/>
    </row>
    <row r="103" spans="1:11" ht="48.75" customHeight="1">
      <c r="A103" s="86" t="s">
        <v>34</v>
      </c>
      <c r="B103" s="107"/>
      <c r="C103" s="108">
        <f t="shared" si="6"/>
        <v>3498800</v>
      </c>
      <c r="D103" s="108">
        <f>'Додаток 2'!H56*1000</f>
        <v>3498800</v>
      </c>
      <c r="E103" s="108">
        <f>'Додаток 2'!H57*1000</f>
        <v>0</v>
      </c>
      <c r="F103" s="108">
        <f t="shared" si="4"/>
        <v>3825800</v>
      </c>
      <c r="G103" s="108">
        <f>'Додаток 2'!I56*1000</f>
        <v>3825800</v>
      </c>
      <c r="H103" s="108"/>
      <c r="I103" s="108">
        <f t="shared" si="5"/>
        <v>2065900</v>
      </c>
      <c r="J103" s="108">
        <f>'Додаток 2'!J56*1000</f>
        <v>2065900</v>
      </c>
      <c r="K103" s="108"/>
    </row>
    <row r="104" spans="1:11" ht="40.5">
      <c r="A104" s="86" t="s">
        <v>84</v>
      </c>
      <c r="B104" s="107"/>
      <c r="C104" s="108">
        <f t="shared" si="6"/>
        <v>252800</v>
      </c>
      <c r="D104" s="108"/>
      <c r="E104" s="108">
        <v>252800</v>
      </c>
      <c r="F104" s="108">
        <f t="shared" si="4"/>
        <v>6800000</v>
      </c>
      <c r="G104" s="108"/>
      <c r="H104" s="108">
        <v>6800000</v>
      </c>
      <c r="I104" s="108">
        <f t="shared" si="5"/>
        <v>0</v>
      </c>
      <c r="J104" s="108"/>
      <c r="K104" s="108"/>
    </row>
    <row r="105" spans="1:11" ht="19.5" customHeight="1">
      <c r="A105" s="86" t="s">
        <v>85</v>
      </c>
      <c r="B105" s="107"/>
      <c r="C105" s="108">
        <f t="shared" si="6"/>
        <v>63700</v>
      </c>
      <c r="D105" s="108"/>
      <c r="E105" s="108">
        <v>63700</v>
      </c>
      <c r="F105" s="108">
        <f t="shared" si="4"/>
        <v>8240600</v>
      </c>
      <c r="G105" s="108"/>
      <c r="H105" s="108">
        <f>'Додаток 2'!I58*1000-'Додаток 3'!H104</f>
        <v>8240600</v>
      </c>
      <c r="I105" s="108">
        <f t="shared" si="5"/>
        <v>0</v>
      </c>
      <c r="J105" s="108"/>
      <c r="K105" s="108"/>
    </row>
    <row r="106" spans="1:11" ht="20.25">
      <c r="A106" s="78" t="s">
        <v>75</v>
      </c>
      <c r="B106" s="107"/>
      <c r="C106" s="107"/>
      <c r="D106" s="107"/>
      <c r="E106" s="107"/>
      <c r="F106" s="107"/>
      <c r="G106" s="107"/>
      <c r="H106" s="107"/>
      <c r="I106" s="107"/>
      <c r="J106" s="107"/>
      <c r="K106" s="107"/>
    </row>
    <row r="107" spans="1:11" ht="20.25">
      <c r="A107" s="101" t="s">
        <v>86</v>
      </c>
      <c r="B107" s="109"/>
      <c r="C107" s="110"/>
      <c r="D107" s="110"/>
      <c r="E107" s="110"/>
      <c r="F107" s="110"/>
      <c r="G107" s="110"/>
      <c r="H107" s="110"/>
      <c r="I107" s="110"/>
      <c r="J107" s="110"/>
      <c r="K107" s="111"/>
    </row>
    <row r="108" spans="1:11" ht="20.25">
      <c r="A108" s="79" t="s">
        <v>87</v>
      </c>
      <c r="B108" s="109"/>
      <c r="C108" s="112">
        <v>1</v>
      </c>
      <c r="D108" s="112"/>
      <c r="E108" s="112"/>
      <c r="F108" s="112">
        <f>C108</f>
        <v>1</v>
      </c>
      <c r="G108" s="112"/>
      <c r="H108" s="112"/>
      <c r="I108" s="112">
        <f>F108</f>
        <v>1</v>
      </c>
      <c r="J108" s="110"/>
      <c r="K108" s="111"/>
    </row>
    <row r="109" spans="1:11" ht="20.25">
      <c r="A109" s="79" t="s">
        <v>88</v>
      </c>
      <c r="B109" s="109"/>
      <c r="C109" s="110">
        <v>86.75</v>
      </c>
      <c r="D109" s="110"/>
      <c r="E109" s="110"/>
      <c r="F109" s="110">
        <f>C109</f>
        <v>86.75</v>
      </c>
      <c r="G109" s="110"/>
      <c r="H109" s="110"/>
      <c r="I109" s="110">
        <f>F109</f>
        <v>86.75</v>
      </c>
      <c r="J109" s="110"/>
      <c r="K109" s="111"/>
    </row>
    <row r="110" spans="1:11" ht="20.25">
      <c r="A110" s="80" t="s">
        <v>142</v>
      </c>
      <c r="B110" s="109"/>
      <c r="C110" s="110">
        <v>30</v>
      </c>
      <c r="D110" s="110"/>
      <c r="E110" s="110"/>
      <c r="F110" s="110">
        <f>C110</f>
        <v>30</v>
      </c>
      <c r="G110" s="110"/>
      <c r="H110" s="110"/>
      <c r="I110" s="110">
        <f>F110</f>
        <v>30</v>
      </c>
      <c r="J110" s="110"/>
      <c r="K110" s="111"/>
    </row>
    <row r="111" spans="1:11" ht="20.25">
      <c r="A111" s="82" t="s">
        <v>97</v>
      </c>
      <c r="B111" s="109"/>
      <c r="C111" s="110">
        <v>165</v>
      </c>
      <c r="D111" s="110"/>
      <c r="E111" s="110"/>
      <c r="F111" s="110">
        <f>C111</f>
        <v>165</v>
      </c>
      <c r="G111" s="110"/>
      <c r="H111" s="110"/>
      <c r="I111" s="110">
        <f>F111</f>
        <v>165</v>
      </c>
      <c r="J111" s="110"/>
      <c r="K111" s="111"/>
    </row>
    <row r="112" spans="1:11" ht="20.25">
      <c r="A112" s="101" t="s">
        <v>76</v>
      </c>
      <c r="B112" s="109"/>
      <c r="C112" s="112"/>
      <c r="D112" s="112"/>
      <c r="E112" s="112"/>
      <c r="F112" s="112"/>
      <c r="G112" s="112"/>
      <c r="H112" s="112"/>
      <c r="I112" s="112"/>
      <c r="J112" s="112"/>
      <c r="K112" s="111"/>
    </row>
    <row r="113" spans="1:11" ht="30.75" customHeight="1">
      <c r="A113" s="102" t="s">
        <v>98</v>
      </c>
      <c r="B113" s="109"/>
      <c r="C113" s="113">
        <v>3300</v>
      </c>
      <c r="D113" s="113"/>
      <c r="E113" s="113"/>
      <c r="F113" s="113">
        <f>C113+50</f>
        <v>3350</v>
      </c>
      <c r="G113" s="113"/>
      <c r="H113" s="113"/>
      <c r="I113" s="113">
        <f>F113+50</f>
        <v>3400</v>
      </c>
      <c r="J113" s="112"/>
      <c r="K113" s="111"/>
    </row>
    <row r="114" spans="1:11" ht="30.75" customHeight="1">
      <c r="A114" s="102" t="s">
        <v>99</v>
      </c>
      <c r="B114" s="109"/>
      <c r="C114" s="113">
        <v>3316</v>
      </c>
      <c r="D114" s="113"/>
      <c r="E114" s="113"/>
      <c r="F114" s="113">
        <f>C114</f>
        <v>3316</v>
      </c>
      <c r="G114" s="113"/>
      <c r="H114" s="113"/>
      <c r="I114" s="113">
        <f>F114</f>
        <v>3316</v>
      </c>
      <c r="J114" s="112"/>
      <c r="K114" s="111"/>
    </row>
    <row r="115" spans="1:11" ht="52.5" customHeight="1">
      <c r="A115" s="102" t="s">
        <v>100</v>
      </c>
      <c r="B115" s="109"/>
      <c r="C115" s="113">
        <v>147714</v>
      </c>
      <c r="D115" s="113"/>
      <c r="E115" s="113"/>
      <c r="F115" s="113">
        <f>C115</f>
        <v>147714</v>
      </c>
      <c r="G115" s="113"/>
      <c r="H115" s="113"/>
      <c r="I115" s="113">
        <f>F115</f>
        <v>147714</v>
      </c>
      <c r="J115" s="112"/>
      <c r="K115" s="111"/>
    </row>
    <row r="116" spans="1:11" ht="42.75" customHeight="1">
      <c r="A116" s="102" t="s">
        <v>89</v>
      </c>
      <c r="B116" s="109"/>
      <c r="C116" s="116">
        <v>6</v>
      </c>
      <c r="D116" s="112"/>
      <c r="E116" s="110"/>
      <c r="F116" s="112">
        <f>C116</f>
        <v>6</v>
      </c>
      <c r="G116" s="112"/>
      <c r="H116" s="110"/>
      <c r="I116" s="112">
        <f>F116</f>
        <v>6</v>
      </c>
      <c r="J116" s="112"/>
      <c r="K116" s="111"/>
    </row>
    <row r="117" spans="1:11" ht="52.5" customHeight="1">
      <c r="A117" s="102" t="s">
        <v>171</v>
      </c>
      <c r="B117" s="109"/>
      <c r="C117" s="116">
        <v>37</v>
      </c>
      <c r="D117" s="112"/>
      <c r="E117" s="110"/>
      <c r="F117" s="112">
        <f>C117-C116</f>
        <v>31</v>
      </c>
      <c r="G117" s="112"/>
      <c r="H117" s="110"/>
      <c r="I117" s="112">
        <f>F117-F116</f>
        <v>25</v>
      </c>
      <c r="J117" s="112"/>
      <c r="K117" s="111"/>
    </row>
    <row r="118" spans="1:11" ht="35.25" customHeight="1">
      <c r="A118" s="102" t="s">
        <v>77</v>
      </c>
      <c r="B118" s="109"/>
      <c r="C118" s="112">
        <v>53</v>
      </c>
      <c r="D118" s="112"/>
      <c r="E118" s="110"/>
      <c r="F118" s="112">
        <f>C118</f>
        <v>53</v>
      </c>
      <c r="G118" s="112"/>
      <c r="H118" s="110"/>
      <c r="I118" s="112">
        <f>F118</f>
        <v>53</v>
      </c>
      <c r="J118" s="112"/>
      <c r="K118" s="111"/>
    </row>
    <row r="119" spans="1:11" ht="39" customHeight="1">
      <c r="A119" s="102" t="s">
        <v>229</v>
      </c>
      <c r="B119" s="109"/>
      <c r="C119" s="112">
        <v>19323.039999999997</v>
      </c>
      <c r="D119" s="110"/>
      <c r="E119" s="110"/>
      <c r="F119" s="112">
        <f>C119</f>
        <v>19323.039999999997</v>
      </c>
      <c r="G119" s="110"/>
      <c r="H119" s="110"/>
      <c r="I119" s="112">
        <f>F119</f>
        <v>19323.039999999997</v>
      </c>
      <c r="J119" s="110"/>
      <c r="K119" s="111"/>
    </row>
    <row r="120" spans="1:11" ht="20.25">
      <c r="A120" s="81" t="s">
        <v>78</v>
      </c>
      <c r="B120" s="109"/>
      <c r="C120" s="112"/>
      <c r="D120" s="110"/>
      <c r="E120" s="110"/>
      <c r="F120" s="112"/>
      <c r="G120" s="110"/>
      <c r="H120" s="110"/>
      <c r="I120" s="112"/>
      <c r="J120" s="110"/>
      <c r="K120" s="111"/>
    </row>
    <row r="121" spans="1:11" ht="49.5" customHeight="1">
      <c r="A121" s="80" t="s">
        <v>101</v>
      </c>
      <c r="B121" s="109"/>
      <c r="C121" s="113">
        <v>5.1</v>
      </c>
      <c r="D121" s="110"/>
      <c r="E121" s="110"/>
      <c r="F121" s="113">
        <f>C121</f>
        <v>5.1</v>
      </c>
      <c r="G121" s="110"/>
      <c r="H121" s="110"/>
      <c r="I121" s="113">
        <f>F121</f>
        <v>5.1</v>
      </c>
      <c r="J121" s="110"/>
      <c r="K121" s="111"/>
    </row>
    <row r="122" spans="1:11" ht="35.25" customHeight="1">
      <c r="A122" s="82" t="s">
        <v>102</v>
      </c>
      <c r="B122" s="109"/>
      <c r="C122" s="113">
        <f>C113/C109</f>
        <v>38.04034582132565</v>
      </c>
      <c r="D122" s="110"/>
      <c r="E122" s="110"/>
      <c r="F122" s="113">
        <f>F113/F109</f>
        <v>38.61671469740634</v>
      </c>
      <c r="G122" s="110"/>
      <c r="H122" s="110"/>
      <c r="I122" s="113">
        <f>I113/I109</f>
        <v>39.19308357348703</v>
      </c>
      <c r="J122" s="110"/>
      <c r="K122" s="111"/>
    </row>
    <row r="123" spans="1:11" ht="40.5">
      <c r="A123" s="82" t="s">
        <v>143</v>
      </c>
      <c r="B123" s="109"/>
      <c r="C123" s="112">
        <f>C100/C110</f>
        <v>370</v>
      </c>
      <c r="D123" s="110"/>
      <c r="E123" s="110"/>
      <c r="F123" s="112">
        <f>F100/F110</f>
        <v>316.6666666666667</v>
      </c>
      <c r="G123" s="110"/>
      <c r="H123" s="110"/>
      <c r="I123" s="112">
        <f>I100/I110</f>
        <v>316.6666666666667</v>
      </c>
      <c r="J123" s="110"/>
      <c r="K123" s="111"/>
    </row>
    <row r="124" spans="1:11" ht="40.5">
      <c r="A124" s="82" t="s">
        <v>104</v>
      </c>
      <c r="B124" s="109"/>
      <c r="C124" s="110">
        <f>C104/C116</f>
        <v>42133.333333333336</v>
      </c>
      <c r="D124" s="110"/>
      <c r="E124" s="110"/>
      <c r="F124" s="110">
        <f>F104/F116</f>
        <v>1133333.3333333333</v>
      </c>
      <c r="G124" s="110"/>
      <c r="H124" s="110"/>
      <c r="I124" s="110">
        <f>I104/I116</f>
        <v>0</v>
      </c>
      <c r="J124" s="110"/>
      <c r="K124" s="111"/>
    </row>
    <row r="125" spans="1:11" ht="40.5">
      <c r="A125" s="82" t="s">
        <v>105</v>
      </c>
      <c r="B125" s="109"/>
      <c r="C125" s="110">
        <f>C105/C118</f>
        <v>1201.8867924528302</v>
      </c>
      <c r="D125" s="110"/>
      <c r="E125" s="110"/>
      <c r="F125" s="110">
        <f>F105/F118</f>
        <v>155483.01886792452</v>
      </c>
      <c r="G125" s="110"/>
      <c r="H125" s="110"/>
      <c r="I125" s="110">
        <f>I105/I118</f>
        <v>0</v>
      </c>
      <c r="J125" s="110"/>
      <c r="K125" s="111"/>
    </row>
    <row r="126" spans="1:11" ht="70.5" customHeight="1">
      <c r="A126" s="82" t="s">
        <v>230</v>
      </c>
      <c r="B126" s="109"/>
      <c r="C126" s="110">
        <f>C103/C119</f>
        <v>181.06881732895033</v>
      </c>
      <c r="D126" s="110"/>
      <c r="E126" s="110"/>
      <c r="F126" s="110">
        <f>F103/F119</f>
        <v>197.9916203661536</v>
      </c>
      <c r="G126" s="110"/>
      <c r="H126" s="110"/>
      <c r="I126" s="110">
        <f>I103/I119</f>
        <v>106.91381894360309</v>
      </c>
      <c r="J126" s="110"/>
      <c r="K126" s="111"/>
    </row>
    <row r="127" spans="1:11" ht="20.25">
      <c r="A127" s="83" t="s">
        <v>79</v>
      </c>
      <c r="B127" s="109"/>
      <c r="C127" s="112"/>
      <c r="D127" s="110"/>
      <c r="E127" s="110"/>
      <c r="F127" s="112"/>
      <c r="G127" s="110"/>
      <c r="H127" s="110"/>
      <c r="I127" s="112"/>
      <c r="J127" s="110"/>
      <c r="K127" s="111"/>
    </row>
    <row r="128" spans="1:11" ht="54" customHeight="1">
      <c r="A128" s="82" t="s">
        <v>146</v>
      </c>
      <c r="B128" s="109"/>
      <c r="C128" s="117">
        <v>0</v>
      </c>
      <c r="D128" s="110"/>
      <c r="E128" s="110"/>
      <c r="F128" s="114">
        <f>C128</f>
        <v>0</v>
      </c>
      <c r="G128" s="110"/>
      <c r="H128" s="110"/>
      <c r="I128" s="114">
        <f>F128</f>
        <v>0</v>
      </c>
      <c r="J128" s="110"/>
      <c r="K128" s="111"/>
    </row>
    <row r="129" spans="1:11" ht="60.75">
      <c r="A129" s="82" t="s">
        <v>103</v>
      </c>
      <c r="B129" s="109"/>
      <c r="C129" s="114">
        <v>0.2</v>
      </c>
      <c r="D129" s="110"/>
      <c r="E129" s="110"/>
      <c r="F129" s="114">
        <f>C129</f>
        <v>0.2</v>
      </c>
      <c r="G129" s="110"/>
      <c r="H129" s="110"/>
      <c r="I129" s="114">
        <f>F129</f>
        <v>0.2</v>
      </c>
      <c r="J129" s="110"/>
      <c r="K129" s="111"/>
    </row>
    <row r="130" spans="1:11" ht="71.25" customHeight="1">
      <c r="A130" s="82" t="s">
        <v>147</v>
      </c>
      <c r="B130" s="109"/>
      <c r="C130" s="114">
        <v>3</v>
      </c>
      <c r="D130" s="110"/>
      <c r="E130" s="110"/>
      <c r="F130" s="114">
        <f>C130</f>
        <v>3</v>
      </c>
      <c r="G130" s="110"/>
      <c r="H130" s="110"/>
      <c r="I130" s="114">
        <f>F130</f>
        <v>3</v>
      </c>
      <c r="J130" s="110"/>
      <c r="K130" s="111"/>
    </row>
    <row r="131" spans="1:11" ht="61.5" customHeight="1">
      <c r="A131" s="82" t="s">
        <v>182</v>
      </c>
      <c r="B131" s="109"/>
      <c r="C131" s="118">
        <f>C116/C117*100</f>
        <v>16.216216216216218</v>
      </c>
      <c r="D131" s="110"/>
      <c r="E131" s="110"/>
      <c r="F131" s="118">
        <f>F116/F117*100</f>
        <v>19.35483870967742</v>
      </c>
      <c r="G131" s="110"/>
      <c r="H131" s="110"/>
      <c r="I131" s="118">
        <f>I116/I117*100</f>
        <v>24</v>
      </c>
      <c r="J131" s="110"/>
      <c r="K131" s="111"/>
    </row>
    <row r="132" spans="1:11" ht="40.5" customHeight="1">
      <c r="A132" s="343" t="str">
        <f>'Додаток 2'!A64:K64</f>
        <v>Підпрограма 4. НАДАННЯ СТОМАТОЛОГІЧНОЇ ДОПОМОГИ НАСЕЛЕННЮ МІСТА</v>
      </c>
      <c r="B132" s="343"/>
      <c r="C132" s="343"/>
      <c r="D132" s="343"/>
      <c r="E132" s="343"/>
      <c r="F132" s="343"/>
      <c r="G132" s="343"/>
      <c r="H132" s="343"/>
      <c r="I132" s="343"/>
      <c r="J132" s="343"/>
      <c r="K132" s="343"/>
    </row>
    <row r="133" spans="1:11" ht="26.25" customHeight="1">
      <c r="A133" s="89" t="s">
        <v>82</v>
      </c>
      <c r="B133" s="344" t="s">
        <v>106</v>
      </c>
      <c r="C133" s="344"/>
      <c r="D133" s="344"/>
      <c r="E133" s="344"/>
      <c r="F133" s="344"/>
      <c r="G133" s="344"/>
      <c r="H133" s="344"/>
      <c r="I133" s="344"/>
      <c r="J133" s="344"/>
      <c r="K133" s="344"/>
    </row>
    <row r="134" spans="1:11" ht="20.25">
      <c r="A134" s="90" t="s">
        <v>107</v>
      </c>
      <c r="B134" s="282" t="s">
        <v>126</v>
      </c>
      <c r="C134" s="282"/>
      <c r="D134" s="282"/>
      <c r="E134" s="282"/>
      <c r="F134" s="282"/>
      <c r="G134" s="282"/>
      <c r="H134" s="282"/>
      <c r="I134" s="282"/>
      <c r="J134" s="282"/>
      <c r="K134" s="282"/>
    </row>
    <row r="135" spans="1:12" ht="35.25" customHeight="1">
      <c r="A135" s="76" t="s">
        <v>74</v>
      </c>
      <c r="B135" s="104">
        <f>C135+F135+I135</f>
        <v>22909500</v>
      </c>
      <c r="C135" s="104">
        <f>D135+E135</f>
        <v>8279700</v>
      </c>
      <c r="D135" s="104">
        <f>D136+D138+D139+D140+D137+D141</f>
        <v>6324400</v>
      </c>
      <c r="E135" s="104">
        <f>E136+E138+E139+E140+E137+E141</f>
        <v>1955300</v>
      </c>
      <c r="F135" s="104">
        <f aca="true" t="shared" si="7" ref="F135:F141">G135+H135</f>
        <v>7793400</v>
      </c>
      <c r="G135" s="104">
        <f>G136+G138+G139+G140+G137+G141</f>
        <v>6663400</v>
      </c>
      <c r="H135" s="104">
        <f>H136+H138+H139+H140+H137+H141</f>
        <v>1130000</v>
      </c>
      <c r="I135" s="104">
        <f aca="true" t="shared" si="8" ref="I135:I141">J135+K135</f>
        <v>6836400</v>
      </c>
      <c r="J135" s="104">
        <f>J136+J138+J139+J140+J137+J141</f>
        <v>6836400</v>
      </c>
      <c r="K135" s="104">
        <f>K136+K138+K139+K140+K137+K141</f>
        <v>0</v>
      </c>
      <c r="L135" s="40">
        <f>B135-'Додаток 2'!G77*1000</f>
        <v>0</v>
      </c>
    </row>
    <row r="136" spans="1:11" ht="60.75">
      <c r="A136" s="86" t="s">
        <v>47</v>
      </c>
      <c r="B136" s="107"/>
      <c r="C136" s="108">
        <f aca="true" t="shared" si="9" ref="C136:C141">E136+D136</f>
        <v>385600</v>
      </c>
      <c r="D136" s="108">
        <f>('Додаток 2'!H65+'Додаток 2'!H67)*1000</f>
        <v>366200</v>
      </c>
      <c r="E136" s="108">
        <f>'Додаток 2'!H66*1000</f>
        <v>19400</v>
      </c>
      <c r="F136" s="108">
        <f t="shared" si="7"/>
        <v>254600</v>
      </c>
      <c r="G136" s="108">
        <f>'Додаток 2'!I65*1000</f>
        <v>254600</v>
      </c>
      <c r="H136" s="108"/>
      <c r="I136" s="108">
        <f t="shared" si="8"/>
        <v>270700</v>
      </c>
      <c r="J136" s="108">
        <f>'Додаток 2'!J65*1000</f>
        <v>270700</v>
      </c>
      <c r="K136" s="108"/>
    </row>
    <row r="137" spans="1:11" ht="39.75" customHeight="1">
      <c r="A137" s="86" t="s">
        <v>137</v>
      </c>
      <c r="B137" s="107"/>
      <c r="C137" s="108">
        <f t="shared" si="9"/>
        <v>31000</v>
      </c>
      <c r="D137" s="202">
        <f>'Додаток 2'!H68*1000</f>
        <v>31000</v>
      </c>
      <c r="E137" s="108"/>
      <c r="F137" s="108">
        <f t="shared" si="7"/>
        <v>34200</v>
      </c>
      <c r="G137" s="108">
        <f>'Додаток 2'!I68*1000</f>
        <v>34200</v>
      </c>
      <c r="H137" s="108">
        <v>0</v>
      </c>
      <c r="I137" s="108">
        <f t="shared" si="8"/>
        <v>34200</v>
      </c>
      <c r="J137" s="108">
        <f>'Додаток 2'!J68*1000</f>
        <v>34200</v>
      </c>
      <c r="K137" s="108">
        <v>0</v>
      </c>
    </row>
    <row r="138" spans="1:11" ht="69" customHeight="1">
      <c r="A138" s="86" t="s">
        <v>48</v>
      </c>
      <c r="B138" s="107"/>
      <c r="C138" s="108">
        <f t="shared" si="9"/>
        <v>363500</v>
      </c>
      <c r="D138" s="108">
        <f>'Додаток 2'!H69*1000</f>
        <v>326400</v>
      </c>
      <c r="E138" s="108">
        <f>'Додаток 2'!H70*1000</f>
        <v>37100</v>
      </c>
      <c r="F138" s="108">
        <f t="shared" si="7"/>
        <v>495900</v>
      </c>
      <c r="G138" s="108">
        <f>'Додаток 2'!I69*1000</f>
        <v>495900</v>
      </c>
      <c r="H138" s="108"/>
      <c r="I138" s="108">
        <f t="shared" si="8"/>
        <v>523700.00000000006</v>
      </c>
      <c r="J138" s="108">
        <f>'Додаток 2'!J69*1000</f>
        <v>523700.00000000006</v>
      </c>
      <c r="K138" s="108"/>
    </row>
    <row r="139" spans="1:11" ht="41.25" customHeight="1">
      <c r="A139" s="86" t="s">
        <v>49</v>
      </c>
      <c r="B139" s="107"/>
      <c r="C139" s="108">
        <f t="shared" si="9"/>
        <v>6465300</v>
      </c>
      <c r="D139" s="108">
        <f>('Додаток 2'!H71+'Додаток 2'!H73)*1000</f>
        <v>5065200</v>
      </c>
      <c r="E139" s="108">
        <f>'Додаток 2'!H72*1000</f>
        <v>1400100</v>
      </c>
      <c r="F139" s="108">
        <f t="shared" si="7"/>
        <v>5350900</v>
      </c>
      <c r="G139" s="108">
        <f>('Додаток 2'!I71+'Додаток 2'!I73)*1000</f>
        <v>5350900</v>
      </c>
      <c r="H139" s="108"/>
      <c r="I139" s="108">
        <f t="shared" si="8"/>
        <v>5722800</v>
      </c>
      <c r="J139" s="108">
        <f>'Додаток 2'!J71*1000</f>
        <v>5722800</v>
      </c>
      <c r="K139" s="108"/>
    </row>
    <row r="140" spans="1:11" ht="46.5" customHeight="1">
      <c r="A140" s="86" t="s">
        <v>34</v>
      </c>
      <c r="B140" s="107"/>
      <c r="C140" s="108">
        <f t="shared" si="9"/>
        <v>624300</v>
      </c>
      <c r="D140" s="108">
        <f>'Додаток 2'!H74*1000</f>
        <v>535600</v>
      </c>
      <c r="E140" s="108">
        <f>'Додаток 2'!H75*1000</f>
        <v>88700</v>
      </c>
      <c r="F140" s="108">
        <f t="shared" si="7"/>
        <v>527800</v>
      </c>
      <c r="G140" s="108">
        <f>'Додаток 2'!I74*1000</f>
        <v>527800</v>
      </c>
      <c r="H140" s="108">
        <v>0</v>
      </c>
      <c r="I140" s="108">
        <f t="shared" si="8"/>
        <v>285000</v>
      </c>
      <c r="J140" s="108">
        <f>'Додаток 2'!J74*1000</f>
        <v>285000</v>
      </c>
      <c r="K140" s="108"/>
    </row>
    <row r="141" spans="1:11" ht="39.75" customHeight="1">
      <c r="A141" s="86" t="s">
        <v>84</v>
      </c>
      <c r="B141" s="107"/>
      <c r="C141" s="108">
        <f t="shared" si="9"/>
        <v>410000</v>
      </c>
      <c r="D141" s="108"/>
      <c r="E141" s="108">
        <f>'Додаток 2'!H76*1000</f>
        <v>410000</v>
      </c>
      <c r="F141" s="108">
        <f t="shared" si="7"/>
        <v>1130000</v>
      </c>
      <c r="G141" s="108"/>
      <c r="H141" s="108">
        <f>'Додаток 2'!I76*1000</f>
        <v>1130000</v>
      </c>
      <c r="I141" s="108">
        <f t="shared" si="8"/>
        <v>0</v>
      </c>
      <c r="J141" s="108"/>
      <c r="K141" s="108"/>
    </row>
    <row r="142" spans="1:11" ht="20.25">
      <c r="A142" s="78" t="s">
        <v>75</v>
      </c>
      <c r="B142" s="107"/>
      <c r="C142" s="107"/>
      <c r="D142" s="107"/>
      <c r="E142" s="107"/>
      <c r="F142" s="107"/>
      <c r="G142" s="107"/>
      <c r="H142" s="107"/>
      <c r="I142" s="107"/>
      <c r="J142" s="107"/>
      <c r="K142" s="107"/>
    </row>
    <row r="143" spans="1:11" ht="20.25" customHeight="1">
      <c r="A143" s="101" t="s">
        <v>86</v>
      </c>
      <c r="B143" s="109"/>
      <c r="C143" s="110"/>
      <c r="D143" s="110"/>
      <c r="E143" s="110"/>
      <c r="F143" s="110"/>
      <c r="G143" s="110"/>
      <c r="H143" s="110"/>
      <c r="I143" s="110"/>
      <c r="J143" s="110"/>
      <c r="K143" s="111"/>
    </row>
    <row r="144" spans="1:11" ht="20.25">
      <c r="A144" s="79" t="s">
        <v>87</v>
      </c>
      <c r="B144" s="109"/>
      <c r="C144" s="112">
        <v>1</v>
      </c>
      <c r="D144" s="112"/>
      <c r="E144" s="112"/>
      <c r="F144" s="112">
        <f>C144</f>
        <v>1</v>
      </c>
      <c r="G144" s="112"/>
      <c r="H144" s="112"/>
      <c r="I144" s="112">
        <f>F144</f>
        <v>1</v>
      </c>
      <c r="J144" s="110"/>
      <c r="K144" s="111"/>
    </row>
    <row r="145" spans="1:11" ht="20.25">
      <c r="A145" s="80" t="s">
        <v>142</v>
      </c>
      <c r="B145" s="109"/>
      <c r="C145" s="112">
        <f>36+150</f>
        <v>186</v>
      </c>
      <c r="D145" s="112"/>
      <c r="E145" s="112"/>
      <c r="F145" s="112">
        <f>C145</f>
        <v>186</v>
      </c>
      <c r="G145" s="112"/>
      <c r="H145" s="112"/>
      <c r="I145" s="112">
        <f>F145</f>
        <v>186</v>
      </c>
      <c r="J145" s="110"/>
      <c r="K145" s="111"/>
    </row>
    <row r="146" spans="1:11" ht="20.25">
      <c r="A146" s="79" t="s">
        <v>88</v>
      </c>
      <c r="B146" s="109"/>
      <c r="C146" s="110">
        <v>39.75</v>
      </c>
      <c r="D146" s="110"/>
      <c r="E146" s="110"/>
      <c r="F146" s="110">
        <f>C146</f>
        <v>39.75</v>
      </c>
      <c r="G146" s="110"/>
      <c r="H146" s="110"/>
      <c r="I146" s="110">
        <f>F146</f>
        <v>39.75</v>
      </c>
      <c r="J146" s="110"/>
      <c r="K146" s="111"/>
    </row>
    <row r="147" spans="1:11" ht="18.75" customHeight="1">
      <c r="A147" s="101" t="s">
        <v>76</v>
      </c>
      <c r="B147" s="109"/>
      <c r="C147" s="112"/>
      <c r="D147" s="112"/>
      <c r="E147" s="112"/>
      <c r="F147" s="112"/>
      <c r="G147" s="112"/>
      <c r="H147" s="112"/>
      <c r="I147" s="112"/>
      <c r="J147" s="112"/>
      <c r="K147" s="111"/>
    </row>
    <row r="148" spans="1:11" ht="20.25">
      <c r="A148" s="79" t="s">
        <v>108</v>
      </c>
      <c r="B148" s="109"/>
      <c r="C148" s="113">
        <v>99737</v>
      </c>
      <c r="D148" s="113"/>
      <c r="E148" s="113"/>
      <c r="F148" s="113">
        <f aca="true" t="shared" si="10" ref="F148:F153">C148</f>
        <v>99737</v>
      </c>
      <c r="G148" s="113"/>
      <c r="H148" s="113"/>
      <c r="I148" s="113">
        <f aca="true" t="shared" si="11" ref="I148:I153">F148</f>
        <v>99737</v>
      </c>
      <c r="J148" s="112"/>
      <c r="K148" s="111"/>
    </row>
    <row r="149" spans="1:11" ht="40.5">
      <c r="A149" s="79" t="s">
        <v>109</v>
      </c>
      <c r="B149" s="109"/>
      <c r="C149" s="113">
        <v>7360</v>
      </c>
      <c r="D149" s="113"/>
      <c r="E149" s="113"/>
      <c r="F149" s="113">
        <f t="shared" si="10"/>
        <v>7360</v>
      </c>
      <c r="G149" s="113"/>
      <c r="H149" s="113"/>
      <c r="I149" s="113">
        <f t="shared" si="11"/>
        <v>7360</v>
      </c>
      <c r="J149" s="112"/>
      <c r="K149" s="111"/>
    </row>
    <row r="150" spans="1:11" ht="20.25">
      <c r="A150" s="79" t="s">
        <v>110</v>
      </c>
      <c r="B150" s="109"/>
      <c r="C150" s="113">
        <v>2600</v>
      </c>
      <c r="D150" s="113"/>
      <c r="E150" s="113"/>
      <c r="F150" s="113">
        <f t="shared" si="10"/>
        <v>2600</v>
      </c>
      <c r="G150" s="113"/>
      <c r="H150" s="113"/>
      <c r="I150" s="113">
        <f t="shared" si="11"/>
        <v>2600</v>
      </c>
      <c r="J150" s="112"/>
      <c r="K150" s="111"/>
    </row>
    <row r="151" spans="1:11" ht="20.25">
      <c r="A151" s="79" t="s">
        <v>111</v>
      </c>
      <c r="B151" s="109"/>
      <c r="C151" s="113">
        <v>18000</v>
      </c>
      <c r="D151" s="113"/>
      <c r="E151" s="113"/>
      <c r="F151" s="113">
        <f t="shared" si="10"/>
        <v>18000</v>
      </c>
      <c r="G151" s="113"/>
      <c r="H151" s="113"/>
      <c r="I151" s="113">
        <f t="shared" si="11"/>
        <v>18000</v>
      </c>
      <c r="J151" s="112"/>
      <c r="K151" s="111"/>
    </row>
    <row r="152" spans="1:11" ht="27.75" customHeight="1">
      <c r="A152" s="102" t="s">
        <v>89</v>
      </c>
      <c r="B152" s="109"/>
      <c r="C152" s="116">
        <v>1</v>
      </c>
      <c r="D152" s="112"/>
      <c r="E152" s="110"/>
      <c r="F152" s="112">
        <f t="shared" si="10"/>
        <v>1</v>
      </c>
      <c r="G152" s="112"/>
      <c r="H152" s="110"/>
      <c r="I152" s="112">
        <f t="shared" si="11"/>
        <v>1</v>
      </c>
      <c r="J152" s="112"/>
      <c r="K152" s="111"/>
    </row>
    <row r="153" spans="1:11" ht="24">
      <c r="A153" s="102" t="s">
        <v>229</v>
      </c>
      <c r="B153" s="109"/>
      <c r="C153" s="112">
        <v>1702.8</v>
      </c>
      <c r="D153" s="110"/>
      <c r="E153" s="110"/>
      <c r="F153" s="112">
        <f t="shared" si="10"/>
        <v>1702.8</v>
      </c>
      <c r="G153" s="110"/>
      <c r="H153" s="110"/>
      <c r="I153" s="112">
        <f t="shared" si="11"/>
        <v>1702.8</v>
      </c>
      <c r="J153" s="110"/>
      <c r="K153" s="111"/>
    </row>
    <row r="154" spans="1:11" ht="18" customHeight="1">
      <c r="A154" s="81" t="s">
        <v>78</v>
      </c>
      <c r="B154" s="109"/>
      <c r="C154" s="112"/>
      <c r="D154" s="110"/>
      <c r="E154" s="110"/>
      <c r="F154" s="112"/>
      <c r="G154" s="110"/>
      <c r="H154" s="110"/>
      <c r="I154" s="112"/>
      <c r="J154" s="110"/>
      <c r="K154" s="111"/>
    </row>
    <row r="155" spans="1:11" ht="40.5">
      <c r="A155" s="79" t="s">
        <v>113</v>
      </c>
      <c r="B155" s="109"/>
      <c r="C155" s="113">
        <v>395.6043956043956</v>
      </c>
      <c r="D155" s="110"/>
      <c r="E155" s="110"/>
      <c r="F155" s="113">
        <f>C155</f>
        <v>395.6043956043956</v>
      </c>
      <c r="G155" s="110"/>
      <c r="H155" s="110"/>
      <c r="I155" s="113">
        <f>F155</f>
        <v>395.6043956043956</v>
      </c>
      <c r="J155" s="110"/>
      <c r="K155" s="111"/>
    </row>
    <row r="156" spans="1:11" ht="40.5">
      <c r="A156" s="79" t="s">
        <v>114</v>
      </c>
      <c r="B156" s="109"/>
      <c r="C156" s="113">
        <v>266.6666666666667</v>
      </c>
      <c r="D156" s="110"/>
      <c r="E156" s="110"/>
      <c r="F156" s="113">
        <f>F149/F146</f>
        <v>185.1572327044025</v>
      </c>
      <c r="G156" s="110"/>
      <c r="H156" s="110"/>
      <c r="I156" s="113">
        <f>I149/I146</f>
        <v>185.1572327044025</v>
      </c>
      <c r="J156" s="110"/>
      <c r="K156" s="111"/>
    </row>
    <row r="157" spans="1:11" ht="40.5">
      <c r="A157" s="82" t="s">
        <v>143</v>
      </c>
      <c r="B157" s="109"/>
      <c r="C157" s="113">
        <f>C137/C145</f>
        <v>166.66666666666666</v>
      </c>
      <c r="D157" s="110"/>
      <c r="E157" s="110"/>
      <c r="F157" s="113">
        <f>F137/F145</f>
        <v>183.8709677419355</v>
      </c>
      <c r="G157" s="110"/>
      <c r="H157" s="110"/>
      <c r="I157" s="113">
        <f>I137/I145</f>
        <v>183.8709677419355</v>
      </c>
      <c r="J157" s="110"/>
      <c r="K157" s="111"/>
    </row>
    <row r="158" spans="1:11" ht="40.5">
      <c r="A158" s="82" t="s">
        <v>104</v>
      </c>
      <c r="B158" s="109"/>
      <c r="C158" s="110">
        <f>C141/1</f>
        <v>410000</v>
      </c>
      <c r="D158" s="110"/>
      <c r="E158" s="110"/>
      <c r="F158" s="110">
        <f>F141/F152</f>
        <v>1130000</v>
      </c>
      <c r="G158" s="110"/>
      <c r="H158" s="110"/>
      <c r="I158" s="110">
        <f>I141/I152</f>
        <v>0</v>
      </c>
      <c r="J158" s="110"/>
      <c r="K158" s="111"/>
    </row>
    <row r="159" spans="1:11" ht="42.75" customHeight="1">
      <c r="A159" s="82" t="s">
        <v>230</v>
      </c>
      <c r="B159" s="109"/>
      <c r="C159" s="110">
        <f>C140/C153</f>
        <v>366.631430584919</v>
      </c>
      <c r="D159" s="110"/>
      <c r="E159" s="110"/>
      <c r="F159" s="110">
        <f>F140/F153</f>
        <v>309.96006577401926</v>
      </c>
      <c r="G159" s="110"/>
      <c r="H159" s="110"/>
      <c r="I159" s="110">
        <f>I140/I153</f>
        <v>167.37138830162087</v>
      </c>
      <c r="J159" s="110"/>
      <c r="K159" s="111"/>
    </row>
    <row r="160" spans="1:11" ht="22.5" customHeight="1">
      <c r="A160" s="83" t="s">
        <v>79</v>
      </c>
      <c r="B160" s="109"/>
      <c r="C160" s="112"/>
      <c r="D160" s="110"/>
      <c r="E160" s="110"/>
      <c r="F160" s="112"/>
      <c r="G160" s="110"/>
      <c r="H160" s="110"/>
      <c r="I160" s="112"/>
      <c r="J160" s="110"/>
      <c r="K160" s="111"/>
    </row>
    <row r="161" spans="1:11" ht="47.25" customHeight="1">
      <c r="A161" s="79" t="s">
        <v>112</v>
      </c>
      <c r="B161" s="109"/>
      <c r="C161" s="114">
        <v>1</v>
      </c>
      <c r="D161" s="110"/>
      <c r="E161" s="110"/>
      <c r="F161" s="114">
        <f>C161</f>
        <v>1</v>
      </c>
      <c r="G161" s="110"/>
      <c r="H161" s="110"/>
      <c r="I161" s="114">
        <f>F161</f>
        <v>1</v>
      </c>
      <c r="J161" s="110"/>
      <c r="K161" s="111"/>
    </row>
    <row r="162" spans="1:11" ht="47.25" customHeight="1">
      <c r="A162" s="79" t="s">
        <v>150</v>
      </c>
      <c r="B162" s="109"/>
      <c r="C162" s="114">
        <v>100</v>
      </c>
      <c r="D162" s="110"/>
      <c r="E162" s="110"/>
      <c r="F162" s="114">
        <f>C162</f>
        <v>100</v>
      </c>
      <c r="G162" s="110"/>
      <c r="H162" s="110"/>
      <c r="I162" s="114">
        <f>F162</f>
        <v>100</v>
      </c>
      <c r="J162" s="110"/>
      <c r="K162" s="111"/>
    </row>
    <row r="163" spans="1:11" ht="36" customHeight="1">
      <c r="A163" s="343" t="str">
        <f>'Додаток 2'!A82:K82</f>
        <v>Підпрограма 5. ПРОГРАМНІ ТА ЦЕНТРАЛІЗОВАНІ ЗАХОДИ У ГАЛУЗІ "ОХОРОНА ЗДОРОВ'Я"</v>
      </c>
      <c r="B163" s="343"/>
      <c r="C163" s="343"/>
      <c r="D163" s="343"/>
      <c r="E163" s="343"/>
      <c r="F163" s="343"/>
      <c r="G163" s="343"/>
      <c r="H163" s="343"/>
      <c r="I163" s="343"/>
      <c r="J163" s="343"/>
      <c r="K163" s="343"/>
    </row>
    <row r="164" spans="1:11" ht="28.5" customHeight="1">
      <c r="A164" s="89" t="s">
        <v>82</v>
      </c>
      <c r="B164" s="344" t="s">
        <v>115</v>
      </c>
      <c r="C164" s="345"/>
      <c r="D164" s="345"/>
      <c r="E164" s="345"/>
      <c r="F164" s="345"/>
      <c r="G164" s="345"/>
      <c r="H164" s="345"/>
      <c r="I164" s="345"/>
      <c r="J164" s="345"/>
      <c r="K164" s="345"/>
    </row>
    <row r="165" spans="1:12" ht="28.5" customHeight="1">
      <c r="A165" s="76" t="s">
        <v>74</v>
      </c>
      <c r="B165" s="129">
        <f aca="true" t="shared" si="12" ref="B165:K165">B168+B178</f>
        <v>15143600</v>
      </c>
      <c r="C165" s="129">
        <f t="shared" si="12"/>
        <v>11441800</v>
      </c>
      <c r="D165" s="129">
        <f t="shared" si="12"/>
        <v>11441800</v>
      </c>
      <c r="E165" s="129">
        <f t="shared" si="12"/>
        <v>0</v>
      </c>
      <c r="F165" s="129">
        <f t="shared" si="12"/>
        <v>3701800</v>
      </c>
      <c r="G165" s="129">
        <f t="shared" si="12"/>
        <v>3701800</v>
      </c>
      <c r="H165" s="129">
        <f t="shared" si="12"/>
        <v>0</v>
      </c>
      <c r="I165" s="129">
        <f t="shared" si="12"/>
        <v>0</v>
      </c>
      <c r="J165" s="129">
        <f t="shared" si="12"/>
        <v>0</v>
      </c>
      <c r="K165" s="129">
        <f t="shared" si="12"/>
        <v>0</v>
      </c>
      <c r="L165" s="40">
        <f>'Додаток 2'!G86*1000-'Додаток 3'!B165</f>
        <v>0</v>
      </c>
    </row>
    <row r="166" spans="1:11" ht="28.5" customHeight="1">
      <c r="A166" s="77" t="s">
        <v>225</v>
      </c>
      <c r="B166" s="126"/>
      <c r="C166" s="127"/>
      <c r="D166" s="127"/>
      <c r="E166" s="127"/>
      <c r="F166" s="127"/>
      <c r="G166" s="127"/>
      <c r="H166" s="127"/>
      <c r="I166" s="127"/>
      <c r="J166" s="127"/>
      <c r="K166" s="127"/>
    </row>
    <row r="167" spans="1:11" ht="39.75" customHeight="1">
      <c r="A167" s="128" t="s">
        <v>234</v>
      </c>
      <c r="B167" s="282" t="s">
        <v>233</v>
      </c>
      <c r="C167" s="282"/>
      <c r="D167" s="282"/>
      <c r="E167" s="282"/>
      <c r="F167" s="282"/>
      <c r="G167" s="282"/>
      <c r="H167" s="282"/>
      <c r="I167" s="282"/>
      <c r="J167" s="282"/>
      <c r="K167" s="282"/>
    </row>
    <row r="168" spans="1:11" ht="36" customHeight="1">
      <c r="A168" s="77" t="s">
        <v>237</v>
      </c>
      <c r="B168" s="99">
        <f>C168+F168+I168</f>
        <v>13687300</v>
      </c>
      <c r="C168" s="106">
        <f>D168+E168</f>
        <v>9985500</v>
      </c>
      <c r="D168" s="106">
        <f>D169</f>
        <v>9985500</v>
      </c>
      <c r="E168" s="106">
        <f>E169</f>
        <v>0</v>
      </c>
      <c r="F168" s="106">
        <f>G168+H168</f>
        <v>3701800</v>
      </c>
      <c r="G168" s="106">
        <f>G169</f>
        <v>3701800</v>
      </c>
      <c r="H168" s="106">
        <f>H169</f>
        <v>0</v>
      </c>
      <c r="I168" s="106">
        <f>J168+K168</f>
        <v>0</v>
      </c>
      <c r="J168" s="106">
        <f>J169</f>
        <v>0</v>
      </c>
      <c r="K168" s="106">
        <f>K169</f>
        <v>0</v>
      </c>
    </row>
    <row r="169" spans="1:11" ht="57" customHeight="1">
      <c r="A169" s="91" t="str">
        <f>'Додаток 2'!B83</f>
        <v>Забезпечення відшкодування витрат, пов’язаних з відпуском препаратів інсуліну  </v>
      </c>
      <c r="B169" s="107"/>
      <c r="C169" s="108">
        <f>E169+D169</f>
        <v>9985500</v>
      </c>
      <c r="D169" s="108">
        <f>('Додаток 2'!H83+'Додаток 2'!H84)*1000</f>
        <v>9985500</v>
      </c>
      <c r="E169" s="108"/>
      <c r="F169" s="108">
        <f>G169+H169</f>
        <v>3701800</v>
      </c>
      <c r="G169" s="108">
        <f>('Додаток 2'!I83+'Додаток 2'!I84)*1000</f>
        <v>3701800</v>
      </c>
      <c r="H169" s="108">
        <v>0</v>
      </c>
      <c r="I169" s="108">
        <f>J169+K169</f>
        <v>0</v>
      </c>
      <c r="J169" s="108"/>
      <c r="K169" s="108">
        <f>H169*1.055</f>
        <v>0</v>
      </c>
    </row>
    <row r="170" spans="1:11" ht="20.25">
      <c r="A170" s="78" t="s">
        <v>75</v>
      </c>
      <c r="B170" s="107"/>
      <c r="C170" s="107"/>
      <c r="D170" s="107"/>
      <c r="E170" s="107"/>
      <c r="F170" s="107"/>
      <c r="G170" s="107"/>
      <c r="H170" s="107"/>
      <c r="I170" s="107"/>
      <c r="J170" s="107"/>
      <c r="K170" s="107"/>
    </row>
    <row r="171" spans="1:11" ht="26.25" customHeight="1">
      <c r="A171" s="101" t="s">
        <v>86</v>
      </c>
      <c r="B171" s="109"/>
      <c r="C171" s="110"/>
      <c r="D171" s="110"/>
      <c r="E171" s="110"/>
      <c r="F171" s="110"/>
      <c r="G171" s="110"/>
      <c r="H171" s="110"/>
      <c r="I171" s="110"/>
      <c r="J171" s="110"/>
      <c r="K171" s="111"/>
    </row>
    <row r="172" spans="1:11" ht="39" customHeight="1">
      <c r="A172" s="92" t="s">
        <v>116</v>
      </c>
      <c r="B172" s="109"/>
      <c r="C172" s="112">
        <f>C169/1000</f>
        <v>9985.5</v>
      </c>
      <c r="D172" s="112"/>
      <c r="E172" s="112"/>
      <c r="F172" s="112">
        <f>F169/1000</f>
        <v>3701.8</v>
      </c>
      <c r="G172" s="112"/>
      <c r="H172" s="112"/>
      <c r="I172" s="112">
        <f>I169/1000</f>
        <v>0</v>
      </c>
      <c r="J172" s="110"/>
      <c r="K172" s="111"/>
    </row>
    <row r="173" spans="1:11" ht="20.25" customHeight="1">
      <c r="A173" s="101" t="s">
        <v>76</v>
      </c>
      <c r="B173" s="109"/>
      <c r="C173" s="112"/>
      <c r="D173" s="112"/>
      <c r="E173" s="112"/>
      <c r="F173" s="112"/>
      <c r="G173" s="112"/>
      <c r="H173" s="112"/>
      <c r="I173" s="112"/>
      <c r="J173" s="112"/>
      <c r="K173" s="111"/>
    </row>
    <row r="174" spans="1:11" ht="58.5" customHeight="1">
      <c r="A174" s="92" t="s">
        <v>117</v>
      </c>
      <c r="B174" s="109"/>
      <c r="C174" s="113">
        <v>1462</v>
      </c>
      <c r="D174" s="113"/>
      <c r="E174" s="113"/>
      <c r="F174" s="113">
        <f>C174</f>
        <v>1462</v>
      </c>
      <c r="G174" s="113"/>
      <c r="H174" s="113"/>
      <c r="I174" s="113">
        <f>F174</f>
        <v>1462</v>
      </c>
      <c r="J174" s="112"/>
      <c r="K174" s="111"/>
    </row>
    <row r="175" spans="1:11" ht="22.5" customHeight="1">
      <c r="A175" s="81" t="s">
        <v>78</v>
      </c>
      <c r="B175" s="109"/>
      <c r="C175" s="112"/>
      <c r="D175" s="110"/>
      <c r="E175" s="110"/>
      <c r="F175" s="112"/>
      <c r="G175" s="110"/>
      <c r="H175" s="110"/>
      <c r="I175" s="112"/>
      <c r="J175" s="110"/>
      <c r="K175" s="111"/>
    </row>
    <row r="176" spans="1:11" ht="45" customHeight="1">
      <c r="A176" s="92" t="s">
        <v>152</v>
      </c>
      <c r="B176" s="109"/>
      <c r="C176" s="113">
        <v>100</v>
      </c>
      <c r="D176" s="110"/>
      <c r="E176" s="110"/>
      <c r="F176" s="113">
        <f>C176</f>
        <v>100</v>
      </c>
      <c r="G176" s="110"/>
      <c r="H176" s="110"/>
      <c r="I176" s="113">
        <f>F176</f>
        <v>100</v>
      </c>
      <c r="J176" s="110"/>
      <c r="K176" s="111"/>
    </row>
    <row r="177" spans="1:11" ht="38.25" customHeight="1">
      <c r="A177" s="128" t="s">
        <v>235</v>
      </c>
      <c r="B177" s="282" t="s">
        <v>236</v>
      </c>
      <c r="C177" s="282"/>
      <c r="D177" s="282"/>
      <c r="E177" s="282"/>
      <c r="F177" s="282"/>
      <c r="G177" s="282"/>
      <c r="H177" s="282"/>
      <c r="I177" s="282"/>
      <c r="J177" s="282"/>
      <c r="K177" s="282"/>
    </row>
    <row r="178" spans="1:11" ht="24.75" customHeight="1">
      <c r="A178" s="77" t="s">
        <v>237</v>
      </c>
      <c r="B178" s="99">
        <f>C178+F178+I178</f>
        <v>1456300.0000000002</v>
      </c>
      <c r="C178" s="106">
        <f>D178+E178</f>
        <v>1456300.0000000002</v>
      </c>
      <c r="D178" s="106">
        <f>D179</f>
        <v>1456300.0000000002</v>
      </c>
      <c r="E178" s="106">
        <f>E179</f>
        <v>0</v>
      </c>
      <c r="F178" s="106">
        <f>G178+H178</f>
        <v>0</v>
      </c>
      <c r="G178" s="106">
        <f>G179</f>
        <v>0</v>
      </c>
      <c r="H178" s="106">
        <f>H179</f>
        <v>0</v>
      </c>
      <c r="I178" s="106">
        <f>J178+K178</f>
        <v>0</v>
      </c>
      <c r="J178" s="106">
        <f>J179</f>
        <v>0</v>
      </c>
      <c r="K178" s="106">
        <f>K179</f>
        <v>0</v>
      </c>
    </row>
    <row r="179" spans="1:11" ht="63.75" customHeight="1">
      <c r="A179" s="91" t="s">
        <v>57</v>
      </c>
      <c r="B179" s="107"/>
      <c r="C179" s="108">
        <f>E179+D179</f>
        <v>1456300.0000000002</v>
      </c>
      <c r="D179" s="108">
        <f>'Додаток 2'!H85*1000</f>
        <v>1456300.0000000002</v>
      </c>
      <c r="E179" s="108"/>
      <c r="F179" s="108">
        <f>G179+H179</f>
        <v>0</v>
      </c>
      <c r="G179" s="108"/>
      <c r="H179" s="108">
        <v>0</v>
      </c>
      <c r="I179" s="108">
        <f>J179+K179</f>
        <v>0</v>
      </c>
      <c r="J179" s="108">
        <f>G179*1.055</f>
        <v>0</v>
      </c>
      <c r="K179" s="108">
        <f>H179*1.055</f>
        <v>0</v>
      </c>
    </row>
    <row r="180" spans="1:11" ht="24.75" customHeight="1">
      <c r="A180" s="78" t="s">
        <v>75</v>
      </c>
      <c r="B180" s="107"/>
      <c r="C180" s="107"/>
      <c r="D180" s="107"/>
      <c r="E180" s="107"/>
      <c r="F180" s="107"/>
      <c r="G180" s="107"/>
      <c r="H180" s="107"/>
      <c r="I180" s="107"/>
      <c r="J180" s="107"/>
      <c r="K180" s="107"/>
    </row>
    <row r="181" spans="1:11" ht="24.75" customHeight="1">
      <c r="A181" s="101" t="s">
        <v>86</v>
      </c>
      <c r="B181" s="109"/>
      <c r="C181" s="110"/>
      <c r="D181" s="110"/>
      <c r="E181" s="110"/>
      <c r="F181" s="110"/>
      <c r="G181" s="110"/>
      <c r="H181" s="110"/>
      <c r="I181" s="110"/>
      <c r="J181" s="110"/>
      <c r="K181" s="111"/>
    </row>
    <row r="182" spans="1:11" ht="59.25" customHeight="1">
      <c r="A182" s="92" t="s">
        <v>238</v>
      </c>
      <c r="B182" s="109"/>
      <c r="C182" s="112">
        <f>C179/1000</f>
        <v>1456.3000000000002</v>
      </c>
      <c r="D182" s="112"/>
      <c r="E182" s="112"/>
      <c r="F182" s="112">
        <f>F179/1000</f>
        <v>0</v>
      </c>
      <c r="G182" s="112"/>
      <c r="H182" s="112"/>
      <c r="I182" s="112">
        <f>I179/1000</f>
        <v>0</v>
      </c>
      <c r="J182" s="110"/>
      <c r="K182" s="111"/>
    </row>
    <row r="183" spans="1:11" ht="24.75" customHeight="1">
      <c r="A183" s="101" t="s">
        <v>76</v>
      </c>
      <c r="B183" s="109"/>
      <c r="C183" s="112"/>
      <c r="D183" s="112"/>
      <c r="E183" s="112"/>
      <c r="F183" s="112"/>
      <c r="G183" s="112"/>
      <c r="H183" s="112"/>
      <c r="I183" s="112"/>
      <c r="J183" s="112"/>
      <c r="K183" s="111"/>
    </row>
    <row r="184" spans="1:11" ht="66.75" customHeight="1">
      <c r="A184" s="92" t="s">
        <v>153</v>
      </c>
      <c r="B184" s="109"/>
      <c r="C184" s="113">
        <v>83271</v>
      </c>
      <c r="D184" s="113"/>
      <c r="E184" s="113"/>
      <c r="F184" s="113"/>
      <c r="G184" s="113"/>
      <c r="H184" s="113"/>
      <c r="I184" s="113"/>
      <c r="J184" s="112"/>
      <c r="K184" s="111"/>
    </row>
    <row r="185" spans="1:11" ht="24.75" customHeight="1">
      <c r="A185" s="81" t="s">
        <v>78</v>
      </c>
      <c r="B185" s="109"/>
      <c r="C185" s="112"/>
      <c r="D185" s="110"/>
      <c r="E185" s="110"/>
      <c r="F185" s="112"/>
      <c r="G185" s="110"/>
      <c r="H185" s="110"/>
      <c r="I185" s="112"/>
      <c r="J185" s="110"/>
      <c r="K185" s="111"/>
    </row>
    <row r="186" spans="1:11" ht="35.25" customHeight="1">
      <c r="A186" s="92" t="s">
        <v>151</v>
      </c>
      <c r="B186" s="109"/>
      <c r="C186" s="113">
        <v>66.8</v>
      </c>
      <c r="D186" s="113"/>
      <c r="E186" s="113"/>
      <c r="F186" s="113"/>
      <c r="G186" s="113"/>
      <c r="H186" s="113"/>
      <c r="I186" s="113"/>
      <c r="J186" s="110"/>
      <c r="K186" s="111"/>
    </row>
    <row r="187" spans="1:11" ht="32.25" customHeight="1">
      <c r="A187" s="343" t="str">
        <f>'Додаток 2'!A89:K89</f>
        <v>Підпрограма 6. АНАЛІТИЧНА ЗВІТНІСТЬ, ЦЕНТРАЛІЗОВАНИЙ БУХГАЛТЕРСКИЙ ТА ФІНАНСОВИЙ ОБЛІК У  У ГАЛУЗІ "ОХОРОНА ЗДОРОВ'Я"</v>
      </c>
      <c r="B187" s="343"/>
      <c r="C187" s="343"/>
      <c r="D187" s="343"/>
      <c r="E187" s="343"/>
      <c r="F187" s="343"/>
      <c r="G187" s="343"/>
      <c r="H187" s="343"/>
      <c r="I187" s="343"/>
      <c r="J187" s="343"/>
      <c r="K187" s="343"/>
    </row>
    <row r="188" spans="1:11" ht="41.25" customHeight="1">
      <c r="A188" s="87" t="s">
        <v>82</v>
      </c>
      <c r="B188" s="334" t="s">
        <v>80</v>
      </c>
      <c r="C188" s="334"/>
      <c r="D188" s="334"/>
      <c r="E188" s="334"/>
      <c r="F188" s="334"/>
      <c r="G188" s="334"/>
      <c r="H188" s="334"/>
      <c r="I188" s="334"/>
      <c r="J188" s="334"/>
      <c r="K188" s="334"/>
    </row>
    <row r="189" spans="1:11" ht="34.5" customHeight="1">
      <c r="A189" s="90" t="s">
        <v>118</v>
      </c>
      <c r="B189" s="342" t="s">
        <v>133</v>
      </c>
      <c r="C189" s="342"/>
      <c r="D189" s="342"/>
      <c r="E189" s="342"/>
      <c r="F189" s="342"/>
      <c r="G189" s="342"/>
      <c r="H189" s="342"/>
      <c r="I189" s="342"/>
      <c r="J189" s="342"/>
      <c r="K189" s="342"/>
    </row>
    <row r="190" spans="1:12" ht="28.5" customHeight="1">
      <c r="A190" s="76" t="s">
        <v>74</v>
      </c>
      <c r="B190" s="103">
        <f>C190+F190+I190</f>
        <v>8590600</v>
      </c>
      <c r="C190" s="104">
        <f>D190+E190</f>
        <v>2602500</v>
      </c>
      <c r="D190" s="104">
        <f>D191</f>
        <v>2602500</v>
      </c>
      <c r="E190" s="104">
        <f>E191</f>
        <v>0</v>
      </c>
      <c r="F190" s="104">
        <f>G190+H190</f>
        <v>2894200</v>
      </c>
      <c r="G190" s="104">
        <f>G191</f>
        <v>2894200</v>
      </c>
      <c r="H190" s="104">
        <f>H191</f>
        <v>0</v>
      </c>
      <c r="I190" s="104">
        <f>J190+K190</f>
        <v>3093900</v>
      </c>
      <c r="J190" s="104">
        <f>J191</f>
        <v>3093900</v>
      </c>
      <c r="K190" s="104">
        <f>K191</f>
        <v>0</v>
      </c>
      <c r="L190" s="40">
        <f>B190-'Додаток 2'!G91*1000</f>
        <v>0</v>
      </c>
    </row>
    <row r="191" spans="1:11" ht="23.25" customHeight="1">
      <c r="A191" s="91" t="s">
        <v>62</v>
      </c>
      <c r="B191" s="107"/>
      <c r="C191" s="108">
        <f>E191+D191</f>
        <v>2602500</v>
      </c>
      <c r="D191" s="108">
        <f>'Додаток 2'!H90*1000</f>
        <v>2602500</v>
      </c>
      <c r="E191" s="108"/>
      <c r="F191" s="108">
        <f>G191+H191</f>
        <v>2894200</v>
      </c>
      <c r="G191" s="108">
        <f>'Додаток 2'!I91*1000</f>
        <v>2894200</v>
      </c>
      <c r="H191" s="108">
        <f>E191*1.067</f>
        <v>0</v>
      </c>
      <c r="I191" s="108">
        <f>J191+K191</f>
        <v>3093900</v>
      </c>
      <c r="J191" s="108">
        <f>'Додаток 2'!J91*1000</f>
        <v>3093900</v>
      </c>
      <c r="K191" s="108">
        <f>H191*1.055</f>
        <v>0</v>
      </c>
    </row>
    <row r="192" spans="1:11" ht="23.25" customHeight="1">
      <c r="A192" s="78" t="s">
        <v>75</v>
      </c>
      <c r="B192" s="107"/>
      <c r="C192" s="107"/>
      <c r="D192" s="107"/>
      <c r="E192" s="107"/>
      <c r="F192" s="107"/>
      <c r="G192" s="107"/>
      <c r="H192" s="107"/>
      <c r="I192" s="107"/>
      <c r="J192" s="107"/>
      <c r="K192" s="107"/>
    </row>
    <row r="193" spans="1:11" ht="23.25" customHeight="1">
      <c r="A193" s="101" t="s">
        <v>86</v>
      </c>
      <c r="B193" s="109"/>
      <c r="C193" s="110"/>
      <c r="D193" s="110"/>
      <c r="E193" s="110"/>
      <c r="F193" s="110"/>
      <c r="G193" s="110"/>
      <c r="H193" s="110"/>
      <c r="I193" s="110"/>
      <c r="J193" s="110"/>
      <c r="K193" s="111"/>
    </row>
    <row r="194" spans="1:11" ht="31.5" customHeight="1">
      <c r="A194" s="82" t="s">
        <v>119</v>
      </c>
      <c r="B194" s="109"/>
      <c r="C194" s="112">
        <v>1</v>
      </c>
      <c r="D194" s="112"/>
      <c r="E194" s="112"/>
      <c r="F194" s="112">
        <f>C194</f>
        <v>1</v>
      </c>
      <c r="G194" s="112"/>
      <c r="H194" s="112"/>
      <c r="I194" s="112">
        <f>F194</f>
        <v>1</v>
      </c>
      <c r="J194" s="110"/>
      <c r="K194" s="111"/>
    </row>
    <row r="195" spans="1:11" ht="28.5" customHeight="1">
      <c r="A195" s="82" t="s">
        <v>120</v>
      </c>
      <c r="B195" s="109"/>
      <c r="C195" s="112">
        <f>9+12</f>
        <v>21</v>
      </c>
      <c r="D195" s="112"/>
      <c r="E195" s="112"/>
      <c r="F195" s="112">
        <f>C195</f>
        <v>21</v>
      </c>
      <c r="G195" s="112"/>
      <c r="H195" s="112"/>
      <c r="I195" s="112">
        <f>F195</f>
        <v>21</v>
      </c>
      <c r="J195" s="110"/>
      <c r="K195" s="111"/>
    </row>
    <row r="196" spans="1:11" ht="23.25" customHeight="1">
      <c r="A196" s="101" t="s">
        <v>76</v>
      </c>
      <c r="B196" s="109"/>
      <c r="C196" s="112"/>
      <c r="D196" s="112"/>
      <c r="E196" s="112"/>
      <c r="F196" s="112"/>
      <c r="G196" s="112"/>
      <c r="H196" s="112"/>
      <c r="I196" s="112"/>
      <c r="J196" s="112"/>
      <c r="K196" s="111"/>
    </row>
    <row r="197" spans="1:11" ht="45.75" customHeight="1">
      <c r="A197" s="82" t="s">
        <v>121</v>
      </c>
      <c r="B197" s="109"/>
      <c r="C197" s="113">
        <v>8</v>
      </c>
      <c r="D197" s="113"/>
      <c r="E197" s="113"/>
      <c r="F197" s="113">
        <f>C197</f>
        <v>8</v>
      </c>
      <c r="G197" s="113"/>
      <c r="H197" s="113"/>
      <c r="I197" s="113">
        <f>F197</f>
        <v>8</v>
      </c>
      <c r="J197" s="112"/>
      <c r="K197" s="111"/>
    </row>
    <row r="198" spans="1:11" ht="30" customHeight="1">
      <c r="A198" s="81" t="s">
        <v>78</v>
      </c>
      <c r="B198" s="109"/>
      <c r="C198" s="112"/>
      <c r="D198" s="110"/>
      <c r="E198" s="110"/>
      <c r="F198" s="112"/>
      <c r="G198" s="110"/>
      <c r="H198" s="110"/>
      <c r="I198" s="112"/>
      <c r="J198" s="110"/>
      <c r="K198" s="111"/>
    </row>
    <row r="199" spans="1:11" ht="36.75" customHeight="1">
      <c r="A199" s="82" t="s">
        <v>122</v>
      </c>
      <c r="B199" s="109"/>
      <c r="C199" s="120">
        <v>107</v>
      </c>
      <c r="D199" s="110"/>
      <c r="E199" s="110"/>
      <c r="F199" s="113">
        <f>C199</f>
        <v>107</v>
      </c>
      <c r="G199" s="110"/>
      <c r="H199" s="110"/>
      <c r="I199" s="113">
        <f>F199</f>
        <v>107</v>
      </c>
      <c r="J199" s="110"/>
      <c r="K199" s="111"/>
    </row>
    <row r="200" spans="1:11" ht="31.5" customHeight="1">
      <c r="A200" s="82" t="s">
        <v>239</v>
      </c>
      <c r="B200" s="109"/>
      <c r="C200" s="120">
        <v>20</v>
      </c>
      <c r="D200" s="110"/>
      <c r="E200" s="110"/>
      <c r="F200" s="113">
        <f>C200</f>
        <v>20</v>
      </c>
      <c r="G200" s="110"/>
      <c r="H200" s="110"/>
      <c r="I200" s="113">
        <f>F200</f>
        <v>20</v>
      </c>
      <c r="J200" s="110"/>
      <c r="K200" s="111"/>
    </row>
    <row r="201" spans="1:11" ht="36.75" customHeight="1">
      <c r="A201" s="82" t="s">
        <v>130</v>
      </c>
      <c r="B201" s="109"/>
      <c r="C201" s="120">
        <v>15</v>
      </c>
      <c r="D201" s="110"/>
      <c r="E201" s="110"/>
      <c r="F201" s="113">
        <f>C201</f>
        <v>15</v>
      </c>
      <c r="G201" s="110"/>
      <c r="H201" s="110"/>
      <c r="I201" s="113">
        <f>F201</f>
        <v>15</v>
      </c>
      <c r="J201" s="110"/>
      <c r="K201" s="111"/>
    </row>
    <row r="202" spans="1:11" ht="29.25" customHeight="1">
      <c r="A202" s="82" t="s">
        <v>123</v>
      </c>
      <c r="B202" s="107"/>
      <c r="C202" s="120">
        <v>48</v>
      </c>
      <c r="D202" s="107"/>
      <c r="E202" s="107"/>
      <c r="F202" s="113">
        <f>C202</f>
        <v>48</v>
      </c>
      <c r="G202" s="107"/>
      <c r="H202" s="107"/>
      <c r="I202" s="113">
        <f>F202</f>
        <v>48</v>
      </c>
      <c r="J202" s="107"/>
      <c r="K202" s="107"/>
    </row>
    <row r="203" spans="1:11" ht="28.5" customHeight="1">
      <c r="A203" s="83" t="s">
        <v>79</v>
      </c>
      <c r="B203" s="107"/>
      <c r="C203" s="107"/>
      <c r="D203" s="107"/>
      <c r="E203" s="107"/>
      <c r="F203" s="107"/>
      <c r="G203" s="107"/>
      <c r="H203" s="107"/>
      <c r="I203" s="107"/>
      <c r="J203" s="107"/>
      <c r="K203" s="107"/>
    </row>
    <row r="204" spans="1:11" ht="35.25" customHeight="1">
      <c r="A204" s="82" t="s">
        <v>128</v>
      </c>
      <c r="B204" s="107"/>
      <c r="C204" s="121">
        <f>C199/9</f>
        <v>11.88888888888889</v>
      </c>
      <c r="D204" s="107"/>
      <c r="E204" s="107"/>
      <c r="F204" s="121">
        <f>C204</f>
        <v>11.88888888888889</v>
      </c>
      <c r="G204" s="107"/>
      <c r="H204" s="107"/>
      <c r="I204" s="121">
        <f>F204</f>
        <v>11.88888888888889</v>
      </c>
      <c r="J204" s="107"/>
      <c r="K204" s="107"/>
    </row>
    <row r="205" spans="1:11" ht="40.5" customHeight="1">
      <c r="A205" s="82" t="s">
        <v>129</v>
      </c>
      <c r="B205" s="107"/>
      <c r="C205" s="122">
        <v>2.4</v>
      </c>
      <c r="D205" s="107"/>
      <c r="E205" s="107"/>
      <c r="F205" s="122">
        <f>C205</f>
        <v>2.4</v>
      </c>
      <c r="G205" s="108"/>
      <c r="H205" s="108"/>
      <c r="I205" s="122">
        <f>F205</f>
        <v>2.4</v>
      </c>
      <c r="J205" s="107"/>
      <c r="K205" s="107"/>
    </row>
    <row r="206" spans="1:11" ht="65.25" customHeight="1">
      <c r="A206" s="82" t="s">
        <v>131</v>
      </c>
      <c r="B206" s="107"/>
      <c r="C206" s="122">
        <v>2.8</v>
      </c>
      <c r="D206" s="107"/>
      <c r="E206" s="107"/>
      <c r="F206" s="122">
        <f>C206</f>
        <v>2.8</v>
      </c>
      <c r="G206" s="108"/>
      <c r="H206" s="108"/>
      <c r="I206" s="122">
        <f>F206</f>
        <v>2.8</v>
      </c>
      <c r="J206" s="107"/>
      <c r="K206" s="107"/>
    </row>
    <row r="207" spans="1:11" ht="42.75" customHeight="1">
      <c r="A207" s="82" t="s">
        <v>124</v>
      </c>
      <c r="B207" s="107"/>
      <c r="C207" s="121">
        <f>C202/9</f>
        <v>5.333333333333333</v>
      </c>
      <c r="D207" s="107"/>
      <c r="E207" s="107"/>
      <c r="F207" s="121">
        <f>C207</f>
        <v>5.333333333333333</v>
      </c>
      <c r="G207" s="107"/>
      <c r="H207" s="107"/>
      <c r="I207" s="121">
        <f>F207</f>
        <v>5.333333333333333</v>
      </c>
      <c r="J207" s="107"/>
      <c r="K207" s="107"/>
    </row>
    <row r="208" spans="1:11" ht="28.5" customHeight="1">
      <c r="A208" s="343" t="str">
        <f>'Додаток 2'!A93:K93</f>
        <v>Підпрограма 7. ІНШІ ПРОГРАМИ ТА ЗАХОДИ У СФЕРІ ОХОРОНИ ЗДОРОВ'Я</v>
      </c>
      <c r="B208" s="343"/>
      <c r="C208" s="343"/>
      <c r="D208" s="343"/>
      <c r="E208" s="343"/>
      <c r="F208" s="343"/>
      <c r="G208" s="343"/>
      <c r="H208" s="343"/>
      <c r="I208" s="343"/>
      <c r="J208" s="343"/>
      <c r="K208" s="343"/>
    </row>
    <row r="209" spans="1:11" ht="24" customHeight="1">
      <c r="A209" s="87" t="s">
        <v>82</v>
      </c>
      <c r="B209" s="353" t="s">
        <v>164</v>
      </c>
      <c r="C209" s="353"/>
      <c r="D209" s="353"/>
      <c r="E209" s="353"/>
      <c r="F209" s="353"/>
      <c r="G209" s="353"/>
      <c r="H209" s="353"/>
      <c r="I209" s="353"/>
      <c r="J209" s="353"/>
      <c r="K209" s="353"/>
    </row>
    <row r="210" spans="1:11" ht="24" customHeight="1">
      <c r="A210" s="90" t="s">
        <v>162</v>
      </c>
      <c r="B210" s="342" t="s">
        <v>132</v>
      </c>
      <c r="C210" s="342"/>
      <c r="D210" s="342"/>
      <c r="E210" s="342"/>
      <c r="F210" s="342"/>
      <c r="G210" s="342"/>
      <c r="H210" s="342"/>
      <c r="I210" s="342"/>
      <c r="J210" s="342"/>
      <c r="K210" s="342"/>
    </row>
    <row r="211" spans="1:12" ht="24.75" customHeight="1">
      <c r="A211" s="76" t="s">
        <v>74</v>
      </c>
      <c r="B211" s="130">
        <f>C211+F211+I211</f>
        <v>12974400</v>
      </c>
      <c r="C211" s="131">
        <f>D211+E211</f>
        <v>5316600</v>
      </c>
      <c r="D211" s="130">
        <f>D212+D213+D214+D215</f>
        <v>2316600</v>
      </c>
      <c r="E211" s="130">
        <f>E212+E213+E214+E215</f>
        <v>3000000</v>
      </c>
      <c r="F211" s="131">
        <f>G211+H211</f>
        <v>5014900</v>
      </c>
      <c r="G211" s="130">
        <f>G212+G213+G214+G216</f>
        <v>2514900</v>
      </c>
      <c r="H211" s="130">
        <f>H212+H213+H215</f>
        <v>2500000</v>
      </c>
      <c r="I211" s="131">
        <f>J211+K211</f>
        <v>2642900</v>
      </c>
      <c r="J211" s="130">
        <f>J212+J213+J214</f>
        <v>2642900</v>
      </c>
      <c r="K211" s="130">
        <f>K212+K213</f>
        <v>0</v>
      </c>
      <c r="L211" s="41">
        <f>B211-'Додаток 2'!G99*1000</f>
        <v>0</v>
      </c>
    </row>
    <row r="212" spans="1:11" ht="21" customHeight="1">
      <c r="A212" s="86" t="s">
        <v>53</v>
      </c>
      <c r="B212" s="108"/>
      <c r="C212" s="122">
        <f>D212+E212</f>
        <v>1928600</v>
      </c>
      <c r="D212" s="108">
        <f>'Додаток 2'!H94*1000</f>
        <v>1928600</v>
      </c>
      <c r="E212" s="108"/>
      <c r="F212" s="122">
        <f>G212+H212</f>
        <v>1920900</v>
      </c>
      <c r="G212" s="108">
        <f>'Додаток 2'!I94*1000</f>
        <v>1920900</v>
      </c>
      <c r="H212" s="108"/>
      <c r="I212" s="122">
        <f>J212+K212</f>
        <v>2098900</v>
      </c>
      <c r="J212" s="108">
        <f>'Додаток 2'!J94*1000</f>
        <v>2098900</v>
      </c>
      <c r="K212" s="108"/>
    </row>
    <row r="213" spans="1:11" ht="39.75" customHeight="1">
      <c r="A213" s="86" t="s">
        <v>137</v>
      </c>
      <c r="B213" s="108"/>
      <c r="C213" s="122">
        <f>D213+E213</f>
        <v>354400</v>
      </c>
      <c r="D213" s="202">
        <f>'Додаток 2'!H95*1000</f>
        <v>354400</v>
      </c>
      <c r="E213" s="108"/>
      <c r="F213" s="122">
        <f>G213+H213</f>
        <v>504000</v>
      </c>
      <c r="G213" s="108">
        <f>'Додаток 2'!I95*1000</f>
        <v>504000</v>
      </c>
      <c r="H213" s="108"/>
      <c r="I213" s="122">
        <f>J213+K213</f>
        <v>504000</v>
      </c>
      <c r="J213" s="108">
        <f>'Додаток 2'!J95*1000</f>
        <v>504000</v>
      </c>
      <c r="K213" s="108"/>
    </row>
    <row r="214" spans="1:11" ht="84" customHeight="1">
      <c r="A214" s="86" t="str">
        <f>'Додаток 2'!B96</f>
        <v>Виконання міської програми «Соціальна підтримка учасників антитерористичної операції та членів їх сімей» на 2017-2019 роки»</v>
      </c>
      <c r="B214" s="108"/>
      <c r="C214" s="122">
        <f>D214+E214</f>
        <v>33600</v>
      </c>
      <c r="D214" s="202">
        <f>'Додаток 2'!H96*1000</f>
        <v>33600</v>
      </c>
      <c r="E214" s="108"/>
      <c r="F214" s="122">
        <f>G214+H214</f>
        <v>40000</v>
      </c>
      <c r="G214" s="108">
        <f>'Додаток 2'!I96*1000</f>
        <v>40000</v>
      </c>
      <c r="H214" s="108"/>
      <c r="I214" s="122">
        <f>J214+K214</f>
        <v>40000</v>
      </c>
      <c r="J214" s="108">
        <f>'Додаток 2'!J96*1000</f>
        <v>40000</v>
      </c>
      <c r="K214" s="108"/>
    </row>
    <row r="215" spans="1:11" ht="120.75" customHeight="1">
      <c r="A215" s="86" t="str">
        <f>'Додаток 2'!B97</f>
        <v>Забезпечення комп'ютерною  та оргтехнікою робочого місця лікаря в лікувальних закладах міста,   які   надають  амбулаторно- поліклінічну  вторинну  (спеціалізовану) медичну допомогу та стаціонарну медичну допомогу </v>
      </c>
      <c r="B215" s="108"/>
      <c r="C215" s="122">
        <f>D215+E215</f>
        <v>3000000</v>
      </c>
      <c r="D215" s="108"/>
      <c r="E215" s="108">
        <f>'Додаток 2'!H97*1000</f>
        <v>3000000</v>
      </c>
      <c r="F215" s="122">
        <f>H215</f>
        <v>2500000</v>
      </c>
      <c r="G215" s="108"/>
      <c r="H215" s="108">
        <f>'Додаток 2'!I101*1000</f>
        <v>2500000</v>
      </c>
      <c r="I215" s="122"/>
      <c r="J215" s="108"/>
      <c r="K215" s="108"/>
    </row>
    <row r="216" spans="1:11" ht="45.75" customHeight="1">
      <c r="A216" s="86" t="str">
        <f>'Додаток 2'!B98</f>
        <v>Супровід медичними працівниками заходів в м.Суми</v>
      </c>
      <c r="B216" s="108"/>
      <c r="C216" s="122"/>
      <c r="D216" s="108"/>
      <c r="E216" s="108"/>
      <c r="F216" s="122"/>
      <c r="G216" s="108">
        <f>'Додаток 2'!I98*1000</f>
        <v>50000</v>
      </c>
      <c r="H216" s="108"/>
      <c r="I216" s="122"/>
      <c r="J216" s="108"/>
      <c r="K216" s="108"/>
    </row>
    <row r="217" spans="1:11" ht="26.25" customHeight="1">
      <c r="A217" s="101" t="s">
        <v>86</v>
      </c>
      <c r="B217" s="107"/>
      <c r="C217" s="121"/>
      <c r="D217" s="107"/>
      <c r="E217" s="107"/>
      <c r="F217" s="121"/>
      <c r="G217" s="107"/>
      <c r="H217" s="107"/>
      <c r="I217" s="121"/>
      <c r="J217" s="107"/>
      <c r="K217" s="107"/>
    </row>
    <row r="218" spans="1:11" ht="69.75" customHeight="1">
      <c r="A218" s="86" t="s">
        <v>165</v>
      </c>
      <c r="B218" s="107"/>
      <c r="C218" s="121">
        <f>(C212+C213+C214)/1000</f>
        <v>2316.6</v>
      </c>
      <c r="D218" s="107"/>
      <c r="E218" s="107"/>
      <c r="F218" s="121">
        <f>(F212+F213)/1000</f>
        <v>2424.9</v>
      </c>
      <c r="G218" s="107"/>
      <c r="H218" s="107"/>
      <c r="I218" s="121">
        <f>(I212+I213)/1000</f>
        <v>2602.9</v>
      </c>
      <c r="J218" s="107"/>
      <c r="K218" s="107"/>
    </row>
    <row r="219" spans="1:11" ht="45.75" customHeight="1">
      <c r="A219" s="86" t="s">
        <v>163</v>
      </c>
      <c r="B219" s="107"/>
      <c r="C219" s="121">
        <v>8356</v>
      </c>
      <c r="D219" s="107"/>
      <c r="E219" s="107"/>
      <c r="F219" s="121">
        <v>8488</v>
      </c>
      <c r="G219" s="107"/>
      <c r="H219" s="107"/>
      <c r="I219" s="121">
        <v>8603</v>
      </c>
      <c r="J219" s="107"/>
      <c r="K219" s="107"/>
    </row>
    <row r="220" spans="1:11" ht="126" customHeight="1">
      <c r="A220" s="86" t="s">
        <v>206</v>
      </c>
      <c r="B220" s="107"/>
      <c r="C220" s="121">
        <f>C215/1000</f>
        <v>3000</v>
      </c>
      <c r="D220" s="107"/>
      <c r="E220" s="107"/>
      <c r="F220" s="121"/>
      <c r="G220" s="107"/>
      <c r="H220" s="107"/>
      <c r="I220" s="121"/>
      <c r="J220" s="107"/>
      <c r="K220" s="107"/>
    </row>
    <row r="221" spans="1:11" ht="18" customHeight="1">
      <c r="A221" s="101" t="s">
        <v>76</v>
      </c>
      <c r="B221" s="107"/>
      <c r="C221" s="121"/>
      <c r="D221" s="107"/>
      <c r="E221" s="107"/>
      <c r="F221" s="121"/>
      <c r="G221" s="107"/>
      <c r="H221" s="107"/>
      <c r="I221" s="121"/>
      <c r="J221" s="107"/>
      <c r="K221" s="107"/>
    </row>
    <row r="222" spans="1:11" ht="57" customHeight="1">
      <c r="A222" s="82" t="s">
        <v>166</v>
      </c>
      <c r="B222" s="107"/>
      <c r="C222" s="121">
        <f>610+557</f>
        <v>1167</v>
      </c>
      <c r="D222" s="107"/>
      <c r="E222" s="107"/>
      <c r="F222" s="121">
        <f>C222</f>
        <v>1167</v>
      </c>
      <c r="G222" s="107"/>
      <c r="H222" s="107"/>
      <c r="I222" s="121">
        <f>F222</f>
        <v>1167</v>
      </c>
      <c r="J222" s="107"/>
      <c r="K222" s="107"/>
    </row>
    <row r="223" spans="1:11" ht="33.75" customHeight="1">
      <c r="A223" s="82" t="s">
        <v>274</v>
      </c>
      <c r="B223" s="107"/>
      <c r="C223" s="121">
        <v>150</v>
      </c>
      <c r="D223" s="107"/>
      <c r="E223" s="107"/>
      <c r="F223" s="121"/>
      <c r="G223" s="107"/>
      <c r="H223" s="107"/>
      <c r="I223" s="121"/>
      <c r="J223" s="107"/>
      <c r="K223" s="107"/>
    </row>
    <row r="224" spans="1:11" ht="19.5" customHeight="1">
      <c r="A224" s="81" t="s">
        <v>78</v>
      </c>
      <c r="B224" s="107"/>
      <c r="C224" s="121"/>
      <c r="D224" s="107"/>
      <c r="E224" s="107"/>
      <c r="F224" s="121"/>
      <c r="G224" s="107"/>
      <c r="H224" s="107"/>
      <c r="I224" s="121"/>
      <c r="J224" s="107"/>
      <c r="K224" s="107"/>
    </row>
    <row r="225" spans="1:11" ht="63" customHeight="1">
      <c r="A225" s="82" t="s">
        <v>167</v>
      </c>
      <c r="B225" s="107"/>
      <c r="C225" s="122">
        <f>C222/C219*100</f>
        <v>13.96601244614648</v>
      </c>
      <c r="D225" s="107"/>
      <c r="E225" s="107"/>
      <c r="F225" s="122">
        <f>F222/F219*100</f>
        <v>13.748821866163997</v>
      </c>
      <c r="G225" s="107"/>
      <c r="H225" s="107"/>
      <c r="I225" s="122">
        <f>I222/I219*100</f>
        <v>13.565035452749042</v>
      </c>
      <c r="J225" s="107"/>
      <c r="K225" s="107"/>
    </row>
    <row r="226" spans="1:11" ht="44.25" customHeight="1">
      <c r="A226" s="93" t="s">
        <v>207</v>
      </c>
      <c r="B226" s="107"/>
      <c r="C226" s="122">
        <f>C220/C223</f>
        <v>20</v>
      </c>
      <c r="D226" s="107"/>
      <c r="E226" s="107"/>
      <c r="F226" s="122"/>
      <c r="G226" s="107"/>
      <c r="H226" s="107"/>
      <c r="I226" s="122"/>
      <c r="J226" s="107"/>
      <c r="K226" s="107"/>
    </row>
    <row r="227" spans="1:11" ht="18" customHeight="1">
      <c r="A227" s="83" t="s">
        <v>79</v>
      </c>
      <c r="B227" s="107"/>
      <c r="C227" s="121"/>
      <c r="D227" s="107"/>
      <c r="E227" s="107"/>
      <c r="F227" s="121"/>
      <c r="G227" s="107"/>
      <c r="H227" s="107"/>
      <c r="I227" s="121"/>
      <c r="J227" s="107"/>
      <c r="K227" s="107"/>
    </row>
    <row r="228" spans="1:11" ht="79.5" customHeight="1">
      <c r="A228" s="82" t="s">
        <v>275</v>
      </c>
      <c r="B228" s="107"/>
      <c r="C228" s="121">
        <v>1</v>
      </c>
      <c r="D228" s="107"/>
      <c r="E228" s="107"/>
      <c r="F228" s="121">
        <v>1</v>
      </c>
      <c r="G228" s="107"/>
      <c r="H228" s="107"/>
      <c r="I228" s="121">
        <v>1</v>
      </c>
      <c r="J228" s="107"/>
      <c r="K228" s="107"/>
    </row>
    <row r="229" spans="1:11" ht="36.75" customHeight="1">
      <c r="A229" s="186" t="str">
        <f>'Додаток 2'!A102:K102</f>
        <v>Підпрограма 8.   ВИКОНАННЯ ІНВЕСТИЦІЙНИХ ПРОЕКТІВ В РАМКАХ ЗДІЙСНЕННЯ ЗАХОДІВ ЩОДО СОЦІАЛЬНО-ЕКОНОМІЧНОГО РОЗВИТКУ </v>
      </c>
      <c r="B229" s="187"/>
      <c r="C229" s="187"/>
      <c r="D229" s="187"/>
      <c r="E229" s="187"/>
      <c r="F229" s="187"/>
      <c r="G229" s="187"/>
      <c r="H229" s="187"/>
      <c r="I229" s="187"/>
      <c r="J229" s="187"/>
      <c r="K229" s="188"/>
    </row>
    <row r="230" spans="1:11" ht="22.5" customHeight="1">
      <c r="A230" s="87" t="s">
        <v>82</v>
      </c>
      <c r="B230" s="334" t="s">
        <v>273</v>
      </c>
      <c r="C230" s="334"/>
      <c r="D230" s="334"/>
      <c r="E230" s="334"/>
      <c r="F230" s="334"/>
      <c r="G230" s="334"/>
      <c r="H230" s="334"/>
      <c r="I230" s="334"/>
      <c r="J230" s="334"/>
      <c r="K230" s="334"/>
    </row>
    <row r="231" spans="1:11" ht="22.5" customHeight="1">
      <c r="A231" s="90" t="s">
        <v>208</v>
      </c>
      <c r="B231" s="65" t="s">
        <v>209</v>
      </c>
      <c r="C231" s="107"/>
      <c r="D231" s="107"/>
      <c r="E231" s="107"/>
      <c r="F231" s="107"/>
      <c r="G231" s="107"/>
      <c r="H231" s="107"/>
      <c r="I231" s="107"/>
      <c r="J231" s="107"/>
      <c r="K231" s="107"/>
    </row>
    <row r="232" spans="1:11" ht="22.5" customHeight="1">
      <c r="A232" s="132" t="s">
        <v>74</v>
      </c>
      <c r="B232" s="130">
        <f>C232+F232+I232</f>
        <v>4819099.999999999</v>
      </c>
      <c r="C232" s="131">
        <f>D232+E232</f>
        <v>4819099.999999999</v>
      </c>
      <c r="D232" s="130">
        <f>D233</f>
        <v>0</v>
      </c>
      <c r="E232" s="130">
        <f>E233</f>
        <v>4819099.999999999</v>
      </c>
      <c r="F232" s="133"/>
      <c r="G232" s="133"/>
      <c r="H232" s="133"/>
      <c r="I232" s="133"/>
      <c r="J232" s="133"/>
      <c r="K232" s="133"/>
    </row>
    <row r="233" spans="1:11" ht="37.5" customHeight="1">
      <c r="A233" s="119" t="s">
        <v>199</v>
      </c>
      <c r="B233" s="65"/>
      <c r="C233" s="107"/>
      <c r="D233" s="107"/>
      <c r="E233" s="107">
        <f>'Додаток 2'!H105*1000</f>
        <v>4819099.999999999</v>
      </c>
      <c r="F233" s="107"/>
      <c r="G233" s="107"/>
      <c r="H233" s="107"/>
      <c r="I233" s="107"/>
      <c r="J233" s="107"/>
      <c r="K233" s="107"/>
    </row>
    <row r="234" spans="1:11" ht="18" customHeight="1">
      <c r="A234" s="101" t="s">
        <v>86</v>
      </c>
      <c r="B234" s="65"/>
      <c r="C234" s="107"/>
      <c r="D234" s="107"/>
      <c r="E234" s="107"/>
      <c r="F234" s="107"/>
      <c r="G234" s="107"/>
      <c r="H234" s="107"/>
      <c r="I234" s="107"/>
      <c r="J234" s="107"/>
      <c r="K234" s="107"/>
    </row>
    <row r="235" spans="1:11" ht="37.5" customHeight="1">
      <c r="A235" s="82" t="s">
        <v>210</v>
      </c>
      <c r="B235" s="65"/>
      <c r="C235" s="107"/>
      <c r="D235" s="107"/>
      <c r="E235" s="107">
        <f>E233</f>
        <v>4819099.999999999</v>
      </c>
      <c r="F235" s="107"/>
      <c r="G235" s="107"/>
      <c r="H235" s="107"/>
      <c r="I235" s="107"/>
      <c r="J235" s="107"/>
      <c r="K235" s="107"/>
    </row>
    <row r="236" spans="1:11" ht="23.25" customHeight="1">
      <c r="A236" s="101" t="s">
        <v>76</v>
      </c>
      <c r="B236" s="65"/>
      <c r="C236" s="107"/>
      <c r="D236" s="107"/>
      <c r="E236" s="107"/>
      <c r="F236" s="107"/>
      <c r="G236" s="107"/>
      <c r="H236" s="107"/>
      <c r="I236" s="107"/>
      <c r="J236" s="107"/>
      <c r="K236" s="107"/>
    </row>
    <row r="237" spans="1:11" ht="44.25" customHeight="1">
      <c r="A237" s="82" t="s">
        <v>211</v>
      </c>
      <c r="B237" s="65"/>
      <c r="C237" s="107"/>
      <c r="D237" s="107"/>
      <c r="E237" s="107">
        <v>9</v>
      </c>
      <c r="F237" s="107"/>
      <c r="G237" s="107"/>
      <c r="H237" s="107"/>
      <c r="I237" s="107"/>
      <c r="J237" s="107"/>
      <c r="K237" s="107"/>
    </row>
    <row r="238" spans="1:11" ht="51" customHeight="1">
      <c r="A238" s="82" t="s">
        <v>212</v>
      </c>
      <c r="B238" s="65"/>
      <c r="C238" s="107"/>
      <c r="D238" s="107"/>
      <c r="E238" s="107">
        <v>9</v>
      </c>
      <c r="F238" s="107"/>
      <c r="G238" s="107"/>
      <c r="H238" s="107"/>
      <c r="I238" s="107"/>
      <c r="J238" s="107"/>
      <c r="K238" s="107"/>
    </row>
    <row r="239" spans="1:11" ht="29.25" customHeight="1">
      <c r="A239" s="81" t="s">
        <v>78</v>
      </c>
      <c r="B239" s="65"/>
      <c r="C239" s="107"/>
      <c r="D239" s="107"/>
      <c r="E239" s="107"/>
      <c r="F239" s="107"/>
      <c r="G239" s="107"/>
      <c r="H239" s="107"/>
      <c r="I239" s="107"/>
      <c r="J239" s="107"/>
      <c r="K239" s="107"/>
    </row>
    <row r="240" spans="1:11" ht="42.75" customHeight="1">
      <c r="A240" s="93" t="s">
        <v>213</v>
      </c>
      <c r="B240" s="65"/>
      <c r="C240" s="107"/>
      <c r="D240" s="107"/>
      <c r="E240" s="123">
        <f>E235/E237</f>
        <v>535455.5555555555</v>
      </c>
      <c r="F240" s="107"/>
      <c r="G240" s="107"/>
      <c r="H240" s="107"/>
      <c r="I240" s="107"/>
      <c r="J240" s="107"/>
      <c r="K240" s="107"/>
    </row>
    <row r="241" spans="1:11" ht="24.75" customHeight="1">
      <c r="A241" s="83" t="s">
        <v>79</v>
      </c>
      <c r="B241" s="65"/>
      <c r="C241" s="107"/>
      <c r="D241" s="107"/>
      <c r="E241" s="107"/>
      <c r="F241" s="107"/>
      <c r="G241" s="107"/>
      <c r="H241" s="107"/>
      <c r="I241" s="107"/>
      <c r="J241" s="107"/>
      <c r="K241" s="107"/>
    </row>
    <row r="242" spans="1:11" ht="72.75" customHeight="1">
      <c r="A242" s="94" t="s">
        <v>172</v>
      </c>
      <c r="B242" s="65"/>
      <c r="C242" s="107"/>
      <c r="D242" s="107"/>
      <c r="E242" s="107">
        <f>E237/E238*100</f>
        <v>100</v>
      </c>
      <c r="F242" s="107"/>
      <c r="G242" s="107"/>
      <c r="H242" s="107"/>
      <c r="I242" s="107"/>
      <c r="J242" s="107"/>
      <c r="K242" s="107"/>
    </row>
    <row r="243" spans="1:11" ht="1.5" customHeight="1">
      <c r="A243" s="101"/>
      <c r="B243" s="107"/>
      <c r="C243" s="107"/>
      <c r="D243" s="107"/>
      <c r="E243" s="107"/>
      <c r="F243" s="107"/>
      <c r="G243" s="107"/>
      <c r="H243" s="107"/>
      <c r="I243" s="107"/>
      <c r="J243" s="107"/>
      <c r="K243" s="107"/>
    </row>
    <row r="244" spans="1:11" ht="60" customHeight="1" hidden="1">
      <c r="A244" s="360" t="str">
        <f>'Додаток 2'!A108:K108</f>
        <v>Підпрограма 9.    ЗАХОДИ З ЕНЕРГОЗБЕРЕЖЕННЯ (на виконання Програми " Про програму підвищення енергоефективності в
бюджетній сфері міста Суми на 2017-2019 роки" (зі змінами) № 1548-МР від 21.12.2016 року)</v>
      </c>
      <c r="B244" s="361"/>
      <c r="C244" s="361"/>
      <c r="D244" s="361"/>
      <c r="E244" s="361"/>
      <c r="F244" s="361"/>
      <c r="G244" s="361"/>
      <c r="H244" s="361"/>
      <c r="I244" s="361"/>
      <c r="J244" s="361"/>
      <c r="K244" s="362"/>
    </row>
    <row r="245" spans="1:11" ht="28.5" customHeight="1" hidden="1">
      <c r="A245" s="87" t="s">
        <v>82</v>
      </c>
      <c r="B245" s="334" t="s">
        <v>202</v>
      </c>
      <c r="C245" s="334"/>
      <c r="D245" s="334"/>
      <c r="E245" s="334"/>
      <c r="F245" s="334"/>
      <c r="G245" s="334"/>
      <c r="H245" s="334"/>
      <c r="I245" s="334"/>
      <c r="J245" s="334"/>
      <c r="K245" s="334"/>
    </row>
    <row r="246" spans="1:11" ht="33" customHeight="1" hidden="1">
      <c r="A246" s="90" t="s">
        <v>214</v>
      </c>
      <c r="B246" s="357" t="s">
        <v>215</v>
      </c>
      <c r="C246" s="358"/>
      <c r="D246" s="358"/>
      <c r="E246" s="358"/>
      <c r="F246" s="358"/>
      <c r="G246" s="358"/>
      <c r="H246" s="358"/>
      <c r="I246" s="358"/>
      <c r="J246" s="358"/>
      <c r="K246" s="359"/>
    </row>
    <row r="247" spans="1:11" ht="43.5" customHeight="1" hidden="1">
      <c r="A247" s="134" t="s">
        <v>74</v>
      </c>
      <c r="B247" s="135">
        <f>C247+F247+I247</f>
        <v>12016900</v>
      </c>
      <c r="C247" s="136">
        <f>D247+E247</f>
        <v>12016900</v>
      </c>
      <c r="D247" s="135">
        <f>D248</f>
        <v>0</v>
      </c>
      <c r="E247" s="135">
        <f>E248</f>
        <v>12016900</v>
      </c>
      <c r="F247" s="133"/>
      <c r="G247" s="133"/>
      <c r="H247" s="133"/>
      <c r="I247" s="133"/>
      <c r="J247" s="133"/>
      <c r="K247" s="133"/>
    </row>
    <row r="248" spans="1:11" ht="50.25" customHeight="1" hidden="1">
      <c r="A248" s="82" t="s">
        <v>251</v>
      </c>
      <c r="B248" s="65"/>
      <c r="C248" s="107"/>
      <c r="D248" s="107"/>
      <c r="E248" s="107">
        <f>'Додаток 2'!H112*1000</f>
        <v>12016900</v>
      </c>
      <c r="F248" s="107"/>
      <c r="G248" s="107"/>
      <c r="H248" s="107"/>
      <c r="I248" s="107"/>
      <c r="J248" s="107"/>
      <c r="K248" s="107"/>
    </row>
    <row r="249" spans="1:11" ht="105" customHeight="1" hidden="1">
      <c r="A249" s="159" t="s">
        <v>216</v>
      </c>
      <c r="B249" s="66"/>
      <c r="C249" s="107"/>
      <c r="D249" s="107"/>
      <c r="E249" s="108">
        <f>E247</f>
        <v>12016900</v>
      </c>
      <c r="F249" s="107"/>
      <c r="G249" s="107"/>
      <c r="H249" s="107"/>
      <c r="I249" s="107"/>
      <c r="J249" s="107"/>
      <c r="K249" s="107"/>
    </row>
    <row r="250" spans="1:11" ht="54.75" customHeight="1" hidden="1">
      <c r="A250" s="360" t="str">
        <f>'Додаток 2'!A116:K116</f>
        <v>Підпрограма 10.   РЕАЛІЗАЦІЯ ПРОГРАМ ДОПОМОГИ І ГРАНТІВ ЄВРОПЕЙСЬКОГО СОЮЗУ, УРЯДІВ ІНОЗЕМНИХ ДЕРЖАВ, МІЖНАРОДНИХ ОРГАНІЗАЦІЙ, ДОНОРСЬКИХ УСТАНОВ  (на виконання Програми " Про програму підвищення енергоефективності в бюджетній сфері міста Суми на 2017-2019 роки" (зі змінами) № 1548-МР від 21.12.2016 року)</v>
      </c>
      <c r="B250" s="361"/>
      <c r="C250" s="361"/>
      <c r="D250" s="361"/>
      <c r="E250" s="361"/>
      <c r="F250" s="361"/>
      <c r="G250" s="361"/>
      <c r="H250" s="361"/>
      <c r="I250" s="361"/>
      <c r="J250" s="361"/>
      <c r="K250" s="362"/>
    </row>
    <row r="251" spans="1:11" ht="18.75" customHeight="1" hidden="1">
      <c r="A251" s="87" t="s">
        <v>82</v>
      </c>
      <c r="B251" s="334" t="s">
        <v>202</v>
      </c>
      <c r="C251" s="334"/>
      <c r="D251" s="334"/>
      <c r="E251" s="334"/>
      <c r="F251" s="334"/>
      <c r="G251" s="334"/>
      <c r="H251" s="334"/>
      <c r="I251" s="334"/>
      <c r="J251" s="334"/>
      <c r="K251" s="334"/>
    </row>
    <row r="252" spans="1:11" ht="27.75" customHeight="1" hidden="1">
      <c r="A252" s="90" t="s">
        <v>217</v>
      </c>
      <c r="B252" s="357" t="s">
        <v>218</v>
      </c>
      <c r="C252" s="358"/>
      <c r="D252" s="358"/>
      <c r="E252" s="358"/>
      <c r="F252" s="358"/>
      <c r="G252" s="358"/>
      <c r="H252" s="358"/>
      <c r="I252" s="358"/>
      <c r="J252" s="358"/>
      <c r="K252" s="359"/>
    </row>
    <row r="253" spans="1:11" ht="27.75" customHeight="1" hidden="1">
      <c r="A253" s="134" t="s">
        <v>74</v>
      </c>
      <c r="B253" s="135">
        <f>C253+F253+I253</f>
        <v>9592653.58</v>
      </c>
      <c r="C253" s="136">
        <f>D253+E253</f>
        <v>9592653.58</v>
      </c>
      <c r="D253" s="135">
        <f>D254</f>
        <v>0</v>
      </c>
      <c r="E253" s="135">
        <f>E254</f>
        <v>9592653.58</v>
      </c>
      <c r="F253" s="133"/>
      <c r="G253" s="133"/>
      <c r="H253" s="133"/>
      <c r="I253" s="133"/>
      <c r="J253" s="133"/>
      <c r="K253" s="133"/>
    </row>
    <row r="254" spans="1:11" ht="35.25" customHeight="1" hidden="1">
      <c r="A254" s="82" t="s">
        <v>252</v>
      </c>
      <c r="B254" s="65"/>
      <c r="C254" s="107"/>
      <c r="D254" s="107"/>
      <c r="E254" s="123">
        <f>'Додаток 2'!H119*1000</f>
        <v>9592653.58</v>
      </c>
      <c r="F254" s="107"/>
      <c r="G254" s="107"/>
      <c r="H254" s="107"/>
      <c r="I254" s="107"/>
      <c r="J254" s="107"/>
      <c r="K254" s="107"/>
    </row>
    <row r="255" spans="1:11" ht="108.75" customHeight="1" hidden="1">
      <c r="A255" s="95" t="s">
        <v>216</v>
      </c>
      <c r="B255" s="66"/>
      <c r="C255" s="107"/>
      <c r="D255" s="107"/>
      <c r="E255" s="108">
        <f>E253</f>
        <v>9592653.58</v>
      </c>
      <c r="F255" s="107"/>
      <c r="G255" s="107"/>
      <c r="H255" s="107"/>
      <c r="I255" s="107"/>
      <c r="J255" s="107"/>
      <c r="K255" s="107"/>
    </row>
    <row r="256" spans="1:11" ht="34.5" customHeight="1" hidden="1">
      <c r="A256" s="335" t="str">
        <f>'Додаток 2'!A120:K120</f>
        <v>Підпрограма 11. БУДІВНИЦТВО ТА РЕКОНСТРУКЦІЯ МЕДИЧНИХ УСТАНОВ ТА ЗАКЛАДІВ</v>
      </c>
      <c r="B256" s="336"/>
      <c r="C256" s="336"/>
      <c r="D256" s="336"/>
      <c r="E256" s="336"/>
      <c r="F256" s="336"/>
      <c r="G256" s="336"/>
      <c r="H256" s="336"/>
      <c r="I256" s="336"/>
      <c r="J256" s="336"/>
      <c r="K256" s="337"/>
    </row>
    <row r="257" spans="1:11" ht="23.25" customHeight="1" hidden="1">
      <c r="A257" s="87" t="s">
        <v>82</v>
      </c>
      <c r="B257" s="334" t="s">
        <v>204</v>
      </c>
      <c r="C257" s="334"/>
      <c r="D257" s="334"/>
      <c r="E257" s="334"/>
      <c r="F257" s="334"/>
      <c r="G257" s="334"/>
      <c r="H257" s="334"/>
      <c r="I257" s="334"/>
      <c r="J257" s="334"/>
      <c r="K257" s="334"/>
    </row>
    <row r="258" spans="1:11" ht="27.75" customHeight="1" hidden="1">
      <c r="A258" s="67" t="s">
        <v>223</v>
      </c>
      <c r="B258" s="68"/>
      <c r="C258" s="68"/>
      <c r="D258" s="68"/>
      <c r="E258" s="68"/>
      <c r="F258" s="68"/>
      <c r="G258" s="68"/>
      <c r="H258" s="68"/>
      <c r="I258" s="68"/>
      <c r="J258" s="68"/>
      <c r="K258" s="66"/>
    </row>
    <row r="259" spans="1:11" ht="27.75" customHeight="1" hidden="1">
      <c r="A259" s="134" t="s">
        <v>74</v>
      </c>
      <c r="B259" s="135">
        <f>C259+F259+I259</f>
        <v>7316700</v>
      </c>
      <c r="C259" s="136">
        <f>D259+E259</f>
        <v>7316700</v>
      </c>
      <c r="D259" s="135">
        <f>D260</f>
        <v>0</v>
      </c>
      <c r="E259" s="135">
        <f>E260</f>
        <v>7316700</v>
      </c>
      <c r="F259" s="133"/>
      <c r="G259" s="133"/>
      <c r="H259" s="133"/>
      <c r="I259" s="133"/>
      <c r="J259" s="133"/>
      <c r="K259" s="133"/>
    </row>
    <row r="260" spans="1:11" ht="41.25" customHeight="1" hidden="1">
      <c r="A260" s="82" t="s">
        <v>204</v>
      </c>
      <c r="B260" s="65"/>
      <c r="C260" s="107"/>
      <c r="D260" s="107"/>
      <c r="E260" s="123">
        <f>'Додаток 2'!H123*1000</f>
        <v>7316700</v>
      </c>
      <c r="F260" s="107"/>
      <c r="G260" s="107"/>
      <c r="H260" s="107"/>
      <c r="I260" s="107"/>
      <c r="J260" s="107"/>
      <c r="K260" s="107"/>
    </row>
    <row r="261" spans="1:11" ht="32.25" customHeight="1" hidden="1">
      <c r="A261" s="335" t="str">
        <f>'Додаток 2'!A124:K124</f>
        <v>Підпрограма 12. МЕДИЧНЕ ОБСЛУГОВУВАННЯ НАСЕЛЕННЯ ЗА ПРОГРАМОЮ МЕДИЧНИХ ГАРАНТІЙ </v>
      </c>
      <c r="B261" s="336"/>
      <c r="C261" s="336"/>
      <c r="D261" s="336"/>
      <c r="E261" s="336"/>
      <c r="F261" s="336"/>
      <c r="G261" s="336"/>
      <c r="H261" s="336"/>
      <c r="I261" s="336"/>
      <c r="J261" s="336"/>
      <c r="K261" s="337"/>
    </row>
    <row r="262" spans="1:11" ht="24.75" customHeight="1" hidden="1">
      <c r="A262" s="87" t="s">
        <v>82</v>
      </c>
      <c r="B262" s="334" t="str">
        <f>'Додаток 2'!B125</f>
        <v>Фінансування медзакладів за новою системою у сфері надання первинної меддопомоги</v>
      </c>
      <c r="C262" s="334"/>
      <c r="D262" s="334"/>
      <c r="E262" s="334"/>
      <c r="F262" s="334"/>
      <c r="G262" s="334"/>
      <c r="H262" s="334"/>
      <c r="I262" s="334"/>
      <c r="J262" s="334"/>
      <c r="K262" s="334"/>
    </row>
    <row r="263" spans="1:11" ht="20.25" customHeight="1" hidden="1">
      <c r="A263" s="134" t="s">
        <v>74</v>
      </c>
      <c r="B263" s="135">
        <f>C263+F263+I263</f>
        <v>130096.6</v>
      </c>
      <c r="C263" s="136">
        <f>D263+E263</f>
        <v>130096.6</v>
      </c>
      <c r="D263" s="135">
        <f>D264</f>
        <v>130096.6</v>
      </c>
      <c r="E263" s="135">
        <f>E264</f>
        <v>0</v>
      </c>
      <c r="F263" s="133"/>
      <c r="G263" s="133"/>
      <c r="H263" s="133"/>
      <c r="I263" s="133"/>
      <c r="J263" s="133"/>
      <c r="K263" s="133"/>
    </row>
    <row r="264" spans="1:16" s="9" customFormat="1" ht="38.25" customHeight="1" hidden="1">
      <c r="A264" s="82" t="str">
        <f>'Додаток 2'!F125</f>
        <v>Кошти національної служби здоров’я України</v>
      </c>
      <c r="B264" s="65"/>
      <c r="C264" s="180"/>
      <c r="D264" s="180">
        <f>'Додаток 2'!H125</f>
        <v>130096.6</v>
      </c>
      <c r="E264" s="123"/>
      <c r="F264" s="180"/>
      <c r="G264" s="180"/>
      <c r="H264" s="180"/>
      <c r="I264" s="180"/>
      <c r="J264" s="180"/>
      <c r="K264" s="180"/>
      <c r="M264" s="39"/>
      <c r="N264" s="39"/>
      <c r="O264" s="39"/>
      <c r="P264" s="39"/>
    </row>
    <row r="265" spans="1:16" s="9" customFormat="1" ht="21" customHeight="1">
      <c r="A265" s="171"/>
      <c r="B265" s="69"/>
      <c r="C265" s="71"/>
      <c r="D265" s="71"/>
      <c r="E265" s="172"/>
      <c r="F265" s="71"/>
      <c r="G265" s="71"/>
      <c r="H265" s="71"/>
      <c r="I265" s="71"/>
      <c r="J265" s="71"/>
      <c r="K265" s="71"/>
      <c r="M265" s="39"/>
      <c r="N265" s="39"/>
      <c r="O265" s="39"/>
      <c r="P265" s="39"/>
    </row>
    <row r="266" spans="1:16" s="9" customFormat="1" ht="21" customHeight="1">
      <c r="A266" s="171"/>
      <c r="B266" s="69"/>
      <c r="C266" s="71"/>
      <c r="D266" s="71"/>
      <c r="E266" s="172"/>
      <c r="F266" s="71"/>
      <c r="G266" s="71"/>
      <c r="H266" s="71"/>
      <c r="I266" s="71"/>
      <c r="J266" s="71"/>
      <c r="K266" s="71"/>
      <c r="M266" s="39"/>
      <c r="N266" s="39"/>
      <c r="O266" s="39"/>
      <c r="P266" s="39"/>
    </row>
    <row r="267" spans="1:16" s="9" customFormat="1" ht="21" customHeight="1">
      <c r="A267" s="171"/>
      <c r="B267" s="69"/>
      <c r="C267" s="71"/>
      <c r="D267" s="71"/>
      <c r="E267" s="172"/>
      <c r="F267" s="71"/>
      <c r="G267" s="71"/>
      <c r="H267" s="71"/>
      <c r="I267" s="71"/>
      <c r="J267" s="71"/>
      <c r="K267" s="71"/>
      <c r="M267" s="39"/>
      <c r="N267" s="39"/>
      <c r="O267" s="39"/>
      <c r="P267" s="39"/>
    </row>
    <row r="268" spans="1:16" s="9" customFormat="1" ht="21" customHeight="1">
      <c r="A268" s="171"/>
      <c r="B268" s="69"/>
      <c r="C268" s="71"/>
      <c r="D268" s="71"/>
      <c r="E268" s="172"/>
      <c r="F268" s="71"/>
      <c r="G268" s="71"/>
      <c r="H268" s="71"/>
      <c r="I268" s="71"/>
      <c r="J268" s="71"/>
      <c r="K268" s="71"/>
      <c r="M268" s="39"/>
      <c r="N268" s="39"/>
      <c r="O268" s="39"/>
      <c r="P268" s="39"/>
    </row>
    <row r="269" spans="1:16" s="9" customFormat="1" ht="21" customHeight="1">
      <c r="A269" s="9" t="s">
        <v>271</v>
      </c>
      <c r="C269" s="30"/>
      <c r="D269" s="11"/>
      <c r="F269" s="14"/>
      <c r="G269" s="14"/>
      <c r="H269" s="14"/>
      <c r="I269" s="13" t="s">
        <v>272</v>
      </c>
      <c r="J269" s="14"/>
      <c r="K269" s="16"/>
      <c r="M269" s="39"/>
      <c r="N269" s="39"/>
      <c r="O269" s="39"/>
      <c r="P269" s="39"/>
    </row>
    <row r="270" spans="1:15" ht="21" customHeight="1">
      <c r="A270" s="55" t="s">
        <v>280</v>
      </c>
      <c r="B270" s="9"/>
      <c r="C270" s="10"/>
      <c r="D270" s="11"/>
      <c r="E270" s="9"/>
      <c r="F270" s="14"/>
      <c r="G270" s="14"/>
      <c r="H270" s="14"/>
      <c r="I270" s="14"/>
      <c r="J270" s="14"/>
      <c r="K270" s="53"/>
      <c r="O270" s="41"/>
    </row>
    <row r="271" spans="1:11" ht="20.25" customHeight="1">
      <c r="A271" s="9" t="s">
        <v>297</v>
      </c>
      <c r="D271" s="50"/>
      <c r="F271" s="51"/>
      <c r="G271" s="51"/>
      <c r="H271" s="51"/>
      <c r="I271" s="51"/>
      <c r="J271" s="51"/>
      <c r="K271" s="53"/>
    </row>
    <row r="272" ht="20.25" customHeight="1"/>
    <row r="273" ht="20.25" customHeight="1"/>
    <row r="274" ht="20.25" customHeight="1"/>
    <row r="275" ht="20.25" customHeight="1"/>
    <row r="276" ht="20.25" customHeight="1"/>
    <row r="277" ht="20.25" customHeight="1"/>
  </sheetData>
  <sheetProtection/>
  <mergeCells count="51">
    <mergeCell ref="B257:K257"/>
    <mergeCell ref="B230:K230"/>
    <mergeCell ref="B245:K245"/>
    <mergeCell ref="B246:K246"/>
    <mergeCell ref="B251:K251"/>
    <mergeCell ref="B252:K252"/>
    <mergeCell ref="A244:K244"/>
    <mergeCell ref="A250:K250"/>
    <mergeCell ref="A208:K208"/>
    <mergeCell ref="B209:K209"/>
    <mergeCell ref="B210:K210"/>
    <mergeCell ref="B188:K188"/>
    <mergeCell ref="B133:K133"/>
    <mergeCell ref="H1:J1"/>
    <mergeCell ref="H2:K2"/>
    <mergeCell ref="H3:K3"/>
    <mergeCell ref="A5:K5"/>
    <mergeCell ref="A7:A10"/>
    <mergeCell ref="I7:K8"/>
    <mergeCell ref="C9:C10"/>
    <mergeCell ref="D9:E9"/>
    <mergeCell ref="F9:F10"/>
    <mergeCell ref="G9:H9"/>
    <mergeCell ref="I9:I10"/>
    <mergeCell ref="J9:K9"/>
    <mergeCell ref="A95:K95"/>
    <mergeCell ref="B7:B10"/>
    <mergeCell ref="C7:E8"/>
    <mergeCell ref="B96:K96"/>
    <mergeCell ref="A13:K13"/>
    <mergeCell ref="B15:K15"/>
    <mergeCell ref="A59:K59"/>
    <mergeCell ref="A14:K14"/>
    <mergeCell ref="B60:K60"/>
    <mergeCell ref="F7:H8"/>
    <mergeCell ref="B97:K97"/>
    <mergeCell ref="B134:K134"/>
    <mergeCell ref="A132:K132"/>
    <mergeCell ref="A163:K163"/>
    <mergeCell ref="B164:K164"/>
    <mergeCell ref="A187:K187"/>
    <mergeCell ref="B262:K262"/>
    <mergeCell ref="A256:K256"/>
    <mergeCell ref="A261:K261"/>
    <mergeCell ref="B17:K17"/>
    <mergeCell ref="B39:K39"/>
    <mergeCell ref="B177:K177"/>
    <mergeCell ref="B189:K189"/>
    <mergeCell ref="B167:K167"/>
    <mergeCell ref="B18:K18"/>
    <mergeCell ref="B61:K61"/>
  </mergeCells>
  <printOptions/>
  <pageMargins left="0.7086614173228347" right="0.7086614173228347" top="1.141732283464567" bottom="0.35433070866141736" header="0.31496062992125984" footer="0.31496062992125984"/>
  <pageSetup fitToHeight="13" horizontalDpi="600" verticalDpi="600" orientation="landscape" paperSize="9" scale="47" r:id="rId1"/>
  <rowBreaks count="5" manualBreakCount="5">
    <brk id="58" max="10" man="1"/>
    <brk id="81" max="10" man="1"/>
    <brk id="180" max="10" man="1"/>
    <brk id="207" max="10" man="1"/>
    <brk id="22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Пасиленко Ганна Михайлівна</cp:lastModifiedBy>
  <cp:lastPrinted>2019-12-17T08:26:24Z</cp:lastPrinted>
  <dcterms:created xsi:type="dcterms:W3CDTF">1996-10-08T23:32:33Z</dcterms:created>
  <dcterms:modified xsi:type="dcterms:W3CDTF">2019-12-21T08:29:56Z</dcterms:modified>
  <cp:category/>
  <cp:version/>
  <cp:contentType/>
  <cp:contentStatus/>
</cp:coreProperties>
</file>