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18.12.2019\6185-МР\"/>
    </mc:Choice>
  </mc:AlternateContent>
  <bookViews>
    <workbookView xWindow="0" yWindow="0" windowWidth="28800" windowHeight="13590"/>
  </bookViews>
  <sheets>
    <sheet name="додаток 3 " sheetId="7" r:id="rId1"/>
  </sheets>
  <definedNames>
    <definedName name="_xlnm.Print_Titles" localSheetId="0">'додаток 3 '!$14:$15</definedName>
    <definedName name="_xlnm.Print_Area" localSheetId="0">'додаток 3 '!$A$1:$K$134</definedName>
  </definedNames>
  <calcPr calcId="162913"/>
</workbook>
</file>

<file path=xl/calcChain.xml><?xml version="1.0" encoding="utf-8"?>
<calcChain xmlns="http://schemas.openxmlformats.org/spreadsheetml/2006/main">
  <c r="I34" i="7" l="1"/>
  <c r="H34" i="7"/>
  <c r="J37" i="7"/>
  <c r="J38" i="7"/>
  <c r="J36" i="7"/>
  <c r="I25" i="7" l="1"/>
  <c r="J25" i="7" s="1"/>
  <c r="H60" i="7" l="1"/>
  <c r="H122" i="7"/>
  <c r="H118" i="7"/>
  <c r="H117" i="7"/>
  <c r="H114" i="7"/>
  <c r="H113" i="7"/>
  <c r="H108" i="7"/>
  <c r="H104" i="7"/>
  <c r="H98" i="7"/>
  <c r="H96" i="7"/>
  <c r="H95" i="7"/>
  <c r="H94" i="7"/>
  <c r="H93" i="7"/>
  <c r="H82" i="7"/>
  <c r="H78" i="7"/>
  <c r="H73" i="7"/>
  <c r="H67" i="7"/>
  <c r="I66" i="7"/>
  <c r="H66" i="7"/>
  <c r="H63" i="7"/>
  <c r="H45" i="7"/>
  <c r="H42" i="7"/>
  <c r="H41" i="7"/>
  <c r="I74" i="7" l="1"/>
  <c r="I70" i="7"/>
  <c r="I69" i="7" l="1"/>
  <c r="H121" i="7"/>
  <c r="H109" i="7"/>
  <c r="H101" i="7"/>
  <c r="H92" i="7"/>
  <c r="H79" i="7"/>
  <c r="H75" i="7"/>
  <c r="H72" i="7"/>
  <c r="H65" i="7"/>
  <c r="H28" i="7"/>
  <c r="I40" i="7" l="1"/>
  <c r="H40" i="7"/>
  <c r="J41" i="7"/>
  <c r="H123" i="7" l="1"/>
  <c r="H115" i="7"/>
  <c r="H112" i="7"/>
  <c r="H87" i="7"/>
  <c r="H85" i="7"/>
  <c r="H71" i="7"/>
  <c r="H64" i="7"/>
  <c r="J35" i="7" l="1"/>
  <c r="J43" i="7"/>
  <c r="H23" i="7"/>
  <c r="H26" i="7"/>
  <c r="H88" i="7"/>
  <c r="J34" i="7" l="1"/>
  <c r="I62" i="7"/>
  <c r="I21" i="7"/>
  <c r="J68" i="7"/>
  <c r="J109" i="7"/>
  <c r="I61" i="7" l="1"/>
  <c r="J92" i="7" l="1"/>
  <c r="J46" i="7"/>
  <c r="H110" i="7" l="1"/>
  <c r="H107" i="7"/>
  <c r="H91" i="7"/>
  <c r="H86" i="7"/>
  <c r="J125" i="7" l="1"/>
  <c r="J33" i="7"/>
  <c r="J32" i="7"/>
  <c r="J30" i="7"/>
  <c r="I28" i="7" l="1"/>
  <c r="I20" i="7" s="1"/>
  <c r="J31" i="7"/>
  <c r="I47" i="7" l="1"/>
  <c r="I48" i="7"/>
  <c r="H48" i="7"/>
  <c r="H47" i="7"/>
  <c r="J58" i="7"/>
  <c r="J57" i="7"/>
  <c r="H111" i="7" l="1"/>
  <c r="H97" i="7"/>
  <c r="I90" i="7" l="1"/>
  <c r="J98" i="7"/>
  <c r="J95" i="7" l="1"/>
  <c r="J113" i="7"/>
  <c r="J112" i="7"/>
  <c r="J110" i="7"/>
  <c r="J94" i="7"/>
  <c r="J87" i="7"/>
  <c r="H105" i="7" l="1"/>
  <c r="H103" i="7"/>
  <c r="H102" i="7"/>
  <c r="H76" i="7"/>
  <c r="I106" i="7" l="1"/>
  <c r="J97" i="7"/>
  <c r="J29" i="7" l="1"/>
  <c r="J28" i="7" l="1"/>
  <c r="J96" i="7"/>
  <c r="J93" i="7"/>
  <c r="H116" i="7" l="1"/>
  <c r="H70" i="7"/>
  <c r="H21" i="7" l="1"/>
  <c r="H20" i="7" s="1"/>
  <c r="H19" i="7"/>
  <c r="H127" i="7" s="1"/>
  <c r="J114" i="7" l="1"/>
  <c r="H90" i="7" l="1"/>
  <c r="J100" i="7"/>
  <c r="J101" i="7"/>
  <c r="J102" i="7"/>
  <c r="J103" i="7"/>
  <c r="J104" i="7"/>
  <c r="J105" i="7"/>
  <c r="J60" i="7"/>
  <c r="J124" i="7"/>
  <c r="J78" i="7"/>
  <c r="I83" i="7"/>
  <c r="H83" i="7"/>
  <c r="J84" i="7"/>
  <c r="I81" i="7"/>
  <c r="H81" i="7"/>
  <c r="J82" i="7"/>
  <c r="J77" i="7"/>
  <c r="J119" i="7"/>
  <c r="J108" i="7"/>
  <c r="J99" i="7"/>
  <c r="J81" i="7" l="1"/>
  <c r="H80" i="7"/>
  <c r="I80" i="7"/>
  <c r="J73" i="7"/>
  <c r="J71" i="7" l="1"/>
  <c r="J24" i="7"/>
  <c r="J23" i="7"/>
  <c r="J22" i="7"/>
  <c r="I19" i="7"/>
  <c r="I127" i="7" s="1"/>
  <c r="J51" i="7"/>
  <c r="J50" i="7"/>
  <c r="J49" i="7"/>
  <c r="J56" i="7"/>
  <c r="J55" i="7"/>
  <c r="J54" i="7"/>
  <c r="J48" i="7" l="1"/>
  <c r="J53" i="7"/>
  <c r="J47" i="7" l="1"/>
  <c r="J19" i="7"/>
  <c r="J122" i="7"/>
  <c r="J118" i="7"/>
  <c r="J117" i="7"/>
  <c r="J115" i="7"/>
  <c r="J111" i="7"/>
  <c r="J107" i="7"/>
  <c r="J91" i="7"/>
  <c r="J88" i="7"/>
  <c r="J86" i="7"/>
  <c r="J85" i="7"/>
  <c r="J79" i="7"/>
  <c r="J75" i="7"/>
  <c r="J72" i="7"/>
  <c r="J67" i="7"/>
  <c r="J65" i="7"/>
  <c r="J45" i="7"/>
  <c r="J42" i="7"/>
  <c r="J27" i="7"/>
  <c r="J26" i="7"/>
  <c r="J17" i="7"/>
  <c r="I120" i="7"/>
  <c r="I44" i="7"/>
  <c r="I39" i="7"/>
  <c r="I16" i="7"/>
  <c r="J16" i="7" l="1"/>
  <c r="J40" i="7"/>
  <c r="J70" i="7"/>
  <c r="J44" i="7"/>
  <c r="J66" i="7"/>
  <c r="J127" i="7"/>
  <c r="J90" i="7"/>
  <c r="J83" i="7"/>
  <c r="I89" i="7"/>
  <c r="I59" i="7" s="1"/>
  <c r="I18" i="7"/>
  <c r="H44" i="7"/>
  <c r="I126" i="7" l="1"/>
  <c r="J80" i="7"/>
  <c r="J76" i="7"/>
  <c r="H74" i="7"/>
  <c r="J74" i="7" l="1"/>
  <c r="J116" i="7"/>
  <c r="J121" i="7" l="1"/>
  <c r="H120" i="7"/>
  <c r="H106" i="7"/>
  <c r="J64" i="7"/>
  <c r="J63" i="7"/>
  <c r="H16" i="7"/>
  <c r="J69" i="7" l="1"/>
  <c r="J62" i="7"/>
  <c r="J123" i="7"/>
  <c r="H39" i="7"/>
  <c r="H18" i="7" s="1"/>
  <c r="J39" i="7"/>
  <c r="H62" i="7"/>
  <c r="H61" i="7" s="1"/>
  <c r="H89" i="7"/>
  <c r="H69" i="7"/>
  <c r="J61" i="7" l="1"/>
  <c r="J120" i="7"/>
  <c r="H59" i="7"/>
  <c r="H126" i="7" s="1"/>
  <c r="J106" i="7"/>
  <c r="J21" i="7"/>
  <c r="J89" i="7" l="1"/>
  <c r="J20" i="7"/>
  <c r="J18" i="7" l="1"/>
  <c r="J59" i="7"/>
  <c r="J126" i="7" l="1"/>
</calcChain>
</file>

<file path=xl/sharedStrings.xml><?xml version="1.0" encoding="utf-8"?>
<sst xmlns="http://schemas.openxmlformats.org/spreadsheetml/2006/main" count="201" uniqueCount="137">
  <si>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</si>
  <si>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</si>
  <si>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</si>
  <si>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</si>
  <si>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</si>
  <si>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</si>
  <si>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</si>
  <si>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</si>
  <si>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</si>
  <si>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</si>
  <si>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</si>
  <si>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</si>
  <si>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</si>
  <si>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</si>
  <si>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</si>
  <si>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</si>
  <si>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</si>
  <si>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</si>
  <si>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</si>
  <si>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</si>
  <si>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</si>
  <si>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</si>
  <si>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</si>
  <si>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</si>
  <si>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</si>
  <si>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</si>
  <si>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</si>
  <si>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</si>
  <si>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</si>
  <si>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</si>
  <si>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</si>
  <si>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</si>
  <si>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</si>
  <si>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</si>
  <si>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</si>
  <si>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</si>
  <si>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</si>
  <si>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</si>
  <si>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</si>
  <si>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</si>
  <si>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</si>
  <si>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</si>
  <si>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</si>
  <si>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</si>
  <si>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</si>
  <si>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</si>
  <si>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</si>
  <si>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</si>
  <si>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</si>
  <si>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</si>
  <si>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</si>
  <si>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</si>
  <si>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</si>
  <si>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</si>
  <si>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</si>
  <si>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</si>
  <si>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</si>
  <si>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</si>
  <si>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</si>
  <si>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</si>
  <si>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</si>
  <si>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</si>
  <si>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</si>
  <si>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</si>
  <si>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</si>
  <si>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</si>
  <si>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</si>
  <si>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</si>
  <si>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</si>
  <si>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</si>
  <si>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</si>
  <si>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</si>
  <si>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</si>
  <si>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</si>
  <si>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</si>
  <si>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</si>
  <si>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</si>
  <si>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</si>
  <si>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</si>
  <si>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</si>
  <si>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</si>
  <si>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</si>
  <si>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</si>
  <si>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</si>
  <si>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</si>
  <si>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</si>
  <si>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</si>
  <si>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</si>
  <si>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</si>
  <si>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</si>
  <si>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</si>
  <si>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</si>
  <si>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</si>
  <si>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</si>
  <si>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</si>
  <si>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</si>
  <si>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</si>
  <si>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</si>
  <si>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</si>
  <si>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</si>
  <si>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</si>
  <si>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</si>
  <si>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</si>
  <si>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</si>
  <si>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</si>
  <si>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</si>
  <si>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</si>
  <si>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О.М. Лисенко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</si>
  <si>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</si>
  <si>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</si>
  <si>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</si>
  <si>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</si>
  <si>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</si>
  <si>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</si>
  <si>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</si>
  <si>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</si>
  <si>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</si>
  <si>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Разом видатків на поточний рік, гривень</t>
  </si>
  <si>
    <t>Реконструкція приміщення по вул. Г. Кондратьєва, 159</t>
  </si>
  <si>
    <t>Реконструкція приміщень по вул. Петропавлівська, 91</t>
  </si>
  <si>
    <t>___________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</si>
  <si>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</si>
  <si>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</si>
  <si>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</si>
  <si>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 на   2019 рік    та   основні    напрями </t>
  </si>
  <si>
    <t>розвитку     на     2020 - 2021 роки»     (зі змінами)»</t>
  </si>
  <si>
    <t>від 18   грудня  2019  року   № 6185 - МР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</si>
  <si>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</si>
  <si>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 xml:space="preserve">                                         Додаток 3</t>
  </si>
  <si>
    <t>Влаштування пандусів до житлового будинку за адресою: вул. Глінки, 11                       м. Суми</t>
  </si>
  <si>
    <t>Влаштування пандусів до житлового будинку за адресою: просп. М. Лушпи,                   № 11 п.3 м. Суми</t>
  </si>
  <si>
    <t>Влаштування пандусів до житлового будинку за адресою: просп. М. Лушпи,                    № 29 п.4 м. Суми</t>
  </si>
  <si>
    <t>Реставрація покрівлі та фасаду житлового будинку по вул.Соборна, 32 в                                            м. Суми</t>
  </si>
  <si>
    <t>Реконструкція каналізаційного самопливного колектору Д - 1000 мм по                          вул. 1-ша Набережна р. Стрілка м.Суми</t>
  </si>
  <si>
    <t>Реконструкція дитячого та спортивного майданчику по вул. Рибалко, 4 у                       м. Суми</t>
  </si>
  <si>
    <t>Реконструкція каналізаційного самопливного колектору Д - 1000 мм по                             вул. 1-ша Набережна р. Стрілка м.Суми</t>
  </si>
  <si>
    <t>Влаштування пандусів до житлового будинку за адресою: вул. Івана Сірка, 15 м. 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</si>
</sst>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/>
    <xf numFmtId="49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/>
    <xf numFmtId="0" fontId="7" fillId="0" borderId="2" xfId="0" applyFont="1" applyFill="1" applyBorder="1"/>
    <xf numFmtId="4" fontId="13" fillId="0" borderId="1" xfId="0" applyNumberFormat="1" applyFont="1" applyFill="1" applyBorder="1"/>
    <xf numFmtId="0" fontId="13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/>
    <xf numFmtId="0" fontId="16" fillId="0" borderId="0" xfId="0" applyFont="1" applyFill="1"/>
    <xf numFmtId="0" fontId="16" fillId="0" borderId="0" xfId="0" applyNumberFormat="1" applyFont="1" applyFill="1" applyAlignment="1" applyProtection="1"/>
    <xf numFmtId="0" fontId="16" fillId="0" borderId="0" xfId="0" applyFont="1" applyFill="1" applyBorder="1" applyAlignment="1">
      <alignment vertical="distributed" wrapText="1"/>
    </xf>
    <xf numFmtId="4" fontId="3" fillId="0" borderId="0" xfId="0" applyNumberFormat="1" applyFont="1" applyFill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textRotation="180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X134"/>
  <sheetViews>
    <sheetView showZeros="0" tabSelected="1" view="pageBreakPreview" topLeftCell="E1" zoomScaleNormal="100" zoomScaleSheetLayoutView="100" workbookViewId="0">
      <selection activeCell="E31" sqref="E31"/>
    </sheetView>
  </sheetViews>
  <sheetFormatPr defaultColWidth="8.85546875" defaultRowHeight="12.75" x14ac:dyDescent="0.2"/>
  <cols>
    <col min="1" max="1" width="24.5703125" style="1" hidden="1" customWidth="1"/>
    <col min="2" max="2" width="10.7109375" style="1" hidden="1" customWidth="1"/>
    <col min="3" max="3" width="10.5703125" style="1" hidden="1" customWidth="1"/>
    <col min="4" max="4" width="76.42578125" style="1" customWidth="1"/>
    <col min="5" max="5" width="104.42578125" style="1" customWidth="1"/>
    <col min="6" max="7" width="29.42578125" style="1" customWidth="1"/>
    <col min="8" max="8" width="27.85546875" style="1" hidden="1" customWidth="1"/>
    <col min="9" max="9" width="31.28515625" style="1" hidden="1" customWidth="1"/>
    <col min="10" max="10" width="29.42578125" style="1" customWidth="1"/>
    <col min="11" max="11" width="29.28515625" style="1" customWidth="1"/>
    <col min="12" max="16384" width="8.85546875" style="1"/>
  </cols>
  <sheetData>
    <row r="1" spans="1:11" ht="26.25" x14ac:dyDescent="0.4">
      <c r="F1" s="58" t="s">
        <v>128</v>
      </c>
      <c r="G1" s="58"/>
      <c r="H1" s="58"/>
      <c r="I1" s="58"/>
      <c r="J1" s="58"/>
      <c r="K1" s="58"/>
    </row>
    <row r="2" spans="1:11" ht="26.25" x14ac:dyDescent="0.4">
      <c r="F2" s="58" t="s">
        <v>121</v>
      </c>
      <c r="G2" s="58"/>
      <c r="H2" s="58"/>
      <c r="I2" s="58"/>
      <c r="J2" s="58"/>
      <c r="K2" s="58"/>
    </row>
    <row r="3" spans="1:11" ht="26.25" x14ac:dyDescent="0.4">
      <c r="F3" s="58" t="s">
        <v>122</v>
      </c>
      <c r="G3" s="58"/>
      <c r="H3" s="58"/>
      <c r="I3" s="58"/>
      <c r="J3" s="58"/>
      <c r="K3" s="58"/>
    </row>
    <row r="4" spans="1:11" ht="26.25" x14ac:dyDescent="0.4">
      <c r="F4" s="61" t="s">
        <v>123</v>
      </c>
      <c r="G4" s="61"/>
      <c r="H4" s="61"/>
      <c r="I4" s="61"/>
      <c r="J4" s="61"/>
      <c r="K4" s="61"/>
    </row>
    <row r="5" spans="1:11" ht="26.25" x14ac:dyDescent="0.4">
      <c r="F5" s="58" t="s">
        <v>124</v>
      </c>
      <c r="G5" s="58"/>
      <c r="H5" s="58"/>
      <c r="I5" s="58"/>
      <c r="J5" s="58"/>
      <c r="K5" s="58"/>
    </row>
    <row r="6" spans="1:11" ht="26.25" x14ac:dyDescent="0.4">
      <c r="F6" s="58" t="s">
        <v>125</v>
      </c>
      <c r="G6" s="58"/>
      <c r="H6" s="58"/>
      <c r="I6" s="58"/>
      <c r="J6" s="58"/>
      <c r="K6" s="58"/>
    </row>
    <row r="7" spans="1:11" ht="26.25" x14ac:dyDescent="0.4">
      <c r="F7" s="58" t="s">
        <v>126</v>
      </c>
      <c r="G7" s="58"/>
      <c r="H7" s="58"/>
      <c r="I7" s="58"/>
      <c r="J7" s="58"/>
      <c r="K7" s="58"/>
    </row>
    <row r="8" spans="1:11" ht="20.25" x14ac:dyDescent="0.3">
      <c r="G8" s="2"/>
      <c r="H8" s="4"/>
      <c r="I8" s="4"/>
      <c r="J8" s="4"/>
      <c r="K8" s="4"/>
    </row>
    <row r="9" spans="1:11" ht="28.35" customHeight="1" x14ac:dyDescent="0.3">
      <c r="G9" s="2"/>
      <c r="H9" s="3"/>
      <c r="I9" s="3"/>
      <c r="J9" s="3"/>
      <c r="K9" s="3"/>
    </row>
    <row r="10" spans="1:11" ht="28.35" customHeight="1" x14ac:dyDescent="0.3">
      <c r="G10" s="2"/>
      <c r="H10" s="3"/>
      <c r="I10" s="3"/>
      <c r="J10" s="3"/>
      <c r="K10" s="3"/>
    </row>
    <row r="11" spans="1:11" ht="28.35" customHeight="1" x14ac:dyDescent="0.3">
      <c r="G11" s="2"/>
      <c r="H11" s="3"/>
      <c r="I11" s="3"/>
      <c r="J11" s="3"/>
      <c r="K11" s="3"/>
    </row>
    <row r="12" spans="1:11" ht="33" customHeight="1" x14ac:dyDescent="0.2">
      <c r="A12" s="60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7.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s="9" customFormat="1" ht="140.25" customHeight="1" x14ac:dyDescent="0.35">
      <c r="A14" s="7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62</v>
      </c>
      <c r="J14" s="7" t="s">
        <v>117</v>
      </c>
      <c r="K14" s="7" t="s">
        <v>8</v>
      </c>
    </row>
    <row r="15" spans="1:11" s="12" customFormat="1" ht="21" x14ac:dyDescent="0.35">
      <c r="A15" s="10"/>
      <c r="B15" s="10"/>
      <c r="C15" s="10"/>
      <c r="D15" s="10">
        <v>1</v>
      </c>
      <c r="E15" s="10">
        <v>2</v>
      </c>
      <c r="F15" s="10">
        <v>3</v>
      </c>
      <c r="G15" s="10">
        <v>4</v>
      </c>
      <c r="H15" s="10"/>
      <c r="I15" s="10"/>
      <c r="J15" s="10">
        <v>5</v>
      </c>
      <c r="K15" s="10">
        <v>6</v>
      </c>
    </row>
    <row r="16" spans="1:11" s="12" customFormat="1" ht="35.1" customHeight="1" x14ac:dyDescent="0.35">
      <c r="A16" s="13" t="s">
        <v>37</v>
      </c>
      <c r="B16" s="13"/>
      <c r="C16" s="13"/>
      <c r="D16" s="28" t="s">
        <v>36</v>
      </c>
      <c r="E16" s="10"/>
      <c r="F16" s="10"/>
      <c r="G16" s="10"/>
      <c r="H16" s="14">
        <f>H17</f>
        <v>2007200</v>
      </c>
      <c r="I16" s="14">
        <f t="shared" ref="I16:J16" si="0">I17</f>
        <v>0</v>
      </c>
      <c r="J16" s="14">
        <f t="shared" si="0"/>
        <v>2007200</v>
      </c>
      <c r="K16" s="10"/>
    </row>
    <row r="17" spans="1:11" s="12" customFormat="1" ht="63" customHeight="1" x14ac:dyDescent="0.35">
      <c r="A17" s="15" t="s">
        <v>52</v>
      </c>
      <c r="B17" s="15" t="s">
        <v>53</v>
      </c>
      <c r="C17" s="15" t="s">
        <v>57</v>
      </c>
      <c r="D17" s="16" t="s">
        <v>54</v>
      </c>
      <c r="E17" s="17" t="s">
        <v>55</v>
      </c>
      <c r="F17" s="10" t="s">
        <v>42</v>
      </c>
      <c r="G17" s="18">
        <v>4174146.72</v>
      </c>
      <c r="H17" s="18">
        <v>2007200</v>
      </c>
      <c r="I17" s="18"/>
      <c r="J17" s="18">
        <f>H17+I17</f>
        <v>2007200</v>
      </c>
      <c r="K17" s="10">
        <v>49.3</v>
      </c>
    </row>
    <row r="18" spans="1:11" s="12" customFormat="1" ht="58.5" customHeight="1" x14ac:dyDescent="0.35">
      <c r="A18" s="7">
        <v>1210000</v>
      </c>
      <c r="B18" s="10"/>
      <c r="C18" s="10"/>
      <c r="D18" s="16" t="s">
        <v>59</v>
      </c>
      <c r="E18" s="10"/>
      <c r="F18" s="10"/>
      <c r="G18" s="10"/>
      <c r="H18" s="14">
        <f>H20+H39+H44+H47+H46</f>
        <v>27377923.600000001</v>
      </c>
      <c r="I18" s="14">
        <f>I20+I39+I44+I47+I46</f>
        <v>260540.40000000002</v>
      </c>
      <c r="J18" s="14">
        <f>J20+J39+J44+J47+J46</f>
        <v>27638464</v>
      </c>
      <c r="K18" s="10"/>
    </row>
    <row r="19" spans="1:11" s="23" customFormat="1" ht="36" customHeight="1" x14ac:dyDescent="0.35">
      <c r="A19" s="19"/>
      <c r="B19" s="20"/>
      <c r="C19" s="20"/>
      <c r="D19" s="21" t="s">
        <v>66</v>
      </c>
      <c r="E19" s="20"/>
      <c r="F19" s="20"/>
      <c r="G19" s="20"/>
      <c r="H19" s="22">
        <f>H48</f>
        <v>6362000</v>
      </c>
      <c r="I19" s="22">
        <f t="shared" ref="I19:J19" si="1">I48</f>
        <v>0</v>
      </c>
      <c r="J19" s="22">
        <f t="shared" si="1"/>
        <v>6362000</v>
      </c>
      <c r="K19" s="20"/>
    </row>
    <row r="20" spans="1:11" s="12" customFormat="1" ht="48" customHeight="1" x14ac:dyDescent="0.35">
      <c r="A20" s="7">
        <v>1217310</v>
      </c>
      <c r="B20" s="7">
        <v>7310</v>
      </c>
      <c r="C20" s="13" t="s">
        <v>11</v>
      </c>
      <c r="D20" s="16" t="s">
        <v>10</v>
      </c>
      <c r="E20" s="10"/>
      <c r="F20" s="10"/>
      <c r="G20" s="10"/>
      <c r="H20" s="14">
        <f>H21+H28+H34</f>
        <v>4345715.5999999996</v>
      </c>
      <c r="I20" s="14">
        <f>I21+I28+I34</f>
        <v>340540.4</v>
      </c>
      <c r="J20" s="14">
        <f>J21+J28+J34</f>
        <v>4686256</v>
      </c>
      <c r="K20" s="10"/>
    </row>
    <row r="21" spans="1:11" s="12" customFormat="1" ht="41.25" customHeight="1" x14ac:dyDescent="0.35">
      <c r="A21" s="10"/>
      <c r="B21" s="10"/>
      <c r="C21" s="10"/>
      <c r="D21" s="10"/>
      <c r="E21" s="24" t="s">
        <v>12</v>
      </c>
      <c r="F21" s="10"/>
      <c r="G21" s="10"/>
      <c r="H21" s="14">
        <f>SUM(H22:H27)</f>
        <v>3480393</v>
      </c>
      <c r="I21" s="14">
        <f>SUM(I22:I27)</f>
        <v>291630.40000000002</v>
      </c>
      <c r="J21" s="14">
        <f>SUM(J22:J27)</f>
        <v>3772023.4</v>
      </c>
      <c r="K21" s="10"/>
    </row>
    <row r="22" spans="1:11" s="12" customFormat="1" ht="65.099999999999994" customHeight="1" x14ac:dyDescent="0.35">
      <c r="A22" s="10"/>
      <c r="B22" s="10"/>
      <c r="C22" s="10"/>
      <c r="D22" s="10"/>
      <c r="E22" s="17" t="s">
        <v>69</v>
      </c>
      <c r="F22" s="10" t="s">
        <v>48</v>
      </c>
      <c r="G22" s="25">
        <v>15650149</v>
      </c>
      <c r="H22" s="18">
        <v>332716</v>
      </c>
      <c r="I22" s="18"/>
      <c r="J22" s="18">
        <f>I22+H22</f>
        <v>332716</v>
      </c>
      <c r="K22" s="10">
        <v>2.1</v>
      </c>
    </row>
    <row r="23" spans="1:11" s="12" customFormat="1" ht="32.450000000000003" customHeight="1" x14ac:dyDescent="0.35">
      <c r="A23" s="10"/>
      <c r="B23" s="10"/>
      <c r="C23" s="10"/>
      <c r="D23" s="10"/>
      <c r="E23" s="17" t="s">
        <v>70</v>
      </c>
      <c r="F23" s="10">
        <v>2019</v>
      </c>
      <c r="G23" s="25">
        <v>1278000</v>
      </c>
      <c r="H23" s="18">
        <f>78000+300000+900000</f>
        <v>1278000</v>
      </c>
      <c r="I23" s="18"/>
      <c r="J23" s="18">
        <f>I23+H23</f>
        <v>1278000</v>
      </c>
      <c r="K23" s="26">
        <v>100</v>
      </c>
    </row>
    <row r="24" spans="1:11" s="12" customFormat="1" ht="89.45" customHeight="1" x14ac:dyDescent="0.35">
      <c r="A24" s="10"/>
      <c r="B24" s="10"/>
      <c r="C24" s="10"/>
      <c r="D24" s="10"/>
      <c r="E24" s="17" t="s">
        <v>71</v>
      </c>
      <c r="F24" s="10" t="s">
        <v>48</v>
      </c>
      <c r="G24" s="25">
        <v>28890212</v>
      </c>
      <c r="H24" s="18">
        <v>480135</v>
      </c>
      <c r="I24" s="18"/>
      <c r="J24" s="18">
        <f>I24+H24</f>
        <v>480135</v>
      </c>
      <c r="K24" s="26">
        <v>1.7</v>
      </c>
    </row>
    <row r="25" spans="1:11" s="12" customFormat="1" ht="66.95" customHeight="1" x14ac:dyDescent="0.35">
      <c r="A25" s="10"/>
      <c r="B25" s="10"/>
      <c r="C25" s="10"/>
      <c r="D25" s="10"/>
      <c r="E25" s="17" t="s">
        <v>127</v>
      </c>
      <c r="F25" s="10" t="s">
        <v>44</v>
      </c>
      <c r="G25" s="25">
        <v>14087743</v>
      </c>
      <c r="H25" s="18"/>
      <c r="I25" s="18">
        <f>271630.4+20000</f>
        <v>291630.40000000002</v>
      </c>
      <c r="J25" s="18">
        <f t="shared" ref="J25:J27" si="2">H25+I25</f>
        <v>291630.40000000002</v>
      </c>
      <c r="K25" s="26">
        <v>2.0699999999999998</v>
      </c>
    </row>
    <row r="26" spans="1:11" s="12" customFormat="1" ht="63" customHeight="1" x14ac:dyDescent="0.35">
      <c r="A26" s="10"/>
      <c r="B26" s="10"/>
      <c r="C26" s="10"/>
      <c r="D26" s="10"/>
      <c r="E26" s="17" t="s">
        <v>60</v>
      </c>
      <c r="F26" s="10">
        <v>2019</v>
      </c>
      <c r="G26" s="25">
        <v>2079542</v>
      </c>
      <c r="H26" s="18">
        <f>4000000-1920458-140000-950000</f>
        <v>989542</v>
      </c>
      <c r="I26" s="18"/>
      <c r="J26" s="18">
        <f t="shared" si="2"/>
        <v>989542</v>
      </c>
      <c r="K26" s="26">
        <v>100</v>
      </c>
    </row>
    <row r="27" spans="1:11" s="12" customFormat="1" ht="43.35" customHeight="1" x14ac:dyDescent="0.35">
      <c r="A27" s="10"/>
      <c r="B27" s="10"/>
      <c r="C27" s="10"/>
      <c r="D27" s="10"/>
      <c r="E27" s="17" t="s">
        <v>38</v>
      </c>
      <c r="F27" s="10">
        <v>2019</v>
      </c>
      <c r="G27" s="25"/>
      <c r="H27" s="18">
        <v>400000</v>
      </c>
      <c r="I27" s="18"/>
      <c r="J27" s="18">
        <f t="shared" si="2"/>
        <v>400000</v>
      </c>
      <c r="K27" s="10"/>
    </row>
    <row r="28" spans="1:11" s="12" customFormat="1" ht="46.5" customHeight="1" x14ac:dyDescent="0.35">
      <c r="A28" s="10"/>
      <c r="B28" s="10"/>
      <c r="C28" s="10"/>
      <c r="D28" s="10"/>
      <c r="E28" s="16" t="s">
        <v>32</v>
      </c>
      <c r="F28" s="10"/>
      <c r="G28" s="10"/>
      <c r="H28" s="14">
        <f>SUM(H29:H33)</f>
        <v>548836.6</v>
      </c>
      <c r="I28" s="14">
        <f>SUM(I29:I33)</f>
        <v>0</v>
      </c>
      <c r="J28" s="14">
        <f>SUM(J29:J33)</f>
        <v>548836.6</v>
      </c>
      <c r="K28" s="18"/>
    </row>
    <row r="29" spans="1:11" s="12" customFormat="1" ht="54" customHeight="1" x14ac:dyDescent="0.35">
      <c r="A29" s="10"/>
      <c r="B29" s="10"/>
      <c r="C29" s="10"/>
      <c r="D29" s="10"/>
      <c r="E29" s="17" t="s">
        <v>95</v>
      </c>
      <c r="F29" s="10" t="s">
        <v>40</v>
      </c>
      <c r="G29" s="25">
        <v>693658</v>
      </c>
      <c r="H29" s="18">
        <v>8836.6</v>
      </c>
      <c r="I29" s="18"/>
      <c r="J29" s="18">
        <f>I29+H29</f>
        <v>8836.6</v>
      </c>
      <c r="K29" s="27">
        <v>95.3</v>
      </c>
    </row>
    <row r="30" spans="1:11" s="12" customFormat="1" ht="51" customHeight="1" x14ac:dyDescent="0.35">
      <c r="A30" s="10"/>
      <c r="B30" s="10"/>
      <c r="C30" s="10"/>
      <c r="D30" s="10"/>
      <c r="E30" s="17" t="s">
        <v>136</v>
      </c>
      <c r="F30" s="10">
        <v>2019</v>
      </c>
      <c r="G30" s="25">
        <v>185250</v>
      </c>
      <c r="H30" s="18">
        <v>185250</v>
      </c>
      <c r="I30" s="18"/>
      <c r="J30" s="18">
        <f t="shared" ref="J30:J33" si="3">H30+I30</f>
        <v>185250</v>
      </c>
      <c r="K30" s="26">
        <v>100</v>
      </c>
    </row>
    <row r="31" spans="1:11" s="12" customFormat="1" ht="53.45" customHeight="1" x14ac:dyDescent="0.35">
      <c r="A31" s="10"/>
      <c r="B31" s="10"/>
      <c r="C31" s="10"/>
      <c r="D31" s="10"/>
      <c r="E31" s="17" t="s">
        <v>129</v>
      </c>
      <c r="F31" s="10">
        <v>2019</v>
      </c>
      <c r="G31" s="25">
        <v>196250</v>
      </c>
      <c r="H31" s="18">
        <v>196250</v>
      </c>
      <c r="I31" s="18"/>
      <c r="J31" s="18">
        <f t="shared" si="3"/>
        <v>196250</v>
      </c>
      <c r="K31" s="26">
        <v>100</v>
      </c>
    </row>
    <row r="32" spans="1:11" s="12" customFormat="1" ht="48.6" customHeight="1" x14ac:dyDescent="0.35">
      <c r="A32" s="10"/>
      <c r="B32" s="10"/>
      <c r="C32" s="10"/>
      <c r="D32" s="10"/>
      <c r="E32" s="17" t="s">
        <v>130</v>
      </c>
      <c r="F32" s="10">
        <v>2019</v>
      </c>
      <c r="G32" s="25">
        <v>136500</v>
      </c>
      <c r="H32" s="18">
        <v>136500</v>
      </c>
      <c r="I32" s="18"/>
      <c r="J32" s="18">
        <f t="shared" si="3"/>
        <v>136500</v>
      </c>
      <c r="K32" s="26">
        <v>100</v>
      </c>
    </row>
    <row r="33" spans="1:11" s="12" customFormat="1" ht="51.95" customHeight="1" x14ac:dyDescent="0.35">
      <c r="A33" s="10"/>
      <c r="B33" s="10"/>
      <c r="C33" s="10"/>
      <c r="D33" s="10"/>
      <c r="E33" s="17" t="s">
        <v>131</v>
      </c>
      <c r="F33" s="10">
        <v>2019</v>
      </c>
      <c r="G33" s="25"/>
      <c r="H33" s="18">
        <v>22000</v>
      </c>
      <c r="I33" s="18"/>
      <c r="J33" s="18">
        <f t="shared" si="3"/>
        <v>22000</v>
      </c>
      <c r="K33" s="10"/>
    </row>
    <row r="34" spans="1:11" s="12" customFormat="1" ht="51.95" customHeight="1" x14ac:dyDescent="0.35">
      <c r="A34" s="10"/>
      <c r="B34" s="10"/>
      <c r="C34" s="10"/>
      <c r="D34" s="10"/>
      <c r="E34" s="16" t="s">
        <v>113</v>
      </c>
      <c r="F34" s="10"/>
      <c r="G34" s="25"/>
      <c r="H34" s="14">
        <f>SUM(H35:H38)</f>
        <v>316486</v>
      </c>
      <c r="I34" s="14">
        <f t="shared" ref="I34:J34" si="4">SUM(I35:I38)</f>
        <v>48910</v>
      </c>
      <c r="J34" s="14">
        <f t="shared" si="4"/>
        <v>365396</v>
      </c>
      <c r="K34" s="10"/>
    </row>
    <row r="35" spans="1:11" s="12" customFormat="1" ht="57.75" customHeight="1" x14ac:dyDescent="0.35">
      <c r="A35" s="10"/>
      <c r="B35" s="10"/>
      <c r="C35" s="10"/>
      <c r="D35" s="10"/>
      <c r="E35" s="17" t="s">
        <v>110</v>
      </c>
      <c r="F35" s="10" t="s">
        <v>44</v>
      </c>
      <c r="G35" s="25"/>
      <c r="H35" s="18">
        <v>316486</v>
      </c>
      <c r="I35" s="18">
        <v>-11090</v>
      </c>
      <c r="J35" s="18">
        <f>I35+H35</f>
        <v>305396</v>
      </c>
      <c r="K35" s="27"/>
    </row>
    <row r="36" spans="1:11" s="12" customFormat="1" ht="57.75" customHeight="1" x14ac:dyDescent="0.35">
      <c r="A36" s="10"/>
      <c r="B36" s="10"/>
      <c r="C36" s="10"/>
      <c r="D36" s="10"/>
      <c r="E36" s="17" t="s">
        <v>114</v>
      </c>
      <c r="F36" s="10" t="s">
        <v>43</v>
      </c>
      <c r="G36" s="25">
        <v>12333420</v>
      </c>
      <c r="H36" s="18"/>
      <c r="I36" s="18">
        <v>20000</v>
      </c>
      <c r="J36" s="18">
        <f>I36+H36</f>
        <v>20000</v>
      </c>
      <c r="K36" s="27">
        <v>0.16</v>
      </c>
    </row>
    <row r="37" spans="1:11" s="12" customFormat="1" ht="57.75" customHeight="1" x14ac:dyDescent="0.35">
      <c r="A37" s="10"/>
      <c r="B37" s="10"/>
      <c r="C37" s="10"/>
      <c r="D37" s="10"/>
      <c r="E37" s="17" t="s">
        <v>115</v>
      </c>
      <c r="F37" s="10" t="s">
        <v>42</v>
      </c>
      <c r="G37" s="25">
        <v>12627116</v>
      </c>
      <c r="H37" s="18"/>
      <c r="I37" s="18">
        <v>20000</v>
      </c>
      <c r="J37" s="18">
        <f t="shared" ref="J37:J38" si="5">I37+H37</f>
        <v>20000</v>
      </c>
      <c r="K37" s="27">
        <v>0.16</v>
      </c>
    </row>
    <row r="38" spans="1:11" s="12" customFormat="1" ht="57.75" customHeight="1" x14ac:dyDescent="0.35">
      <c r="A38" s="10"/>
      <c r="B38" s="10"/>
      <c r="C38" s="10"/>
      <c r="D38" s="10"/>
      <c r="E38" s="17" t="s">
        <v>116</v>
      </c>
      <c r="F38" s="10" t="s">
        <v>42</v>
      </c>
      <c r="G38" s="25">
        <v>15888386</v>
      </c>
      <c r="H38" s="18"/>
      <c r="I38" s="18">
        <v>20000</v>
      </c>
      <c r="J38" s="18">
        <f t="shared" si="5"/>
        <v>20000</v>
      </c>
      <c r="K38" s="27">
        <v>0.13</v>
      </c>
    </row>
    <row r="39" spans="1:11" s="12" customFormat="1" ht="50.1" customHeight="1" x14ac:dyDescent="0.35">
      <c r="A39" s="7">
        <v>1217330</v>
      </c>
      <c r="B39" s="7">
        <v>7330</v>
      </c>
      <c r="C39" s="13" t="s">
        <v>11</v>
      </c>
      <c r="D39" s="28" t="s">
        <v>63</v>
      </c>
      <c r="E39" s="17"/>
      <c r="F39" s="10"/>
      <c r="G39" s="10"/>
      <c r="H39" s="14">
        <f>H40</f>
        <v>3855530</v>
      </c>
      <c r="I39" s="14">
        <f t="shared" ref="I39:J39" si="6">I40</f>
        <v>0</v>
      </c>
      <c r="J39" s="14">
        <f t="shared" si="6"/>
        <v>3855530</v>
      </c>
      <c r="K39" s="10"/>
    </row>
    <row r="40" spans="1:11" s="12" customFormat="1" ht="39.75" customHeight="1" x14ac:dyDescent="0.35">
      <c r="A40" s="7"/>
      <c r="B40" s="7"/>
      <c r="C40" s="13"/>
      <c r="D40" s="28"/>
      <c r="E40" s="24" t="s">
        <v>12</v>
      </c>
      <c r="F40" s="10"/>
      <c r="G40" s="10"/>
      <c r="H40" s="14">
        <f>SUM(H41:H43)</f>
        <v>3855530</v>
      </c>
      <c r="I40" s="14">
        <f>SUM(I41:I43)</f>
        <v>0</v>
      </c>
      <c r="J40" s="14">
        <f>SUM(J41:J43)</f>
        <v>3855530</v>
      </c>
      <c r="K40" s="10"/>
    </row>
    <row r="41" spans="1:11" s="12" customFormat="1" ht="48" customHeight="1" x14ac:dyDescent="0.35">
      <c r="A41" s="7"/>
      <c r="B41" s="7"/>
      <c r="C41" s="13"/>
      <c r="D41" s="28"/>
      <c r="E41" s="17" t="s">
        <v>112</v>
      </c>
      <c r="F41" s="10"/>
      <c r="G41" s="10"/>
      <c r="H41" s="18">
        <f>50000+689777</f>
        <v>739777</v>
      </c>
      <c r="I41" s="18"/>
      <c r="J41" s="18">
        <f t="shared" ref="J41:J43" si="7">H41+I41</f>
        <v>739777</v>
      </c>
      <c r="K41" s="10"/>
    </row>
    <row r="42" spans="1:11" s="12" customFormat="1" ht="38.450000000000003" customHeight="1" x14ac:dyDescent="0.35">
      <c r="A42" s="7"/>
      <c r="B42" s="7"/>
      <c r="C42" s="13"/>
      <c r="D42" s="28"/>
      <c r="E42" s="17" t="s">
        <v>34</v>
      </c>
      <c r="F42" s="10" t="s">
        <v>40</v>
      </c>
      <c r="G42" s="25">
        <v>4794717</v>
      </c>
      <c r="H42" s="18">
        <f>1765753-100000</f>
        <v>1665753</v>
      </c>
      <c r="I42" s="18"/>
      <c r="J42" s="18">
        <f t="shared" si="7"/>
        <v>1665753</v>
      </c>
      <c r="K42" s="26">
        <v>100</v>
      </c>
    </row>
    <row r="43" spans="1:11" s="12" customFormat="1" ht="35.1" customHeight="1" x14ac:dyDescent="0.35">
      <c r="A43" s="7"/>
      <c r="B43" s="7"/>
      <c r="C43" s="13"/>
      <c r="D43" s="28"/>
      <c r="E43" s="17" t="s">
        <v>109</v>
      </c>
      <c r="F43" s="10" t="s">
        <v>42</v>
      </c>
      <c r="G43" s="25">
        <v>6472940</v>
      </c>
      <c r="H43" s="18">
        <v>1450000</v>
      </c>
      <c r="I43" s="18"/>
      <c r="J43" s="18">
        <f t="shared" si="7"/>
        <v>1450000</v>
      </c>
      <c r="K43" s="26">
        <v>27.4</v>
      </c>
    </row>
    <row r="44" spans="1:11" s="12" customFormat="1" ht="44.45" customHeight="1" x14ac:dyDescent="0.35">
      <c r="A44" s="7">
        <v>1217340</v>
      </c>
      <c r="B44" s="7">
        <v>7340</v>
      </c>
      <c r="C44" s="13" t="s">
        <v>11</v>
      </c>
      <c r="D44" s="16" t="s">
        <v>25</v>
      </c>
      <c r="E44" s="17"/>
      <c r="F44" s="10"/>
      <c r="G44" s="10"/>
      <c r="H44" s="14">
        <f>H45</f>
        <v>100709</v>
      </c>
      <c r="I44" s="14">
        <f t="shared" ref="I44:J44" si="8">I45</f>
        <v>0</v>
      </c>
      <c r="J44" s="14">
        <f t="shared" si="8"/>
        <v>100709</v>
      </c>
      <c r="K44" s="10"/>
    </row>
    <row r="45" spans="1:11" s="12" customFormat="1" ht="42.95" customHeight="1" x14ac:dyDescent="0.35">
      <c r="A45" s="7"/>
      <c r="B45" s="7"/>
      <c r="C45" s="13"/>
      <c r="D45" s="28"/>
      <c r="E45" s="17" t="s">
        <v>132</v>
      </c>
      <c r="F45" s="10" t="s">
        <v>39</v>
      </c>
      <c r="G45" s="25">
        <v>13413540</v>
      </c>
      <c r="H45" s="18">
        <f>3100000-1250000-1749291</f>
        <v>100709</v>
      </c>
      <c r="I45" s="18"/>
      <c r="J45" s="18">
        <f>H45+I45</f>
        <v>100709</v>
      </c>
      <c r="K45" s="26">
        <v>29</v>
      </c>
    </row>
    <row r="46" spans="1:11" s="12" customFormat="1" ht="64.5" customHeight="1" x14ac:dyDescent="0.35">
      <c r="A46" s="7">
        <v>1217361</v>
      </c>
      <c r="B46" s="7">
        <v>7361</v>
      </c>
      <c r="C46" s="13" t="s">
        <v>65</v>
      </c>
      <c r="D46" s="28" t="s">
        <v>76</v>
      </c>
      <c r="E46" s="17" t="s">
        <v>133</v>
      </c>
      <c r="F46" s="10" t="s">
        <v>39</v>
      </c>
      <c r="G46" s="25">
        <v>36282325</v>
      </c>
      <c r="H46" s="18">
        <v>12569763.43</v>
      </c>
      <c r="I46" s="18">
        <v>-80000</v>
      </c>
      <c r="J46" s="14">
        <f t="shared" ref="J46" si="9">H46+I46</f>
        <v>12489763.43</v>
      </c>
      <c r="K46" s="10">
        <v>40.200000000000003</v>
      </c>
    </row>
    <row r="47" spans="1:11" s="12" customFormat="1" ht="79.349999999999994" customHeight="1" x14ac:dyDescent="0.35">
      <c r="A47" s="7">
        <v>1217363</v>
      </c>
      <c r="B47" s="7">
        <v>7363</v>
      </c>
      <c r="C47" s="13" t="s">
        <v>65</v>
      </c>
      <c r="D47" s="28" t="s">
        <v>64</v>
      </c>
      <c r="E47" s="17"/>
      <c r="F47" s="10"/>
      <c r="G47" s="25"/>
      <c r="H47" s="14">
        <f>H53+H55+H49+H51+H57</f>
        <v>6506205.5700000003</v>
      </c>
      <c r="I47" s="14">
        <f t="shared" ref="I47:J47" si="10">I53+I55+I49+I51+I57</f>
        <v>0</v>
      </c>
      <c r="J47" s="14">
        <f t="shared" si="10"/>
        <v>6506205.5700000003</v>
      </c>
      <c r="K47" s="10"/>
    </row>
    <row r="48" spans="1:11" s="9" customFormat="1" ht="27" customHeight="1" x14ac:dyDescent="0.35">
      <c r="A48" s="7"/>
      <c r="B48" s="7"/>
      <c r="C48" s="13"/>
      <c r="D48" s="21" t="s">
        <v>66</v>
      </c>
      <c r="E48" s="16"/>
      <c r="F48" s="7"/>
      <c r="G48" s="8"/>
      <c r="H48" s="22">
        <f>H50+H54+H56+H52+H58</f>
        <v>6362000</v>
      </c>
      <c r="I48" s="22">
        <f t="shared" ref="I48:J48" si="11">I50+I54+I56+I52+I58</f>
        <v>0</v>
      </c>
      <c r="J48" s="22">
        <f t="shared" si="11"/>
        <v>6362000</v>
      </c>
      <c r="K48" s="7"/>
    </row>
    <row r="49" spans="1:11" s="9" customFormat="1" ht="35.450000000000003" customHeight="1" x14ac:dyDescent="0.35">
      <c r="A49" s="7"/>
      <c r="B49" s="7"/>
      <c r="C49" s="13"/>
      <c r="D49" s="21"/>
      <c r="E49" s="17" t="s">
        <v>67</v>
      </c>
      <c r="F49" s="10">
        <v>2019</v>
      </c>
      <c r="G49" s="8"/>
      <c r="H49" s="18">
        <v>515000</v>
      </c>
      <c r="I49" s="18"/>
      <c r="J49" s="18">
        <f>I49+H49</f>
        <v>515000</v>
      </c>
      <c r="K49" s="7"/>
    </row>
    <row r="50" spans="1:11" s="23" customFormat="1" ht="27.75" customHeight="1" x14ac:dyDescent="0.35">
      <c r="A50" s="20"/>
      <c r="B50" s="20"/>
      <c r="C50" s="29"/>
      <c r="D50" s="30" t="s">
        <v>66</v>
      </c>
      <c r="E50" s="30"/>
      <c r="F50" s="20"/>
      <c r="G50" s="31"/>
      <c r="H50" s="32">
        <v>500000</v>
      </c>
      <c r="I50" s="32"/>
      <c r="J50" s="32">
        <f>I50+H50</f>
        <v>500000</v>
      </c>
      <c r="K50" s="20"/>
    </row>
    <row r="51" spans="1:11" s="23" customFormat="1" ht="37.5" customHeight="1" x14ac:dyDescent="0.35">
      <c r="A51" s="20"/>
      <c r="B51" s="20"/>
      <c r="C51" s="29"/>
      <c r="D51" s="30"/>
      <c r="E51" s="17" t="s">
        <v>68</v>
      </c>
      <c r="F51" s="10">
        <v>2019</v>
      </c>
      <c r="G51" s="31"/>
      <c r="H51" s="18">
        <v>365000</v>
      </c>
      <c r="I51" s="18"/>
      <c r="J51" s="18">
        <f>I51+H51</f>
        <v>365000</v>
      </c>
      <c r="K51" s="20"/>
    </row>
    <row r="52" spans="1:11" s="23" customFormat="1" ht="30" customHeight="1" x14ac:dyDescent="0.35">
      <c r="A52" s="20"/>
      <c r="B52" s="20"/>
      <c r="C52" s="29"/>
      <c r="D52" s="30" t="s">
        <v>66</v>
      </c>
      <c r="E52" s="30"/>
      <c r="F52" s="20"/>
      <c r="G52" s="31"/>
      <c r="H52" s="32">
        <v>365000</v>
      </c>
      <c r="I52" s="32"/>
      <c r="J52" s="32">
        <v>365000</v>
      </c>
      <c r="K52" s="20"/>
    </row>
    <row r="53" spans="1:11" s="12" customFormat="1" ht="87" customHeight="1" x14ac:dyDescent="0.35">
      <c r="A53" s="10"/>
      <c r="B53" s="10"/>
      <c r="C53" s="10"/>
      <c r="D53" s="10"/>
      <c r="E53" s="17" t="s">
        <v>56</v>
      </c>
      <c r="F53" s="10" t="s">
        <v>40</v>
      </c>
      <c r="G53" s="25">
        <v>18069199</v>
      </c>
      <c r="H53" s="18">
        <v>3320295.57</v>
      </c>
      <c r="I53" s="18"/>
      <c r="J53" s="18">
        <f t="shared" ref="J53" si="12">H53+I53</f>
        <v>3320295.57</v>
      </c>
      <c r="K53" s="10">
        <v>80.099999999999994</v>
      </c>
    </row>
    <row r="54" spans="1:11" s="23" customFormat="1" ht="33.75" customHeight="1" x14ac:dyDescent="0.35">
      <c r="A54" s="20"/>
      <c r="B54" s="20"/>
      <c r="C54" s="20"/>
      <c r="D54" s="30" t="s">
        <v>66</v>
      </c>
      <c r="E54" s="30"/>
      <c r="F54" s="20"/>
      <c r="G54" s="31"/>
      <c r="H54" s="32">
        <v>3200000</v>
      </c>
      <c r="I54" s="32"/>
      <c r="J54" s="32">
        <f>I54+H54</f>
        <v>3200000</v>
      </c>
      <c r="K54" s="20"/>
    </row>
    <row r="55" spans="1:11" s="23" customFormat="1" ht="43.5" customHeight="1" x14ac:dyDescent="0.35">
      <c r="A55" s="20"/>
      <c r="B55" s="20"/>
      <c r="C55" s="20"/>
      <c r="D55" s="30"/>
      <c r="E55" s="17" t="s">
        <v>134</v>
      </c>
      <c r="F55" s="10">
        <v>2019</v>
      </c>
      <c r="G55" s="31"/>
      <c r="H55" s="18">
        <v>305910</v>
      </c>
      <c r="I55" s="18"/>
      <c r="J55" s="18">
        <f>I55+H55</f>
        <v>305910</v>
      </c>
      <c r="K55" s="20"/>
    </row>
    <row r="56" spans="1:11" s="23" customFormat="1" ht="27.75" customHeight="1" x14ac:dyDescent="0.35">
      <c r="A56" s="20"/>
      <c r="B56" s="20"/>
      <c r="C56" s="20"/>
      <c r="D56" s="30" t="s">
        <v>66</v>
      </c>
      <c r="E56" s="30"/>
      <c r="F56" s="20"/>
      <c r="G56" s="31"/>
      <c r="H56" s="32">
        <v>297000</v>
      </c>
      <c r="I56" s="32"/>
      <c r="J56" s="32">
        <f>I56+H56</f>
        <v>297000</v>
      </c>
      <c r="K56" s="20"/>
    </row>
    <row r="57" spans="1:11" s="23" customFormat="1" ht="52.5" customHeight="1" x14ac:dyDescent="0.35">
      <c r="A57" s="20"/>
      <c r="B57" s="20"/>
      <c r="C57" s="20"/>
      <c r="D57" s="30"/>
      <c r="E57" s="17" t="s">
        <v>135</v>
      </c>
      <c r="F57" s="10" t="s">
        <v>39</v>
      </c>
      <c r="G57" s="25">
        <v>36282325</v>
      </c>
      <c r="H57" s="18">
        <v>2000000</v>
      </c>
      <c r="I57" s="18"/>
      <c r="J57" s="18">
        <f>I57+H57</f>
        <v>2000000</v>
      </c>
      <c r="K57" s="10">
        <v>40.200000000000003</v>
      </c>
    </row>
    <row r="58" spans="1:11" s="23" customFormat="1" ht="27.75" customHeight="1" x14ac:dyDescent="0.35">
      <c r="A58" s="20"/>
      <c r="B58" s="20"/>
      <c r="C58" s="20"/>
      <c r="D58" s="30" t="s">
        <v>66</v>
      </c>
      <c r="E58" s="30"/>
      <c r="F58" s="20"/>
      <c r="G58" s="31"/>
      <c r="H58" s="32">
        <v>2000000</v>
      </c>
      <c r="I58" s="32"/>
      <c r="J58" s="32">
        <f>I58+H58</f>
        <v>2000000</v>
      </c>
      <c r="K58" s="20"/>
    </row>
    <row r="59" spans="1:11" s="34" customFormat="1" ht="60.95" customHeight="1" x14ac:dyDescent="0.2">
      <c r="A59" s="7">
        <v>1510000</v>
      </c>
      <c r="B59" s="10"/>
      <c r="C59" s="10"/>
      <c r="D59" s="16" t="s">
        <v>9</v>
      </c>
      <c r="E59" s="10"/>
      <c r="F59" s="18"/>
      <c r="G59" s="18"/>
      <c r="H59" s="14">
        <f>H61+H69+H80+H89+H120+H119+H60</f>
        <v>110442993.84999999</v>
      </c>
      <c r="I59" s="14">
        <f>I61+I69+I80+I89+I120+I119+I60</f>
        <v>-131000</v>
      </c>
      <c r="J59" s="14">
        <f>J61+J69+J80+J89+J120+J119+J60</f>
        <v>110311993.84999999</v>
      </c>
      <c r="K59" s="14"/>
    </row>
    <row r="60" spans="1:11" s="34" customFormat="1" ht="136.5" customHeight="1" x14ac:dyDescent="0.2">
      <c r="A60" s="7">
        <v>1516083</v>
      </c>
      <c r="B60" s="7">
        <v>6083</v>
      </c>
      <c r="C60" s="13" t="s">
        <v>81</v>
      </c>
      <c r="D60" s="16" t="s">
        <v>91</v>
      </c>
      <c r="E60" s="17" t="s">
        <v>82</v>
      </c>
      <c r="F60" s="18" t="s">
        <v>44</v>
      </c>
      <c r="G60" s="25">
        <v>11037088</v>
      </c>
      <c r="H60" s="14">
        <f>300000-818-8032</f>
        <v>291150</v>
      </c>
      <c r="I60" s="14"/>
      <c r="J60" s="14">
        <f>I60+H60</f>
        <v>291150</v>
      </c>
      <c r="K60" s="35">
        <v>3</v>
      </c>
    </row>
    <row r="61" spans="1:11" s="34" customFormat="1" ht="61.5" customHeight="1" x14ac:dyDescent="0.2">
      <c r="A61" s="7">
        <v>1517310</v>
      </c>
      <c r="B61" s="7">
        <v>7310</v>
      </c>
      <c r="C61" s="13" t="s">
        <v>11</v>
      </c>
      <c r="D61" s="16" t="s">
        <v>10</v>
      </c>
      <c r="E61" s="10"/>
      <c r="F61" s="18"/>
      <c r="G61" s="18"/>
      <c r="H61" s="14">
        <f>H62+H66</f>
        <v>5958955.7999999998</v>
      </c>
      <c r="I61" s="14">
        <f>I62+I66</f>
        <v>0</v>
      </c>
      <c r="J61" s="14">
        <f>J62+J66</f>
        <v>5958955.7999999998</v>
      </c>
      <c r="K61" s="14"/>
    </row>
    <row r="62" spans="1:11" s="34" customFormat="1" ht="24.75" customHeight="1" x14ac:dyDescent="0.2">
      <c r="A62" s="10"/>
      <c r="B62" s="10"/>
      <c r="C62" s="10"/>
      <c r="D62" s="7"/>
      <c r="E62" s="24" t="s">
        <v>12</v>
      </c>
      <c r="F62" s="18"/>
      <c r="G62" s="18"/>
      <c r="H62" s="14">
        <f>H63+H64+H65</f>
        <v>4195000.8</v>
      </c>
      <c r="I62" s="14">
        <f>I63+I64+I65</f>
        <v>0</v>
      </c>
      <c r="J62" s="14">
        <f t="shared" ref="J62" si="13">J63+J64+J65</f>
        <v>4195000.8</v>
      </c>
      <c r="K62" s="10"/>
    </row>
    <row r="63" spans="1:11" s="34" customFormat="1" ht="36.950000000000003" customHeight="1" x14ac:dyDescent="0.2">
      <c r="A63" s="10"/>
      <c r="B63" s="10"/>
      <c r="C63" s="10"/>
      <c r="D63" s="10"/>
      <c r="E63" s="36" t="s">
        <v>13</v>
      </c>
      <c r="F63" s="18" t="s">
        <v>42</v>
      </c>
      <c r="G63" s="25">
        <v>15922519</v>
      </c>
      <c r="H63" s="18">
        <f>3000000-1000000+1000000-5000</f>
        <v>2995000</v>
      </c>
      <c r="I63" s="18"/>
      <c r="J63" s="18">
        <f t="shared" ref="J63:J65" si="14">H63+I63</f>
        <v>2995000</v>
      </c>
      <c r="K63" s="26">
        <v>53</v>
      </c>
    </row>
    <row r="64" spans="1:11" s="34" customFormat="1" ht="33" customHeight="1" x14ac:dyDescent="0.2">
      <c r="A64" s="10"/>
      <c r="B64" s="10"/>
      <c r="C64" s="10"/>
      <c r="D64" s="10"/>
      <c r="E64" s="36" t="s">
        <v>26</v>
      </c>
      <c r="F64" s="18" t="s">
        <v>45</v>
      </c>
      <c r="G64" s="25"/>
      <c r="H64" s="18">
        <f>7000000-6000000+200000</f>
        <v>1200000</v>
      </c>
      <c r="I64" s="18"/>
      <c r="J64" s="18">
        <f t="shared" si="14"/>
        <v>1200000</v>
      </c>
      <c r="K64" s="10"/>
    </row>
    <row r="65" spans="1:11" s="34" customFormat="1" ht="32.450000000000003" customHeight="1" x14ac:dyDescent="0.2">
      <c r="A65" s="10"/>
      <c r="B65" s="10"/>
      <c r="C65" s="10"/>
      <c r="D65" s="10"/>
      <c r="E65" s="36" t="s">
        <v>14</v>
      </c>
      <c r="F65" s="10">
        <v>2019</v>
      </c>
      <c r="G65" s="25"/>
      <c r="H65" s="18">
        <f>1000369.8-1000000-369</f>
        <v>0.80000000004656613</v>
      </c>
      <c r="I65" s="18"/>
      <c r="J65" s="18">
        <f t="shared" si="14"/>
        <v>0.80000000004656613</v>
      </c>
      <c r="K65" s="10"/>
    </row>
    <row r="66" spans="1:11" s="34" customFormat="1" ht="34.5" customHeight="1" x14ac:dyDescent="0.2">
      <c r="A66" s="10"/>
      <c r="B66" s="10"/>
      <c r="C66" s="10"/>
      <c r="D66" s="7"/>
      <c r="E66" s="16" t="s">
        <v>15</v>
      </c>
      <c r="F66" s="18"/>
      <c r="G66" s="25"/>
      <c r="H66" s="14">
        <f>H67+H68</f>
        <v>1763955</v>
      </c>
      <c r="I66" s="14">
        <f t="shared" ref="I66:J66" si="15">I67+I68</f>
        <v>0</v>
      </c>
      <c r="J66" s="14">
        <f t="shared" si="15"/>
        <v>1763955</v>
      </c>
      <c r="K66" s="10"/>
    </row>
    <row r="67" spans="1:11" s="34" customFormat="1" ht="51.95" customHeight="1" x14ac:dyDescent="0.2">
      <c r="A67" s="10"/>
      <c r="B67" s="10"/>
      <c r="C67" s="10"/>
      <c r="D67" s="7"/>
      <c r="E67" s="36" t="s">
        <v>46</v>
      </c>
      <c r="F67" s="10">
        <v>2019</v>
      </c>
      <c r="G67" s="25">
        <v>323596</v>
      </c>
      <c r="H67" s="18">
        <f>100000+223596-23641</f>
        <v>299955</v>
      </c>
      <c r="I67" s="18"/>
      <c r="J67" s="18">
        <f t="shared" ref="J67:J68" si="16">H67+I67</f>
        <v>299955</v>
      </c>
      <c r="K67" s="26">
        <v>100</v>
      </c>
    </row>
    <row r="68" spans="1:11" s="34" customFormat="1" ht="56.1" customHeight="1" x14ac:dyDescent="0.2">
      <c r="A68" s="10"/>
      <c r="B68" s="10"/>
      <c r="C68" s="10"/>
      <c r="D68" s="7"/>
      <c r="E68" s="37" t="s">
        <v>104</v>
      </c>
      <c r="F68" s="10">
        <v>2019</v>
      </c>
      <c r="G68" s="18"/>
      <c r="H68" s="18">
        <v>1464000</v>
      </c>
      <c r="I68" s="18"/>
      <c r="J68" s="18">
        <f t="shared" si="16"/>
        <v>1464000</v>
      </c>
      <c r="K68" s="26"/>
    </row>
    <row r="69" spans="1:11" s="34" customFormat="1" ht="38.450000000000003" customHeight="1" x14ac:dyDescent="0.2">
      <c r="A69" s="7">
        <v>1517321</v>
      </c>
      <c r="B69" s="7">
        <v>7321</v>
      </c>
      <c r="C69" s="13" t="s">
        <v>11</v>
      </c>
      <c r="D69" s="28" t="s">
        <v>16</v>
      </c>
      <c r="E69" s="38"/>
      <c r="F69" s="18"/>
      <c r="G69" s="18"/>
      <c r="H69" s="14">
        <f>H70+H74</f>
        <v>4649908</v>
      </c>
      <c r="I69" s="14">
        <f>I70+I74</f>
        <v>0</v>
      </c>
      <c r="J69" s="14">
        <f>J70+J74</f>
        <v>4649908</v>
      </c>
      <c r="K69" s="10"/>
    </row>
    <row r="70" spans="1:11" s="34" customFormat="1" ht="38.25" customHeight="1" x14ac:dyDescent="0.2">
      <c r="A70" s="10"/>
      <c r="B70" s="10"/>
      <c r="C70" s="10"/>
      <c r="D70" s="7"/>
      <c r="E70" s="24" t="s">
        <v>12</v>
      </c>
      <c r="F70" s="18"/>
      <c r="G70" s="18"/>
      <c r="H70" s="14">
        <f>H72+H71+H73</f>
        <v>1543928</v>
      </c>
      <c r="I70" s="14">
        <f>I72+I71+I73</f>
        <v>0</v>
      </c>
      <c r="J70" s="14">
        <f t="shared" ref="J70" si="17">J72+J71+J73</f>
        <v>1543928</v>
      </c>
      <c r="K70" s="10"/>
    </row>
    <row r="71" spans="1:11" s="34" customFormat="1" ht="51.6" customHeight="1" x14ac:dyDescent="0.2">
      <c r="A71" s="10"/>
      <c r="B71" s="10"/>
      <c r="C71" s="10"/>
      <c r="D71" s="10"/>
      <c r="E71" s="37" t="s">
        <v>72</v>
      </c>
      <c r="F71" s="25" t="s">
        <v>47</v>
      </c>
      <c r="G71" s="25">
        <v>77987328</v>
      </c>
      <c r="H71" s="18">
        <f>5500000-4500000</f>
        <v>1000000</v>
      </c>
      <c r="I71" s="18"/>
      <c r="J71" s="18">
        <f t="shared" ref="J71:J73" si="18">H71+I71</f>
        <v>1000000</v>
      </c>
      <c r="K71" s="26">
        <v>7</v>
      </c>
    </row>
    <row r="72" spans="1:11" s="34" customFormat="1" ht="47.1" customHeight="1" x14ac:dyDescent="0.2">
      <c r="A72" s="10"/>
      <c r="B72" s="10"/>
      <c r="C72" s="10"/>
      <c r="D72" s="10"/>
      <c r="E72" s="37" t="s">
        <v>17</v>
      </c>
      <c r="F72" s="25" t="s">
        <v>48</v>
      </c>
      <c r="G72" s="18"/>
      <c r="H72" s="18">
        <f>2000000-1000000-600000</f>
        <v>400000</v>
      </c>
      <c r="I72" s="18"/>
      <c r="J72" s="18">
        <f t="shared" si="18"/>
        <v>400000</v>
      </c>
      <c r="K72" s="10"/>
    </row>
    <row r="73" spans="1:11" s="34" customFormat="1" ht="51.6" customHeight="1" x14ac:dyDescent="0.2">
      <c r="A73" s="10"/>
      <c r="B73" s="10"/>
      <c r="C73" s="10"/>
      <c r="D73" s="10"/>
      <c r="E73" s="37" t="s">
        <v>73</v>
      </c>
      <c r="F73" s="10">
        <v>2019</v>
      </c>
      <c r="G73" s="25">
        <v>152562</v>
      </c>
      <c r="H73" s="18">
        <f>150000-3457-2615</f>
        <v>143928</v>
      </c>
      <c r="I73" s="18"/>
      <c r="J73" s="18">
        <f t="shared" si="18"/>
        <v>143928</v>
      </c>
      <c r="K73" s="26">
        <v>100</v>
      </c>
    </row>
    <row r="74" spans="1:11" s="34" customFormat="1" ht="25.35" customHeight="1" x14ac:dyDescent="0.2">
      <c r="A74" s="10"/>
      <c r="B74" s="10"/>
      <c r="C74" s="10"/>
      <c r="D74" s="7"/>
      <c r="E74" s="16" t="s">
        <v>15</v>
      </c>
      <c r="F74" s="18"/>
      <c r="G74" s="18"/>
      <c r="H74" s="14">
        <f>SUM(H75:H79)</f>
        <v>3105980</v>
      </c>
      <c r="I74" s="14">
        <f>SUM(I75:I79)</f>
        <v>0</v>
      </c>
      <c r="J74" s="14">
        <f>SUM(J75:J79)</f>
        <v>3105980</v>
      </c>
      <c r="K74" s="10"/>
    </row>
    <row r="75" spans="1:11" s="34" customFormat="1" ht="35.450000000000003" customHeight="1" x14ac:dyDescent="0.2">
      <c r="A75" s="10"/>
      <c r="B75" s="10"/>
      <c r="C75" s="10"/>
      <c r="D75" s="7"/>
      <c r="E75" s="36" t="s">
        <v>28</v>
      </c>
      <c r="F75" s="10" t="s">
        <v>44</v>
      </c>
      <c r="G75" s="18"/>
      <c r="H75" s="18">
        <f>100000-50000</f>
        <v>50000</v>
      </c>
      <c r="I75" s="18"/>
      <c r="J75" s="18">
        <f t="shared" ref="J75:J79" si="19">H75+I75</f>
        <v>50000</v>
      </c>
      <c r="K75" s="10"/>
    </row>
    <row r="76" spans="1:11" s="34" customFormat="1" ht="33.6" customHeight="1" x14ac:dyDescent="0.2">
      <c r="A76" s="10"/>
      <c r="B76" s="10"/>
      <c r="C76" s="10"/>
      <c r="D76" s="7"/>
      <c r="E76" s="36" t="s">
        <v>18</v>
      </c>
      <c r="F76" s="18" t="s">
        <v>42</v>
      </c>
      <c r="G76" s="25">
        <v>7491775</v>
      </c>
      <c r="H76" s="18">
        <f>200000+1500000+500000</f>
        <v>2200000</v>
      </c>
      <c r="I76" s="18"/>
      <c r="J76" s="18">
        <f t="shared" si="19"/>
        <v>2200000</v>
      </c>
      <c r="K76" s="26">
        <v>32</v>
      </c>
    </row>
    <row r="77" spans="1:11" s="34" customFormat="1" ht="45.95" customHeight="1" x14ac:dyDescent="0.2">
      <c r="A77" s="10"/>
      <c r="B77" s="10"/>
      <c r="C77" s="10"/>
      <c r="D77" s="7"/>
      <c r="E77" s="36" t="s">
        <v>78</v>
      </c>
      <c r="F77" s="18" t="s">
        <v>41</v>
      </c>
      <c r="G77" s="25">
        <v>1572186</v>
      </c>
      <c r="H77" s="18">
        <v>215940</v>
      </c>
      <c r="I77" s="18"/>
      <c r="J77" s="18">
        <f t="shared" si="19"/>
        <v>215940</v>
      </c>
      <c r="K77" s="26">
        <v>100</v>
      </c>
    </row>
    <row r="78" spans="1:11" s="34" customFormat="1" ht="49.5" customHeight="1" x14ac:dyDescent="0.2">
      <c r="A78" s="10"/>
      <c r="B78" s="10"/>
      <c r="C78" s="10"/>
      <c r="D78" s="7"/>
      <c r="E78" s="36" t="s">
        <v>89</v>
      </c>
      <c r="F78" s="18" t="s">
        <v>44</v>
      </c>
      <c r="G78" s="18"/>
      <c r="H78" s="18">
        <f>220000-35280</f>
        <v>184720</v>
      </c>
      <c r="I78" s="18"/>
      <c r="J78" s="18">
        <f t="shared" si="19"/>
        <v>184720</v>
      </c>
      <c r="K78" s="10"/>
    </row>
    <row r="79" spans="1:11" s="34" customFormat="1" ht="57" customHeight="1" x14ac:dyDescent="0.2">
      <c r="A79" s="10"/>
      <c r="B79" s="10"/>
      <c r="C79" s="10"/>
      <c r="D79" s="7"/>
      <c r="E79" s="36" t="s">
        <v>19</v>
      </c>
      <c r="F79" s="18" t="s">
        <v>41</v>
      </c>
      <c r="G79" s="18"/>
      <c r="H79" s="18">
        <f>1000000-44680-500000</f>
        <v>455320</v>
      </c>
      <c r="I79" s="18"/>
      <c r="J79" s="18">
        <f t="shared" si="19"/>
        <v>455320</v>
      </c>
      <c r="K79" s="10"/>
    </row>
    <row r="80" spans="1:11" s="34" customFormat="1" ht="33.950000000000003" customHeight="1" x14ac:dyDescent="0.2">
      <c r="A80" s="7">
        <v>1517322</v>
      </c>
      <c r="B80" s="7">
        <v>7322</v>
      </c>
      <c r="C80" s="13" t="s">
        <v>11</v>
      </c>
      <c r="D80" s="28" t="s">
        <v>20</v>
      </c>
      <c r="E80" s="38"/>
      <c r="F80" s="18"/>
      <c r="G80" s="18"/>
      <c r="H80" s="14">
        <f>H83+H81</f>
        <v>7316671</v>
      </c>
      <c r="I80" s="14">
        <f t="shared" ref="I80:J80" si="20">I83+I81</f>
        <v>0</v>
      </c>
      <c r="J80" s="14">
        <f t="shared" si="20"/>
        <v>7316671</v>
      </c>
      <c r="K80" s="10"/>
    </row>
    <row r="81" spans="1:11" s="34" customFormat="1" ht="22.35" customHeight="1" x14ac:dyDescent="0.2">
      <c r="A81" s="7"/>
      <c r="B81" s="7"/>
      <c r="C81" s="13"/>
      <c r="D81" s="28"/>
      <c r="E81" s="24" t="s">
        <v>12</v>
      </c>
      <c r="F81" s="18"/>
      <c r="G81" s="18"/>
      <c r="H81" s="14">
        <f>H82</f>
        <v>296671</v>
      </c>
      <c r="I81" s="14">
        <f t="shared" ref="I81:J81" si="21">I82</f>
        <v>0</v>
      </c>
      <c r="J81" s="14">
        <f t="shared" si="21"/>
        <v>296671</v>
      </c>
      <c r="K81" s="10"/>
    </row>
    <row r="82" spans="1:11" s="34" customFormat="1" ht="35.450000000000003" customHeight="1" x14ac:dyDescent="0.2">
      <c r="A82" s="7"/>
      <c r="B82" s="7"/>
      <c r="C82" s="13"/>
      <c r="D82" s="28"/>
      <c r="E82" s="37" t="s">
        <v>79</v>
      </c>
      <c r="F82" s="18" t="s">
        <v>41</v>
      </c>
      <c r="G82" s="25">
        <v>11552867</v>
      </c>
      <c r="H82" s="18">
        <f>300000-3329</f>
        <v>296671</v>
      </c>
      <c r="I82" s="18"/>
      <c r="J82" s="18">
        <f>I82+H82</f>
        <v>296671</v>
      </c>
      <c r="K82" s="10">
        <v>2.6</v>
      </c>
    </row>
    <row r="83" spans="1:11" s="34" customFormat="1" ht="21" customHeight="1" x14ac:dyDescent="0.2">
      <c r="A83" s="10"/>
      <c r="B83" s="10"/>
      <c r="C83" s="10"/>
      <c r="D83" s="7"/>
      <c r="E83" s="16" t="s">
        <v>15</v>
      </c>
      <c r="F83" s="18"/>
      <c r="G83" s="18"/>
      <c r="H83" s="14">
        <f>SUM(H84:H88)</f>
        <v>7020000</v>
      </c>
      <c r="I83" s="14">
        <f>SUM(I84:I88)</f>
        <v>0</v>
      </c>
      <c r="J83" s="14">
        <f>SUM(J84:J88)</f>
        <v>7020000</v>
      </c>
      <c r="K83" s="10"/>
    </row>
    <row r="84" spans="1:11" s="34" customFormat="1" ht="57.95" customHeight="1" x14ac:dyDescent="0.2">
      <c r="A84" s="10"/>
      <c r="B84" s="10"/>
      <c r="C84" s="10"/>
      <c r="D84" s="7"/>
      <c r="E84" s="37" t="s">
        <v>90</v>
      </c>
      <c r="F84" s="10">
        <v>2019</v>
      </c>
      <c r="G84" s="25">
        <v>1596688</v>
      </c>
      <c r="H84" s="18">
        <v>1500000</v>
      </c>
      <c r="I84" s="18"/>
      <c r="J84" s="18">
        <f t="shared" ref="J84:J88" si="22">H84+I84</f>
        <v>1500000</v>
      </c>
      <c r="K84" s="26">
        <v>100</v>
      </c>
    </row>
    <row r="85" spans="1:11" s="34" customFormat="1" ht="63" customHeight="1" x14ac:dyDescent="0.2">
      <c r="A85" s="10"/>
      <c r="B85" s="10"/>
      <c r="C85" s="10"/>
      <c r="D85" s="7"/>
      <c r="E85" s="37" t="s">
        <v>61</v>
      </c>
      <c r="F85" s="39">
        <v>2019</v>
      </c>
      <c r="G85" s="25">
        <v>1499096</v>
      </c>
      <c r="H85" s="18">
        <f>100000+1500000-215000</f>
        <v>1385000</v>
      </c>
      <c r="I85" s="18"/>
      <c r="J85" s="18">
        <f t="shared" si="22"/>
        <v>1385000</v>
      </c>
      <c r="K85" s="10">
        <v>100</v>
      </c>
    </row>
    <row r="86" spans="1:11" s="34" customFormat="1" ht="33" customHeight="1" x14ac:dyDescent="0.2">
      <c r="A86" s="10"/>
      <c r="B86" s="10"/>
      <c r="C86" s="10"/>
      <c r="D86" s="7"/>
      <c r="E86" s="37" t="s">
        <v>29</v>
      </c>
      <c r="F86" s="27" t="s">
        <v>42</v>
      </c>
      <c r="G86" s="25">
        <v>16272770</v>
      </c>
      <c r="H86" s="18">
        <f>1000000-700000</f>
        <v>300000</v>
      </c>
      <c r="I86" s="18"/>
      <c r="J86" s="18">
        <f t="shared" si="22"/>
        <v>300000</v>
      </c>
      <c r="K86" s="26">
        <v>16</v>
      </c>
    </row>
    <row r="87" spans="1:11" s="34" customFormat="1" ht="39" customHeight="1" x14ac:dyDescent="0.2">
      <c r="A87" s="10"/>
      <c r="B87" s="10"/>
      <c r="C87" s="10"/>
      <c r="D87" s="7"/>
      <c r="E87" s="37" t="s">
        <v>97</v>
      </c>
      <c r="F87" s="10">
        <v>2019</v>
      </c>
      <c r="G87" s="25">
        <v>1501757</v>
      </c>
      <c r="H87" s="18">
        <f>900000+400000+35000</f>
        <v>1335000</v>
      </c>
      <c r="I87" s="18"/>
      <c r="J87" s="18">
        <f t="shared" si="22"/>
        <v>1335000</v>
      </c>
      <c r="K87" s="10">
        <v>86.6</v>
      </c>
    </row>
    <row r="88" spans="1:11" s="34" customFormat="1" ht="51.75" customHeight="1" x14ac:dyDescent="0.2">
      <c r="A88" s="10"/>
      <c r="B88" s="10"/>
      <c r="C88" s="10"/>
      <c r="D88" s="7"/>
      <c r="E88" s="17" t="s">
        <v>30</v>
      </c>
      <c r="F88" s="18" t="s">
        <v>42</v>
      </c>
      <c r="G88" s="25">
        <v>32104361</v>
      </c>
      <c r="H88" s="18">
        <f>3000000-500000</f>
        <v>2500000</v>
      </c>
      <c r="I88" s="18"/>
      <c r="J88" s="18">
        <f t="shared" si="22"/>
        <v>2500000</v>
      </c>
      <c r="K88" s="10">
        <v>7.8</v>
      </c>
    </row>
    <row r="89" spans="1:11" s="34" customFormat="1" ht="52.5" customHeight="1" x14ac:dyDescent="0.2">
      <c r="A89" s="7">
        <v>1517330</v>
      </c>
      <c r="B89" s="7">
        <v>7330</v>
      </c>
      <c r="C89" s="13" t="s">
        <v>11</v>
      </c>
      <c r="D89" s="28" t="s">
        <v>63</v>
      </c>
      <c r="E89" s="28"/>
      <c r="F89" s="18"/>
      <c r="G89" s="18"/>
      <c r="H89" s="14">
        <f>H90+H106</f>
        <v>36319262</v>
      </c>
      <c r="I89" s="14">
        <f>I90+I106</f>
        <v>0</v>
      </c>
      <c r="J89" s="14">
        <f>J90+J106</f>
        <v>36319262</v>
      </c>
      <c r="K89" s="10"/>
    </row>
    <row r="90" spans="1:11" s="34" customFormat="1" ht="28.5" customHeight="1" x14ac:dyDescent="0.2">
      <c r="A90" s="33"/>
      <c r="B90" s="33"/>
      <c r="C90" s="33"/>
      <c r="D90" s="7"/>
      <c r="E90" s="24" t="s">
        <v>12</v>
      </c>
      <c r="F90" s="40"/>
      <c r="G90" s="40"/>
      <c r="H90" s="14">
        <f>SUM(H91:H105)</f>
        <v>8505989</v>
      </c>
      <c r="I90" s="14">
        <f>SUM(I91:I105)</f>
        <v>0</v>
      </c>
      <c r="J90" s="14">
        <f>SUM(J91:J105)</f>
        <v>8505989</v>
      </c>
      <c r="K90" s="33"/>
    </row>
    <row r="91" spans="1:11" s="34" customFormat="1" ht="37.35" customHeight="1" x14ac:dyDescent="0.2">
      <c r="A91" s="33"/>
      <c r="B91" s="33"/>
      <c r="C91" s="33"/>
      <c r="D91" s="10"/>
      <c r="E91" s="37" t="s">
        <v>21</v>
      </c>
      <c r="F91" s="18" t="s">
        <v>43</v>
      </c>
      <c r="G91" s="25">
        <v>28556946</v>
      </c>
      <c r="H91" s="18">
        <f>4000000+1000000</f>
        <v>5000000</v>
      </c>
      <c r="I91" s="18"/>
      <c r="J91" s="18">
        <f t="shared" ref="J91:J99" si="23">H91+I91</f>
        <v>5000000</v>
      </c>
      <c r="K91" s="27">
        <v>58</v>
      </c>
    </row>
    <row r="92" spans="1:11" s="34" customFormat="1" ht="68.099999999999994" customHeight="1" x14ac:dyDescent="0.2">
      <c r="A92" s="33"/>
      <c r="B92" s="33"/>
      <c r="C92" s="33"/>
      <c r="D92" s="10"/>
      <c r="E92" s="17" t="s">
        <v>105</v>
      </c>
      <c r="F92" s="18" t="s">
        <v>48</v>
      </c>
      <c r="G92" s="25"/>
      <c r="H92" s="18">
        <f>1850000-300000</f>
        <v>1550000</v>
      </c>
      <c r="I92" s="18"/>
      <c r="J92" s="18">
        <f t="shared" si="23"/>
        <v>1550000</v>
      </c>
      <c r="K92" s="27"/>
    </row>
    <row r="93" spans="1:11" s="34" customFormat="1" ht="48.6" customHeight="1" x14ac:dyDescent="0.2">
      <c r="A93" s="33"/>
      <c r="B93" s="33"/>
      <c r="C93" s="33"/>
      <c r="D93" s="10"/>
      <c r="E93" s="36" t="s">
        <v>93</v>
      </c>
      <c r="F93" s="39">
        <v>2019</v>
      </c>
      <c r="G93" s="25">
        <v>95761</v>
      </c>
      <c r="H93" s="18">
        <f>92000-3341</f>
        <v>88659</v>
      </c>
      <c r="I93" s="18"/>
      <c r="J93" s="18">
        <f t="shared" si="23"/>
        <v>88659</v>
      </c>
      <c r="K93" s="27">
        <v>100</v>
      </c>
    </row>
    <row r="94" spans="1:11" s="34" customFormat="1" ht="48.6" customHeight="1" x14ac:dyDescent="0.2">
      <c r="A94" s="33"/>
      <c r="B94" s="33"/>
      <c r="C94" s="33"/>
      <c r="D94" s="10"/>
      <c r="E94" s="36" t="s">
        <v>98</v>
      </c>
      <c r="F94" s="39">
        <v>2019</v>
      </c>
      <c r="G94" s="25">
        <v>129460</v>
      </c>
      <c r="H94" s="18">
        <f>130000-6937</f>
        <v>123063</v>
      </c>
      <c r="I94" s="18"/>
      <c r="J94" s="18">
        <f t="shared" si="23"/>
        <v>123063</v>
      </c>
      <c r="K94" s="27">
        <v>100</v>
      </c>
    </row>
    <row r="95" spans="1:11" s="34" customFormat="1" ht="49.5" customHeight="1" x14ac:dyDescent="0.2">
      <c r="A95" s="33"/>
      <c r="B95" s="33"/>
      <c r="C95" s="33"/>
      <c r="D95" s="10"/>
      <c r="E95" s="36" t="s">
        <v>101</v>
      </c>
      <c r="F95" s="39">
        <v>2019</v>
      </c>
      <c r="G95" s="25">
        <v>176783</v>
      </c>
      <c r="H95" s="18">
        <f>170457-4002</f>
        <v>166455</v>
      </c>
      <c r="I95" s="18"/>
      <c r="J95" s="18">
        <f t="shared" si="23"/>
        <v>166455</v>
      </c>
      <c r="K95" s="27">
        <v>100</v>
      </c>
    </row>
    <row r="96" spans="1:11" s="34" customFormat="1" ht="43.5" customHeight="1" x14ac:dyDescent="0.2">
      <c r="A96" s="33"/>
      <c r="B96" s="33"/>
      <c r="C96" s="33"/>
      <c r="D96" s="10"/>
      <c r="E96" s="36" t="s">
        <v>94</v>
      </c>
      <c r="F96" s="39">
        <v>2019</v>
      </c>
      <c r="G96" s="25">
        <v>102782</v>
      </c>
      <c r="H96" s="18">
        <f>98765-3367</f>
        <v>95398</v>
      </c>
      <c r="I96" s="18"/>
      <c r="J96" s="18">
        <f t="shared" si="23"/>
        <v>95398</v>
      </c>
      <c r="K96" s="27">
        <v>100</v>
      </c>
    </row>
    <row r="97" spans="1:11" s="34" customFormat="1" ht="50.1" customHeight="1" x14ac:dyDescent="0.2">
      <c r="A97" s="33"/>
      <c r="B97" s="33"/>
      <c r="C97" s="33"/>
      <c r="D97" s="10"/>
      <c r="E97" s="36" t="s">
        <v>96</v>
      </c>
      <c r="F97" s="39">
        <v>2019</v>
      </c>
      <c r="G97" s="25"/>
      <c r="H97" s="18">
        <f>171000-167000</f>
        <v>4000</v>
      </c>
      <c r="I97" s="18"/>
      <c r="J97" s="18">
        <f>I97+H97</f>
        <v>4000</v>
      </c>
      <c r="K97" s="27"/>
    </row>
    <row r="98" spans="1:11" s="34" customFormat="1" ht="47.45" customHeight="1" x14ac:dyDescent="0.2">
      <c r="A98" s="33"/>
      <c r="B98" s="33"/>
      <c r="C98" s="33"/>
      <c r="D98" s="10"/>
      <c r="E98" s="36" t="s">
        <v>102</v>
      </c>
      <c r="F98" s="39">
        <v>2019</v>
      </c>
      <c r="G98" s="25">
        <v>110752</v>
      </c>
      <c r="H98" s="18">
        <f>110000-3698</f>
        <v>106302</v>
      </c>
      <c r="I98" s="18"/>
      <c r="J98" s="18">
        <f>I98+H98</f>
        <v>106302</v>
      </c>
      <c r="K98" s="27">
        <v>100</v>
      </c>
    </row>
    <row r="99" spans="1:11" s="34" customFormat="1" ht="44.45" customHeight="1" x14ac:dyDescent="0.2">
      <c r="A99" s="33"/>
      <c r="B99" s="33"/>
      <c r="C99" s="33"/>
      <c r="D99" s="10"/>
      <c r="E99" s="36" t="s">
        <v>74</v>
      </c>
      <c r="F99" s="18" t="s">
        <v>41</v>
      </c>
      <c r="G99" s="25">
        <v>167618</v>
      </c>
      <c r="H99" s="18">
        <v>161733</v>
      </c>
      <c r="I99" s="18"/>
      <c r="J99" s="18">
        <f t="shared" si="23"/>
        <v>161733</v>
      </c>
      <c r="K99" s="27">
        <v>100</v>
      </c>
    </row>
    <row r="100" spans="1:11" s="34" customFormat="1" ht="40.35" customHeight="1" x14ac:dyDescent="0.2">
      <c r="A100" s="33"/>
      <c r="B100" s="33"/>
      <c r="C100" s="33"/>
      <c r="D100" s="7"/>
      <c r="E100" s="37" t="s">
        <v>83</v>
      </c>
      <c r="F100" s="25" t="s">
        <v>41</v>
      </c>
      <c r="G100" s="25">
        <v>590105</v>
      </c>
      <c r="H100" s="18">
        <v>83465</v>
      </c>
      <c r="I100" s="18"/>
      <c r="J100" s="18">
        <f t="shared" ref="J100:J105" si="24">H100+I100</f>
        <v>83465</v>
      </c>
      <c r="K100" s="27">
        <v>100</v>
      </c>
    </row>
    <row r="101" spans="1:11" s="34" customFormat="1" ht="39" customHeight="1" x14ac:dyDescent="0.2">
      <c r="A101" s="33"/>
      <c r="B101" s="33"/>
      <c r="C101" s="33"/>
      <c r="D101" s="7"/>
      <c r="E101" s="37" t="s">
        <v>84</v>
      </c>
      <c r="F101" s="25" t="s">
        <v>41</v>
      </c>
      <c r="G101" s="25">
        <v>634164</v>
      </c>
      <c r="H101" s="18">
        <f>175501+50000</f>
        <v>225501</v>
      </c>
      <c r="I101" s="18"/>
      <c r="J101" s="18">
        <f t="shared" si="24"/>
        <v>225501</v>
      </c>
      <c r="K101" s="27">
        <v>94</v>
      </c>
    </row>
    <row r="102" spans="1:11" s="34" customFormat="1" ht="30.95" customHeight="1" x14ac:dyDescent="0.2">
      <c r="A102" s="33"/>
      <c r="B102" s="33"/>
      <c r="C102" s="33"/>
      <c r="D102" s="7"/>
      <c r="E102" s="37" t="s">
        <v>85</v>
      </c>
      <c r="F102" s="25" t="s">
        <v>41</v>
      </c>
      <c r="G102" s="25">
        <v>471924</v>
      </c>
      <c r="H102" s="18">
        <f>178596+35</f>
        <v>178631</v>
      </c>
      <c r="I102" s="18"/>
      <c r="J102" s="18">
        <f t="shared" si="24"/>
        <v>178631</v>
      </c>
      <c r="K102" s="27">
        <v>87</v>
      </c>
    </row>
    <row r="103" spans="1:11" s="34" customFormat="1" ht="49.5" customHeight="1" x14ac:dyDescent="0.2">
      <c r="A103" s="33"/>
      <c r="B103" s="33"/>
      <c r="C103" s="33"/>
      <c r="D103" s="7"/>
      <c r="E103" s="37" t="s">
        <v>86</v>
      </c>
      <c r="F103" s="25" t="s">
        <v>41</v>
      </c>
      <c r="G103" s="25">
        <v>536948</v>
      </c>
      <c r="H103" s="18">
        <f>18724+220</f>
        <v>18944</v>
      </c>
      <c r="I103" s="18"/>
      <c r="J103" s="18">
        <f t="shared" si="24"/>
        <v>18944</v>
      </c>
      <c r="K103" s="27">
        <v>100</v>
      </c>
    </row>
    <row r="104" spans="1:11" s="34" customFormat="1" ht="38.450000000000003" customHeight="1" x14ac:dyDescent="0.2">
      <c r="A104" s="33"/>
      <c r="B104" s="33"/>
      <c r="C104" s="33"/>
      <c r="D104" s="7"/>
      <c r="E104" s="37" t="s">
        <v>87</v>
      </c>
      <c r="F104" s="25" t="s">
        <v>41</v>
      </c>
      <c r="G104" s="25">
        <v>1651333</v>
      </c>
      <c r="H104" s="18">
        <f>1276500-1178662</f>
        <v>97838</v>
      </c>
      <c r="I104" s="18"/>
      <c r="J104" s="18">
        <f t="shared" si="24"/>
        <v>97838</v>
      </c>
      <c r="K104" s="27">
        <v>28.6</v>
      </c>
    </row>
    <row r="105" spans="1:11" s="34" customFormat="1" ht="27.6" customHeight="1" x14ac:dyDescent="0.2">
      <c r="A105" s="33"/>
      <c r="B105" s="33"/>
      <c r="C105" s="33"/>
      <c r="D105" s="7"/>
      <c r="E105" s="37" t="s">
        <v>88</v>
      </c>
      <c r="F105" s="25" t="s">
        <v>41</v>
      </c>
      <c r="G105" s="25">
        <v>1135462</v>
      </c>
      <c r="H105" s="18">
        <f>605000+1000</f>
        <v>606000</v>
      </c>
      <c r="I105" s="18"/>
      <c r="J105" s="18">
        <f t="shared" si="24"/>
        <v>606000</v>
      </c>
      <c r="K105" s="27">
        <v>88</v>
      </c>
    </row>
    <row r="106" spans="1:11" s="34" customFormat="1" ht="24.75" customHeight="1" x14ac:dyDescent="0.2">
      <c r="A106" s="33"/>
      <c r="B106" s="33"/>
      <c r="C106" s="33"/>
      <c r="D106" s="7"/>
      <c r="E106" s="16" t="s">
        <v>15</v>
      </c>
      <c r="F106" s="18"/>
      <c r="G106" s="25"/>
      <c r="H106" s="14">
        <f>SUM(H107:H118)</f>
        <v>27813273</v>
      </c>
      <c r="I106" s="14">
        <f>SUM(I107:I118)</f>
        <v>0</v>
      </c>
      <c r="J106" s="14">
        <f>SUM(J107:J118)</f>
        <v>27813273</v>
      </c>
      <c r="K106" s="27"/>
    </row>
    <row r="107" spans="1:11" s="34" customFormat="1" ht="38.1" customHeight="1" x14ac:dyDescent="0.2">
      <c r="A107" s="33"/>
      <c r="B107" s="33"/>
      <c r="C107" s="33"/>
      <c r="D107" s="7"/>
      <c r="E107" s="36" t="s">
        <v>118</v>
      </c>
      <c r="F107" s="10">
        <v>2019</v>
      </c>
      <c r="G107" s="25">
        <v>1488288</v>
      </c>
      <c r="H107" s="18">
        <f>1000000+336000+100000</f>
        <v>1436000</v>
      </c>
      <c r="I107" s="18"/>
      <c r="J107" s="18">
        <f t="shared" ref="J107:J118" si="25">H107+I107</f>
        <v>1436000</v>
      </c>
      <c r="K107" s="27">
        <v>96</v>
      </c>
    </row>
    <row r="108" spans="1:11" s="34" customFormat="1" ht="38.1" customHeight="1" x14ac:dyDescent="0.2">
      <c r="A108" s="33"/>
      <c r="B108" s="33"/>
      <c r="C108" s="33"/>
      <c r="D108" s="7"/>
      <c r="E108" s="36" t="s">
        <v>75</v>
      </c>
      <c r="F108" s="10">
        <v>2019</v>
      </c>
      <c r="G108" s="25">
        <v>1478784</v>
      </c>
      <c r="H108" s="18">
        <f>1500000-300000-57759</f>
        <v>1142241</v>
      </c>
      <c r="I108" s="18"/>
      <c r="J108" s="18">
        <f t="shared" si="25"/>
        <v>1142241</v>
      </c>
      <c r="K108" s="27">
        <v>100</v>
      </c>
    </row>
    <row r="109" spans="1:11" s="34" customFormat="1" ht="38.1" customHeight="1" x14ac:dyDescent="0.2">
      <c r="A109" s="33"/>
      <c r="B109" s="33"/>
      <c r="C109" s="33"/>
      <c r="D109" s="7"/>
      <c r="E109" s="36" t="s">
        <v>119</v>
      </c>
      <c r="F109" s="10"/>
      <c r="G109" s="25"/>
      <c r="H109" s="18">
        <f>500000-205000</f>
        <v>295000</v>
      </c>
      <c r="I109" s="18"/>
      <c r="J109" s="18">
        <f t="shared" si="25"/>
        <v>295000</v>
      </c>
      <c r="K109" s="27"/>
    </row>
    <row r="110" spans="1:11" s="34" customFormat="1" ht="51.95" customHeight="1" x14ac:dyDescent="0.2">
      <c r="A110" s="33"/>
      <c r="B110" s="33"/>
      <c r="C110" s="33"/>
      <c r="D110" s="7"/>
      <c r="E110" s="36" t="s">
        <v>108</v>
      </c>
      <c r="F110" s="10">
        <v>2019</v>
      </c>
      <c r="G110" s="25">
        <v>1389908</v>
      </c>
      <c r="H110" s="18">
        <f>1000000+400000</f>
        <v>1400000</v>
      </c>
      <c r="I110" s="18"/>
      <c r="J110" s="18">
        <f t="shared" si="25"/>
        <v>1400000</v>
      </c>
      <c r="K110" s="27">
        <v>100</v>
      </c>
    </row>
    <row r="111" spans="1:11" s="34" customFormat="1" ht="40.35" customHeight="1" x14ac:dyDescent="0.2">
      <c r="A111" s="33"/>
      <c r="B111" s="33"/>
      <c r="C111" s="33"/>
      <c r="D111" s="7"/>
      <c r="E111" s="36" t="s">
        <v>31</v>
      </c>
      <c r="F111" s="25" t="s">
        <v>42</v>
      </c>
      <c r="G111" s="25">
        <v>4183025</v>
      </c>
      <c r="H111" s="18">
        <f>1000000+500000+500000+1000000</f>
        <v>3000000</v>
      </c>
      <c r="I111" s="18"/>
      <c r="J111" s="18">
        <f t="shared" si="25"/>
        <v>3000000</v>
      </c>
      <c r="K111" s="27">
        <v>73.400000000000006</v>
      </c>
    </row>
    <row r="112" spans="1:11" s="34" customFormat="1" ht="40.35" customHeight="1" x14ac:dyDescent="0.2">
      <c r="A112" s="33"/>
      <c r="B112" s="33"/>
      <c r="C112" s="33"/>
      <c r="D112" s="7"/>
      <c r="E112" s="36" t="s">
        <v>99</v>
      </c>
      <c r="F112" s="25" t="s">
        <v>44</v>
      </c>
      <c r="G112" s="25">
        <v>14274349</v>
      </c>
      <c r="H112" s="18">
        <f>7300000+4500000</f>
        <v>11800000</v>
      </c>
      <c r="I112" s="18"/>
      <c r="J112" s="18">
        <f t="shared" si="25"/>
        <v>11800000</v>
      </c>
      <c r="K112" s="27">
        <v>83</v>
      </c>
    </row>
    <row r="113" spans="1:1142" s="34" customFormat="1" ht="32.1" customHeight="1" x14ac:dyDescent="0.2">
      <c r="A113" s="33"/>
      <c r="B113" s="33"/>
      <c r="C113" s="33"/>
      <c r="D113" s="7"/>
      <c r="E113" s="36" t="s">
        <v>100</v>
      </c>
      <c r="F113" s="39">
        <v>2019</v>
      </c>
      <c r="G113" s="25">
        <v>299996</v>
      </c>
      <c r="H113" s="18">
        <f>280000-9493</f>
        <v>270507</v>
      </c>
      <c r="I113" s="18"/>
      <c r="J113" s="18">
        <f>I113+H113</f>
        <v>270507</v>
      </c>
      <c r="K113" s="27">
        <v>100</v>
      </c>
    </row>
    <row r="114" spans="1:1142" s="34" customFormat="1" ht="52.5" customHeight="1" x14ac:dyDescent="0.2">
      <c r="A114" s="33"/>
      <c r="B114" s="33"/>
      <c r="C114" s="33"/>
      <c r="D114" s="7"/>
      <c r="E114" s="36" t="s">
        <v>92</v>
      </c>
      <c r="F114" s="10">
        <v>2019</v>
      </c>
      <c r="G114" s="25">
        <v>1057298</v>
      </c>
      <c r="H114" s="18">
        <f>250000+400000-192004</f>
        <v>457996</v>
      </c>
      <c r="I114" s="18"/>
      <c r="J114" s="18">
        <f t="shared" si="25"/>
        <v>457996</v>
      </c>
      <c r="K114" s="27">
        <v>43.3</v>
      </c>
    </row>
    <row r="115" spans="1:1142" s="34" customFormat="1" ht="40.35" customHeight="1" x14ac:dyDescent="0.2">
      <c r="A115" s="33"/>
      <c r="B115" s="33"/>
      <c r="C115" s="33"/>
      <c r="D115" s="7"/>
      <c r="E115" s="36" t="s">
        <v>22</v>
      </c>
      <c r="F115" s="10">
        <v>2019</v>
      </c>
      <c r="G115" s="25">
        <v>1478560</v>
      </c>
      <c r="H115" s="18">
        <f>700000+180000</f>
        <v>880000</v>
      </c>
      <c r="I115" s="18"/>
      <c r="J115" s="18">
        <f t="shared" si="25"/>
        <v>880000</v>
      </c>
      <c r="K115" s="27">
        <v>60</v>
      </c>
    </row>
    <row r="116" spans="1:1142" s="34" customFormat="1" ht="36" customHeight="1" x14ac:dyDescent="0.2">
      <c r="A116" s="33"/>
      <c r="B116" s="33"/>
      <c r="C116" s="33"/>
      <c r="D116" s="7"/>
      <c r="E116" s="36" t="s">
        <v>23</v>
      </c>
      <c r="F116" s="25" t="s">
        <v>43</v>
      </c>
      <c r="G116" s="25">
        <v>31834662</v>
      </c>
      <c r="H116" s="18">
        <f>10000000-2000000-1000000</f>
        <v>7000000</v>
      </c>
      <c r="I116" s="18"/>
      <c r="J116" s="18">
        <f t="shared" si="25"/>
        <v>7000000</v>
      </c>
      <c r="K116" s="27">
        <v>78</v>
      </c>
    </row>
    <row r="117" spans="1:1142" s="34" customFormat="1" ht="33" customHeight="1" x14ac:dyDescent="0.2">
      <c r="A117" s="33"/>
      <c r="B117" s="33"/>
      <c r="C117" s="33"/>
      <c r="D117" s="7"/>
      <c r="E117" s="37" t="s">
        <v>24</v>
      </c>
      <c r="F117" s="10">
        <v>2019</v>
      </c>
      <c r="G117" s="25"/>
      <c r="H117" s="18">
        <f>1000000+500000-1430000-36136</f>
        <v>33864</v>
      </c>
      <c r="I117" s="18"/>
      <c r="J117" s="18">
        <f t="shared" si="25"/>
        <v>33864</v>
      </c>
      <c r="K117" s="27"/>
    </row>
    <row r="118" spans="1:1142" s="34" customFormat="1" ht="41.1" customHeight="1" x14ac:dyDescent="0.2">
      <c r="A118" s="33"/>
      <c r="B118" s="33"/>
      <c r="C118" s="33"/>
      <c r="D118" s="7"/>
      <c r="E118" s="37" t="s">
        <v>51</v>
      </c>
      <c r="F118" s="25" t="s">
        <v>41</v>
      </c>
      <c r="G118" s="25"/>
      <c r="H118" s="18">
        <f>2000000+2000000-2000000-1800000-102335</f>
        <v>97665</v>
      </c>
      <c r="I118" s="18"/>
      <c r="J118" s="18">
        <f t="shared" si="25"/>
        <v>97665</v>
      </c>
      <c r="K118" s="27"/>
    </row>
    <row r="119" spans="1:1142" s="34" customFormat="1" ht="63.95" customHeight="1" x14ac:dyDescent="0.2">
      <c r="A119" s="7">
        <v>1517361</v>
      </c>
      <c r="B119" s="7">
        <v>7361</v>
      </c>
      <c r="C119" s="13" t="s">
        <v>65</v>
      </c>
      <c r="D119" s="28" t="s">
        <v>76</v>
      </c>
      <c r="E119" s="36" t="s">
        <v>77</v>
      </c>
      <c r="F119" s="25" t="s">
        <v>41</v>
      </c>
      <c r="G119" s="25">
        <v>1567405</v>
      </c>
      <c r="H119" s="14">
        <v>28000</v>
      </c>
      <c r="I119" s="14"/>
      <c r="J119" s="14">
        <f>I119+H119</f>
        <v>28000</v>
      </c>
      <c r="K119" s="27">
        <v>100</v>
      </c>
    </row>
    <row r="120" spans="1:1142" s="34" customFormat="1" ht="37.5" customHeight="1" x14ac:dyDescent="0.2">
      <c r="A120" s="7">
        <v>1517640</v>
      </c>
      <c r="B120" s="7">
        <v>7640</v>
      </c>
      <c r="C120" s="33"/>
      <c r="D120" s="28" t="s">
        <v>33</v>
      </c>
      <c r="E120" s="33"/>
      <c r="F120" s="18"/>
      <c r="G120" s="25"/>
      <c r="H120" s="14">
        <f>SUM(H121:H125)</f>
        <v>55879047.049999997</v>
      </c>
      <c r="I120" s="14">
        <f>SUM(I121:I125)</f>
        <v>-131000</v>
      </c>
      <c r="J120" s="14">
        <f>SUM(J121:J125)</f>
        <v>55748047.049999997</v>
      </c>
      <c r="K120" s="27"/>
    </row>
    <row r="121" spans="1:1142" s="34" customFormat="1" ht="82.35" customHeight="1" x14ac:dyDescent="0.2">
      <c r="A121" s="33"/>
      <c r="B121" s="33"/>
      <c r="C121" s="33"/>
      <c r="D121" s="33"/>
      <c r="E121" s="36" t="s">
        <v>58</v>
      </c>
      <c r="F121" s="18" t="s">
        <v>44</v>
      </c>
      <c r="G121" s="25"/>
      <c r="H121" s="18">
        <f>9618700+48093527-9106470.95-512229</f>
        <v>48093527.049999997</v>
      </c>
      <c r="I121" s="18"/>
      <c r="J121" s="18">
        <f t="shared" ref="J121:J125" si="26">H121+I121</f>
        <v>48093527.049999997</v>
      </c>
      <c r="K121" s="35"/>
    </row>
    <row r="122" spans="1:1142" s="34" customFormat="1" ht="48" customHeight="1" x14ac:dyDescent="0.2">
      <c r="A122" s="33"/>
      <c r="B122" s="33"/>
      <c r="C122" s="33"/>
      <c r="D122" s="33"/>
      <c r="E122" s="36" t="s">
        <v>49</v>
      </c>
      <c r="F122" s="18" t="s">
        <v>42</v>
      </c>
      <c r="G122" s="25"/>
      <c r="H122" s="18">
        <f>643580-512560</f>
        <v>131020</v>
      </c>
      <c r="I122" s="18">
        <v>-131000</v>
      </c>
      <c r="J122" s="18">
        <f t="shared" si="26"/>
        <v>20</v>
      </c>
      <c r="K122" s="41"/>
    </row>
    <row r="123" spans="1:1142" s="12" customFormat="1" ht="40.5" customHeight="1" x14ac:dyDescent="0.35">
      <c r="A123" s="11"/>
      <c r="B123" s="11"/>
      <c r="C123" s="11"/>
      <c r="D123" s="11"/>
      <c r="E123" s="36" t="s">
        <v>50</v>
      </c>
      <c r="F123" s="25" t="s">
        <v>43</v>
      </c>
      <c r="G123" s="25">
        <v>25179181</v>
      </c>
      <c r="H123" s="18">
        <f>5000000-2000000+2000000+2000000</f>
        <v>7000000</v>
      </c>
      <c r="I123" s="18"/>
      <c r="J123" s="18">
        <f t="shared" si="26"/>
        <v>7000000</v>
      </c>
      <c r="K123" s="27">
        <v>75</v>
      </c>
    </row>
    <row r="124" spans="1:1142" s="12" customFormat="1" ht="49.5" customHeight="1" x14ac:dyDescent="0.35">
      <c r="A124" s="11"/>
      <c r="B124" s="11"/>
      <c r="C124" s="11"/>
      <c r="D124" s="11"/>
      <c r="E124" s="36" t="s">
        <v>80</v>
      </c>
      <c r="F124" s="25" t="s">
        <v>40</v>
      </c>
      <c r="G124" s="25">
        <v>9999558</v>
      </c>
      <c r="H124" s="18">
        <v>154500</v>
      </c>
      <c r="I124" s="18"/>
      <c r="J124" s="18">
        <f t="shared" si="26"/>
        <v>154500</v>
      </c>
      <c r="K124" s="27">
        <v>100</v>
      </c>
    </row>
    <row r="125" spans="1:1142" s="12" customFormat="1" ht="50.45" customHeight="1" x14ac:dyDescent="0.35">
      <c r="A125" s="11"/>
      <c r="B125" s="11"/>
      <c r="C125" s="11"/>
      <c r="D125" s="11"/>
      <c r="E125" s="36" t="s">
        <v>103</v>
      </c>
      <c r="F125" s="25" t="s">
        <v>44</v>
      </c>
      <c r="G125" s="25"/>
      <c r="H125" s="18">
        <v>500000</v>
      </c>
      <c r="I125" s="18"/>
      <c r="J125" s="18">
        <f t="shared" si="26"/>
        <v>500000</v>
      </c>
      <c r="K125" s="27"/>
    </row>
    <row r="126" spans="1:1142" s="12" customFormat="1" ht="26.1" customHeight="1" x14ac:dyDescent="0.35">
      <c r="A126" s="43"/>
      <c r="B126" s="43"/>
      <c r="C126" s="43"/>
      <c r="D126" s="16" t="s">
        <v>35</v>
      </c>
      <c r="E126" s="11"/>
      <c r="F126" s="11"/>
      <c r="G126" s="11"/>
      <c r="H126" s="14">
        <f>H16+H18+H59</f>
        <v>139828117.44999999</v>
      </c>
      <c r="I126" s="14">
        <f>I16+I18+I59</f>
        <v>129540.40000000002</v>
      </c>
      <c r="J126" s="14">
        <f>J16+J18+J59</f>
        <v>139957657.84999999</v>
      </c>
      <c r="K126" s="11"/>
    </row>
    <row r="127" spans="1:1142" s="42" customFormat="1" ht="26.1" customHeight="1" x14ac:dyDescent="0.35">
      <c r="D127" s="21" t="s">
        <v>66</v>
      </c>
      <c r="H127" s="22">
        <f>H19</f>
        <v>6362000</v>
      </c>
      <c r="I127" s="22">
        <f t="shared" ref="I127:J127" si="27">I19</f>
        <v>0</v>
      </c>
      <c r="J127" s="22">
        <f t="shared" si="27"/>
        <v>6362000</v>
      </c>
      <c r="K127" s="44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  <c r="IY127" s="45"/>
      <c r="IZ127" s="45"/>
      <c r="JA127" s="45"/>
      <c r="JB127" s="45"/>
      <c r="JC127" s="45"/>
      <c r="JD127" s="45"/>
      <c r="JE127" s="45"/>
      <c r="JF127" s="45"/>
      <c r="JG127" s="45"/>
      <c r="JH127" s="45"/>
      <c r="JI127" s="45"/>
      <c r="JJ127" s="45"/>
      <c r="JK127" s="45"/>
      <c r="JL127" s="45"/>
      <c r="JM127" s="45"/>
      <c r="JN127" s="45"/>
      <c r="JO127" s="45"/>
      <c r="JP127" s="45"/>
      <c r="JQ127" s="45"/>
      <c r="JR127" s="45"/>
      <c r="JS127" s="45"/>
      <c r="JT127" s="45"/>
      <c r="JU127" s="45"/>
      <c r="JV127" s="45"/>
      <c r="JW127" s="45"/>
      <c r="JX127" s="45"/>
      <c r="JY127" s="45"/>
      <c r="JZ127" s="45"/>
      <c r="KA127" s="45"/>
      <c r="KB127" s="45"/>
      <c r="KC127" s="45"/>
      <c r="KD127" s="45"/>
      <c r="KE127" s="45"/>
      <c r="KF127" s="45"/>
      <c r="KG127" s="45"/>
      <c r="KH127" s="45"/>
      <c r="KI127" s="45"/>
      <c r="KJ127" s="45"/>
      <c r="KK127" s="45"/>
      <c r="KL127" s="45"/>
      <c r="KM127" s="45"/>
      <c r="KN127" s="45"/>
      <c r="KO127" s="45"/>
      <c r="KP127" s="45"/>
      <c r="KQ127" s="45"/>
      <c r="KR127" s="45"/>
      <c r="KS127" s="45"/>
      <c r="KT127" s="45"/>
      <c r="KU127" s="45"/>
      <c r="KV127" s="45"/>
      <c r="KW127" s="45"/>
      <c r="KX127" s="45"/>
      <c r="KY127" s="45"/>
      <c r="KZ127" s="45"/>
      <c r="LA127" s="45"/>
      <c r="LB127" s="45"/>
      <c r="LC127" s="45"/>
      <c r="LD127" s="45"/>
      <c r="LE127" s="45"/>
      <c r="LF127" s="45"/>
      <c r="LG127" s="45"/>
      <c r="LH127" s="45"/>
      <c r="LI127" s="45"/>
      <c r="LJ127" s="45"/>
      <c r="LK127" s="45"/>
      <c r="LL127" s="45"/>
      <c r="LM127" s="45"/>
      <c r="LN127" s="45"/>
      <c r="LO127" s="45"/>
      <c r="LP127" s="45"/>
      <c r="LQ127" s="45"/>
      <c r="LR127" s="45"/>
      <c r="LS127" s="45"/>
      <c r="LT127" s="45"/>
      <c r="LU127" s="45"/>
      <c r="LV127" s="45"/>
      <c r="LW127" s="45"/>
      <c r="LX127" s="45"/>
      <c r="LY127" s="45"/>
      <c r="LZ127" s="45"/>
      <c r="MA127" s="45"/>
      <c r="MB127" s="45"/>
      <c r="MC127" s="45"/>
      <c r="MD127" s="45"/>
      <c r="ME127" s="45"/>
      <c r="MF127" s="45"/>
      <c r="MG127" s="45"/>
      <c r="MH127" s="45"/>
      <c r="MI127" s="45"/>
      <c r="MJ127" s="45"/>
      <c r="MK127" s="45"/>
      <c r="ML127" s="45"/>
      <c r="MM127" s="45"/>
      <c r="MN127" s="45"/>
      <c r="MO127" s="45"/>
      <c r="MP127" s="45"/>
      <c r="MQ127" s="45"/>
      <c r="MR127" s="45"/>
      <c r="MS127" s="45"/>
      <c r="MT127" s="45"/>
      <c r="MU127" s="45"/>
      <c r="MV127" s="45"/>
      <c r="MW127" s="45"/>
      <c r="MX127" s="45"/>
      <c r="MY127" s="45"/>
      <c r="MZ127" s="45"/>
      <c r="NA127" s="45"/>
      <c r="NB127" s="45"/>
      <c r="NC127" s="45"/>
      <c r="ND127" s="45"/>
      <c r="NE127" s="45"/>
      <c r="NF127" s="45"/>
      <c r="NG127" s="45"/>
      <c r="NH127" s="45"/>
      <c r="NI127" s="45"/>
      <c r="NJ127" s="45"/>
      <c r="NK127" s="45"/>
      <c r="NL127" s="45"/>
      <c r="NM127" s="45"/>
      <c r="NN127" s="45"/>
      <c r="NO127" s="45"/>
      <c r="NP127" s="45"/>
      <c r="NQ127" s="45"/>
      <c r="NR127" s="45"/>
      <c r="NS127" s="45"/>
      <c r="NT127" s="45"/>
      <c r="NU127" s="45"/>
      <c r="NV127" s="45"/>
      <c r="NW127" s="45"/>
      <c r="NX127" s="45"/>
      <c r="NY127" s="45"/>
      <c r="NZ127" s="45"/>
      <c r="OA127" s="45"/>
      <c r="OB127" s="45"/>
      <c r="OC127" s="45"/>
      <c r="OD127" s="45"/>
      <c r="OE127" s="45"/>
      <c r="OF127" s="45"/>
      <c r="OG127" s="45"/>
      <c r="OH127" s="45"/>
      <c r="OI127" s="45"/>
      <c r="OJ127" s="45"/>
      <c r="OK127" s="45"/>
      <c r="OL127" s="45"/>
      <c r="OM127" s="45"/>
      <c r="ON127" s="45"/>
      <c r="OO127" s="45"/>
      <c r="OP127" s="45"/>
      <c r="OQ127" s="45"/>
      <c r="OR127" s="45"/>
      <c r="OS127" s="45"/>
      <c r="OT127" s="45"/>
      <c r="OU127" s="45"/>
      <c r="OV127" s="45"/>
      <c r="OW127" s="45"/>
      <c r="OX127" s="45"/>
      <c r="OY127" s="45"/>
      <c r="OZ127" s="45"/>
      <c r="PA127" s="45"/>
      <c r="PB127" s="45"/>
      <c r="PC127" s="45"/>
      <c r="PD127" s="45"/>
      <c r="PE127" s="45"/>
      <c r="PF127" s="45"/>
      <c r="PG127" s="45"/>
      <c r="PH127" s="45"/>
      <c r="PI127" s="45"/>
      <c r="PJ127" s="45"/>
      <c r="PK127" s="45"/>
      <c r="PL127" s="45"/>
      <c r="PM127" s="45"/>
      <c r="PN127" s="45"/>
      <c r="PO127" s="45"/>
      <c r="PP127" s="45"/>
      <c r="PQ127" s="45"/>
      <c r="PR127" s="45"/>
      <c r="PS127" s="45"/>
      <c r="PT127" s="45"/>
      <c r="PU127" s="45"/>
      <c r="PV127" s="45"/>
      <c r="PW127" s="45"/>
      <c r="PX127" s="45"/>
      <c r="PY127" s="45"/>
      <c r="PZ127" s="45"/>
      <c r="QA127" s="45"/>
      <c r="QB127" s="45"/>
      <c r="QC127" s="45"/>
      <c r="QD127" s="45"/>
      <c r="QE127" s="45"/>
      <c r="QF127" s="45"/>
      <c r="QG127" s="45"/>
      <c r="QH127" s="45"/>
      <c r="QI127" s="45"/>
      <c r="QJ127" s="45"/>
      <c r="QK127" s="45"/>
      <c r="QL127" s="45"/>
      <c r="QM127" s="45"/>
      <c r="QN127" s="45"/>
      <c r="QO127" s="45"/>
      <c r="QP127" s="45"/>
      <c r="QQ127" s="45"/>
      <c r="QR127" s="45"/>
      <c r="QS127" s="45"/>
      <c r="QT127" s="45"/>
      <c r="QU127" s="45"/>
      <c r="QV127" s="45"/>
      <c r="QW127" s="45"/>
      <c r="QX127" s="45"/>
      <c r="QY127" s="45"/>
      <c r="QZ127" s="45"/>
      <c r="RA127" s="45"/>
      <c r="RB127" s="45"/>
      <c r="RC127" s="45"/>
      <c r="RD127" s="45"/>
      <c r="RE127" s="45"/>
      <c r="RF127" s="45"/>
      <c r="RG127" s="45"/>
      <c r="RH127" s="45"/>
      <c r="RI127" s="45"/>
      <c r="RJ127" s="45"/>
      <c r="RK127" s="45"/>
      <c r="RL127" s="45"/>
      <c r="RM127" s="45"/>
      <c r="RN127" s="45"/>
      <c r="RO127" s="45"/>
      <c r="RP127" s="45"/>
      <c r="RQ127" s="45"/>
      <c r="RR127" s="45"/>
      <c r="RS127" s="45"/>
      <c r="RT127" s="45"/>
      <c r="RU127" s="45"/>
      <c r="RV127" s="45"/>
      <c r="RW127" s="45"/>
      <c r="RX127" s="45"/>
      <c r="RY127" s="45"/>
      <c r="RZ127" s="45"/>
      <c r="SA127" s="45"/>
      <c r="SB127" s="45"/>
      <c r="SC127" s="45"/>
      <c r="SD127" s="45"/>
      <c r="SE127" s="45"/>
      <c r="SF127" s="45"/>
      <c r="SG127" s="45"/>
      <c r="SH127" s="45"/>
      <c r="SI127" s="45"/>
      <c r="SJ127" s="45"/>
      <c r="SK127" s="45"/>
      <c r="SL127" s="45"/>
      <c r="SM127" s="45"/>
      <c r="SN127" s="45"/>
      <c r="SO127" s="45"/>
      <c r="SP127" s="45"/>
      <c r="SQ127" s="45"/>
      <c r="SR127" s="45"/>
      <c r="SS127" s="45"/>
      <c r="ST127" s="45"/>
      <c r="SU127" s="45"/>
      <c r="SV127" s="45"/>
      <c r="SW127" s="45"/>
      <c r="SX127" s="45"/>
      <c r="SY127" s="45"/>
      <c r="SZ127" s="45"/>
      <c r="TA127" s="45"/>
      <c r="TB127" s="45"/>
      <c r="TC127" s="45"/>
      <c r="TD127" s="45"/>
      <c r="TE127" s="45"/>
      <c r="TF127" s="45"/>
      <c r="TG127" s="45"/>
      <c r="TH127" s="45"/>
      <c r="TI127" s="45"/>
      <c r="TJ127" s="45"/>
      <c r="TK127" s="45"/>
      <c r="TL127" s="45"/>
      <c r="TM127" s="45"/>
      <c r="TN127" s="45"/>
      <c r="TO127" s="45"/>
      <c r="TP127" s="45"/>
      <c r="TQ127" s="45"/>
      <c r="TR127" s="45"/>
      <c r="TS127" s="45"/>
      <c r="TT127" s="45"/>
      <c r="TU127" s="45"/>
      <c r="TV127" s="45"/>
      <c r="TW127" s="45"/>
      <c r="TX127" s="45"/>
      <c r="TY127" s="45"/>
      <c r="TZ127" s="45"/>
      <c r="UA127" s="45"/>
      <c r="UB127" s="45"/>
      <c r="UC127" s="45"/>
      <c r="UD127" s="45"/>
      <c r="UE127" s="45"/>
      <c r="UF127" s="45"/>
      <c r="UG127" s="45"/>
      <c r="UH127" s="45"/>
      <c r="UI127" s="45"/>
      <c r="UJ127" s="45"/>
      <c r="UK127" s="45"/>
      <c r="UL127" s="45"/>
      <c r="UM127" s="45"/>
      <c r="UN127" s="45"/>
      <c r="UO127" s="45"/>
      <c r="UP127" s="45"/>
      <c r="UQ127" s="45"/>
      <c r="UR127" s="45"/>
      <c r="US127" s="45"/>
      <c r="UT127" s="45"/>
      <c r="UU127" s="45"/>
      <c r="UV127" s="45"/>
      <c r="UW127" s="45"/>
      <c r="UX127" s="45"/>
      <c r="UY127" s="45"/>
      <c r="UZ127" s="45"/>
      <c r="VA127" s="45"/>
      <c r="VB127" s="45"/>
      <c r="VC127" s="45"/>
      <c r="VD127" s="45"/>
      <c r="VE127" s="45"/>
      <c r="VF127" s="45"/>
      <c r="VG127" s="45"/>
      <c r="VH127" s="45"/>
      <c r="VI127" s="45"/>
      <c r="VJ127" s="45"/>
      <c r="VK127" s="45"/>
      <c r="VL127" s="45"/>
      <c r="VM127" s="45"/>
      <c r="VN127" s="45"/>
      <c r="VO127" s="45"/>
      <c r="VP127" s="45"/>
      <c r="VQ127" s="45"/>
      <c r="VR127" s="45"/>
      <c r="VS127" s="45"/>
      <c r="VT127" s="45"/>
      <c r="VU127" s="45"/>
      <c r="VV127" s="45"/>
      <c r="VW127" s="45"/>
      <c r="VX127" s="45"/>
      <c r="VY127" s="45"/>
      <c r="VZ127" s="45"/>
      <c r="WA127" s="45"/>
      <c r="WB127" s="45"/>
      <c r="WC127" s="45"/>
      <c r="WD127" s="45"/>
      <c r="WE127" s="45"/>
      <c r="WF127" s="45"/>
      <c r="WG127" s="45"/>
      <c r="WH127" s="45"/>
      <c r="WI127" s="45"/>
      <c r="WJ127" s="45"/>
      <c r="WK127" s="45"/>
      <c r="WL127" s="45"/>
      <c r="WM127" s="45"/>
      <c r="WN127" s="45"/>
      <c r="WO127" s="45"/>
      <c r="WP127" s="45"/>
      <c r="WQ127" s="45"/>
      <c r="WR127" s="45"/>
      <c r="WS127" s="45"/>
      <c r="WT127" s="45"/>
      <c r="WU127" s="45"/>
      <c r="WV127" s="45"/>
      <c r="WW127" s="45"/>
      <c r="WX127" s="45"/>
      <c r="WY127" s="45"/>
      <c r="WZ127" s="45"/>
      <c r="XA127" s="45"/>
      <c r="XB127" s="45"/>
      <c r="XC127" s="45"/>
      <c r="XD127" s="45"/>
      <c r="XE127" s="45"/>
      <c r="XF127" s="45"/>
      <c r="XG127" s="45"/>
      <c r="XH127" s="45"/>
      <c r="XI127" s="45"/>
      <c r="XJ127" s="45"/>
      <c r="XK127" s="45"/>
      <c r="XL127" s="45"/>
      <c r="XM127" s="45"/>
      <c r="XN127" s="45"/>
      <c r="XO127" s="45"/>
      <c r="XP127" s="45"/>
      <c r="XQ127" s="45"/>
      <c r="XR127" s="45"/>
      <c r="XS127" s="45"/>
      <c r="XT127" s="45"/>
      <c r="XU127" s="45"/>
      <c r="XV127" s="45"/>
      <c r="XW127" s="45"/>
      <c r="XX127" s="45"/>
      <c r="XY127" s="45"/>
      <c r="XZ127" s="45"/>
      <c r="YA127" s="45"/>
      <c r="YB127" s="45"/>
      <c r="YC127" s="45"/>
      <c r="YD127" s="45"/>
      <c r="YE127" s="45"/>
      <c r="YF127" s="45"/>
      <c r="YG127" s="45"/>
      <c r="YH127" s="45"/>
      <c r="YI127" s="45"/>
      <c r="YJ127" s="45"/>
      <c r="YK127" s="45"/>
      <c r="YL127" s="45"/>
      <c r="YM127" s="45"/>
      <c r="YN127" s="45"/>
      <c r="YO127" s="45"/>
      <c r="YP127" s="45"/>
      <c r="YQ127" s="45"/>
      <c r="YR127" s="45"/>
      <c r="YS127" s="45"/>
      <c r="YT127" s="45"/>
      <c r="YU127" s="45"/>
      <c r="YV127" s="45"/>
      <c r="YW127" s="45"/>
      <c r="YX127" s="45"/>
      <c r="YY127" s="45"/>
      <c r="YZ127" s="45"/>
      <c r="ZA127" s="45"/>
      <c r="ZB127" s="45"/>
      <c r="ZC127" s="45"/>
      <c r="ZD127" s="45"/>
      <c r="ZE127" s="45"/>
      <c r="ZF127" s="45"/>
      <c r="ZG127" s="45"/>
      <c r="ZH127" s="45"/>
      <c r="ZI127" s="45"/>
      <c r="ZJ127" s="45"/>
      <c r="ZK127" s="45"/>
      <c r="ZL127" s="45"/>
      <c r="ZM127" s="45"/>
      <c r="ZN127" s="45"/>
      <c r="ZO127" s="45"/>
      <c r="ZP127" s="45"/>
      <c r="ZQ127" s="45"/>
      <c r="ZR127" s="45"/>
      <c r="ZS127" s="45"/>
      <c r="ZT127" s="45"/>
      <c r="ZU127" s="45"/>
      <c r="ZV127" s="45"/>
      <c r="ZW127" s="45"/>
      <c r="ZX127" s="45"/>
      <c r="ZY127" s="45"/>
      <c r="ZZ127" s="45"/>
      <c r="AAA127" s="45"/>
      <c r="AAB127" s="45"/>
      <c r="AAC127" s="45"/>
      <c r="AAD127" s="45"/>
      <c r="AAE127" s="45"/>
      <c r="AAF127" s="45"/>
      <c r="AAG127" s="45"/>
      <c r="AAH127" s="45"/>
      <c r="AAI127" s="45"/>
      <c r="AAJ127" s="45"/>
      <c r="AAK127" s="45"/>
      <c r="AAL127" s="45"/>
      <c r="AAM127" s="45"/>
      <c r="AAN127" s="45"/>
      <c r="AAO127" s="45"/>
      <c r="AAP127" s="45"/>
      <c r="AAQ127" s="45"/>
      <c r="AAR127" s="45"/>
      <c r="AAS127" s="45"/>
      <c r="AAT127" s="45"/>
      <c r="AAU127" s="45"/>
      <c r="AAV127" s="45"/>
      <c r="AAW127" s="45"/>
      <c r="AAX127" s="45"/>
      <c r="AAY127" s="45"/>
      <c r="AAZ127" s="45"/>
      <c r="ABA127" s="45"/>
      <c r="ABB127" s="45"/>
      <c r="ABC127" s="45"/>
      <c r="ABD127" s="45"/>
      <c r="ABE127" s="45"/>
      <c r="ABF127" s="45"/>
      <c r="ABG127" s="45"/>
      <c r="ABH127" s="45"/>
      <c r="ABI127" s="45"/>
      <c r="ABJ127" s="45"/>
      <c r="ABK127" s="45"/>
      <c r="ABL127" s="45"/>
      <c r="ABM127" s="45"/>
      <c r="ABN127" s="45"/>
      <c r="ABO127" s="45"/>
      <c r="ABP127" s="45"/>
      <c r="ABQ127" s="45"/>
      <c r="ABR127" s="45"/>
      <c r="ABS127" s="45"/>
      <c r="ABT127" s="45"/>
      <c r="ABU127" s="45"/>
      <c r="ABV127" s="45"/>
      <c r="ABW127" s="45"/>
      <c r="ABX127" s="45"/>
      <c r="ABY127" s="45"/>
      <c r="ABZ127" s="45"/>
      <c r="ACA127" s="45"/>
      <c r="ACB127" s="45"/>
      <c r="ACC127" s="45"/>
      <c r="ACD127" s="45"/>
      <c r="ACE127" s="45"/>
      <c r="ACF127" s="45"/>
      <c r="ACG127" s="45"/>
      <c r="ACH127" s="45"/>
      <c r="ACI127" s="45"/>
      <c r="ACJ127" s="45"/>
      <c r="ACK127" s="45"/>
      <c r="ACL127" s="45"/>
      <c r="ACM127" s="45"/>
      <c r="ACN127" s="45"/>
      <c r="ACO127" s="45"/>
      <c r="ACP127" s="45"/>
      <c r="ACQ127" s="45"/>
      <c r="ACR127" s="45"/>
      <c r="ACS127" s="45"/>
      <c r="ACT127" s="45"/>
      <c r="ACU127" s="45"/>
      <c r="ACV127" s="45"/>
      <c r="ACW127" s="45"/>
      <c r="ACX127" s="45"/>
      <c r="ACY127" s="45"/>
      <c r="ACZ127" s="45"/>
      <c r="ADA127" s="45"/>
      <c r="ADB127" s="45"/>
      <c r="ADC127" s="45"/>
      <c r="ADD127" s="45"/>
      <c r="ADE127" s="45"/>
      <c r="ADF127" s="45"/>
      <c r="ADG127" s="45"/>
      <c r="ADH127" s="45"/>
      <c r="ADI127" s="45"/>
      <c r="ADJ127" s="45"/>
      <c r="ADK127" s="45"/>
      <c r="ADL127" s="45"/>
      <c r="ADM127" s="45"/>
      <c r="ADN127" s="45"/>
      <c r="ADO127" s="45"/>
      <c r="ADP127" s="45"/>
      <c r="ADQ127" s="45"/>
      <c r="ADR127" s="45"/>
      <c r="ADS127" s="45"/>
      <c r="ADT127" s="45"/>
      <c r="ADU127" s="45"/>
      <c r="ADV127" s="45"/>
      <c r="ADW127" s="45"/>
      <c r="ADX127" s="45"/>
      <c r="ADY127" s="45"/>
      <c r="ADZ127" s="45"/>
      <c r="AEA127" s="45"/>
      <c r="AEB127" s="45"/>
      <c r="AEC127" s="45"/>
      <c r="AED127" s="45"/>
      <c r="AEE127" s="45"/>
      <c r="AEF127" s="45"/>
      <c r="AEG127" s="45"/>
      <c r="AEH127" s="45"/>
      <c r="AEI127" s="45"/>
      <c r="AEJ127" s="45"/>
      <c r="AEK127" s="45"/>
      <c r="AEL127" s="45"/>
      <c r="AEM127" s="45"/>
      <c r="AEN127" s="45"/>
      <c r="AEO127" s="45"/>
      <c r="AEP127" s="45"/>
      <c r="AEQ127" s="45"/>
      <c r="AER127" s="45"/>
      <c r="AES127" s="45"/>
      <c r="AET127" s="45"/>
      <c r="AEU127" s="45"/>
      <c r="AEV127" s="45"/>
      <c r="AEW127" s="45"/>
      <c r="AEX127" s="45"/>
      <c r="AEY127" s="45"/>
      <c r="AEZ127" s="45"/>
      <c r="AFA127" s="45"/>
      <c r="AFB127" s="45"/>
      <c r="AFC127" s="45"/>
      <c r="AFD127" s="45"/>
      <c r="AFE127" s="45"/>
      <c r="AFF127" s="45"/>
      <c r="AFG127" s="45"/>
      <c r="AFH127" s="45"/>
      <c r="AFI127" s="45"/>
      <c r="AFJ127" s="45"/>
      <c r="AFK127" s="45"/>
      <c r="AFL127" s="45"/>
      <c r="AFM127" s="45"/>
      <c r="AFN127" s="45"/>
      <c r="AFO127" s="45"/>
      <c r="AFP127" s="45"/>
      <c r="AFQ127" s="45"/>
      <c r="AFR127" s="45"/>
      <c r="AFS127" s="45"/>
      <c r="AFT127" s="45"/>
      <c r="AFU127" s="45"/>
      <c r="AFV127" s="45"/>
      <c r="AFW127" s="45"/>
      <c r="AFX127" s="45"/>
      <c r="AFY127" s="45"/>
      <c r="AFZ127" s="45"/>
      <c r="AGA127" s="45"/>
      <c r="AGB127" s="45"/>
      <c r="AGC127" s="45"/>
      <c r="AGD127" s="45"/>
      <c r="AGE127" s="45"/>
      <c r="AGF127" s="45"/>
      <c r="AGG127" s="45"/>
      <c r="AGH127" s="45"/>
      <c r="AGI127" s="45"/>
      <c r="AGJ127" s="45"/>
      <c r="AGK127" s="45"/>
      <c r="AGL127" s="45"/>
      <c r="AGM127" s="45"/>
      <c r="AGN127" s="45"/>
      <c r="AGO127" s="45"/>
      <c r="AGP127" s="45"/>
      <c r="AGQ127" s="45"/>
      <c r="AGR127" s="45"/>
      <c r="AGS127" s="45"/>
      <c r="AGT127" s="45"/>
      <c r="AGU127" s="45"/>
      <c r="AGV127" s="45"/>
      <c r="AGW127" s="45"/>
      <c r="AGX127" s="45"/>
      <c r="AGY127" s="45"/>
      <c r="AGZ127" s="45"/>
      <c r="AHA127" s="45"/>
      <c r="AHB127" s="45"/>
      <c r="AHC127" s="45"/>
      <c r="AHD127" s="45"/>
      <c r="AHE127" s="45"/>
      <c r="AHF127" s="45"/>
      <c r="AHG127" s="45"/>
      <c r="AHH127" s="45"/>
      <c r="AHI127" s="45"/>
      <c r="AHJ127" s="45"/>
      <c r="AHK127" s="45"/>
      <c r="AHL127" s="45"/>
      <c r="AHM127" s="45"/>
      <c r="AHN127" s="45"/>
      <c r="AHO127" s="45"/>
      <c r="AHP127" s="45"/>
      <c r="AHQ127" s="45"/>
      <c r="AHR127" s="45"/>
      <c r="AHS127" s="45"/>
      <c r="AHT127" s="45"/>
      <c r="AHU127" s="45"/>
      <c r="AHV127" s="45"/>
      <c r="AHW127" s="45"/>
      <c r="AHX127" s="45"/>
      <c r="AHY127" s="45"/>
      <c r="AHZ127" s="45"/>
      <c r="AIA127" s="45"/>
      <c r="AIB127" s="45"/>
      <c r="AIC127" s="45"/>
      <c r="AID127" s="45"/>
      <c r="AIE127" s="45"/>
      <c r="AIF127" s="45"/>
      <c r="AIG127" s="45"/>
      <c r="AIH127" s="45"/>
      <c r="AII127" s="45"/>
      <c r="AIJ127" s="45"/>
      <c r="AIK127" s="45"/>
      <c r="AIL127" s="45"/>
      <c r="AIM127" s="45"/>
      <c r="AIN127" s="45"/>
      <c r="AIO127" s="45"/>
      <c r="AIP127" s="45"/>
      <c r="AIQ127" s="45"/>
      <c r="AIR127" s="45"/>
      <c r="AIS127" s="45"/>
      <c r="AIT127" s="45"/>
      <c r="AIU127" s="45"/>
      <c r="AIV127" s="45"/>
      <c r="AIW127" s="45"/>
      <c r="AIX127" s="45"/>
      <c r="AIY127" s="45"/>
      <c r="AIZ127" s="45"/>
      <c r="AJA127" s="45"/>
      <c r="AJB127" s="45"/>
      <c r="AJC127" s="45"/>
      <c r="AJD127" s="45"/>
      <c r="AJE127" s="45"/>
      <c r="AJF127" s="45"/>
      <c r="AJG127" s="45"/>
      <c r="AJH127" s="45"/>
      <c r="AJI127" s="45"/>
      <c r="AJJ127" s="45"/>
      <c r="AJK127" s="45"/>
      <c r="AJL127" s="45"/>
      <c r="AJM127" s="45"/>
      <c r="AJN127" s="45"/>
      <c r="AJO127" s="45"/>
      <c r="AJP127" s="45"/>
      <c r="AJQ127" s="45"/>
      <c r="AJR127" s="45"/>
      <c r="AJS127" s="45"/>
      <c r="AJT127" s="45"/>
      <c r="AJU127" s="45"/>
      <c r="AJV127" s="45"/>
      <c r="AJW127" s="45"/>
      <c r="AJX127" s="45"/>
      <c r="AJY127" s="45"/>
      <c r="AJZ127" s="45"/>
      <c r="AKA127" s="45"/>
      <c r="AKB127" s="45"/>
      <c r="AKC127" s="45"/>
      <c r="AKD127" s="45"/>
      <c r="AKE127" s="45"/>
      <c r="AKF127" s="45"/>
      <c r="AKG127" s="45"/>
      <c r="AKH127" s="45"/>
      <c r="AKI127" s="45"/>
      <c r="AKJ127" s="45"/>
      <c r="AKK127" s="45"/>
      <c r="AKL127" s="45"/>
      <c r="AKM127" s="45"/>
      <c r="AKN127" s="45"/>
      <c r="AKO127" s="45"/>
      <c r="AKP127" s="45"/>
      <c r="AKQ127" s="45"/>
      <c r="AKR127" s="45"/>
      <c r="AKS127" s="45"/>
      <c r="AKT127" s="45"/>
      <c r="AKU127" s="45"/>
      <c r="AKV127" s="45"/>
      <c r="AKW127" s="45"/>
      <c r="AKX127" s="45"/>
      <c r="AKY127" s="45"/>
      <c r="AKZ127" s="45"/>
      <c r="ALA127" s="45"/>
      <c r="ALB127" s="45"/>
      <c r="ALC127" s="45"/>
      <c r="ALD127" s="45"/>
      <c r="ALE127" s="45"/>
      <c r="ALF127" s="45"/>
      <c r="ALG127" s="45"/>
      <c r="ALH127" s="45"/>
      <c r="ALI127" s="45"/>
      <c r="ALJ127" s="45"/>
      <c r="ALK127" s="45"/>
      <c r="ALL127" s="45"/>
      <c r="ALM127" s="45"/>
      <c r="ALN127" s="45"/>
      <c r="ALO127" s="45"/>
      <c r="ALP127" s="45"/>
      <c r="ALQ127" s="45"/>
      <c r="ALR127" s="45"/>
      <c r="ALS127" s="45"/>
      <c r="ALT127" s="45"/>
      <c r="ALU127" s="45"/>
      <c r="ALV127" s="45"/>
      <c r="ALW127" s="45"/>
      <c r="ALX127" s="45"/>
      <c r="ALY127" s="45"/>
      <c r="ALZ127" s="45"/>
      <c r="AMA127" s="45"/>
      <c r="AMB127" s="45"/>
      <c r="AMC127" s="45"/>
      <c r="AMD127" s="45"/>
      <c r="AME127" s="45"/>
      <c r="AMF127" s="45"/>
      <c r="AMG127" s="45"/>
      <c r="AMH127" s="45"/>
      <c r="AMI127" s="45"/>
      <c r="AMJ127" s="45"/>
      <c r="AMK127" s="45"/>
      <c r="AML127" s="45"/>
      <c r="AMM127" s="45"/>
      <c r="AMN127" s="45"/>
      <c r="AMO127" s="45"/>
      <c r="AMP127" s="45"/>
      <c r="AMQ127" s="45"/>
      <c r="AMR127" s="45"/>
      <c r="AMS127" s="45"/>
      <c r="AMT127" s="45"/>
      <c r="AMU127" s="45"/>
      <c r="AMV127" s="45"/>
      <c r="AMW127" s="45"/>
      <c r="AMX127" s="45"/>
      <c r="AMY127" s="45"/>
      <c r="AMZ127" s="45"/>
      <c r="ANA127" s="45"/>
      <c r="ANB127" s="45"/>
      <c r="ANC127" s="45"/>
      <c r="AND127" s="45"/>
      <c r="ANE127" s="45"/>
      <c r="ANF127" s="45"/>
      <c r="ANG127" s="45"/>
      <c r="ANH127" s="45"/>
      <c r="ANI127" s="45"/>
      <c r="ANJ127" s="45"/>
      <c r="ANK127" s="45"/>
      <c r="ANL127" s="45"/>
      <c r="ANM127" s="45"/>
      <c r="ANN127" s="45"/>
      <c r="ANO127" s="45"/>
      <c r="ANP127" s="45"/>
      <c r="ANQ127" s="45"/>
      <c r="ANR127" s="45"/>
      <c r="ANS127" s="45"/>
      <c r="ANT127" s="45"/>
      <c r="ANU127" s="45"/>
      <c r="ANV127" s="45"/>
      <c r="ANW127" s="45"/>
      <c r="ANX127" s="45"/>
      <c r="ANY127" s="45"/>
      <c r="ANZ127" s="45"/>
      <c r="AOA127" s="45"/>
      <c r="AOB127" s="45"/>
      <c r="AOC127" s="45"/>
      <c r="AOD127" s="45"/>
      <c r="AOE127" s="45"/>
      <c r="AOF127" s="45"/>
      <c r="AOG127" s="45"/>
      <c r="AOH127" s="45"/>
      <c r="AOI127" s="45"/>
      <c r="AOJ127" s="45"/>
      <c r="AOK127" s="45"/>
      <c r="AOL127" s="45"/>
      <c r="AOM127" s="45"/>
      <c r="AON127" s="45"/>
      <c r="AOO127" s="45"/>
      <c r="AOP127" s="45"/>
      <c r="AOQ127" s="45"/>
      <c r="AOR127" s="45"/>
      <c r="AOS127" s="45"/>
      <c r="AOT127" s="45"/>
      <c r="AOU127" s="45"/>
      <c r="AOV127" s="45"/>
      <c r="AOW127" s="45"/>
      <c r="AOX127" s="45"/>
      <c r="AOY127" s="45"/>
      <c r="AOZ127" s="45"/>
      <c r="APA127" s="45"/>
      <c r="APB127" s="45"/>
      <c r="APC127" s="45"/>
      <c r="APD127" s="45"/>
      <c r="APE127" s="45"/>
      <c r="APF127" s="45"/>
      <c r="APG127" s="45"/>
      <c r="APH127" s="45"/>
      <c r="API127" s="45"/>
      <c r="APJ127" s="45"/>
      <c r="APK127" s="45"/>
      <c r="APL127" s="45"/>
      <c r="APM127" s="45"/>
      <c r="APN127" s="45"/>
      <c r="APO127" s="45"/>
      <c r="APP127" s="45"/>
      <c r="APQ127" s="45"/>
      <c r="APR127" s="45"/>
      <c r="APS127" s="45"/>
      <c r="APT127" s="45"/>
      <c r="APU127" s="45"/>
      <c r="APV127" s="45"/>
      <c r="APW127" s="45"/>
      <c r="APX127" s="45"/>
      <c r="APY127" s="45"/>
      <c r="APZ127" s="45"/>
      <c r="AQA127" s="45"/>
      <c r="AQB127" s="45"/>
      <c r="AQC127" s="45"/>
      <c r="AQD127" s="45"/>
      <c r="AQE127" s="45"/>
      <c r="AQF127" s="45"/>
      <c r="AQG127" s="45"/>
      <c r="AQH127" s="45"/>
      <c r="AQI127" s="45"/>
      <c r="AQJ127" s="45"/>
      <c r="AQK127" s="45"/>
      <c r="AQL127" s="45"/>
      <c r="AQM127" s="45"/>
      <c r="AQN127" s="45"/>
      <c r="AQO127" s="45"/>
      <c r="AQP127" s="45"/>
      <c r="AQQ127" s="45"/>
      <c r="AQR127" s="45"/>
      <c r="AQS127" s="45"/>
      <c r="AQT127" s="45"/>
      <c r="AQU127" s="45"/>
      <c r="AQV127" s="45"/>
      <c r="AQW127" s="45"/>
      <c r="AQX127" s="45"/>
    </row>
    <row r="128" spans="1:1142" s="46" customFormat="1" x14ac:dyDescent="0.2">
      <c r="K128" s="47"/>
    </row>
    <row r="131" spans="1:11" s="49" customFormat="1" ht="27.75" x14ac:dyDescent="0.4">
      <c r="B131" s="50"/>
      <c r="C131" s="50"/>
      <c r="D131" s="50" t="s">
        <v>106</v>
      </c>
      <c r="E131" s="50"/>
      <c r="I131" s="51"/>
      <c r="J131" s="51" t="s">
        <v>107</v>
      </c>
      <c r="K131" s="51"/>
    </row>
    <row r="132" spans="1:11" s="48" customFormat="1" ht="18.75" x14ac:dyDescent="0.3">
      <c r="A132" s="3"/>
      <c r="B132" s="3"/>
      <c r="C132" s="3"/>
      <c r="D132" s="2"/>
      <c r="E132" s="2"/>
      <c r="F132" s="2"/>
      <c r="G132" s="2"/>
      <c r="H132" s="2"/>
      <c r="I132" s="2"/>
      <c r="J132" s="2"/>
      <c r="K132" s="52"/>
    </row>
    <row r="133" spans="1:11" s="48" customFormat="1" ht="20.25" x14ac:dyDescent="0.3">
      <c r="B133" s="53"/>
      <c r="C133" s="54"/>
      <c r="D133" s="55" t="s">
        <v>111</v>
      </c>
      <c r="H133" s="56"/>
      <c r="I133" s="56"/>
      <c r="J133" s="56"/>
      <c r="K133" s="57"/>
    </row>
    <row r="134" spans="1:11" ht="23.25" customHeight="1" x14ac:dyDescent="0.2">
      <c r="A134" s="59"/>
      <c r="B134" s="59"/>
      <c r="C134" s="59"/>
      <c r="D134" s="1" t="s">
        <v>120</v>
      </c>
    </row>
  </sheetData>
  <mergeCells count="9">
    <mergeCell ref="F6:K6"/>
    <mergeCell ref="F7:K7"/>
    <mergeCell ref="A134:C134"/>
    <mergeCell ref="A12:K12"/>
    <mergeCell ref="F1:K1"/>
    <mergeCell ref="F2:K2"/>
    <mergeCell ref="F3:K3"/>
    <mergeCell ref="F4:K4"/>
    <mergeCell ref="F5:K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2" fitToHeight="11" orientation="landscape" useFirstPageNumber="1" verticalDpi="300" r:id="rId1"/>
  <rowBreaks count="2" manualBreakCount="2">
    <brk id="18" max="10" man="1"/>
    <brk id="1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3 </vt:lpstr>
      <vt:lpstr>'додаток 3 '!Заголовки_для_печати</vt:lpstr>
      <vt:lpstr>'додаток 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2019-12-20T15:20:46Z</cp:lastPrinted>
  <dcterms:created xsi:type="dcterms:W3CDTF">2018-10-18T06:20:50Z</dcterms:created>
  <dcterms:modified xsi:type="dcterms:W3CDTF">2019-12-23T09:00:21Z</dcterms:modified>
</cp:coreProperties>
</file>