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'Sheet1'!$A$1:$P$694</definedName>
  </definedNames>
  <calcPr fullCalcOnLoad="1"/>
</workbook>
</file>

<file path=xl/sharedStrings.xml><?xml version="1.0" encoding="utf-8"?>
<sst xmlns="http://schemas.openxmlformats.org/spreadsheetml/2006/main" count="702" uniqueCount="457">
  <si>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</si>
  <si>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</si>
  <si>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</si>
  <si>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</si>
  <si>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</si>
  <si>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</si>
  <si>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</si>
  <si>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</si>
  <si>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</si>
  <si>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</si>
  <si>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</si>
  <si>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</si>
  <si>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</si>
  <si>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</si>
  <si>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</si>
  <si>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</si>
  <si>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</si>
  <si>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</si>
  <si>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</si>
  <si>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</si>
  <si>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</si>
  <si>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</si>
  <si>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</si>
  <si>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</si>
  <si>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</si>
  <si>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</si>
  <si>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</si>
  <si>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</si>
  <si>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</si>
  <si>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</si>
  <si>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</si>
  <si>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</si>
  <si>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</si>
  <si>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</si>
  <si>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</si>
  <si>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</si>
  <si>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</si>
  <si>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</si>
  <si>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</si>
  <si>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</si>
  <si>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</si>
  <si>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</si>
  <si>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</si>
  <si>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</si>
  <si>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</si>
  <si>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</si>
  <si>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</si>
  <si>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</si>
  <si>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</si>
  <si>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</si>
  <si>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</si>
  <si>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</si>
  <si>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</si>
  <si>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</si>
  <si>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</si>
  <si>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</si>
  <si>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</si>
  <si>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</si>
  <si>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</si>
  <si>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</si>
  <si>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</si>
  <si>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</si>
  <si>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</si>
  <si>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</si>
  <si>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</si>
  <si>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</si>
  <si>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</si>
  <si>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</si>
  <si>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</si>
  <si>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</si>
  <si>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</si>
  <si>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</si>
  <si>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</si>
  <si>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</si>
  <si>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</si>
  <si>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</si>
  <si>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</si>
  <si>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</si>
  <si>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</si>
  <si>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</si>
  <si>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</si>
  <si>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</si>
  <si>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</si>
  <si>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</si>
  <si>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</si>
  <si>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</si>
  <si>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</si>
  <si>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</si>
  <si>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</si>
  <si>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</si>
  <si>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</si>
  <si>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</si>
  <si>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</si>
  <si>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</si>
  <si>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</si>
  <si>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</si>
  <si>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</si>
  <si>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</si>
  <si>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</si>
  <si>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</si>
  <si>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</si>
  <si>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</si>
  <si>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</si>
  <si>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</si>
  <si>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</si>
  <si>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</si>
  <si>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</si>
  <si>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</si>
  <si>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</si>
  <si>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</si>
  <si>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</si>
  <si>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</si>
  <si>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</si>
  <si>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</si>
  <si>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</si>
  <si>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</si>
  <si>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</si>
  <si>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</si>
  <si>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</si>
  <si>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</si>
  <si>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</si>
  <si>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</si>
  <si>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</si>
  <si>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</si>
  <si>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</si>
  <si>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</si>
  <si>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</si>
  <si>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</si>
  <si>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</si>
  <si>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</si>
  <si>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</si>
  <si>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</si>
  <si>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</si>
  <si>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</si>
  <si>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</si>
  <si>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</si>
  <si>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</si>
  <si>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</si>
  <si>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</si>
  <si>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</si>
  <si>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</si>
  <si>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</si>
  <si>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</si>
  <si>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</si>
  <si>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</si>
  <si>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</si>
  <si>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</si>
  <si>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</si>
  <si>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</si>
  <si>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</si>
  <si>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</si>
  <si>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</si>
  <si>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</si>
  <si>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</si>
  <si>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</si>
  <si>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</si>
  <si>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</si>
  <si>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</si>
  <si>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</si>
  <si>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</si>
  <si>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</si>
  <si>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</si>
  <si>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</si>
  <si>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</si>
  <si>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</si>
  <si>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</si>
  <si>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</si>
  <si>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</si>
  <si>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</si>
  <si>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</si>
  <si>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</si>
  <si>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</si>
  <si>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</si>
  <si>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</si>
  <si>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</si>
  <si>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</si>
  <si>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</si>
  <si>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</si>
  <si>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</si>
  <si>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</si>
  <si>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</si>
  <si>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</si>
  <si>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</si>
  <si>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</si>
  <si>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</si>
  <si>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</si>
  <si>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</si>
  <si>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</si>
  <si>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</si>
  <si>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</si>
  <si>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</si>
  <si>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</si>
  <si>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</si>
  <si>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</si>
  <si>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</si>
  <si>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</si>
  <si>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</si>
  <si>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</si>
  <si>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</si>
  <si>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</si>
  <si>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</si>
  <si>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</si>
  <si>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</si>
  <si>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</si>
  <si>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</si>
  <si>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</si>
  <si>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</si>
  <si>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</si>
  <si>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</si>
  <si>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</si>
  <si>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</si>
  <si>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</si>
  <si>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</si>
  <si>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</si>
  <si>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</si>
  <si>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</si>
  <si>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</si>
  <si>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</si>
  <si>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</si>
  <si>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</si>
  <si>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</si>
  <si>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</si>
  <si>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</si>
  <si>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</si>
  <si>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</si>
  <si>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</si>
  <si>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</si>
  <si>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</si>
  <si>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</si>
  <si>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</si>
  <si>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</si>
  <si>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</si>
  <si>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</si>
  <si>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</si>
  <si>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</si>
  <si>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</si>
  <si>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</si>
  <si>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</si>
  <si>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</si>
  <si>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</si>
  <si>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</si>
  <si>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</si>
  <si>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</si>
  <si>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</si>
  <si>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</si>
  <si>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</si>
  <si>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</si>
  <si>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</si>
  <si>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</si>
  <si>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</si>
  <si>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</si>
  <si>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</si>
  <si>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</si>
  <si>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</si>
  <si>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</si>
  <si>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</si>
  <si>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</si>
  <si>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</si>
  <si>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</si>
  <si>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</si>
  <si>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</si>
  <si>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</si>
  <si>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</si>
  <si>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</si>
  <si>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</si>
  <si>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</si>
  <si>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</si>
  <si>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</si>
  <si>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</si>
  <si>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</si>
  <si>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</si>
  <si>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</si>
  <si>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</si>
  <si>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</si>
  <si>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</si>
  <si>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</si>
  <si>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</si>
  <si>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</si>
  <si>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</si>
  <si>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</si>
  <si>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</si>
  <si>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</si>
  <si>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</si>
  <si>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</si>
  <si>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</si>
  <si>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</si>
  <si>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</si>
  <si>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</si>
  <si>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</si>
  <si>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</si>
  <si>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</si>
  <si>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</si>
  <si>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</si>
  <si>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</si>
  <si>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</si>
  <si>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</si>
  <si>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</si>
  <si>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</si>
  <si>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</si>
  <si>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</si>
  <si>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</si>
  <si>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</si>
  <si>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</si>
  <si>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</si>
  <si>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</si>
  <si>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</si>
  <si>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</si>
  <si>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</si>
  <si>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</si>
  <si>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</si>
  <si>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</si>
  <si>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</si>
  <si>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</si>
  <si>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</si>
  <si>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</si>
  <si>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</si>
  <si>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</si>
  <si>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</si>
  <si>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</si>
  <si>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</si>
  <si>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</si>
  <si>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</si>
  <si>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</si>
  <si>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</si>
  <si>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</si>
  <si>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</si>
  <si>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</si>
  <si>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</si>
  <si>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</si>
  <si>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</si>
  <si>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</si>
  <si>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</si>
  <si>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</si>
  <si>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</si>
  <si>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</si>
  <si>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</si>
  <si>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</si>
  <si>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</si>
  <si>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</si>
  <si>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</si>
  <si>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</si>
  <si>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</si>
  <si>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</si>
  <si>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</si>
  <si>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</si>
  <si>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</si>
  <si>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</si>
  <si>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</si>
  <si>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</si>
  <si>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</si>
  <si>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</si>
  <si>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</si>
  <si>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</si>
  <si>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</si>
  <si>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</si>
  <si>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</si>
  <si>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</si>
  <si>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</si>
  <si>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</si>
  <si>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</si>
  <si>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</si>
  <si>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</si>
  <si>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</si>
  <si>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</si>
  <si>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</si>
  <si>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</si>
  <si>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</si>
  <si>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</si>
  <si>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</si>
  <si>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</si>
  <si>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</si>
  <si>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</si>
  <si>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</si>
  <si>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</si>
  <si>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</si>
  <si>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</si>
  <si>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</si>
  <si>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</si>
  <si>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</si>
  <si>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</si>
  <si>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</si>
  <si>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</si>
  <si>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</si>
  <si>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</si>
  <si>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</si>
  <si>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</si>
  <si>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</si>
  <si>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</si>
  <si>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</si>
  <si>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</si>
  <si>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</si>
  <si>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</si>
  <si>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</si>
  <si>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</si>
  <si>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</si>
  <si>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</si>
  <si>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</si>
  <si>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</si>
  <si>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</si>
  <si>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</si>
  <si>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</si>
  <si>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</si>
  <si>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</si>
  <si>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</si>
  <si>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</si>
  <si>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</si>
  <si>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</si>
  <si>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</si>
  <si>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</si>
  <si>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</si>
  <si>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</si>
  <si>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</si>
  <si>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</si>
  <si>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</si>
  <si>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</si>
  <si>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</si>
  <si>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</si>
  <si>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</si>
  <si>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</si>
  <si>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</si>
  <si>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</si>
  <si>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</si>
  <si>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</si>
  <si>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</si>
  <si>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</si>
  <si>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</si>
  <si>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</si>
  <si>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</si>
  <si>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</si>
  <si>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</si>
  <si>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</si>
  <si>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</si>
  <si>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</si>
  <si>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</si>
  <si>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</si>
  <si>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</si>
  <si>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</si>
  <si>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</si>
  <si>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</si>
  <si>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</si>
  <si>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</si>
  <si>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</si>
  <si>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</si>
  <si>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</si>
  <si>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</si>
  <si>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</si>
  <si>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</si>
  <si>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</si>
  <si>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</si>
  <si>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Сумський міський голова </t>
  </si>
  <si>
    <t>О.М. Лисенко</t>
  </si>
  <si>
    <t xml:space="preserve">Показник: видатки на визначення норм надання послуг з вивезення ТПВ в м. Суми (ІІІ етап робіт -розробка звіту) </t>
  </si>
  <si>
    <t>міської ради від 21 грудня 2017 року № 2913-МР" (зі змінами)</t>
  </si>
  <si>
    <t>Виконавець: Павленко В.І.</t>
  </si>
  <si>
    <t xml:space="preserve">  Завдання: 31.3 Фінансова підтримка КП «Міськводоканал» СМР для проведення оцінки 
запасів питних підземних вод Сумського родовища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</si>
  <si>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електроенергії), Фінансова підтримка КП «Міськводоканал» СМР для проведення оцінки запасів питних підземних вод Сумського родовища</t>
  </si>
  <si>
    <t xml:space="preserve">від 18 вересня 2019 року № 5614-МР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</si>
</sst>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top" wrapText="1"/>
    </xf>
    <xf numFmtId="4" fontId="11" fillId="0" borderId="2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43870551"/>
        <c:axId val="33446252"/>
      </c:barChart>
      <c:catAx>
        <c:axId val="4387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6252"/>
        <c:crosses val="autoZero"/>
        <c:auto val="1"/>
        <c:lblOffset val="100"/>
        <c:tickLblSkip val="1"/>
        <c:noMultiLvlLbl val="0"/>
      </c:catAx>
      <c:valAx>
        <c:axId val="33446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055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91"/>
  <sheetViews>
    <sheetView tabSelected="1" view="pageBreakPreview" zoomScaleNormal="85" zoomScaleSheetLayoutView="100" workbookViewId="0" topLeftCell="A2">
      <selection activeCell="J21" sqref="J21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76" t="s">
        <v>448</v>
      </c>
      <c r="K2" s="176"/>
      <c r="L2" s="176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350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279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55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280</v>
      </c>
      <c r="K7" s="108"/>
      <c r="L7" s="108"/>
      <c r="M7" s="108"/>
      <c r="N7" s="108"/>
      <c r="O7" s="108"/>
      <c r="P7" s="108"/>
    </row>
    <row r="8" spans="1:16" ht="18.75" customHeight="1">
      <c r="A8" s="120"/>
      <c r="B8" s="120"/>
      <c r="C8" s="120"/>
      <c r="D8" s="121"/>
      <c r="E8" s="121"/>
      <c r="F8" s="121"/>
      <c r="G8" s="121"/>
      <c r="H8" s="121"/>
      <c r="I8" s="121"/>
      <c r="J8" s="174" t="s">
        <v>452</v>
      </c>
      <c r="K8" s="174"/>
      <c r="L8" s="174"/>
      <c r="M8" s="174"/>
      <c r="N8" s="174"/>
      <c r="O8" s="174"/>
      <c r="P8" s="174"/>
    </row>
    <row r="9" spans="1:16" ht="18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456</v>
      </c>
      <c r="K9" s="108"/>
      <c r="L9" s="108"/>
      <c r="M9" s="108"/>
      <c r="N9" s="108"/>
      <c r="O9" s="108"/>
      <c r="P9" s="10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77" t="s">
        <v>273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6.5" customHeight="1">
      <c r="A13" s="122"/>
      <c r="B13" s="122"/>
      <c r="C13" s="122"/>
      <c r="D13" s="123"/>
      <c r="E13" s="123"/>
      <c r="F13" s="175" t="s">
        <v>274</v>
      </c>
      <c r="G13" s="175"/>
      <c r="H13" s="123"/>
      <c r="I13" s="123"/>
      <c r="J13" s="118"/>
      <c r="K13" s="123"/>
      <c r="L13" s="118"/>
      <c r="M13" s="118"/>
      <c r="N13" s="118"/>
      <c r="O13" s="118"/>
      <c r="P13" s="158" t="s">
        <v>39</v>
      </c>
    </row>
    <row r="14" spans="1:241" ht="11.25" customHeight="1">
      <c r="A14" s="167"/>
      <c r="B14" s="167" t="s">
        <v>34</v>
      </c>
      <c r="C14" s="167" t="s">
        <v>35</v>
      </c>
      <c r="D14" s="163" t="s">
        <v>445</v>
      </c>
      <c r="E14" s="164"/>
      <c r="F14" s="165"/>
      <c r="G14" s="172" t="s">
        <v>446</v>
      </c>
      <c r="H14" s="172"/>
      <c r="I14" s="172"/>
      <c r="J14" s="172"/>
      <c r="K14" s="33"/>
      <c r="L14" s="33"/>
      <c r="M14" s="33"/>
      <c r="N14" s="163" t="s">
        <v>447</v>
      </c>
      <c r="O14" s="164"/>
      <c r="P14" s="165"/>
      <c r="IB14" s="25"/>
      <c r="IC14" s="25"/>
      <c r="ID14" s="25"/>
      <c r="IE14" s="25"/>
      <c r="IF14" s="25"/>
      <c r="IG14" s="25"/>
    </row>
    <row r="15" spans="1:241" ht="12" customHeight="1">
      <c r="A15" s="168"/>
      <c r="B15" s="168"/>
      <c r="C15" s="168"/>
      <c r="D15" s="170" t="s">
        <v>36</v>
      </c>
      <c r="E15" s="171"/>
      <c r="F15" s="161" t="s">
        <v>26</v>
      </c>
      <c r="G15" s="166" t="s">
        <v>36</v>
      </c>
      <c r="H15" s="166"/>
      <c r="I15" s="166"/>
      <c r="J15" s="172" t="s">
        <v>26</v>
      </c>
      <c r="K15" s="163" t="s">
        <v>25</v>
      </c>
      <c r="L15" s="164"/>
      <c r="M15" s="165"/>
      <c r="N15" s="170" t="s">
        <v>36</v>
      </c>
      <c r="O15" s="171"/>
      <c r="P15" s="161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69"/>
      <c r="B16" s="169"/>
      <c r="C16" s="169"/>
      <c r="D16" s="33" t="s">
        <v>0</v>
      </c>
      <c r="E16" s="33" t="s">
        <v>1</v>
      </c>
      <c r="F16" s="162"/>
      <c r="G16" s="33" t="s">
        <v>0</v>
      </c>
      <c r="H16" s="33" t="s">
        <v>1</v>
      </c>
      <c r="I16" s="33" t="s">
        <v>186</v>
      </c>
      <c r="J16" s="172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62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SUM(D23)+D299+D338+D457+D466+D573+D591+D600+D609+D619+D629+D637+D650+D659+D677</f>
        <v>157231200.00291747</v>
      </c>
      <c r="E18" s="33">
        <f>SUM(E23)+E299+E338+E457+E466+E573+E591+E600+E609+E619+E629+E637+E650+E659+E677</f>
        <v>490457807.999755</v>
      </c>
      <c r="F18" s="33">
        <f>SUM(D18:E18)</f>
        <v>647689008.0026724</v>
      </c>
      <c r="G18" s="33">
        <f>SUM(G23)+G299+G338+G457+G466+G573+G591+G600+G609+G619+G629+G637+G650+G659+G677</f>
        <v>324363167.0794948</v>
      </c>
      <c r="H18" s="33">
        <f>SUM(H23)+H299+H338+H457+H466+H573+H591+H600+H609+H619+H629+H637+H650+H659+H668+H677</f>
        <v>388497510.94646204</v>
      </c>
      <c r="I18" s="33" t="e">
        <f>SUM(I23)+I299+I338+I457+I466+I573+I591+I600+I609+I619+I629+I637+I650+I659+I677</f>
        <v>#REF!</v>
      </c>
      <c r="J18" s="33">
        <f>SUM(G18)+H18</f>
        <v>712860678.0259569</v>
      </c>
      <c r="K18" s="33" t="e">
        <f aca="true" t="shared" si="0" ref="K18:P18">SUM(K23)+K299+K338+K457+K466+K573+K591+K600+K609+K619+K629+K637+K650+K659+K677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293357400.000365</v>
      </c>
      <c r="P18" s="33">
        <f t="shared" si="0"/>
        <v>435491400.0034373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191899944.43989998</v>
      </c>
      <c r="F19" s="33">
        <f>F24</f>
        <v>316899944.4398491</v>
      </c>
      <c r="G19" s="33">
        <f>G24</f>
        <v>9041700.003999999</v>
      </c>
      <c r="H19" s="33">
        <f>H24</f>
        <v>208302479.99964452</v>
      </c>
      <c r="I19" s="33">
        <f aca="true" t="shared" si="1" ref="I19:P19">I24</f>
        <v>-2000000</v>
      </c>
      <c r="J19" s="33">
        <f>SUM(G19)+H19</f>
        <v>217344180.00364453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>D339-0.006</f>
        <v>462379.99700000003</v>
      </c>
      <c r="E20" s="33">
        <f>E339</f>
        <v>692840</v>
      </c>
      <c r="F20" s="33">
        <f>F339</f>
        <v>1155220.003</v>
      </c>
      <c r="G20" s="33">
        <f>G339</f>
        <v>443775</v>
      </c>
      <c r="H20" s="33">
        <f>H339</f>
        <v>763900</v>
      </c>
      <c r="I20" s="33">
        <f>I339</f>
        <v>0</v>
      </c>
      <c r="J20" s="33">
        <f>SUM(G20)+H20</f>
        <v>1207675</v>
      </c>
      <c r="K20" s="33">
        <f aca="true" t="shared" si="2" ref="K20:Q20">K339</f>
        <v>0</v>
      </c>
      <c r="L20" s="33">
        <f t="shared" si="2"/>
        <v>0</v>
      </c>
      <c r="M20" s="33">
        <f t="shared" si="2"/>
        <v>0</v>
      </c>
      <c r="N20" s="33">
        <f t="shared" si="2"/>
        <v>352520</v>
      </c>
      <c r="O20" s="33">
        <f t="shared" si="2"/>
        <v>787532</v>
      </c>
      <c r="P20" s="33">
        <f t="shared" si="2"/>
        <v>1140052</v>
      </c>
      <c r="Q20" s="33">
        <f t="shared" si="2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282693579.99986655</v>
      </c>
      <c r="E21" s="33">
        <f aca="true" t="shared" si="3" ref="E21:Q21">E18+E19+E20</f>
        <v>683050592.4396551</v>
      </c>
      <c r="F21" s="33">
        <f t="shared" si="3"/>
        <v>965744172.4455216</v>
      </c>
      <c r="G21" s="33">
        <f>G18+G19+G20</f>
        <v>333848642.0834948</v>
      </c>
      <c r="H21" s="33">
        <f>H18+H19+H20</f>
        <v>597563890.9461066</v>
      </c>
      <c r="I21" s="33" t="e">
        <f t="shared" si="3"/>
        <v>#REF!</v>
      </c>
      <c r="J21" s="33">
        <f>J18+J19+J20</f>
        <v>931412533.0296013</v>
      </c>
      <c r="K21" s="33" t="e">
        <f t="shared" si="3"/>
        <v>#REF!</v>
      </c>
      <c r="L21" s="33" t="e">
        <f t="shared" si="3"/>
        <v>#REF!</v>
      </c>
      <c r="M21" s="33" t="e">
        <f t="shared" si="3"/>
        <v>#REF!</v>
      </c>
      <c r="N21" s="33">
        <f t="shared" si="3"/>
        <v>289039020.002939</v>
      </c>
      <c r="O21" s="33">
        <f t="shared" si="3"/>
        <v>470007931.99946564</v>
      </c>
      <c r="P21" s="33">
        <f t="shared" si="3"/>
        <v>759046952.0024046</v>
      </c>
      <c r="Q21" s="33">
        <f t="shared" si="3"/>
        <v>0</v>
      </c>
    </row>
    <row r="22" spans="1:235" s="139" customFormat="1" ht="30.75" customHeight="1">
      <c r="A22" s="140" t="s">
        <v>444</v>
      </c>
      <c r="B22" s="141"/>
      <c r="C22" s="141"/>
      <c r="D22" s="142">
        <f>D23+D24</f>
        <v>242045100.0028672</v>
      </c>
      <c r="E22" s="142">
        <f>E23+E24</f>
        <v>290485527.43965495</v>
      </c>
      <c r="F22" s="142">
        <f>F23+F24</f>
        <v>532530627.44252217</v>
      </c>
      <c r="G22" s="142">
        <f aca="true" t="shared" si="4" ref="G22:P22">G23+G24</f>
        <v>261199566.68376482</v>
      </c>
      <c r="H22" s="142">
        <f>H23+H24</f>
        <v>325612510.9486065</v>
      </c>
      <c r="I22" s="142">
        <f t="shared" si="4"/>
        <v>-2000000</v>
      </c>
      <c r="J22" s="142">
        <f>J23+J24</f>
        <v>586812077.6323714</v>
      </c>
      <c r="K22" s="142" t="e">
        <f t="shared" si="4"/>
        <v>#REF!</v>
      </c>
      <c r="L22" s="142" t="e">
        <f t="shared" si="4"/>
        <v>#REF!</v>
      </c>
      <c r="M22" s="142" t="e">
        <f t="shared" si="4"/>
        <v>#REF!</v>
      </c>
      <c r="N22" s="142">
        <f t="shared" si="4"/>
        <v>273011500.0008893</v>
      </c>
      <c r="O22" s="142">
        <f>O23+O24</f>
        <v>287682999.9974656</v>
      </c>
      <c r="P22" s="142">
        <f t="shared" si="4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SUM(D48)+D76+(D91*D94)+D98+D141+D167+D221+D245+D269+D290+D282+2000000</f>
        <v>117045100.0029181</v>
      </c>
      <c r="E23" s="142">
        <f>SUM(E48)+E76+(E91*E94)+E98+E141+E167+E221+E245+E269+E290+E282</f>
        <v>98585582.999755</v>
      </c>
      <c r="F23" s="142">
        <f>D23+E23</f>
        <v>215630683.0026731</v>
      </c>
      <c r="G23" s="142">
        <f>SUM(G48)+G76+(G91*G94)+G98+G141+G167+G221+G245+G269+G290+G282+G34+G57</f>
        <v>252157866.6797648</v>
      </c>
      <c r="H23" s="142">
        <f>SUM(H48)+H76+(H91*H94)+H98+H141+H167+H221+H245+H269+H290+H282</f>
        <v>117310030.948962</v>
      </c>
      <c r="I23" s="142">
        <f>I48+I76+I85+I98+I141+I167+I221+I245+I269+I282+I290</f>
        <v>0</v>
      </c>
      <c r="J23" s="142">
        <f>G23+H23</f>
        <v>369467897.62872684</v>
      </c>
      <c r="K23" s="142" t="e">
        <f>K48+K76+K85+K98+K141+K167+K221+K245+K269+K282+K290</f>
        <v>#REF!</v>
      </c>
      <c r="L23" s="142" t="e">
        <f>L48+L76+L85+L98+L141+L167+L221+L245+L269+L282+L290</f>
        <v>#REF!</v>
      </c>
      <c r="M23" s="142" t="e">
        <f>M48+M76+M85+M98+M141+M167+M221+M245+M269+M282+M290</f>
        <v>#REF!</v>
      </c>
      <c r="N23" s="142">
        <f>SUM(N48)+N76+(N91*N94)+N98+N141+N167+N221+N245+N269+N290+N282</f>
        <v>126459000.00102262</v>
      </c>
      <c r="O23" s="142">
        <f>SUM(O48)+O76+(O91*O94)+O98+O141+O167+O221+O245+O269+O290+O214+O282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191899944.43989998</v>
      </c>
      <c r="F24" s="142">
        <f>SUM(D24)+E24</f>
        <v>316899944.4398491</v>
      </c>
      <c r="G24" s="142">
        <f>SUM(G25)+G112</f>
        <v>9041700.003999999</v>
      </c>
      <c r="H24" s="142">
        <f>SUM(H25)+H34+H43+H57+H112+(H90*H93)+H105</f>
        <v>208302479.99964452</v>
      </c>
      <c r="I24" s="142">
        <f>I25+I34+I57+I105+I112-2000000</f>
        <v>-2000000</v>
      </c>
      <c r="J24" s="142">
        <f>G24+H24</f>
        <v>217344180.00364453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E31*E29+73455.56-73455.56</f>
        <v>49999944.44</v>
      </c>
      <c r="F25" s="36">
        <f>SUM(D25)+E25</f>
        <v>49999944.44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326499944.4408291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5" ref="D42:J42">D38/D36*100</f>
        <v>41.03801369863014</v>
      </c>
      <c r="E42" s="7"/>
      <c r="F42" s="7">
        <f t="shared" si="5"/>
        <v>41.03801369863014</v>
      </c>
      <c r="G42" s="7">
        <f>G38/G36*100</f>
        <v>41.019520547945206</v>
      </c>
      <c r="H42" s="7"/>
      <c r="I42" s="7"/>
      <c r="J42" s="7">
        <f t="shared" si="5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369</v>
      </c>
      <c r="B43" s="6"/>
      <c r="C43" s="6"/>
      <c r="D43" s="7"/>
      <c r="E43" s="7">
        <v>41900000</v>
      </c>
      <c r="F43" s="7">
        <f>D43+E43</f>
        <v>41900000</v>
      </c>
      <c r="G43" s="7"/>
      <c r="H43" s="7">
        <v>41000000</v>
      </c>
      <c r="I43" s="7"/>
      <c r="J43" s="7">
        <f>H43</f>
        <v>41000000</v>
      </c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7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>
        <v>63076.92</v>
      </c>
      <c r="I45" s="7"/>
      <c r="J45" s="7">
        <f>H45</f>
        <v>63076.92</v>
      </c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7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>
        <v>650</v>
      </c>
      <c r="I47" s="7"/>
      <c r="J47" s="7">
        <f>H47</f>
        <v>650</v>
      </c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370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6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6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6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6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6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6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371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G61*G63+G69*G71</f>
        <v>45680299.99663542</v>
      </c>
      <c r="H57" s="36"/>
      <c r="I57" s="36"/>
      <c r="J57" s="36">
        <f>G57</f>
        <v>45680299.99663542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1310344.8</v>
      </c>
      <c r="H61" s="7"/>
      <c r="I61" s="7"/>
      <c r="J61" s="7">
        <f>G61</f>
        <v>1310344.8</v>
      </c>
      <c r="K61" s="7">
        <f>H61</f>
        <v>0</v>
      </c>
      <c r="L61" s="7">
        <f>I61</f>
        <v>0</v>
      </c>
      <c r="M61" s="7">
        <f>J61</f>
        <v>1310344.8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33.33284739</v>
      </c>
      <c r="H63" s="7"/>
      <c r="I63" s="7"/>
      <c r="J63" s="7">
        <f>G63</f>
        <v>33.33284739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38.852659669098024</v>
      </c>
      <c r="H65" s="7"/>
      <c r="I65" s="7"/>
      <c r="J65" s="7">
        <f>J61/J59*100</f>
        <v>38.852659669098024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276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275</v>
      </c>
      <c r="B69" s="6"/>
      <c r="C69" s="6"/>
      <c r="D69" s="7">
        <v>446550</v>
      </c>
      <c r="E69" s="7"/>
      <c r="F69" s="7">
        <v>446550</v>
      </c>
      <c r="G69" s="7">
        <v>446550</v>
      </c>
      <c r="H69" s="7"/>
      <c r="I69" s="7"/>
      <c r="J69" s="7">
        <v>446550</v>
      </c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>
        <v>4.4849999999</v>
      </c>
      <c r="H71" s="7"/>
      <c r="I71" s="7"/>
      <c r="J71" s="7">
        <v>4.48</v>
      </c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>
        <v>100</v>
      </c>
      <c r="H73" s="7"/>
      <c r="I73" s="7"/>
      <c r="J73" s="7">
        <v>100</v>
      </c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372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230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373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7" ref="K85:P85">(K90*K93)+(K91*K94)</f>
        <v>0</v>
      </c>
      <c r="L85" s="36">
        <f t="shared" si="7"/>
        <v>0</v>
      </c>
      <c r="M85" s="36">
        <f t="shared" si="7"/>
        <v>0</v>
      </c>
      <c r="N85" s="36"/>
      <c r="O85" s="36">
        <f>(O90*O93)+(O91*O94)</f>
        <v>152241999.99910712</v>
      </c>
      <c r="P85" s="36">
        <f t="shared" si="7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8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8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8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9" ref="F96:P96">F90/F87*100</f>
        <v>27.35526315789474</v>
      </c>
      <c r="G96" s="7"/>
      <c r="H96" s="7">
        <f t="shared" si="9"/>
        <v>27.342894736842105</v>
      </c>
      <c r="I96" s="7"/>
      <c r="J96" s="7">
        <f t="shared" si="9"/>
        <v>27.342894736842105</v>
      </c>
      <c r="K96" s="7" t="e">
        <f t="shared" si="9"/>
        <v>#DIV/0!</v>
      </c>
      <c r="L96" s="7" t="e">
        <f t="shared" si="9"/>
        <v>#DIV/0!</v>
      </c>
      <c r="M96" s="7" t="e">
        <f t="shared" si="9"/>
        <v>#DIV/0!</v>
      </c>
      <c r="N96" s="7"/>
      <c r="O96" s="7">
        <f t="shared" si="9"/>
        <v>27.352105263157895</v>
      </c>
      <c r="P96" s="7">
        <f t="shared" si="9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0" ref="F97:P97">F91/F88*100</f>
        <v>65.78947368421053</v>
      </c>
      <c r="G97" s="7"/>
      <c r="H97" s="7">
        <f t="shared" si="10"/>
        <v>79.97936106802632</v>
      </c>
      <c r="I97" s="7"/>
      <c r="J97" s="7">
        <f t="shared" si="10"/>
        <v>79.97936106802632</v>
      </c>
      <c r="K97" s="7" t="e">
        <f t="shared" si="10"/>
        <v>#DIV/0!</v>
      </c>
      <c r="L97" s="7" t="e">
        <f t="shared" si="10"/>
        <v>#DIV/0!</v>
      </c>
      <c r="M97" s="7" t="e">
        <f t="shared" si="10"/>
        <v>#DIV/0!</v>
      </c>
      <c r="N97" s="7"/>
      <c r="O97" s="7">
        <f t="shared" si="10"/>
        <v>86.89175769605264</v>
      </c>
      <c r="P97" s="7">
        <f t="shared" si="10"/>
        <v>86.89175769605264</v>
      </c>
    </row>
    <row r="98" spans="1:235" s="39" customFormat="1" ht="33.75">
      <c r="A98" s="34" t="s">
        <v>374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375</v>
      </c>
      <c r="B105" s="35"/>
      <c r="C105" s="35"/>
      <c r="D105" s="36"/>
      <c r="E105" s="36">
        <f>E109*E111</f>
        <v>0</v>
      </c>
      <c r="F105" s="36">
        <f>E105</f>
        <v>0</v>
      </c>
      <c r="G105" s="36"/>
      <c r="H105" s="36">
        <f>H109*H111</f>
        <v>70480</v>
      </c>
      <c r="I105" s="36"/>
      <c r="J105" s="36">
        <f>H105</f>
        <v>70480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322</v>
      </c>
      <c r="B107" s="6"/>
      <c r="C107" s="6"/>
      <c r="D107" s="7"/>
      <c r="E107" s="7">
        <f>73400-73400</f>
        <v>0</v>
      </c>
      <c r="F107" s="36">
        <f>E107</f>
        <v>0</v>
      </c>
      <c r="G107" s="7"/>
      <c r="H107" s="7">
        <f>0+70480</f>
        <v>70480</v>
      </c>
      <c r="I107" s="7"/>
      <c r="J107" s="36">
        <f>H107</f>
        <v>70480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323</v>
      </c>
      <c r="B109" s="6"/>
      <c r="C109" s="6"/>
      <c r="D109" s="7"/>
      <c r="E109" s="7">
        <f>1-1</f>
        <v>0</v>
      </c>
      <c r="F109" s="36">
        <f>E109</f>
        <v>0</v>
      </c>
      <c r="G109" s="7"/>
      <c r="H109" s="7">
        <f>0+1</f>
        <v>1</v>
      </c>
      <c r="I109" s="7"/>
      <c r="J109" s="36">
        <f>H109</f>
        <v>1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324</v>
      </c>
      <c r="B111" s="6"/>
      <c r="C111" s="6"/>
      <c r="D111" s="7"/>
      <c r="E111" s="7">
        <f>73400-73400</f>
        <v>0</v>
      </c>
      <c r="F111" s="36">
        <f>E111</f>
        <v>0</v>
      </c>
      <c r="G111" s="7"/>
      <c r="H111" s="7">
        <f>0+70480</f>
        <v>70480</v>
      </c>
      <c r="I111" s="7"/>
      <c r="J111" s="36">
        <f>H111</f>
        <v>70480</v>
      </c>
      <c r="K111" s="36">
        <f aca="true" t="shared" si="11" ref="K111:P111">I111</f>
        <v>0</v>
      </c>
      <c r="L111" s="36">
        <f t="shared" si="11"/>
        <v>70480</v>
      </c>
      <c r="M111" s="36">
        <f t="shared" si="11"/>
        <v>0</v>
      </c>
      <c r="N111" s="36"/>
      <c r="O111" s="36">
        <f>M111</f>
        <v>0</v>
      </c>
      <c r="P111" s="36">
        <f t="shared" si="11"/>
        <v>0</v>
      </c>
    </row>
    <row r="112" spans="1:235" s="39" customFormat="1" ht="48" customHeight="1">
      <c r="A112" s="34" t="s">
        <v>376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2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2"/>
        <v>0</v>
      </c>
      <c r="I112" s="36"/>
      <c r="J112" s="36">
        <f>G112+H112</f>
        <v>9041700.003999999</v>
      </c>
      <c r="K112" s="36">
        <f t="shared" si="12"/>
        <v>0</v>
      </c>
      <c r="L112" s="36">
        <f t="shared" si="12"/>
        <v>0</v>
      </c>
      <c r="M112" s="36">
        <f t="shared" si="12"/>
        <v>0</v>
      </c>
      <c r="N112" s="36">
        <f>(N120*N128)+(N121*N129)+(N122*N130)+(N123*N131)+(N124*N132)+(N133*N121*N134)-15.8</f>
        <v>9508300</v>
      </c>
      <c r="O112" s="36">
        <f t="shared" si="12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3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405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3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3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3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3"/>
        <v>18795</v>
      </c>
      <c r="G129" s="7">
        <v>24723</v>
      </c>
      <c r="H129" s="7"/>
      <c r="I129" s="7"/>
      <c r="J129" s="7">
        <f aca="true" t="shared" si="14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5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4"/>
        <v>1672</v>
      </c>
      <c r="K130" s="7"/>
      <c r="L130" s="7"/>
      <c r="M130" s="7"/>
      <c r="N130" s="7">
        <v>1759</v>
      </c>
      <c r="O130" s="7"/>
      <c r="P130" s="7">
        <f t="shared" si="15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3"/>
        <v>500</v>
      </c>
      <c r="G131" s="7">
        <v>557</v>
      </c>
      <c r="H131" s="7"/>
      <c r="I131" s="7"/>
      <c r="J131" s="7">
        <f t="shared" si="14"/>
        <v>557</v>
      </c>
      <c r="K131" s="7"/>
      <c r="L131" s="7"/>
      <c r="M131" s="7"/>
      <c r="N131" s="7">
        <v>586</v>
      </c>
      <c r="O131" s="7"/>
      <c r="P131" s="7">
        <f t="shared" si="15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3"/>
        <v>170.65</v>
      </c>
      <c r="G132" s="7">
        <v>180.06276</v>
      </c>
      <c r="H132" s="7"/>
      <c r="I132" s="7"/>
      <c r="J132" s="7">
        <f t="shared" si="14"/>
        <v>180.06276</v>
      </c>
      <c r="K132" s="7"/>
      <c r="L132" s="7"/>
      <c r="M132" s="7"/>
      <c r="N132" s="7">
        <v>189.587</v>
      </c>
      <c r="O132" s="7"/>
      <c r="P132" s="7">
        <f t="shared" si="15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4"/>
        <v>0</v>
      </c>
      <c r="K133" s="7"/>
      <c r="L133" s="7"/>
      <c r="M133" s="7"/>
      <c r="N133" s="7"/>
      <c r="O133" s="7"/>
      <c r="P133" s="7">
        <f t="shared" si="15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4"/>
        <v>0</v>
      </c>
      <c r="K134" s="7"/>
      <c r="L134" s="7"/>
      <c r="M134" s="7"/>
      <c r="N134" s="7"/>
      <c r="O134" s="7"/>
      <c r="P134" s="7">
        <f t="shared" si="15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3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3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3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3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3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377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39115366.67961999</v>
      </c>
      <c r="H141" s="36">
        <f>(H152*H158)+(H153*H159)+(H155*H161)+(H154*H160)+(H156*H162)</f>
        <v>16841000</v>
      </c>
      <c r="I141" s="36"/>
      <c r="J141" s="36">
        <f>G141+H141</f>
        <v>55956366.67961999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6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7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6"/>
        <v>7400</v>
      </c>
      <c r="K148" s="7"/>
      <c r="L148" s="7"/>
      <c r="M148" s="7"/>
      <c r="N148" s="7">
        <f>G148</f>
        <v>7400</v>
      </c>
      <c r="O148" s="7"/>
      <c r="P148" s="7">
        <f t="shared" si="17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6"/>
        <v>0</v>
      </c>
      <c r="K150" s="7"/>
      <c r="L150" s="7"/>
      <c r="M150" s="7"/>
      <c r="N150" s="30"/>
      <c r="O150" s="30"/>
      <c r="P150" s="7">
        <f t="shared" si="17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6"/>
        <v>0</v>
      </c>
      <c r="K151" s="7"/>
      <c r="L151" s="7"/>
      <c r="M151" s="7"/>
      <c r="N151" s="7"/>
      <c r="O151" s="7"/>
      <c r="P151" s="7">
        <f t="shared" si="17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159">
        <v>33.682</v>
      </c>
      <c r="I153" s="7"/>
      <c r="J153" s="7">
        <f>H153</f>
        <v>33.682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8" ref="F155:F163">D155</f>
        <v>1700</v>
      </c>
      <c r="G155" s="7">
        <v>1667</v>
      </c>
      <c r="H155" s="7"/>
      <c r="I155" s="7"/>
      <c r="J155" s="7">
        <f t="shared" si="16"/>
        <v>1667</v>
      </c>
      <c r="K155" s="7"/>
      <c r="L155" s="7"/>
      <c r="M155" s="7"/>
      <c r="N155" s="7">
        <v>1800</v>
      </c>
      <c r="O155" s="7"/>
      <c r="P155" s="7">
        <f t="shared" si="17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8"/>
        <v>0</v>
      </c>
      <c r="G157" s="30"/>
      <c r="H157" s="30"/>
      <c r="I157" s="30"/>
      <c r="J157" s="7">
        <f t="shared" si="16"/>
        <v>0</v>
      </c>
      <c r="K157" s="7"/>
      <c r="L157" s="7"/>
      <c r="M157" s="7"/>
      <c r="N157" s="30"/>
      <c r="O157" s="30"/>
      <c r="P157" s="7">
        <f t="shared" si="17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311360.456</v>
      </c>
      <c r="H158" s="7"/>
      <c r="I158" s="7"/>
      <c r="J158" s="7">
        <f>G158</f>
        <v>311360.456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8"/>
        <v>4500</v>
      </c>
      <c r="G161" s="7">
        <v>4500</v>
      </c>
      <c r="H161" s="7"/>
      <c r="I161" s="7"/>
      <c r="J161" s="7">
        <f t="shared" si="16"/>
        <v>4500</v>
      </c>
      <c r="K161" s="7"/>
      <c r="L161" s="7"/>
      <c r="M161" s="7"/>
      <c r="N161" s="7">
        <v>4806</v>
      </c>
      <c r="O161" s="7"/>
      <c r="P161" s="7">
        <f t="shared" si="17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231</v>
      </c>
      <c r="B162" s="6"/>
      <c r="C162" s="6"/>
      <c r="D162" s="7">
        <v>2.4</v>
      </c>
      <c r="E162" s="7"/>
      <c r="F162" s="7">
        <f>D162</f>
        <v>2.4</v>
      </c>
      <c r="G162" s="7">
        <v>2.114</v>
      </c>
      <c r="H162" s="7"/>
      <c r="I162" s="7"/>
      <c r="J162" s="7">
        <f>G162</f>
        <v>2.114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8"/>
        <v>0</v>
      </c>
      <c r="G163" s="30"/>
      <c r="H163" s="30"/>
      <c r="I163" s="30"/>
      <c r="J163" s="7">
        <f t="shared" si="16"/>
        <v>0</v>
      </c>
      <c r="K163" s="7"/>
      <c r="L163" s="7"/>
      <c r="M163" s="7"/>
      <c r="N163" s="30"/>
      <c r="O163" s="30"/>
      <c r="P163" s="7">
        <f t="shared" si="17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7.878830409356725</v>
      </c>
      <c r="I164" s="7"/>
      <c r="J164" s="7">
        <f>H164</f>
        <v>7.878830409356725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378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19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19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19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232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19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19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19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209</v>
      </c>
      <c r="B176" s="6"/>
      <c r="C176" s="6"/>
      <c r="D176" s="7">
        <v>5</v>
      </c>
      <c r="E176" s="7"/>
      <c r="F176" s="7">
        <f t="shared" si="19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210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227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391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393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0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1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2" ref="F183:F193">D183</f>
        <v>920</v>
      </c>
      <c r="G183" s="7">
        <v>920</v>
      </c>
      <c r="H183" s="7"/>
      <c r="I183" s="7"/>
      <c r="J183" s="7">
        <f t="shared" si="20"/>
        <v>920</v>
      </c>
      <c r="K183" s="7"/>
      <c r="L183" s="7"/>
      <c r="M183" s="7"/>
      <c r="N183" s="7">
        <v>920</v>
      </c>
      <c r="O183" s="7"/>
      <c r="P183" s="7">
        <f t="shared" si="21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2"/>
        <v>800</v>
      </c>
      <c r="G184" s="7">
        <v>800</v>
      </c>
      <c r="H184" s="7"/>
      <c r="I184" s="7"/>
      <c r="J184" s="7">
        <f t="shared" si="20"/>
        <v>800</v>
      </c>
      <c r="K184" s="7"/>
      <c r="L184" s="7"/>
      <c r="M184" s="7"/>
      <c r="N184" s="7">
        <v>800</v>
      </c>
      <c r="O184" s="7"/>
      <c r="P184" s="7">
        <f t="shared" si="21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337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2"/>
        <v>300</v>
      </c>
      <c r="G187" s="7">
        <v>300</v>
      </c>
      <c r="H187" s="7"/>
      <c r="I187" s="7"/>
      <c r="J187" s="7">
        <f t="shared" si="20"/>
        <v>300</v>
      </c>
      <c r="K187" s="7"/>
      <c r="L187" s="7"/>
      <c r="M187" s="7"/>
      <c r="N187" s="7">
        <v>300</v>
      </c>
      <c r="O187" s="7"/>
      <c r="P187" s="7">
        <f t="shared" si="21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2"/>
        <v>76.26</v>
      </c>
      <c r="G188" s="7">
        <v>76.26</v>
      </c>
      <c r="H188" s="7"/>
      <c r="I188" s="7"/>
      <c r="J188" s="7">
        <f t="shared" si="20"/>
        <v>76.26</v>
      </c>
      <c r="K188" s="7"/>
      <c r="L188" s="7"/>
      <c r="M188" s="7"/>
      <c r="N188" s="7">
        <f>J188</f>
        <v>76.26</v>
      </c>
      <c r="O188" s="7"/>
      <c r="P188" s="7">
        <f t="shared" si="21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225</v>
      </c>
      <c r="B189" s="6"/>
      <c r="C189" s="6"/>
      <c r="D189" s="7">
        <v>5</v>
      </c>
      <c r="E189" s="7"/>
      <c r="F189" s="7">
        <f t="shared" si="22"/>
        <v>5</v>
      </c>
      <c r="G189" s="7">
        <f>F189</f>
        <v>5</v>
      </c>
      <c r="H189" s="7"/>
      <c r="I189" s="7"/>
      <c r="J189" s="7">
        <f t="shared" si="20"/>
        <v>5</v>
      </c>
      <c r="K189" s="7"/>
      <c r="L189" s="7"/>
      <c r="M189" s="7"/>
      <c r="N189" s="7">
        <f>J189</f>
        <v>5</v>
      </c>
      <c r="O189" s="7"/>
      <c r="P189" s="7">
        <f t="shared" si="21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2"/>
        <v>2</v>
      </c>
      <c r="G190" s="7">
        <v>2</v>
      </c>
      <c r="H190" s="7"/>
      <c r="I190" s="7"/>
      <c r="J190" s="7">
        <f t="shared" si="20"/>
        <v>2</v>
      </c>
      <c r="K190" s="7"/>
      <c r="L190" s="7"/>
      <c r="M190" s="7"/>
      <c r="N190" s="7">
        <v>2</v>
      </c>
      <c r="O190" s="7"/>
      <c r="P190" s="7">
        <f t="shared" si="21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2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211</v>
      </c>
      <c r="B192" s="6"/>
      <c r="C192" s="6"/>
      <c r="D192" s="7">
        <v>5</v>
      </c>
      <c r="E192" s="7"/>
      <c r="F192" s="7">
        <f t="shared" si="22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212</v>
      </c>
      <c r="B193" s="6"/>
      <c r="C193" s="6"/>
      <c r="D193" s="7"/>
      <c r="E193" s="7">
        <v>3.5</v>
      </c>
      <c r="F193" s="7">
        <f t="shared" si="22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228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3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4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3"/>
        <v>1910.35</v>
      </c>
      <c r="K197" s="7"/>
      <c r="L197" s="7"/>
      <c r="M197" s="7"/>
      <c r="N197" s="7">
        <v>1950.3</v>
      </c>
      <c r="O197" s="7"/>
      <c r="P197" s="7">
        <f t="shared" si="24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5" ref="F198:F207">D198</f>
        <v>943.75</v>
      </c>
      <c r="G198" s="7">
        <v>975</v>
      </c>
      <c r="H198" s="7"/>
      <c r="I198" s="7"/>
      <c r="J198" s="7">
        <f t="shared" si="23"/>
        <v>975</v>
      </c>
      <c r="K198" s="7"/>
      <c r="L198" s="7"/>
      <c r="M198" s="7"/>
      <c r="N198" s="7">
        <v>1018.75</v>
      </c>
      <c r="O198" s="7"/>
      <c r="P198" s="7">
        <f t="shared" si="24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392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338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5"/>
        <v>5866.6666666</v>
      </c>
      <c r="G202" s="7">
        <v>6433.333333</v>
      </c>
      <c r="H202" s="7"/>
      <c r="I202" s="7"/>
      <c r="J202" s="7">
        <f t="shared" si="23"/>
        <v>6433.333333</v>
      </c>
      <c r="K202" s="7"/>
      <c r="L202" s="7"/>
      <c r="M202" s="7"/>
      <c r="N202" s="7">
        <v>6966.666666</v>
      </c>
      <c r="O202" s="7"/>
      <c r="P202" s="7">
        <f t="shared" si="24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5"/>
        <v>89260.4248623</v>
      </c>
      <c r="G203" s="7">
        <v>93377.9176501</v>
      </c>
      <c r="H203" s="7"/>
      <c r="I203" s="7"/>
      <c r="J203" s="7">
        <f t="shared" si="23"/>
        <v>93377.9176501</v>
      </c>
      <c r="K203" s="7"/>
      <c r="L203" s="7"/>
      <c r="M203" s="7"/>
      <c r="N203" s="7">
        <v>98806.7138735</v>
      </c>
      <c r="O203" s="7"/>
      <c r="P203" s="7">
        <f t="shared" si="24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226</v>
      </c>
      <c r="B204" s="6"/>
      <c r="C204" s="6"/>
      <c r="D204" s="7">
        <v>38000</v>
      </c>
      <c r="E204" s="7"/>
      <c r="F204" s="7">
        <f t="shared" si="25"/>
        <v>38000</v>
      </c>
      <c r="G204" s="7">
        <v>38000</v>
      </c>
      <c r="H204" s="7"/>
      <c r="I204" s="7"/>
      <c r="J204" s="7">
        <f t="shared" si="23"/>
        <v>38000</v>
      </c>
      <c r="K204" s="7"/>
      <c r="L204" s="7"/>
      <c r="M204" s="7"/>
      <c r="N204" s="7">
        <v>38000</v>
      </c>
      <c r="O204" s="7"/>
      <c r="P204" s="7">
        <f t="shared" si="24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5"/>
        <v>3988</v>
      </c>
      <c r="G205" s="7">
        <v>4000</v>
      </c>
      <c r="H205" s="7"/>
      <c r="I205" s="7"/>
      <c r="J205" s="7">
        <f t="shared" si="23"/>
        <v>4000</v>
      </c>
      <c r="K205" s="7"/>
      <c r="L205" s="7"/>
      <c r="M205" s="7"/>
      <c r="N205" s="7">
        <v>4100</v>
      </c>
      <c r="O205" s="7"/>
      <c r="P205" s="7">
        <f t="shared" si="24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5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4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213</v>
      </c>
      <c r="B207" s="6"/>
      <c r="C207" s="6"/>
      <c r="D207" s="7">
        <v>200000</v>
      </c>
      <c r="E207" s="7"/>
      <c r="F207" s="7">
        <f t="shared" si="25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4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233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229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6" ref="F211:G213">F182/F169*100</f>
        <v>100</v>
      </c>
      <c r="G211" s="7">
        <f t="shared" si="26"/>
        <v>100</v>
      </c>
      <c r="H211" s="7"/>
      <c r="I211" s="7"/>
      <c r="J211" s="7">
        <f aca="true" t="shared" si="27" ref="J211:N213">J182/J169*100</f>
        <v>100</v>
      </c>
      <c r="K211" s="7" t="e">
        <f t="shared" si="27"/>
        <v>#DIV/0!</v>
      </c>
      <c r="L211" s="7" t="e">
        <f t="shared" si="27"/>
        <v>#DIV/0!</v>
      </c>
      <c r="M211" s="7" t="e">
        <f t="shared" si="27"/>
        <v>#DIV/0!</v>
      </c>
      <c r="N211" s="7">
        <f t="shared" si="27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6"/>
        <v>18.969072164948454</v>
      </c>
      <c r="G212" s="7">
        <f t="shared" si="26"/>
        <v>18.969072164948454</v>
      </c>
      <c r="H212" s="7"/>
      <c r="I212" s="7"/>
      <c r="J212" s="7">
        <f t="shared" si="27"/>
        <v>18.969072164948454</v>
      </c>
      <c r="K212" s="7" t="e">
        <f t="shared" si="27"/>
        <v>#DIV/0!</v>
      </c>
      <c r="L212" s="7" t="e">
        <f t="shared" si="27"/>
        <v>#DIV/0!</v>
      </c>
      <c r="M212" s="7" t="e">
        <f t="shared" si="27"/>
        <v>#DIV/0!</v>
      </c>
      <c r="N212" s="7">
        <f t="shared" si="27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6"/>
        <v>9.744214372716199</v>
      </c>
      <c r="G213" s="7">
        <f t="shared" si="26"/>
        <v>9.744214372716199</v>
      </c>
      <c r="H213" s="7"/>
      <c r="I213" s="7"/>
      <c r="J213" s="7">
        <f t="shared" si="27"/>
        <v>9.744214372716199</v>
      </c>
      <c r="K213" s="7" t="e">
        <f t="shared" si="27"/>
        <v>#DIV/0!</v>
      </c>
      <c r="L213" s="7" t="e">
        <f t="shared" si="27"/>
        <v>#DIV/0!</v>
      </c>
      <c r="M213" s="7" t="e">
        <f t="shared" si="27"/>
        <v>#DIV/0!</v>
      </c>
      <c r="N213" s="7">
        <f t="shared" si="27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379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8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8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8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343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8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8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344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8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380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216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214</v>
      </c>
      <c r="B224" s="6"/>
      <c r="C224" s="6"/>
      <c r="D224" s="7">
        <v>4800200</v>
      </c>
      <c r="E224" s="7"/>
      <c r="F224" s="7">
        <f aca="true" t="shared" si="29" ref="F224:F244">D224+E224</f>
        <v>4800200</v>
      </c>
      <c r="G224" s="7">
        <f>G231*G237</f>
        <v>5100000</v>
      </c>
      <c r="H224" s="7"/>
      <c r="I224" s="7"/>
      <c r="J224" s="7">
        <f aca="true" t="shared" si="30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1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215</v>
      </c>
      <c r="B225" s="6"/>
      <c r="C225" s="6"/>
      <c r="D225" s="7">
        <v>401600</v>
      </c>
      <c r="E225" s="7"/>
      <c r="F225" s="7">
        <f t="shared" si="29"/>
        <v>401600</v>
      </c>
      <c r="G225" s="7">
        <f>G232*G238</f>
        <v>410000</v>
      </c>
      <c r="H225" s="7"/>
      <c r="I225" s="7"/>
      <c r="J225" s="7">
        <f t="shared" si="30"/>
        <v>410000</v>
      </c>
      <c r="K225" s="7"/>
      <c r="L225" s="7"/>
      <c r="M225" s="7"/>
      <c r="N225" s="7">
        <f>N232*N238</f>
        <v>415000</v>
      </c>
      <c r="O225" s="7"/>
      <c r="P225" s="7">
        <f t="shared" si="31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29"/>
        <v>0</v>
      </c>
      <c r="G226" s="7"/>
      <c r="H226" s="7">
        <v>1</v>
      </c>
      <c r="I226" s="7"/>
      <c r="J226" s="7">
        <f t="shared" si="30"/>
        <v>1</v>
      </c>
      <c r="K226" s="7"/>
      <c r="L226" s="7"/>
      <c r="M226" s="7"/>
      <c r="N226" s="7"/>
      <c r="O226" s="7"/>
      <c r="P226" s="7">
        <f t="shared" si="31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217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218</v>
      </c>
      <c r="B228" s="6"/>
      <c r="C228" s="6"/>
      <c r="D228" s="7"/>
      <c r="E228" s="7">
        <v>1000000</v>
      </c>
      <c r="F228" s="7">
        <f t="shared" si="29"/>
        <v>1000000</v>
      </c>
      <c r="G228" s="7"/>
      <c r="H228" s="7">
        <v>1500000</v>
      </c>
      <c r="I228" s="7"/>
      <c r="J228" s="7">
        <f t="shared" si="30"/>
        <v>1500000</v>
      </c>
      <c r="K228" s="7"/>
      <c r="L228" s="7"/>
      <c r="M228" s="7"/>
      <c r="N228" s="7"/>
      <c r="O228" s="7">
        <v>2000000</v>
      </c>
      <c r="P228" s="7">
        <f t="shared" si="31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29"/>
        <v>0</v>
      </c>
      <c r="G229" s="30"/>
      <c r="H229" s="30"/>
      <c r="I229" s="30"/>
      <c r="J229" s="7">
        <f t="shared" si="30"/>
        <v>0</v>
      </c>
      <c r="K229" s="7"/>
      <c r="L229" s="7"/>
      <c r="M229" s="7"/>
      <c r="N229" s="30"/>
      <c r="O229" s="30"/>
      <c r="P229" s="7">
        <f t="shared" si="31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219</v>
      </c>
      <c r="B230" s="6"/>
      <c r="C230" s="6"/>
      <c r="D230" s="7">
        <v>13</v>
      </c>
      <c r="E230" s="7"/>
      <c r="F230" s="7">
        <f t="shared" si="29"/>
        <v>13</v>
      </c>
      <c r="G230" s="7">
        <v>13</v>
      </c>
      <c r="H230" s="7"/>
      <c r="I230" s="7"/>
      <c r="J230" s="7">
        <f t="shared" si="30"/>
        <v>13</v>
      </c>
      <c r="K230" s="7"/>
      <c r="L230" s="7"/>
      <c r="M230" s="7"/>
      <c r="N230" s="7">
        <v>13</v>
      </c>
      <c r="O230" s="7"/>
      <c r="P230" s="7">
        <f t="shared" si="31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29"/>
        <v>1600</v>
      </c>
      <c r="G231" s="7">
        <v>1600</v>
      </c>
      <c r="H231" s="7"/>
      <c r="I231" s="7"/>
      <c r="J231" s="7">
        <f t="shared" si="30"/>
        <v>1600</v>
      </c>
      <c r="K231" s="7"/>
      <c r="L231" s="7"/>
      <c r="M231" s="7"/>
      <c r="N231" s="7">
        <v>1600</v>
      </c>
      <c r="O231" s="7"/>
      <c r="P231" s="7">
        <f t="shared" si="31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29"/>
        <v>2</v>
      </c>
      <c r="G232" s="7">
        <v>2</v>
      </c>
      <c r="H232" s="7"/>
      <c r="I232" s="7"/>
      <c r="J232" s="7">
        <f t="shared" si="30"/>
        <v>2</v>
      </c>
      <c r="K232" s="7"/>
      <c r="L232" s="7"/>
      <c r="M232" s="7"/>
      <c r="N232" s="7">
        <v>2</v>
      </c>
      <c r="O232" s="7"/>
      <c r="P232" s="7">
        <f t="shared" si="31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29"/>
        <v>1</v>
      </c>
      <c r="G233" s="7"/>
      <c r="H233" s="7">
        <v>1</v>
      </c>
      <c r="I233" s="7"/>
      <c r="J233" s="7">
        <f t="shared" si="30"/>
        <v>1</v>
      </c>
      <c r="K233" s="7"/>
      <c r="L233" s="7"/>
      <c r="M233" s="7"/>
      <c r="N233" s="7"/>
      <c r="O233" s="7">
        <v>1</v>
      </c>
      <c r="P233" s="7">
        <f t="shared" si="31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345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29"/>
        <v>0</v>
      </c>
      <c r="G235" s="30"/>
      <c r="H235" s="30"/>
      <c r="I235" s="30"/>
      <c r="J235" s="7">
        <f t="shared" si="30"/>
        <v>0</v>
      </c>
      <c r="K235" s="7"/>
      <c r="L235" s="7"/>
      <c r="M235" s="7"/>
      <c r="N235" s="30"/>
      <c r="O235" s="30"/>
      <c r="P235" s="7">
        <f t="shared" si="31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220</v>
      </c>
      <c r="B236" s="6"/>
      <c r="C236" s="6"/>
      <c r="D236" s="7">
        <f>(11555000+3000)/13</f>
        <v>889076.9230769231</v>
      </c>
      <c r="E236" s="7"/>
      <c r="F236" s="7">
        <f t="shared" si="29"/>
        <v>889076.9230769231</v>
      </c>
      <c r="G236" s="7">
        <f>(12000000+3500)/13</f>
        <v>923346.1538461539</v>
      </c>
      <c r="H236" s="7"/>
      <c r="I236" s="7"/>
      <c r="J236" s="7">
        <f t="shared" si="30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1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29"/>
        <v>3062.5</v>
      </c>
      <c r="G237" s="7">
        <v>3187.5</v>
      </c>
      <c r="H237" s="7"/>
      <c r="I237" s="7"/>
      <c r="J237" s="7">
        <f t="shared" si="30"/>
        <v>3187.5</v>
      </c>
      <c r="K237" s="7"/>
      <c r="L237" s="7"/>
      <c r="M237" s="7"/>
      <c r="N237" s="7">
        <v>3250</v>
      </c>
      <c r="O237" s="7"/>
      <c r="P237" s="7">
        <f t="shared" si="31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29"/>
        <v>202000</v>
      </c>
      <c r="G238" s="7">
        <v>205000</v>
      </c>
      <c r="H238" s="7"/>
      <c r="I238" s="7"/>
      <c r="J238" s="7">
        <f t="shared" si="30"/>
        <v>205000</v>
      </c>
      <c r="K238" s="7"/>
      <c r="L238" s="7"/>
      <c r="M238" s="7"/>
      <c r="N238" s="7">
        <v>207500</v>
      </c>
      <c r="O238" s="7"/>
      <c r="P238" s="7">
        <f t="shared" si="31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29"/>
        <v>2187.5</v>
      </c>
      <c r="G239" s="7">
        <v>2250</v>
      </c>
      <c r="H239" s="7"/>
      <c r="I239" s="7"/>
      <c r="J239" s="7">
        <f t="shared" si="30"/>
        <v>2250</v>
      </c>
      <c r="K239" s="7"/>
      <c r="L239" s="7"/>
      <c r="M239" s="7"/>
      <c r="N239" s="7">
        <v>2312.5</v>
      </c>
      <c r="O239" s="7"/>
      <c r="P239" s="7">
        <f t="shared" si="31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29"/>
        <v>1000000</v>
      </c>
      <c r="G240" s="137"/>
      <c r="H240" s="137">
        <v>1500000</v>
      </c>
      <c r="I240" s="137"/>
      <c r="J240" s="137">
        <f t="shared" si="30"/>
        <v>1500000</v>
      </c>
      <c r="K240" s="137"/>
      <c r="L240" s="137"/>
      <c r="M240" s="137"/>
      <c r="N240" s="137"/>
      <c r="O240" s="137">
        <v>2000000</v>
      </c>
      <c r="P240" s="137">
        <f t="shared" si="31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29"/>
        <v>0</v>
      </c>
      <c r="G241" s="7"/>
      <c r="H241" s="7"/>
      <c r="I241" s="7"/>
      <c r="J241" s="7">
        <f t="shared" si="30"/>
        <v>0</v>
      </c>
      <c r="K241" s="7"/>
      <c r="L241" s="7"/>
      <c r="M241" s="7"/>
      <c r="N241" s="7"/>
      <c r="O241" s="7"/>
      <c r="P241" s="7">
        <f t="shared" si="31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29"/>
        <v>100</v>
      </c>
      <c r="G242" s="7">
        <f>G230/G223*100</f>
        <v>8.440736291919618E-05</v>
      </c>
      <c r="H242" s="7"/>
      <c r="I242" s="7"/>
      <c r="J242" s="7">
        <f t="shared" si="30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1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29"/>
        <v>0</v>
      </c>
      <c r="G243" s="7">
        <f>G237/D237*100</f>
        <v>104.08163265306123</v>
      </c>
      <c r="H243" s="7"/>
      <c r="I243" s="7"/>
      <c r="J243" s="7">
        <f t="shared" si="30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1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29"/>
        <v>0</v>
      </c>
      <c r="G244" s="7">
        <f>G238/D238*100</f>
        <v>101.48514851485149</v>
      </c>
      <c r="H244" s="7"/>
      <c r="I244" s="7"/>
      <c r="J244" s="7">
        <f t="shared" si="30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1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381</v>
      </c>
      <c r="B245" s="35"/>
      <c r="C245" s="35"/>
      <c r="D245" s="36">
        <f>D247+D249+D250+D251</f>
        <v>5421400</v>
      </c>
      <c r="E245" s="36">
        <f>(E254*E259)+(E255*E260)+(E257*E262)</f>
        <v>0</v>
      </c>
      <c r="F245" s="36">
        <f aca="true" t="shared" si="32" ref="F245:F252">D245+E245</f>
        <v>5421400</v>
      </c>
      <c r="G245" s="36">
        <f>G247+G248+G249+G250+G251+G252</f>
        <v>8515000</v>
      </c>
      <c r="H245" s="36">
        <f>(H254*H259)+(H255*H260)+(H257*H262)</f>
        <v>0</v>
      </c>
      <c r="I245" s="36">
        <f>(I254*I259)+(I255*I260)+(I257*I262)</f>
        <v>0</v>
      </c>
      <c r="J245" s="36">
        <f aca="true" t="shared" si="33" ref="J245:J252">G245+H245</f>
        <v>8515000</v>
      </c>
      <c r="K245" s="36">
        <f>(K254*K259)+(K255*K260)+(K257*K262)</f>
        <v>0</v>
      </c>
      <c r="L245" s="36">
        <f>(L254*L259)+(L255*L260)+(L257*L262)</f>
        <v>0</v>
      </c>
      <c r="M245" s="36">
        <f>(M254*M259)+(M255*M260)+(M257*M262)</f>
        <v>0</v>
      </c>
      <c r="N245" s="36">
        <f>N247+N249+N250+N251</f>
        <v>5660000</v>
      </c>
      <c r="O245" s="36">
        <f>(O254*O259)+(O255*O260)+(O257*O262)</f>
        <v>0</v>
      </c>
      <c r="P245" s="36">
        <f aca="true" t="shared" si="34" ref="P245:P251">N245+O245</f>
        <v>5660000</v>
      </c>
      <c r="Q245" s="36">
        <f>(Q254*Q259)+(Q255*Q260)+(Q257*Q262)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2"/>
        <v>0</v>
      </c>
      <c r="G246" s="7"/>
      <c r="H246" s="7"/>
      <c r="I246" s="7"/>
      <c r="J246" s="7">
        <f t="shared" si="33"/>
        <v>0</v>
      </c>
      <c r="K246" s="7"/>
      <c r="L246" s="7"/>
      <c r="M246" s="7"/>
      <c r="N246" s="7"/>
      <c r="O246" s="7"/>
      <c r="P246" s="7">
        <f t="shared" si="34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234</v>
      </c>
      <c r="B247" s="35"/>
      <c r="C247" s="35"/>
      <c r="D247" s="7">
        <v>2971400</v>
      </c>
      <c r="E247" s="36"/>
      <c r="F247" s="7">
        <f t="shared" si="32"/>
        <v>2971400</v>
      </c>
      <c r="G247" s="7">
        <v>2000000</v>
      </c>
      <c r="H247" s="7"/>
      <c r="I247" s="7"/>
      <c r="J247" s="7">
        <f t="shared" si="33"/>
        <v>2000000</v>
      </c>
      <c r="K247" s="7"/>
      <c r="L247" s="7"/>
      <c r="M247" s="7"/>
      <c r="N247" s="7">
        <v>3100000</v>
      </c>
      <c r="O247" s="7"/>
      <c r="P247" s="7">
        <f t="shared" si="34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404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3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235</v>
      </c>
      <c r="B249" s="35"/>
      <c r="C249" s="35"/>
      <c r="D249" s="7">
        <v>200000</v>
      </c>
      <c r="E249" s="36"/>
      <c r="F249" s="7">
        <f t="shared" si="32"/>
        <v>200000</v>
      </c>
      <c r="G249" s="7">
        <v>200000</v>
      </c>
      <c r="H249" s="7"/>
      <c r="I249" s="7"/>
      <c r="J249" s="7">
        <f t="shared" si="33"/>
        <v>200000</v>
      </c>
      <c r="K249" s="7"/>
      <c r="L249" s="7"/>
      <c r="M249" s="7"/>
      <c r="N249" s="7">
        <v>200000</v>
      </c>
      <c r="O249" s="7"/>
      <c r="P249" s="7">
        <f t="shared" si="34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236</v>
      </c>
      <c r="B250" s="35"/>
      <c r="C250" s="35"/>
      <c r="D250" s="7">
        <v>350000</v>
      </c>
      <c r="E250" s="36"/>
      <c r="F250" s="7">
        <f t="shared" si="32"/>
        <v>350000</v>
      </c>
      <c r="G250" s="7">
        <v>400000</v>
      </c>
      <c r="H250" s="7"/>
      <c r="I250" s="7"/>
      <c r="J250" s="7">
        <f t="shared" si="33"/>
        <v>400000</v>
      </c>
      <c r="K250" s="7"/>
      <c r="L250" s="7"/>
      <c r="M250" s="7"/>
      <c r="N250" s="7">
        <v>460000</v>
      </c>
      <c r="O250" s="7"/>
      <c r="P250" s="7">
        <f t="shared" si="34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237</v>
      </c>
      <c r="B251" s="35"/>
      <c r="C251" s="35"/>
      <c r="D251" s="7">
        <v>1900000</v>
      </c>
      <c r="E251" s="7"/>
      <c r="F251" s="7">
        <f t="shared" si="32"/>
        <v>1900000</v>
      </c>
      <c r="G251" s="7">
        <v>1900000</v>
      </c>
      <c r="H251" s="7"/>
      <c r="I251" s="7"/>
      <c r="J251" s="7">
        <f t="shared" si="33"/>
        <v>1900000</v>
      </c>
      <c r="K251" s="7"/>
      <c r="L251" s="7"/>
      <c r="M251" s="7"/>
      <c r="N251" s="7">
        <v>1900000</v>
      </c>
      <c r="O251" s="7"/>
      <c r="P251" s="7">
        <f t="shared" si="34"/>
        <v>1900000</v>
      </c>
      <c r="Q251" s="42"/>
      <c r="IB251" s="39"/>
      <c r="IC251" s="39"/>
      <c r="ID251" s="39"/>
      <c r="IE251" s="39"/>
      <c r="IF251" s="39"/>
      <c r="IG251" s="39"/>
    </row>
    <row r="252" spans="1:241" s="38" customFormat="1" ht="33.75">
      <c r="A252" s="8" t="s">
        <v>451</v>
      </c>
      <c r="B252" s="35"/>
      <c r="C252" s="35"/>
      <c r="D252" s="7">
        <v>0</v>
      </c>
      <c r="E252" s="7"/>
      <c r="F252" s="7">
        <f t="shared" si="32"/>
        <v>0</v>
      </c>
      <c r="G252" s="7">
        <v>15000</v>
      </c>
      <c r="H252" s="7"/>
      <c r="I252" s="7"/>
      <c r="J252" s="7">
        <f t="shared" si="33"/>
        <v>15000</v>
      </c>
      <c r="K252" s="7"/>
      <c r="L252" s="7"/>
      <c r="M252" s="7"/>
      <c r="N252" s="7"/>
      <c r="O252" s="7"/>
      <c r="P252" s="7"/>
      <c r="Q252" s="42"/>
      <c r="IB252" s="39"/>
      <c r="IC252" s="39"/>
      <c r="ID252" s="39"/>
      <c r="IE252" s="39"/>
      <c r="IF252" s="39"/>
      <c r="IG252" s="39"/>
    </row>
    <row r="253" spans="1:241" s="25" customFormat="1" ht="11.25">
      <c r="A253" s="5" t="s">
        <v>5</v>
      </c>
      <c r="B253" s="37"/>
      <c r="C253" s="37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IB253" s="53"/>
      <c r="IC253" s="53"/>
      <c r="ID253" s="53"/>
      <c r="IE253" s="53"/>
      <c r="IF253" s="53"/>
      <c r="IG253" s="53"/>
    </row>
    <row r="254" spans="1:241" s="25" customFormat="1" ht="35.25" customHeight="1">
      <c r="A254" s="8" t="s">
        <v>238</v>
      </c>
      <c r="B254" s="6"/>
      <c r="C254" s="6"/>
      <c r="D254" s="7">
        <v>155760</v>
      </c>
      <c r="E254" s="7"/>
      <c r="F254" s="7">
        <f>D254+E254</f>
        <v>155760</v>
      </c>
      <c r="G254" s="7">
        <f>F254</f>
        <v>155760</v>
      </c>
      <c r="H254" s="7"/>
      <c r="I254" s="7"/>
      <c r="J254" s="7">
        <f>G254+H254</f>
        <v>155760</v>
      </c>
      <c r="K254" s="7"/>
      <c r="L254" s="7"/>
      <c r="M254" s="7"/>
      <c r="N254" s="7">
        <f>G254</f>
        <v>155760</v>
      </c>
      <c r="O254" s="7"/>
      <c r="P254" s="7">
        <f>N254+O254</f>
        <v>155760</v>
      </c>
      <c r="IB254" s="53"/>
      <c r="IC254" s="53"/>
      <c r="ID254" s="53"/>
      <c r="IE254" s="53"/>
      <c r="IF254" s="53"/>
      <c r="IG254" s="53"/>
    </row>
    <row r="255" spans="1:241" s="25" customFormat="1" ht="22.5">
      <c r="A255" s="8" t="s">
        <v>111</v>
      </c>
      <c r="B255" s="6"/>
      <c r="C255" s="6"/>
      <c r="D255" s="7">
        <v>243</v>
      </c>
      <c r="E255" s="7"/>
      <c r="F255" s="7">
        <f aca="true" t="shared" si="35" ref="F255:F268">D255+E255</f>
        <v>243</v>
      </c>
      <c r="G255" s="7">
        <v>250</v>
      </c>
      <c r="H255" s="7"/>
      <c r="I255" s="7"/>
      <c r="J255" s="7">
        <f aca="true" t="shared" si="36" ref="J255:J268">G255+H255</f>
        <v>250</v>
      </c>
      <c r="K255" s="7"/>
      <c r="L255" s="7"/>
      <c r="M255" s="7"/>
      <c r="N255" s="7">
        <v>260</v>
      </c>
      <c r="O255" s="7"/>
      <c r="P255" s="7">
        <f aca="true" t="shared" si="37" ref="P255:P268">N255+O255</f>
        <v>260</v>
      </c>
      <c r="IB255" s="53"/>
      <c r="IC255" s="53"/>
      <c r="ID255" s="53"/>
      <c r="IE255" s="53"/>
      <c r="IF255" s="53"/>
      <c r="IG255" s="53"/>
    </row>
    <row r="256" spans="1:241" s="25" customFormat="1" ht="33.75">
      <c r="A256" s="8" t="s">
        <v>243</v>
      </c>
      <c r="B256" s="6"/>
      <c r="C256" s="6"/>
      <c r="D256" s="7">
        <v>11036.4</v>
      </c>
      <c r="E256" s="7"/>
      <c r="F256" s="7">
        <f t="shared" si="35"/>
        <v>11036.4</v>
      </c>
      <c r="G256" s="7">
        <f>E256+F256</f>
        <v>11036.4</v>
      </c>
      <c r="H256" s="7"/>
      <c r="I256" s="7">
        <f>G256+H256</f>
        <v>11036.4</v>
      </c>
      <c r="J256" s="7">
        <f>H256+I256</f>
        <v>11036.4</v>
      </c>
      <c r="K256" s="7">
        <f>I256+J256</f>
        <v>22072.8</v>
      </c>
      <c r="L256" s="7">
        <f>J256+K256</f>
        <v>33109.2</v>
      </c>
      <c r="M256" s="7">
        <f>K256+L256</f>
        <v>55182</v>
      </c>
      <c r="N256" s="7">
        <v>11036.4</v>
      </c>
      <c r="O256" s="7"/>
      <c r="P256" s="7">
        <f t="shared" si="37"/>
        <v>11036.4</v>
      </c>
      <c r="IB256" s="53"/>
      <c r="IC256" s="53"/>
      <c r="ID256" s="53"/>
      <c r="IE256" s="53"/>
      <c r="IF256" s="53"/>
      <c r="IG256" s="53"/>
    </row>
    <row r="257" spans="1:241" s="25" customFormat="1" ht="33" customHeight="1">
      <c r="A257" s="8" t="s">
        <v>240</v>
      </c>
      <c r="B257" s="6"/>
      <c r="C257" s="6"/>
      <c r="D257" s="7">
        <v>51.4</v>
      </c>
      <c r="E257" s="7"/>
      <c r="F257" s="7">
        <f t="shared" si="35"/>
        <v>51.4</v>
      </c>
      <c r="G257" s="7">
        <v>48</v>
      </c>
      <c r="H257" s="7"/>
      <c r="I257" s="7"/>
      <c r="J257" s="7">
        <f t="shared" si="36"/>
        <v>48</v>
      </c>
      <c r="K257" s="7"/>
      <c r="L257" s="7"/>
      <c r="M257" s="7"/>
      <c r="N257" s="7">
        <v>45</v>
      </c>
      <c r="O257" s="7"/>
      <c r="P257" s="7">
        <f t="shared" si="37"/>
        <v>45</v>
      </c>
      <c r="IB257" s="53"/>
      <c r="IC257" s="53"/>
      <c r="ID257" s="53"/>
      <c r="IE257" s="53"/>
      <c r="IF257" s="53"/>
      <c r="IG257" s="53"/>
    </row>
    <row r="258" spans="1:241" s="25" customFormat="1" ht="11.25">
      <c r="A258" s="5" t="s">
        <v>7</v>
      </c>
      <c r="B258" s="37"/>
      <c r="C258" s="37"/>
      <c r="D258" s="30"/>
      <c r="E258" s="30"/>
      <c r="F258" s="7">
        <f t="shared" si="35"/>
        <v>0</v>
      </c>
      <c r="G258" s="30"/>
      <c r="H258" s="30"/>
      <c r="I258" s="30"/>
      <c r="J258" s="7">
        <f t="shared" si="36"/>
        <v>0</v>
      </c>
      <c r="K258" s="7"/>
      <c r="L258" s="7"/>
      <c r="M258" s="7"/>
      <c r="N258" s="30"/>
      <c r="O258" s="30"/>
      <c r="P258" s="7">
        <f t="shared" si="37"/>
        <v>0</v>
      </c>
      <c r="IB258" s="53"/>
      <c r="IC258" s="53"/>
      <c r="ID258" s="53"/>
      <c r="IE258" s="53"/>
      <c r="IF258" s="53"/>
      <c r="IG258" s="53"/>
    </row>
    <row r="259" spans="1:241" s="25" customFormat="1" ht="48.75" customHeight="1">
      <c r="A259" s="8" t="s">
        <v>239</v>
      </c>
      <c r="B259" s="6"/>
      <c r="C259" s="6"/>
      <c r="D259" s="7">
        <f>D247/D254</f>
        <v>19.07678479712378</v>
      </c>
      <c r="E259" s="7"/>
      <c r="F259" s="7">
        <f t="shared" si="35"/>
        <v>19.07678479712378</v>
      </c>
      <c r="G259" s="7">
        <f>G247/G254</f>
        <v>12.840267077555213</v>
      </c>
      <c r="H259" s="7"/>
      <c r="I259" s="7"/>
      <c r="J259" s="7">
        <f t="shared" si="36"/>
        <v>12.840267077555213</v>
      </c>
      <c r="K259" s="7"/>
      <c r="L259" s="7"/>
      <c r="M259" s="7"/>
      <c r="N259" s="7">
        <f>N247/N254</f>
        <v>19.90241397021058</v>
      </c>
      <c r="O259" s="7"/>
      <c r="P259" s="7">
        <f t="shared" si="37"/>
        <v>19.90241397021058</v>
      </c>
      <c r="IB259" s="53"/>
      <c r="IC259" s="53"/>
      <c r="ID259" s="53"/>
      <c r="IE259" s="53"/>
      <c r="IF259" s="53"/>
      <c r="IG259" s="53"/>
    </row>
    <row r="260" spans="1:241" s="25" customFormat="1" ht="19.5" customHeight="1">
      <c r="A260" s="8" t="s">
        <v>112</v>
      </c>
      <c r="B260" s="6"/>
      <c r="C260" s="6"/>
      <c r="D260" s="7">
        <f>D249/D255</f>
        <v>823.0452674897119</v>
      </c>
      <c r="E260" s="7"/>
      <c r="F260" s="7">
        <f t="shared" si="35"/>
        <v>823.0452674897119</v>
      </c>
      <c r="G260" s="7">
        <f>G249/G255</f>
        <v>800</v>
      </c>
      <c r="H260" s="7"/>
      <c r="I260" s="7"/>
      <c r="J260" s="7">
        <f t="shared" si="36"/>
        <v>800</v>
      </c>
      <c r="K260" s="7"/>
      <c r="L260" s="7"/>
      <c r="M260" s="7"/>
      <c r="N260" s="7">
        <f>N249/N255</f>
        <v>769.2307692307693</v>
      </c>
      <c r="O260" s="7"/>
      <c r="P260" s="7">
        <f t="shared" si="37"/>
        <v>769.2307692307693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242</v>
      </c>
      <c r="B261" s="6"/>
      <c r="C261" s="6"/>
      <c r="D261" s="7">
        <f>D250/D256</f>
        <v>31.71323982458048</v>
      </c>
      <c r="E261" s="7"/>
      <c r="F261" s="7">
        <f t="shared" si="35"/>
        <v>31.71323982458048</v>
      </c>
      <c r="G261" s="7">
        <f>G250/G256</f>
        <v>36.24370265666341</v>
      </c>
      <c r="H261" s="7"/>
      <c r="I261" s="7"/>
      <c r="J261" s="7">
        <f t="shared" si="36"/>
        <v>36.24370265666341</v>
      </c>
      <c r="K261" s="7"/>
      <c r="L261" s="7"/>
      <c r="M261" s="7"/>
      <c r="N261" s="7">
        <f>N250/N256</f>
        <v>41.680258055162916</v>
      </c>
      <c r="O261" s="7"/>
      <c r="P261" s="7">
        <f t="shared" si="37"/>
        <v>41.680258055162916</v>
      </c>
      <c r="IB261" s="53"/>
      <c r="IC261" s="53"/>
      <c r="ID261" s="53"/>
      <c r="IE261" s="53"/>
      <c r="IF261" s="53"/>
      <c r="IG261" s="53"/>
    </row>
    <row r="262" spans="1:241" s="25" customFormat="1" ht="28.5" customHeight="1">
      <c r="A262" s="8" t="s">
        <v>241</v>
      </c>
      <c r="B262" s="6"/>
      <c r="C262" s="6"/>
      <c r="D262" s="7">
        <f>D251/D257</f>
        <v>36964.980544747086</v>
      </c>
      <c r="E262" s="7"/>
      <c r="F262" s="7">
        <f t="shared" si="35"/>
        <v>36964.980544747086</v>
      </c>
      <c r="G262" s="7">
        <f>G251/G257</f>
        <v>39583.333333333336</v>
      </c>
      <c r="H262" s="7"/>
      <c r="I262" s="7"/>
      <c r="J262" s="7">
        <f t="shared" si="36"/>
        <v>39583.333333333336</v>
      </c>
      <c r="K262" s="7"/>
      <c r="L262" s="7"/>
      <c r="M262" s="7"/>
      <c r="N262" s="7">
        <f>N251/N257</f>
        <v>42222.22222222222</v>
      </c>
      <c r="O262" s="7"/>
      <c r="P262" s="7">
        <f t="shared" si="37"/>
        <v>42222.22222222222</v>
      </c>
      <c r="IB262" s="53"/>
      <c r="IC262" s="53"/>
      <c r="ID262" s="53"/>
      <c r="IE262" s="53"/>
      <c r="IF262" s="53"/>
      <c r="IG262" s="53"/>
    </row>
    <row r="263" spans="1:241" s="25" customFormat="1" ht="45">
      <c r="A263" s="8" t="s">
        <v>221</v>
      </c>
      <c r="B263" s="6"/>
      <c r="C263" s="6"/>
      <c r="D263" s="7"/>
      <c r="E263" s="7"/>
      <c r="F263" s="7">
        <f t="shared" si="35"/>
        <v>0</v>
      </c>
      <c r="G263" s="7">
        <v>145.4502</v>
      </c>
      <c r="H263" s="7"/>
      <c r="I263" s="7"/>
      <c r="J263" s="7">
        <f t="shared" si="36"/>
        <v>145.4502</v>
      </c>
      <c r="K263" s="7"/>
      <c r="L263" s="7"/>
      <c r="M263" s="7"/>
      <c r="N263" s="7">
        <v>145.461241023</v>
      </c>
      <c r="O263" s="7"/>
      <c r="P263" s="7">
        <f t="shared" si="37"/>
        <v>145.461241023</v>
      </c>
      <c r="IB263" s="53"/>
      <c r="IC263" s="53"/>
      <c r="ID263" s="53"/>
      <c r="IE263" s="53"/>
      <c r="IF263" s="53"/>
      <c r="IG263" s="53"/>
    </row>
    <row r="264" spans="1:241" s="25" customFormat="1" ht="11.25">
      <c r="A264" s="5" t="s">
        <v>6</v>
      </c>
      <c r="B264" s="6"/>
      <c r="C264" s="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113</v>
      </c>
      <c r="B265" s="6"/>
      <c r="C265" s="6"/>
      <c r="D265" s="7"/>
      <c r="E265" s="7"/>
      <c r="F265" s="7">
        <f t="shared" si="35"/>
        <v>0</v>
      </c>
      <c r="G265" s="7">
        <f>G259/D259*100</f>
        <v>67.30833950326446</v>
      </c>
      <c r="H265" s="7"/>
      <c r="I265" s="7"/>
      <c r="J265" s="7">
        <f t="shared" si="36"/>
        <v>67.30833950326446</v>
      </c>
      <c r="K265" s="7"/>
      <c r="L265" s="7"/>
      <c r="M265" s="7"/>
      <c r="N265" s="7">
        <f>N259/G259*100</f>
        <v>155</v>
      </c>
      <c r="O265" s="7"/>
      <c r="P265" s="7">
        <f t="shared" si="37"/>
        <v>155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222</v>
      </c>
      <c r="B266" s="6"/>
      <c r="C266" s="6"/>
      <c r="D266" s="7"/>
      <c r="E266" s="7"/>
      <c r="F266" s="7">
        <f t="shared" si="35"/>
        <v>0</v>
      </c>
      <c r="G266" s="7">
        <f>G261/D261*100</f>
        <v>114.2857142857143</v>
      </c>
      <c r="H266" s="7"/>
      <c r="I266" s="7"/>
      <c r="J266" s="7">
        <f t="shared" si="36"/>
        <v>114.2857142857143</v>
      </c>
      <c r="K266" s="7"/>
      <c r="L266" s="7"/>
      <c r="M266" s="7"/>
      <c r="N266" s="7">
        <f>N260/G260*100</f>
        <v>96.15384615384616</v>
      </c>
      <c r="O266" s="7"/>
      <c r="P266" s="7">
        <f t="shared" si="37"/>
        <v>96.15384615384616</v>
      </c>
      <c r="IB266" s="53"/>
      <c r="IC266" s="53"/>
      <c r="ID266" s="53"/>
      <c r="IE266" s="53"/>
      <c r="IF266" s="53"/>
      <c r="IG266" s="53"/>
    </row>
    <row r="267" spans="1:241" s="25" customFormat="1" ht="36" customHeight="1">
      <c r="A267" s="8" t="s">
        <v>244</v>
      </c>
      <c r="B267" s="6"/>
      <c r="C267" s="6"/>
      <c r="D267" s="7"/>
      <c r="E267" s="7"/>
      <c r="F267" s="7">
        <f t="shared" si="35"/>
        <v>0</v>
      </c>
      <c r="G267" s="7">
        <f>G262/D262*100</f>
        <v>107.08333333333333</v>
      </c>
      <c r="H267" s="7"/>
      <c r="I267" s="7"/>
      <c r="J267" s="7">
        <f t="shared" si="36"/>
        <v>107.08333333333333</v>
      </c>
      <c r="K267" s="7"/>
      <c r="L267" s="7"/>
      <c r="M267" s="7"/>
      <c r="N267" s="7">
        <f>N261/G261*100</f>
        <v>114.99999999999999</v>
      </c>
      <c r="O267" s="7"/>
      <c r="P267" s="7">
        <f t="shared" si="37"/>
        <v>114.99999999999999</v>
      </c>
      <c r="IB267" s="53"/>
      <c r="IC267" s="53"/>
      <c r="ID267" s="53"/>
      <c r="IE267" s="53"/>
      <c r="IF267" s="53"/>
      <c r="IG267" s="53"/>
    </row>
    <row r="268" spans="1:241" s="25" customFormat="1" ht="33.75">
      <c r="A268" s="8" t="s">
        <v>245</v>
      </c>
      <c r="B268" s="6"/>
      <c r="C268" s="6"/>
      <c r="D268" s="7"/>
      <c r="E268" s="7"/>
      <c r="F268" s="7">
        <f t="shared" si="35"/>
        <v>0</v>
      </c>
      <c r="G268" s="7">
        <f>G262/D262*100</f>
        <v>107.08333333333333</v>
      </c>
      <c r="H268" s="7"/>
      <c r="I268" s="7"/>
      <c r="J268" s="7">
        <f t="shared" si="36"/>
        <v>107.08333333333333</v>
      </c>
      <c r="K268" s="7"/>
      <c r="L268" s="7"/>
      <c r="M268" s="7"/>
      <c r="N268" s="7">
        <f>N262/G262*100</f>
        <v>106.66666666666664</v>
      </c>
      <c r="O268" s="7"/>
      <c r="P268" s="7">
        <f t="shared" si="37"/>
        <v>106.66666666666664</v>
      </c>
      <c r="IB268" s="53"/>
      <c r="IC268" s="53"/>
      <c r="ID268" s="53"/>
      <c r="IE268" s="53"/>
      <c r="IF268" s="53"/>
      <c r="IG268" s="53"/>
    </row>
    <row r="269" spans="1:241" s="38" customFormat="1" ht="22.5">
      <c r="A269" s="34" t="s">
        <v>382</v>
      </c>
      <c r="B269" s="35"/>
      <c r="C269" s="35"/>
      <c r="D269" s="36">
        <f>(D270*D274)+(D271*D275)+(D272*D277)-1.78+25000</f>
        <v>20099999.999959998</v>
      </c>
      <c r="E269" s="36">
        <f>(E270*E274)+(E271*E275)+(E272*E277)</f>
        <v>0</v>
      </c>
      <c r="F269" s="36">
        <f>D269</f>
        <v>20099999.999959998</v>
      </c>
      <c r="G269" s="36">
        <f>(G270*G274)+(G271*G275)+(G272*G277)+2928700-3000000</f>
        <v>20183699.999900002</v>
      </c>
      <c r="H269" s="36">
        <f>(H270*H274)+(H271*H275)+(H272*H277)</f>
        <v>0</v>
      </c>
      <c r="I269" s="36">
        <v>0</v>
      </c>
      <c r="J269" s="36">
        <f>G269+H269</f>
        <v>20183699.999900002</v>
      </c>
      <c r="K269" s="36">
        <f>(K270*K274)+(K271*K275)+(K272*K277)</f>
        <v>0</v>
      </c>
      <c r="L269" s="36">
        <f>(L270*L274)+(L271*L275)+(L272*L277)</f>
        <v>0</v>
      </c>
      <c r="M269" s="36">
        <f>(M270*M274)+(M271*M275)+(M272*M277)</f>
        <v>0</v>
      </c>
      <c r="N269" s="36">
        <f>(N270*N274)+(N271*N275)+(N272*N277)</f>
        <v>21574999.99998</v>
      </c>
      <c r="O269" s="36">
        <f>(O270*O274)+(O271*O275)+(O272*O277)</f>
        <v>0</v>
      </c>
      <c r="P269" s="36">
        <f>N269+O269</f>
        <v>21574999.99998</v>
      </c>
      <c r="Q269" s="36">
        <f>(Q270*Q274)+(Q271*Q275)+(Q272*Q277)</f>
        <v>0</v>
      </c>
      <c r="IB269" s="39"/>
      <c r="IC269" s="39"/>
      <c r="ID269" s="39"/>
      <c r="IE269" s="39"/>
      <c r="IF269" s="39"/>
      <c r="IG269" s="39"/>
    </row>
    <row r="270" spans="1:241" s="25" customFormat="1" ht="22.5">
      <c r="A270" s="8" t="s">
        <v>114</v>
      </c>
      <c r="B270" s="6"/>
      <c r="C270" s="6"/>
      <c r="D270" s="7">
        <v>33</v>
      </c>
      <c r="E270" s="7"/>
      <c r="F270" s="7">
        <f>D270+E270</f>
        <v>33</v>
      </c>
      <c r="G270" s="7">
        <v>30</v>
      </c>
      <c r="H270" s="7"/>
      <c r="I270" s="7"/>
      <c r="J270" s="7">
        <f>G270+H270</f>
        <v>30</v>
      </c>
      <c r="K270" s="7"/>
      <c r="L270" s="7"/>
      <c r="M270" s="7"/>
      <c r="N270" s="7">
        <v>28</v>
      </c>
      <c r="O270" s="7"/>
      <c r="P270" s="7">
        <f>N270+O270</f>
        <v>28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115</v>
      </c>
      <c r="B271" s="6"/>
      <c r="C271" s="6"/>
      <c r="D271" s="7">
        <v>6</v>
      </c>
      <c r="E271" s="7"/>
      <c r="F271" s="7">
        <f aca="true" t="shared" si="38" ref="F271:F281">D271+E271</f>
        <v>6</v>
      </c>
      <c r="G271" s="7">
        <f>D271</f>
        <v>6</v>
      </c>
      <c r="H271" s="7"/>
      <c r="I271" s="7"/>
      <c r="J271" s="7">
        <f aca="true" t="shared" si="39" ref="J271:J281">G271+H271</f>
        <v>6</v>
      </c>
      <c r="K271" s="7"/>
      <c r="L271" s="7"/>
      <c r="M271" s="7"/>
      <c r="N271" s="7">
        <v>6</v>
      </c>
      <c r="O271" s="7"/>
      <c r="P271" s="7">
        <f aca="true" t="shared" si="40" ref="P271:P281">N271+O271</f>
        <v>6</v>
      </c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161</v>
      </c>
      <c r="B272" s="6"/>
      <c r="C272" s="6"/>
      <c r="D272" s="7">
        <v>77</v>
      </c>
      <c r="E272" s="7"/>
      <c r="F272" s="7">
        <f t="shared" si="38"/>
        <v>77</v>
      </c>
      <c r="G272" s="7">
        <v>80</v>
      </c>
      <c r="H272" s="7"/>
      <c r="I272" s="7"/>
      <c r="J272" s="7">
        <f t="shared" si="39"/>
        <v>80</v>
      </c>
      <c r="K272" s="7"/>
      <c r="L272" s="7"/>
      <c r="M272" s="7"/>
      <c r="N272" s="7">
        <v>90</v>
      </c>
      <c r="O272" s="7"/>
      <c r="P272" s="7">
        <f t="shared" si="40"/>
        <v>90</v>
      </c>
      <c r="IB272" s="53"/>
      <c r="IC272" s="53"/>
      <c r="ID272" s="53"/>
      <c r="IE272" s="53"/>
      <c r="IF272" s="53"/>
      <c r="IG272" s="53"/>
    </row>
    <row r="273" spans="1:241" s="25" customFormat="1" ht="12" customHeight="1">
      <c r="A273" s="5" t="s">
        <v>7</v>
      </c>
      <c r="B273" s="37"/>
      <c r="C273" s="37"/>
      <c r="D273" s="30"/>
      <c r="E273" s="30"/>
      <c r="F273" s="7"/>
      <c r="G273" s="30"/>
      <c r="H273" s="30"/>
      <c r="I273" s="7"/>
      <c r="J273" s="7"/>
      <c r="K273" s="7"/>
      <c r="L273" s="7"/>
      <c r="M273" s="7"/>
      <c r="N273" s="30"/>
      <c r="O273" s="30"/>
      <c r="P273" s="7"/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116</v>
      </c>
      <c r="B274" s="6"/>
      <c r="C274" s="6"/>
      <c r="D274" s="7">
        <v>506060.66</v>
      </c>
      <c r="E274" s="7"/>
      <c r="F274" s="7">
        <f t="shared" si="38"/>
        <v>506060.66</v>
      </c>
      <c r="G274" s="7">
        <v>593333.33333</v>
      </c>
      <c r="H274" s="7"/>
      <c r="I274" s="7"/>
      <c r="J274" s="7">
        <f t="shared" si="39"/>
        <v>593333.33333</v>
      </c>
      <c r="K274" s="7"/>
      <c r="L274" s="7"/>
      <c r="M274" s="7"/>
      <c r="N274" s="7">
        <v>675000</v>
      </c>
      <c r="O274" s="7"/>
      <c r="P274" s="7">
        <f t="shared" si="40"/>
        <v>675000</v>
      </c>
      <c r="IB274" s="53"/>
      <c r="IC274" s="53"/>
      <c r="ID274" s="53"/>
      <c r="IE274" s="53"/>
      <c r="IF274" s="53"/>
      <c r="IG274" s="53"/>
    </row>
    <row r="275" spans="1:241" s="25" customFormat="1" ht="22.5" customHeight="1">
      <c r="A275" s="8" t="s">
        <v>117</v>
      </c>
      <c r="B275" s="6"/>
      <c r="C275" s="6"/>
      <c r="D275" s="7">
        <v>529166.66666</v>
      </c>
      <c r="E275" s="7"/>
      <c r="F275" s="7">
        <f t="shared" si="38"/>
        <v>529166.66666</v>
      </c>
      <c r="G275" s="7">
        <v>367500</v>
      </c>
      <c r="H275" s="7"/>
      <c r="I275" s="7"/>
      <c r="J275" s="7">
        <f t="shared" si="39"/>
        <v>367500</v>
      </c>
      <c r="K275" s="7"/>
      <c r="L275" s="7"/>
      <c r="M275" s="7"/>
      <c r="N275" s="7">
        <v>395833.33333</v>
      </c>
      <c r="O275" s="7"/>
      <c r="P275" s="7">
        <f t="shared" si="40"/>
        <v>395833.33333</v>
      </c>
      <c r="IB275" s="53"/>
      <c r="IC275" s="53"/>
      <c r="ID275" s="53"/>
      <c r="IE275" s="53"/>
      <c r="IF275" s="53"/>
      <c r="IG275" s="53"/>
    </row>
    <row r="276" spans="1:241" s="25" customFormat="1" ht="12" customHeight="1">
      <c r="A276" s="5" t="s">
        <v>6</v>
      </c>
      <c r="B276" s="37"/>
      <c r="C276" s="37"/>
      <c r="D276" s="30"/>
      <c r="E276" s="30"/>
      <c r="F276" s="7"/>
      <c r="G276" s="30"/>
      <c r="H276" s="30"/>
      <c r="I276" s="7"/>
      <c r="J276" s="7"/>
      <c r="K276" s="7"/>
      <c r="L276" s="7"/>
      <c r="M276" s="7"/>
      <c r="N276" s="30"/>
      <c r="O276" s="30"/>
      <c r="P276" s="7"/>
      <c r="IB276" s="53"/>
      <c r="IC276" s="53"/>
      <c r="ID276" s="53"/>
      <c r="IE276" s="53"/>
      <c r="IF276" s="53"/>
      <c r="IG276" s="53"/>
    </row>
    <row r="277" spans="1:241" s="25" customFormat="1" ht="32.25" customHeight="1">
      <c r="A277" s="8" t="s">
        <v>185</v>
      </c>
      <c r="B277" s="6"/>
      <c r="C277" s="6"/>
      <c r="D277" s="7">
        <f>200000/77</f>
        <v>2597.4025974025976</v>
      </c>
      <c r="E277" s="7"/>
      <c r="F277" s="7">
        <f t="shared" si="38"/>
        <v>2597.4025974025976</v>
      </c>
      <c r="G277" s="7">
        <v>3125</v>
      </c>
      <c r="H277" s="7"/>
      <c r="I277" s="7"/>
      <c r="J277" s="7">
        <f t="shared" si="39"/>
        <v>3125</v>
      </c>
      <c r="K277" s="7"/>
      <c r="L277" s="7"/>
      <c r="M277" s="7"/>
      <c r="N277" s="7">
        <f>300000/90</f>
        <v>3333.3333333333335</v>
      </c>
      <c r="O277" s="7"/>
      <c r="P277" s="7">
        <f t="shared" si="40"/>
        <v>3333.3333333333335</v>
      </c>
      <c r="IB277" s="53"/>
      <c r="IC277" s="53"/>
      <c r="ID277" s="53"/>
      <c r="IE277" s="53"/>
      <c r="IF277" s="53"/>
      <c r="IG277" s="53"/>
    </row>
    <row r="278" spans="1:241" s="25" customFormat="1" ht="11.25">
      <c r="A278" s="5" t="s">
        <v>6</v>
      </c>
      <c r="B278" s="6"/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118</v>
      </c>
      <c r="B279" s="6"/>
      <c r="C279" s="6"/>
      <c r="D279" s="7"/>
      <c r="E279" s="7"/>
      <c r="F279" s="7">
        <f t="shared" si="38"/>
        <v>0</v>
      </c>
      <c r="G279" s="7">
        <f>G274/F274*100</f>
        <v>117.2454964845519</v>
      </c>
      <c r="H279" s="7"/>
      <c r="I279" s="7"/>
      <c r="J279" s="7">
        <f t="shared" si="39"/>
        <v>117.2454964845519</v>
      </c>
      <c r="K279" s="7"/>
      <c r="L279" s="7"/>
      <c r="M279" s="7"/>
      <c r="N279" s="7">
        <f>N274/J274*100</f>
        <v>113.76404494445933</v>
      </c>
      <c r="O279" s="7"/>
      <c r="P279" s="7">
        <f t="shared" si="40"/>
        <v>113.76404494445933</v>
      </c>
      <c r="IB279" s="53"/>
      <c r="IC279" s="53"/>
      <c r="ID279" s="53"/>
      <c r="IE279" s="53"/>
      <c r="IF279" s="53"/>
      <c r="IG279" s="53"/>
    </row>
    <row r="280" spans="1:241" s="25" customFormat="1" ht="33.75">
      <c r="A280" s="8" t="s">
        <v>119</v>
      </c>
      <c r="B280" s="6"/>
      <c r="C280" s="6"/>
      <c r="D280" s="7"/>
      <c r="E280" s="7"/>
      <c r="F280" s="7">
        <f t="shared" si="38"/>
        <v>0</v>
      </c>
      <c r="G280" s="7">
        <f>G275/D275*100</f>
        <v>69.44881889851274</v>
      </c>
      <c r="H280" s="7"/>
      <c r="I280" s="7"/>
      <c r="J280" s="7">
        <f t="shared" si="39"/>
        <v>69.44881889851274</v>
      </c>
      <c r="K280" s="7"/>
      <c r="L280" s="7"/>
      <c r="M280" s="7"/>
      <c r="N280" s="7">
        <f>N275/G275*100</f>
        <v>107.7097505659864</v>
      </c>
      <c r="O280" s="7"/>
      <c r="P280" s="7">
        <f t="shared" si="40"/>
        <v>107.7097505659864</v>
      </c>
      <c r="IB280" s="53"/>
      <c r="IC280" s="53"/>
      <c r="ID280" s="53"/>
      <c r="IE280" s="53"/>
      <c r="IF280" s="53"/>
      <c r="IG280" s="53"/>
    </row>
    <row r="281" spans="1:241" s="25" customFormat="1" ht="27" customHeight="1">
      <c r="A281" s="8" t="s">
        <v>223</v>
      </c>
      <c r="B281" s="6"/>
      <c r="C281" s="6"/>
      <c r="D281" s="7"/>
      <c r="E281" s="7"/>
      <c r="F281" s="7">
        <f t="shared" si="38"/>
        <v>0</v>
      </c>
      <c r="G281" s="7">
        <f>G277/D277*100</f>
        <v>120.3125</v>
      </c>
      <c r="H281" s="7"/>
      <c r="I281" s="7"/>
      <c r="J281" s="7">
        <f t="shared" si="39"/>
        <v>120.3125</v>
      </c>
      <c r="K281" s="7"/>
      <c r="L281" s="7"/>
      <c r="M281" s="7"/>
      <c r="N281" s="7">
        <f>N277/G277*100</f>
        <v>106.66666666666667</v>
      </c>
      <c r="O281" s="7"/>
      <c r="P281" s="7">
        <f t="shared" si="40"/>
        <v>106.66666666666667</v>
      </c>
      <c r="IB281" s="53"/>
      <c r="IC281" s="53"/>
      <c r="ID281" s="53"/>
      <c r="IE281" s="53"/>
      <c r="IF281" s="53"/>
      <c r="IG281" s="53"/>
    </row>
    <row r="282" spans="1:241" s="38" customFormat="1" ht="24" customHeight="1">
      <c r="A282" s="34" t="s">
        <v>383</v>
      </c>
      <c r="B282" s="35"/>
      <c r="C282" s="35"/>
      <c r="D282" s="36">
        <v>1000000</v>
      </c>
      <c r="E282" s="36"/>
      <c r="F282" s="36">
        <f>D282</f>
        <v>1000000</v>
      </c>
      <c r="G282" s="36">
        <v>1200000</v>
      </c>
      <c r="H282" s="36"/>
      <c r="I282" s="36"/>
      <c r="J282" s="36">
        <f>G282</f>
        <v>1200000</v>
      </c>
      <c r="K282" s="36">
        <f>(K284*K286)</f>
        <v>0</v>
      </c>
      <c r="L282" s="36">
        <f>(L284*L286)</f>
        <v>0</v>
      </c>
      <c r="M282" s="36">
        <f>(M284*M286)</f>
        <v>0</v>
      </c>
      <c r="N282" s="36">
        <v>1400000</v>
      </c>
      <c r="O282" s="36">
        <f>(O284*O286)</f>
        <v>0</v>
      </c>
      <c r="P282" s="36">
        <f>N282</f>
        <v>1400000</v>
      </c>
      <c r="IB282" s="39"/>
      <c r="IC282" s="39"/>
      <c r="ID282" s="39"/>
      <c r="IE282" s="39"/>
      <c r="IF282" s="39"/>
      <c r="IG282" s="39"/>
    </row>
    <row r="283" spans="1:241" s="25" customFormat="1" ht="11.25">
      <c r="A283" s="5" t="s">
        <v>5</v>
      </c>
      <c r="B283" s="6"/>
      <c r="C283" s="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IB283" s="53"/>
      <c r="IC283" s="53"/>
      <c r="ID283" s="53"/>
      <c r="IE283" s="53"/>
      <c r="IF283" s="53"/>
      <c r="IG283" s="53"/>
    </row>
    <row r="284" spans="1:241" s="25" customFormat="1" ht="33.75">
      <c r="A284" s="8" t="s">
        <v>246</v>
      </c>
      <c r="B284" s="6"/>
      <c r="C284" s="6"/>
      <c r="D284" s="7">
        <v>750</v>
      </c>
      <c r="E284" s="7"/>
      <c r="F284" s="7">
        <f>D284</f>
        <v>750</v>
      </c>
      <c r="G284" s="7">
        <v>700</v>
      </c>
      <c r="H284" s="7"/>
      <c r="I284" s="7"/>
      <c r="J284" s="7">
        <f>G284</f>
        <v>700</v>
      </c>
      <c r="K284" s="7"/>
      <c r="L284" s="7"/>
      <c r="M284" s="7"/>
      <c r="N284" s="7">
        <v>650</v>
      </c>
      <c r="O284" s="7"/>
      <c r="P284" s="7">
        <f>N284</f>
        <v>650</v>
      </c>
      <c r="IB284" s="53"/>
      <c r="IC284" s="53"/>
      <c r="ID284" s="53"/>
      <c r="IE284" s="53"/>
      <c r="IF284" s="53"/>
      <c r="IG284" s="53"/>
    </row>
    <row r="285" spans="1:241" s="25" customFormat="1" ht="11.25">
      <c r="A285" s="5" t="s">
        <v>7</v>
      </c>
      <c r="B285" s="6"/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IB285" s="53"/>
      <c r="IC285" s="53"/>
      <c r="ID285" s="53"/>
      <c r="IE285" s="53"/>
      <c r="IF285" s="53"/>
      <c r="IG285" s="53"/>
    </row>
    <row r="286" spans="1:241" s="25" customFormat="1" ht="22.5" customHeight="1">
      <c r="A286" s="8" t="s">
        <v>247</v>
      </c>
      <c r="B286" s="6"/>
      <c r="C286" s="6"/>
      <c r="D286" s="7">
        <f>D282/D284</f>
        <v>1333.3333333333333</v>
      </c>
      <c r="E286" s="7"/>
      <c r="F286" s="7">
        <f>D286</f>
        <v>1333.3333333333333</v>
      </c>
      <c r="G286" s="7">
        <f>G282/G284</f>
        <v>1714.2857142857142</v>
      </c>
      <c r="H286" s="7"/>
      <c r="I286" s="7"/>
      <c r="J286" s="7">
        <f>G286</f>
        <v>1714.2857142857142</v>
      </c>
      <c r="K286" s="7"/>
      <c r="L286" s="7"/>
      <c r="M286" s="7"/>
      <c r="N286" s="7">
        <f>1400000/750</f>
        <v>1866.6666666666667</v>
      </c>
      <c r="O286" s="7"/>
      <c r="P286" s="7">
        <f>N286</f>
        <v>1866.6666666666667</v>
      </c>
      <c r="IB286" s="53"/>
      <c r="IC286" s="53"/>
      <c r="ID286" s="53"/>
      <c r="IE286" s="53"/>
      <c r="IF286" s="53"/>
      <c r="IG286" s="53"/>
    </row>
    <row r="287" spans="1:241" s="25" customFormat="1" ht="11.25">
      <c r="A287" s="5" t="s">
        <v>6</v>
      </c>
      <c r="B287" s="6"/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IB287" s="53"/>
      <c r="IC287" s="53"/>
      <c r="ID287" s="53"/>
      <c r="IE287" s="53"/>
      <c r="IF287" s="53"/>
      <c r="IG287" s="53"/>
    </row>
    <row r="288" spans="1:241" s="25" customFormat="1" ht="24" customHeight="1">
      <c r="A288" s="8" t="s">
        <v>179</v>
      </c>
      <c r="B288" s="6"/>
      <c r="C288" s="6"/>
      <c r="D288" s="7"/>
      <c r="E288" s="7"/>
      <c r="F288" s="7"/>
      <c r="G288" s="7">
        <f>G284/D284*100</f>
        <v>93.33333333333333</v>
      </c>
      <c r="H288" s="7"/>
      <c r="I288" s="7"/>
      <c r="J288" s="7">
        <f>G288</f>
        <v>93.33333333333333</v>
      </c>
      <c r="K288" s="7"/>
      <c r="L288" s="7"/>
      <c r="M288" s="7"/>
      <c r="N288" s="7">
        <f>N284/G284*100</f>
        <v>92.85714285714286</v>
      </c>
      <c r="O288" s="7"/>
      <c r="P288" s="7">
        <f>N288</f>
        <v>92.85714285714286</v>
      </c>
      <c r="IB288" s="53"/>
      <c r="IC288" s="53"/>
      <c r="ID288" s="53"/>
      <c r="IE288" s="53"/>
      <c r="IF288" s="53"/>
      <c r="IG288" s="53"/>
    </row>
    <row r="289" spans="1:241" s="25" customFormat="1" ht="31.5" customHeight="1">
      <c r="A289" s="8" t="s">
        <v>180</v>
      </c>
      <c r="B289" s="6"/>
      <c r="C289" s="6"/>
      <c r="D289" s="7"/>
      <c r="E289" s="7"/>
      <c r="F289" s="7"/>
      <c r="G289" s="7">
        <f>G286/D286*100</f>
        <v>128.57142857142858</v>
      </c>
      <c r="H289" s="7"/>
      <c r="I289" s="7"/>
      <c r="J289" s="7">
        <f>G289</f>
        <v>128.57142857142858</v>
      </c>
      <c r="K289" s="7"/>
      <c r="L289" s="7"/>
      <c r="M289" s="7"/>
      <c r="N289" s="7">
        <f>N286/G286*100</f>
        <v>108.8888888888889</v>
      </c>
      <c r="O289" s="7"/>
      <c r="P289" s="7">
        <f>N289</f>
        <v>108.8888888888889</v>
      </c>
      <c r="IB289" s="53"/>
      <c r="IC289" s="53"/>
      <c r="ID289" s="53"/>
      <c r="IE289" s="53"/>
      <c r="IF289" s="53"/>
      <c r="IG289" s="53"/>
    </row>
    <row r="290" spans="1:241" s="38" customFormat="1" ht="22.5" customHeight="1">
      <c r="A290" s="34" t="s">
        <v>384</v>
      </c>
      <c r="B290" s="35"/>
      <c r="C290" s="35"/>
      <c r="D290" s="36"/>
      <c r="E290" s="36">
        <f>11780000+5075000+152250</f>
        <v>17007250</v>
      </c>
      <c r="F290" s="36">
        <f>E290</f>
        <v>17007250</v>
      </c>
      <c r="G290" s="36">
        <f>G292*G294</f>
        <v>0</v>
      </c>
      <c r="H290" s="36">
        <f>12000000+6097000+185000+6401000+20000+500000+636000+670000</f>
        <v>26509000</v>
      </c>
      <c r="I290" s="36">
        <f>I292*I294</f>
        <v>0</v>
      </c>
      <c r="J290" s="36">
        <f>G290+H290</f>
        <v>26509000</v>
      </c>
      <c r="K290" s="36">
        <f>K292*K294</f>
        <v>0</v>
      </c>
      <c r="L290" s="36">
        <f>L292*L294</f>
        <v>0</v>
      </c>
      <c r="M290" s="36">
        <f>M292*M294</f>
        <v>0</v>
      </c>
      <c r="N290" s="36">
        <f>N292*N294</f>
        <v>0</v>
      </c>
      <c r="O290" s="36">
        <v>12100000</v>
      </c>
      <c r="P290" s="36">
        <f>N290+O290</f>
        <v>12100000</v>
      </c>
      <c r="IB290" s="39"/>
      <c r="IC290" s="39"/>
      <c r="ID290" s="39"/>
      <c r="IE290" s="39"/>
      <c r="IF290" s="39"/>
      <c r="IG290" s="39"/>
    </row>
    <row r="291" spans="1:241" s="25" customFormat="1" ht="11.25">
      <c r="A291" s="5" t="s">
        <v>5</v>
      </c>
      <c r="B291" s="37"/>
      <c r="C291" s="37"/>
      <c r="D291" s="30"/>
      <c r="E291" s="30"/>
      <c r="F291" s="7"/>
      <c r="G291" s="30"/>
      <c r="H291" s="30"/>
      <c r="I291" s="30"/>
      <c r="J291" s="7"/>
      <c r="K291" s="7"/>
      <c r="L291" s="7"/>
      <c r="M291" s="7"/>
      <c r="N291" s="30"/>
      <c r="O291" s="30"/>
      <c r="P291" s="7"/>
      <c r="IB291" s="53"/>
      <c r="IC291" s="53"/>
      <c r="ID291" s="53"/>
      <c r="IE291" s="53"/>
      <c r="IF291" s="53"/>
      <c r="IG291" s="53"/>
    </row>
    <row r="292" spans="1:241" s="25" customFormat="1" ht="21.75" customHeight="1">
      <c r="A292" s="8" t="s">
        <v>120</v>
      </c>
      <c r="B292" s="6"/>
      <c r="C292" s="6"/>
      <c r="D292" s="7"/>
      <c r="E292" s="7">
        <f>20+6</f>
        <v>26</v>
      </c>
      <c r="F292" s="7">
        <f>E292</f>
        <v>26</v>
      </c>
      <c r="G292" s="7"/>
      <c r="H292" s="7">
        <v>18</v>
      </c>
      <c r="I292" s="7"/>
      <c r="J292" s="7">
        <f>G292+H292</f>
        <v>18</v>
      </c>
      <c r="K292" s="7"/>
      <c r="L292" s="7"/>
      <c r="M292" s="7"/>
      <c r="N292" s="7"/>
      <c r="O292" s="7">
        <v>15</v>
      </c>
      <c r="P292" s="7">
        <f>O292</f>
        <v>15</v>
      </c>
      <c r="IB292" s="53"/>
      <c r="IC292" s="53"/>
      <c r="ID292" s="53"/>
      <c r="IE292" s="53"/>
      <c r="IF292" s="53"/>
      <c r="IG292" s="53"/>
    </row>
    <row r="293" spans="1:241" s="25" customFormat="1" ht="11.25">
      <c r="A293" s="5" t="s">
        <v>7</v>
      </c>
      <c r="B293" s="37"/>
      <c r="C293" s="37"/>
      <c r="D293" s="30"/>
      <c r="E293" s="30"/>
      <c r="F293" s="7"/>
      <c r="G293" s="30"/>
      <c r="H293" s="30"/>
      <c r="I293" s="30"/>
      <c r="J293" s="7"/>
      <c r="K293" s="7"/>
      <c r="L293" s="7"/>
      <c r="M293" s="7"/>
      <c r="N293" s="30"/>
      <c r="O293" s="30"/>
      <c r="P293" s="7"/>
      <c r="IB293" s="53"/>
      <c r="IC293" s="53"/>
      <c r="ID293" s="53"/>
      <c r="IE293" s="53"/>
      <c r="IF293" s="53"/>
      <c r="IG293" s="53"/>
    </row>
    <row r="294" spans="1:241" s="25" customFormat="1" ht="23.25" customHeight="1">
      <c r="A294" s="8" t="s">
        <v>121</v>
      </c>
      <c r="B294" s="6"/>
      <c r="C294" s="6"/>
      <c r="D294" s="7"/>
      <c r="E294" s="7">
        <f>E290/E292</f>
        <v>654125</v>
      </c>
      <c r="F294" s="7">
        <f>E294</f>
        <v>654125</v>
      </c>
      <c r="G294" s="7"/>
      <c r="H294" s="7">
        <f>H290/H292</f>
        <v>1472722.2222222222</v>
      </c>
      <c r="I294" s="7"/>
      <c r="J294" s="7">
        <f>G294+H294</f>
        <v>1472722.2222222222</v>
      </c>
      <c r="K294" s="7"/>
      <c r="L294" s="7"/>
      <c r="M294" s="7"/>
      <c r="N294" s="7"/>
      <c r="O294" s="7">
        <f>O290/O292</f>
        <v>806666.6666666666</v>
      </c>
      <c r="P294" s="7">
        <f>O294</f>
        <v>806666.6666666666</v>
      </c>
      <c r="IB294" s="53"/>
      <c r="IC294" s="53"/>
      <c r="ID294" s="53"/>
      <c r="IE294" s="53"/>
      <c r="IF294" s="53"/>
      <c r="IG294" s="53"/>
    </row>
    <row r="295" spans="1:241" s="25" customFormat="1" ht="11.25">
      <c r="A295" s="5" t="s">
        <v>6</v>
      </c>
      <c r="B295" s="6"/>
      <c r="C295" s="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IB295" s="53"/>
      <c r="IC295" s="53"/>
      <c r="ID295" s="53"/>
      <c r="IE295" s="53"/>
      <c r="IF295" s="53"/>
      <c r="IG295" s="53"/>
    </row>
    <row r="296" spans="1:241" s="25" customFormat="1" ht="35.25" customHeight="1">
      <c r="A296" s="8" t="s">
        <v>122</v>
      </c>
      <c r="B296" s="6"/>
      <c r="C296" s="6"/>
      <c r="D296" s="7"/>
      <c r="E296" s="7">
        <v>0</v>
      </c>
      <c r="F296" s="7">
        <v>0</v>
      </c>
      <c r="G296" s="7"/>
      <c r="H296" s="7">
        <f>H294/E294*100</f>
        <v>225.1438520500244</v>
      </c>
      <c r="I296" s="7"/>
      <c r="J296" s="7">
        <f>G296+H296</f>
        <v>225.1438520500244</v>
      </c>
      <c r="K296" s="7"/>
      <c r="L296" s="7"/>
      <c r="M296" s="7"/>
      <c r="N296" s="7"/>
      <c r="O296" s="7">
        <f>O294/H294*100</f>
        <v>54.77385039043343</v>
      </c>
      <c r="P296" s="7">
        <f>O296</f>
        <v>54.77385039043343</v>
      </c>
      <c r="IB296" s="53"/>
      <c r="IC296" s="53"/>
      <c r="ID296" s="53"/>
      <c r="IE296" s="53"/>
      <c r="IF296" s="53"/>
      <c r="IG296" s="53"/>
    </row>
    <row r="297" spans="1:241" s="25" customFormat="1" ht="17.25" customHeight="1">
      <c r="A297" s="8" t="s">
        <v>397</v>
      </c>
      <c r="B297" s="6"/>
      <c r="C297" s="6"/>
      <c r="D297" s="7"/>
      <c r="E297" s="7">
        <v>5075000</v>
      </c>
      <c r="F297" s="7">
        <f>E297</f>
        <v>5075000</v>
      </c>
      <c r="G297" s="7"/>
      <c r="H297" s="7">
        <f>0+6097000+6401000+20000+500000+636000+670000</f>
        <v>14324000</v>
      </c>
      <c r="I297" s="7"/>
      <c r="J297" s="7">
        <f>H297</f>
        <v>14324000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241" s="25" customFormat="1" ht="20.25" customHeight="1">
      <c r="A298" s="8" t="s">
        <v>398</v>
      </c>
      <c r="B298" s="6"/>
      <c r="C298" s="6"/>
      <c r="D298" s="7"/>
      <c r="E298" s="7">
        <v>152250</v>
      </c>
      <c r="F298" s="7">
        <f>E298</f>
        <v>152250</v>
      </c>
      <c r="G298" s="7"/>
      <c r="H298" s="7">
        <f>0+185000+15000</f>
        <v>200000</v>
      </c>
      <c r="I298" s="7"/>
      <c r="J298" s="7">
        <f>H298</f>
        <v>200000</v>
      </c>
      <c r="K298" s="7"/>
      <c r="L298" s="7"/>
      <c r="M298" s="7"/>
      <c r="N298" s="7"/>
      <c r="O298" s="7"/>
      <c r="P298" s="7"/>
      <c r="IB298" s="53"/>
      <c r="IC298" s="53"/>
      <c r="ID298" s="53"/>
      <c r="IE298" s="53"/>
      <c r="IF298" s="53"/>
      <c r="IG298" s="53"/>
    </row>
    <row r="299" spans="1:16" ht="15" customHeight="1">
      <c r="A299" s="37" t="s">
        <v>355</v>
      </c>
      <c r="B299" s="37"/>
      <c r="C299" s="37"/>
      <c r="D299" s="30"/>
      <c r="E299" s="30">
        <f aca="true" t="shared" si="41" ref="E299:P299">E301+E315+E330</f>
        <v>76757323</v>
      </c>
      <c r="F299" s="30">
        <f t="shared" si="41"/>
        <v>76757323</v>
      </c>
      <c r="G299" s="30">
        <f t="shared" si="41"/>
        <v>0</v>
      </c>
      <c r="H299" s="30">
        <f>H301+H315+H330</f>
        <v>84517199.9975</v>
      </c>
      <c r="I299" s="30">
        <f t="shared" si="41"/>
        <v>742600</v>
      </c>
      <c r="J299" s="30">
        <f t="shared" si="41"/>
        <v>84517199.9975</v>
      </c>
      <c r="K299" s="30">
        <f t="shared" si="41"/>
        <v>10668.66666388889</v>
      </c>
      <c r="L299" s="30">
        <f t="shared" si="41"/>
        <v>2</v>
      </c>
      <c r="M299" s="30">
        <f t="shared" si="41"/>
        <v>2</v>
      </c>
      <c r="N299" s="30">
        <f t="shared" si="41"/>
        <v>0</v>
      </c>
      <c r="O299" s="30">
        <f t="shared" si="41"/>
        <v>70000000.002</v>
      </c>
      <c r="P299" s="30">
        <f t="shared" si="41"/>
        <v>70000000.002</v>
      </c>
    </row>
    <row r="300" spans="1:16" ht="45" customHeight="1">
      <c r="A300" s="34" t="s">
        <v>123</v>
      </c>
      <c r="B300" s="6"/>
      <c r="C300" s="6"/>
      <c r="D300" s="7"/>
      <c r="E300" s="36"/>
      <c r="F300" s="36"/>
      <c r="G300" s="7"/>
      <c r="H300" s="36"/>
      <c r="I300" s="36"/>
      <c r="J300" s="36"/>
      <c r="K300" s="7" t="e">
        <f>H300/E300*100</f>
        <v>#DIV/0!</v>
      </c>
      <c r="L300" s="36"/>
      <c r="M300" s="36"/>
      <c r="N300" s="7"/>
      <c r="O300" s="36"/>
      <c r="P300" s="36"/>
    </row>
    <row r="301" spans="1:16" ht="22.5" customHeight="1">
      <c r="A301" s="34" t="s">
        <v>128</v>
      </c>
      <c r="B301" s="6"/>
      <c r="C301" s="6"/>
      <c r="D301" s="7"/>
      <c r="E301" s="36">
        <f>E302</f>
        <v>55957320</v>
      </c>
      <c r="F301" s="36">
        <f>D301+E301</f>
        <v>55957320</v>
      </c>
      <c r="G301" s="36"/>
      <c r="H301" s="36">
        <f>H302</f>
        <v>63774599.997499995</v>
      </c>
      <c r="I301" s="36"/>
      <c r="J301" s="36">
        <f>G301+H301</f>
        <v>63774599.997499995</v>
      </c>
      <c r="K301" s="36">
        <f>K302+K316+K323</f>
        <v>10667.66666388889</v>
      </c>
      <c r="L301" s="36">
        <f>L302+L316+L323</f>
        <v>1</v>
      </c>
      <c r="M301" s="36">
        <f>M302+M316+M323</f>
        <v>1</v>
      </c>
      <c r="N301" s="36"/>
      <c r="O301" s="36">
        <f>O302</f>
        <v>50000000.002</v>
      </c>
      <c r="P301" s="36">
        <f>N301+O301</f>
        <v>50000000.002</v>
      </c>
    </row>
    <row r="302" spans="1:235" s="39" customFormat="1" ht="22.5">
      <c r="A302" s="34" t="s">
        <v>385</v>
      </c>
      <c r="B302" s="35"/>
      <c r="C302" s="35"/>
      <c r="D302" s="36"/>
      <c r="E302" s="145">
        <f>(E306*E308)+E312+E313+E314</f>
        <v>55957320</v>
      </c>
      <c r="F302" s="36">
        <f>E302</f>
        <v>55957320</v>
      </c>
      <c r="G302" s="36"/>
      <c r="H302" s="36">
        <f>H306*H308+0.01+5339300+4663300+4487000+990000+295000</f>
        <v>63774599.997499995</v>
      </c>
      <c r="I302" s="36"/>
      <c r="J302" s="36">
        <f>H302</f>
        <v>63774599.997499995</v>
      </c>
      <c r="K302" s="36">
        <f>K306*K308</f>
        <v>10666.66666388889</v>
      </c>
      <c r="L302" s="36">
        <f>L306*L308</f>
        <v>0</v>
      </c>
      <c r="M302" s="36">
        <f>M306*M308</f>
        <v>0</v>
      </c>
      <c r="N302" s="36"/>
      <c r="O302" s="36">
        <f>O306*O308+0.01</f>
        <v>50000000.002</v>
      </c>
      <c r="P302" s="36">
        <f>N302+O302</f>
        <v>50000000.002</v>
      </c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38"/>
      <c r="IA302" s="38"/>
    </row>
    <row r="303" spans="1:16" ht="11.25">
      <c r="A303" s="5" t="s">
        <v>4</v>
      </c>
      <c r="B303" s="37"/>
      <c r="C303" s="37"/>
      <c r="D303" s="7"/>
      <c r="E303" s="36"/>
      <c r="F303" s="36"/>
      <c r="G303" s="7"/>
      <c r="H303" s="36"/>
      <c r="I303" s="36"/>
      <c r="J303" s="36"/>
      <c r="K303" s="7"/>
      <c r="L303" s="36"/>
      <c r="M303" s="36"/>
      <c r="N303" s="7"/>
      <c r="O303" s="36"/>
      <c r="P303" s="36"/>
    </row>
    <row r="304" spans="1:16" ht="22.5">
      <c r="A304" s="8" t="s">
        <v>124</v>
      </c>
      <c r="B304" s="6"/>
      <c r="C304" s="6"/>
      <c r="D304" s="7"/>
      <c r="E304" s="7">
        <v>1072</v>
      </c>
      <c r="F304" s="7">
        <f>E304</f>
        <v>1072</v>
      </c>
      <c r="G304" s="7"/>
      <c r="H304" s="7">
        <v>892</v>
      </c>
      <c r="I304" s="7"/>
      <c r="J304" s="7">
        <f>H304</f>
        <v>892</v>
      </c>
      <c r="K304" s="7"/>
      <c r="L304" s="36"/>
      <c r="M304" s="36"/>
      <c r="N304" s="7"/>
      <c r="O304" s="7">
        <v>617</v>
      </c>
      <c r="P304" s="7">
        <f>O304</f>
        <v>617</v>
      </c>
    </row>
    <row r="305" spans="1:16" ht="11.25">
      <c r="A305" s="5" t="s">
        <v>5</v>
      </c>
      <c r="B305" s="37"/>
      <c r="C305" s="37"/>
      <c r="D305" s="7"/>
      <c r="E305" s="30"/>
      <c r="F305" s="30"/>
      <c r="G305" s="7"/>
      <c r="H305" s="30"/>
      <c r="I305" s="30"/>
      <c r="J305" s="30"/>
      <c r="K305" s="7" t="e">
        <f>H305/E305*100</f>
        <v>#DIV/0!</v>
      </c>
      <c r="L305" s="30"/>
      <c r="M305" s="30"/>
      <c r="N305" s="7"/>
      <c r="O305" s="30"/>
      <c r="P305" s="30"/>
    </row>
    <row r="306" spans="1:16" ht="22.5">
      <c r="A306" s="8" t="s">
        <v>125</v>
      </c>
      <c r="B306" s="6"/>
      <c r="C306" s="6"/>
      <c r="D306" s="7"/>
      <c r="E306" s="7">
        <v>180</v>
      </c>
      <c r="F306" s="7">
        <f>E306</f>
        <v>180</v>
      </c>
      <c r="G306" s="7"/>
      <c r="H306" s="7">
        <v>275</v>
      </c>
      <c r="I306" s="7"/>
      <c r="J306" s="7">
        <f>H306</f>
        <v>275</v>
      </c>
      <c r="K306" s="7">
        <f>H306/E306*100</f>
        <v>152.77777777777777</v>
      </c>
      <c r="L306" s="7"/>
      <c r="M306" s="7"/>
      <c r="N306" s="7"/>
      <c r="O306" s="7">
        <v>240</v>
      </c>
      <c r="P306" s="7">
        <f>O306</f>
        <v>240</v>
      </c>
    </row>
    <row r="307" spans="1:16" ht="11.25">
      <c r="A307" s="5" t="s">
        <v>7</v>
      </c>
      <c r="B307" s="37"/>
      <c r="C307" s="37"/>
      <c r="D307" s="7"/>
      <c r="E307" s="30"/>
      <c r="F307" s="30"/>
      <c r="G307" s="7"/>
      <c r="H307" s="30"/>
      <c r="I307" s="30"/>
      <c r="J307" s="30"/>
      <c r="K307" s="7" t="e">
        <f>H307/E307*100</f>
        <v>#DIV/0!</v>
      </c>
      <c r="L307" s="30"/>
      <c r="M307" s="30"/>
      <c r="N307" s="7"/>
      <c r="O307" s="30"/>
      <c r="P307" s="30"/>
    </row>
    <row r="308" spans="1:16" ht="24" customHeight="1">
      <c r="A308" s="8" t="s">
        <v>126</v>
      </c>
      <c r="B308" s="6"/>
      <c r="C308" s="6"/>
      <c r="D308" s="7"/>
      <c r="E308" s="7">
        <v>250000</v>
      </c>
      <c r="F308" s="7">
        <f>E308</f>
        <v>250000</v>
      </c>
      <c r="G308" s="7"/>
      <c r="H308" s="7">
        <v>174545.4545</v>
      </c>
      <c r="I308" s="7"/>
      <c r="J308" s="7">
        <f>H308</f>
        <v>174545.4545</v>
      </c>
      <c r="K308" s="7">
        <f>H308/E308*100</f>
        <v>69.8181818</v>
      </c>
      <c r="L308" s="7"/>
      <c r="M308" s="7"/>
      <c r="N308" s="7"/>
      <c r="O308" s="7">
        <v>208333.3333</v>
      </c>
      <c r="P308" s="7">
        <f>O308</f>
        <v>208333.3333</v>
      </c>
    </row>
    <row r="309" spans="1:16" ht="11.25">
      <c r="A309" s="5" t="s">
        <v>6</v>
      </c>
      <c r="B309" s="37"/>
      <c r="C309" s="3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50.25" customHeight="1">
      <c r="A310" s="8" t="s">
        <v>127</v>
      </c>
      <c r="B310" s="6"/>
      <c r="C310" s="6"/>
      <c r="D310" s="7"/>
      <c r="E310" s="7">
        <f>E306/E304*100</f>
        <v>16.791044776119403</v>
      </c>
      <c r="F310" s="7">
        <f>D310+E310</f>
        <v>16.791044776119403</v>
      </c>
      <c r="G310" s="7"/>
      <c r="H310" s="7">
        <f>H306/H304*100</f>
        <v>30.829596412556054</v>
      </c>
      <c r="I310" s="7"/>
      <c r="J310" s="7">
        <f>J306/J304*100</f>
        <v>30.829596412556054</v>
      </c>
      <c r="K310" s="7" t="e">
        <f>K306/K304*100</f>
        <v>#DIV/0!</v>
      </c>
      <c r="L310" s="7" t="e">
        <f>L306/L304*100</f>
        <v>#DIV/0!</v>
      </c>
      <c r="M310" s="7" t="e">
        <f>M306/M304*100</f>
        <v>#DIV/0!</v>
      </c>
      <c r="N310" s="7"/>
      <c r="O310" s="7">
        <f>O306/O304*100</f>
        <v>38.897893030794165</v>
      </c>
      <c r="P310" s="7">
        <f>P306/P304*100</f>
        <v>38.897893030794165</v>
      </c>
    </row>
    <row r="311" spans="1:16" ht="11.25">
      <c r="A311" s="5" t="s">
        <v>5</v>
      </c>
      <c r="B311" s="35"/>
      <c r="C311" s="35"/>
      <c r="D311" s="7"/>
      <c r="E311" s="36"/>
      <c r="F311" s="36"/>
      <c r="G311" s="7"/>
      <c r="H311" s="36"/>
      <c r="I311" s="36"/>
      <c r="J311" s="36"/>
      <c r="K311" s="36"/>
      <c r="L311" s="36"/>
      <c r="M311" s="36"/>
      <c r="N311" s="7"/>
      <c r="O311" s="36"/>
      <c r="P311" s="36"/>
    </row>
    <row r="312" spans="1:16" ht="33.75">
      <c r="A312" s="8" t="s">
        <v>277</v>
      </c>
      <c r="B312" s="37"/>
      <c r="C312" s="37"/>
      <c r="D312" s="30"/>
      <c r="E312" s="7">
        <v>160000</v>
      </c>
      <c r="F312" s="7">
        <v>160000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1.25">
      <c r="A313" s="8" t="s">
        <v>356</v>
      </c>
      <c r="B313" s="37"/>
      <c r="C313" s="37"/>
      <c r="D313" s="30"/>
      <c r="E313" s="7">
        <f>1522000+8354000</f>
        <v>9876000</v>
      </c>
      <c r="F313" s="7">
        <f>E313</f>
        <v>9876000</v>
      </c>
      <c r="G313" s="7"/>
      <c r="H313" s="7">
        <f>0+5339300+4663300+4487000+990000+295000</f>
        <v>15774600</v>
      </c>
      <c r="I313" s="7"/>
      <c r="J313" s="7">
        <f>G313+H313</f>
        <v>15774600</v>
      </c>
      <c r="K313" s="7"/>
      <c r="L313" s="7"/>
      <c r="M313" s="7"/>
      <c r="N313" s="7"/>
      <c r="O313" s="7"/>
      <c r="P313" s="7"/>
    </row>
    <row r="314" spans="1:16" ht="22.5">
      <c r="A314" s="8" t="s">
        <v>367</v>
      </c>
      <c r="B314" s="37"/>
      <c r="C314" s="37"/>
      <c r="D314" s="30"/>
      <c r="E314" s="7">
        <f>245700+675620</f>
        <v>921320</v>
      </c>
      <c r="F314" s="7">
        <f>E314</f>
        <v>921320</v>
      </c>
      <c r="G314" s="7"/>
      <c r="H314" s="7">
        <f>0+192200</f>
        <v>192200</v>
      </c>
      <c r="I314" s="7"/>
      <c r="J314" s="7">
        <f>G314+H314</f>
        <v>192200</v>
      </c>
      <c r="K314" s="7"/>
      <c r="L314" s="7"/>
      <c r="M314" s="7"/>
      <c r="N314" s="7"/>
      <c r="O314" s="7"/>
      <c r="P314" s="7"/>
    </row>
    <row r="315" spans="1:235" s="39" customFormat="1" ht="36" customHeight="1">
      <c r="A315" s="34" t="s">
        <v>341</v>
      </c>
      <c r="B315" s="35"/>
      <c r="C315" s="35"/>
      <c r="D315" s="36"/>
      <c r="E315" s="36">
        <f>SUM(E316)+E323</f>
        <v>20000000</v>
      </c>
      <c r="F315" s="36">
        <f aca="true" t="shared" si="42" ref="F315:P315">SUM(F316)+F323</f>
        <v>20000000</v>
      </c>
      <c r="G315" s="36">
        <f t="shared" si="42"/>
        <v>0</v>
      </c>
      <c r="H315" s="36">
        <f t="shared" si="42"/>
        <v>20000000</v>
      </c>
      <c r="I315" s="36">
        <f t="shared" si="42"/>
        <v>0</v>
      </c>
      <c r="J315" s="36">
        <f t="shared" si="42"/>
        <v>20000000</v>
      </c>
      <c r="K315" s="36">
        <f t="shared" si="42"/>
        <v>1</v>
      </c>
      <c r="L315" s="36">
        <f t="shared" si="42"/>
        <v>1</v>
      </c>
      <c r="M315" s="36">
        <f t="shared" si="42"/>
        <v>1</v>
      </c>
      <c r="N315" s="36">
        <f t="shared" si="42"/>
        <v>0</v>
      </c>
      <c r="O315" s="36">
        <f t="shared" si="42"/>
        <v>20000000</v>
      </c>
      <c r="P315" s="36">
        <f t="shared" si="42"/>
        <v>20000000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235" s="39" customFormat="1" ht="41.25" customHeight="1">
      <c r="A316" s="34" t="s">
        <v>386</v>
      </c>
      <c r="B316" s="35"/>
      <c r="C316" s="35"/>
      <c r="D316" s="36"/>
      <c r="E316" s="36">
        <f>E320*E322</f>
        <v>14999999.999999998</v>
      </c>
      <c r="F316" s="36">
        <f>F320*F322</f>
        <v>14999999.999999998</v>
      </c>
      <c r="G316" s="36"/>
      <c r="H316" s="36">
        <f>H320*H322</f>
        <v>14000000</v>
      </c>
      <c r="I316" s="36"/>
      <c r="J316" s="36">
        <f>H316</f>
        <v>14000000</v>
      </c>
      <c r="K316" s="36">
        <f>K320*K322+1</f>
        <v>1</v>
      </c>
      <c r="L316" s="36">
        <f>L320*L322+1</f>
        <v>1</v>
      </c>
      <c r="M316" s="36">
        <f>M320*M322+1</f>
        <v>1</v>
      </c>
      <c r="N316" s="36"/>
      <c r="O316" s="36">
        <f>O318</f>
        <v>13000000</v>
      </c>
      <c r="P316" s="36">
        <f>O316</f>
        <v>13000000</v>
      </c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  <c r="DG316" s="38"/>
      <c r="DH316" s="38"/>
      <c r="DI316" s="38"/>
      <c r="DJ316" s="38"/>
      <c r="DK316" s="38"/>
      <c r="DL316" s="38"/>
      <c r="DM316" s="38"/>
      <c r="DN316" s="38"/>
      <c r="DO316" s="38"/>
      <c r="DP316" s="38"/>
      <c r="DQ316" s="38"/>
      <c r="DR316" s="38"/>
      <c r="DS316" s="38"/>
      <c r="DT316" s="38"/>
      <c r="DU316" s="38"/>
      <c r="DV316" s="38"/>
      <c r="DW316" s="38"/>
      <c r="DX316" s="38"/>
      <c r="DY316" s="38"/>
      <c r="DZ316" s="38"/>
      <c r="EA316" s="38"/>
      <c r="EB316" s="38"/>
      <c r="EC316" s="38"/>
      <c r="ED316" s="38"/>
      <c r="EE316" s="38"/>
      <c r="EF316" s="38"/>
      <c r="EG316" s="38"/>
      <c r="EH316" s="38"/>
      <c r="EI316" s="38"/>
      <c r="EJ316" s="38"/>
      <c r="EK316" s="38"/>
      <c r="EL316" s="38"/>
      <c r="EM316" s="38"/>
      <c r="EN316" s="38"/>
      <c r="EO316" s="38"/>
      <c r="EP316" s="38"/>
      <c r="EQ316" s="38"/>
      <c r="ER316" s="38"/>
      <c r="ES316" s="38"/>
      <c r="ET316" s="38"/>
      <c r="EU316" s="38"/>
      <c r="EV316" s="38"/>
      <c r="EW316" s="38"/>
      <c r="EX316" s="38"/>
      <c r="EY316" s="38"/>
      <c r="EZ316" s="38"/>
      <c r="FA316" s="38"/>
      <c r="FB316" s="38"/>
      <c r="FC316" s="38"/>
      <c r="FD316" s="38"/>
      <c r="FE316" s="38"/>
      <c r="FF316" s="38"/>
      <c r="FG316" s="38"/>
      <c r="FH316" s="38"/>
      <c r="FI316" s="38"/>
      <c r="FJ316" s="38"/>
      <c r="FK316" s="38"/>
      <c r="FL316" s="38"/>
      <c r="FM316" s="38"/>
      <c r="FN316" s="38"/>
      <c r="FO316" s="38"/>
      <c r="FP316" s="38"/>
      <c r="FQ316" s="38"/>
      <c r="FR316" s="38"/>
      <c r="FS316" s="38"/>
      <c r="FT316" s="38"/>
      <c r="FU316" s="38"/>
      <c r="FV316" s="38"/>
      <c r="FW316" s="38"/>
      <c r="FX316" s="38"/>
      <c r="FY316" s="38"/>
      <c r="FZ316" s="38"/>
      <c r="GA316" s="38"/>
      <c r="GB316" s="38"/>
      <c r="GC316" s="38"/>
      <c r="GD316" s="38"/>
      <c r="GE316" s="38"/>
      <c r="GF316" s="38"/>
      <c r="GG316" s="38"/>
      <c r="GH316" s="38"/>
      <c r="GI316" s="38"/>
      <c r="GJ316" s="38"/>
      <c r="GK316" s="38"/>
      <c r="GL316" s="38"/>
      <c r="GM316" s="38"/>
      <c r="GN316" s="38"/>
      <c r="GO316" s="38"/>
      <c r="GP316" s="38"/>
      <c r="GQ316" s="38"/>
      <c r="GR316" s="38"/>
      <c r="GS316" s="38"/>
      <c r="GT316" s="38"/>
      <c r="GU316" s="38"/>
      <c r="GV316" s="38"/>
      <c r="GW316" s="38"/>
      <c r="GX316" s="38"/>
      <c r="GY316" s="38"/>
      <c r="GZ316" s="38"/>
      <c r="HA316" s="38"/>
      <c r="HB316" s="38"/>
      <c r="HC316" s="38"/>
      <c r="HD316" s="38"/>
      <c r="HE316" s="38"/>
      <c r="HF316" s="38"/>
      <c r="HG316" s="38"/>
      <c r="HH316" s="38"/>
      <c r="HI316" s="38"/>
      <c r="HJ316" s="38"/>
      <c r="HK316" s="38"/>
      <c r="HL316" s="38"/>
      <c r="HM316" s="38"/>
      <c r="HN316" s="38"/>
      <c r="HO316" s="38"/>
      <c r="HP316" s="38"/>
      <c r="HQ316" s="38"/>
      <c r="HR316" s="38"/>
      <c r="HS316" s="38"/>
      <c r="HT316" s="38"/>
      <c r="HU316" s="38"/>
      <c r="HV316" s="38"/>
      <c r="HW316" s="38"/>
      <c r="HX316" s="38"/>
      <c r="HY316" s="38"/>
      <c r="HZ316" s="38"/>
      <c r="IA316" s="38"/>
    </row>
    <row r="317" spans="1:16" ht="11.25">
      <c r="A317" s="5" t="s">
        <v>4</v>
      </c>
      <c r="B317" s="6"/>
      <c r="C317" s="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22.5">
      <c r="A318" s="8" t="s">
        <v>193</v>
      </c>
      <c r="B318" s="6"/>
      <c r="C318" s="6"/>
      <c r="D318" s="7"/>
      <c r="E318" s="7">
        <f>E320*E322</f>
        <v>14999999.999999998</v>
      </c>
      <c r="F318" s="7">
        <f>E318</f>
        <v>14999999.999999998</v>
      </c>
      <c r="G318" s="7"/>
      <c r="H318" s="7">
        <f>H320*H322</f>
        <v>14000000</v>
      </c>
      <c r="I318" s="7"/>
      <c r="J318" s="7">
        <f>H318</f>
        <v>14000000</v>
      </c>
      <c r="K318" s="7"/>
      <c r="L318" s="7"/>
      <c r="M318" s="7"/>
      <c r="N318" s="7"/>
      <c r="O318" s="7">
        <f>O320*O322</f>
        <v>13000000</v>
      </c>
      <c r="P318" s="7">
        <f>O318</f>
        <v>13000000</v>
      </c>
    </row>
    <row r="319" spans="1:16" ht="11.25">
      <c r="A319" s="5" t="s">
        <v>5</v>
      </c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2.5">
      <c r="A320" s="8" t="s">
        <v>192</v>
      </c>
      <c r="B320" s="6"/>
      <c r="C320" s="6"/>
      <c r="D320" s="7"/>
      <c r="E320" s="7">
        <v>43</v>
      </c>
      <c r="F320" s="7">
        <f>E320</f>
        <v>43</v>
      </c>
      <c r="G320" s="7"/>
      <c r="H320" s="7">
        <v>40</v>
      </c>
      <c r="I320" s="7"/>
      <c r="J320" s="7">
        <f>H320</f>
        <v>40</v>
      </c>
      <c r="K320" s="7"/>
      <c r="L320" s="7"/>
      <c r="M320" s="7"/>
      <c r="N320" s="7"/>
      <c r="O320" s="7">
        <v>36</v>
      </c>
      <c r="P320" s="7">
        <f>O320</f>
        <v>36</v>
      </c>
    </row>
    <row r="321" spans="1:16" ht="11.25">
      <c r="A321" s="5" t="s">
        <v>7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126</v>
      </c>
      <c r="B322" s="6"/>
      <c r="C322" s="6"/>
      <c r="D322" s="7"/>
      <c r="E322" s="7">
        <f>15000000/43</f>
        <v>348837.20930232556</v>
      </c>
      <c r="F322" s="7">
        <f>E322</f>
        <v>348837.20930232556</v>
      </c>
      <c r="G322" s="7"/>
      <c r="H322" s="7">
        <f>14000000/40</f>
        <v>350000</v>
      </c>
      <c r="I322" s="7"/>
      <c r="J322" s="7">
        <f>H322</f>
        <v>350000</v>
      </c>
      <c r="K322" s="7"/>
      <c r="L322" s="7"/>
      <c r="M322" s="7"/>
      <c r="N322" s="7"/>
      <c r="O322" s="7">
        <f>13000000/36</f>
        <v>361111.1111111111</v>
      </c>
      <c r="P322" s="7">
        <f>O322</f>
        <v>361111.1111111111</v>
      </c>
    </row>
    <row r="323" spans="1:16" ht="40.5" customHeight="1">
      <c r="A323" s="34" t="s">
        <v>387</v>
      </c>
      <c r="B323" s="37"/>
      <c r="C323" s="37"/>
      <c r="D323" s="30">
        <f>D325</f>
        <v>0</v>
      </c>
      <c r="E323" s="30">
        <f>E325</f>
        <v>5000000</v>
      </c>
      <c r="F323" s="30">
        <f>D323+E323</f>
        <v>5000000</v>
      </c>
      <c r="G323" s="30"/>
      <c r="H323" s="30">
        <f>H325</f>
        <v>6000000</v>
      </c>
      <c r="I323" s="30">
        <f aca="true" t="shared" si="43" ref="I323:P323">I325</f>
        <v>0</v>
      </c>
      <c r="J323" s="30">
        <f t="shared" si="43"/>
        <v>6000000</v>
      </c>
      <c r="K323" s="30">
        <f t="shared" si="43"/>
        <v>0</v>
      </c>
      <c r="L323" s="30">
        <f t="shared" si="43"/>
        <v>0</v>
      </c>
      <c r="M323" s="30">
        <f t="shared" si="43"/>
        <v>0</v>
      </c>
      <c r="N323" s="30">
        <f t="shared" si="43"/>
        <v>0</v>
      </c>
      <c r="O323" s="30">
        <f t="shared" si="43"/>
        <v>7000000</v>
      </c>
      <c r="P323" s="30">
        <f t="shared" si="43"/>
        <v>7000000</v>
      </c>
    </row>
    <row r="324" spans="1:16" ht="17.25" customHeight="1">
      <c r="A324" s="5" t="s">
        <v>4</v>
      </c>
      <c r="B324" s="37"/>
      <c r="C324" s="37"/>
      <c r="D324" s="3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25.5" customHeight="1">
      <c r="A325" s="8" t="s">
        <v>194</v>
      </c>
      <c r="B325" s="37"/>
      <c r="C325" s="37"/>
      <c r="D325" s="30"/>
      <c r="E325" s="7">
        <f>E327*E329</f>
        <v>5000000</v>
      </c>
      <c r="F325" s="7">
        <f>D325+E325</f>
        <v>5000000</v>
      </c>
      <c r="G325" s="7"/>
      <c r="H325" s="7">
        <f>H327*H329</f>
        <v>6000000</v>
      </c>
      <c r="I325" s="7"/>
      <c r="J325" s="7">
        <f>H325</f>
        <v>6000000</v>
      </c>
      <c r="K325" s="7"/>
      <c r="L325" s="7"/>
      <c r="M325" s="7"/>
      <c r="N325" s="7"/>
      <c r="O325" s="7">
        <f>O327*O329</f>
        <v>7000000</v>
      </c>
      <c r="P325" s="7">
        <f>O325</f>
        <v>7000000</v>
      </c>
    </row>
    <row r="326" spans="1:16" ht="15.75" customHeight="1">
      <c r="A326" s="5" t="s">
        <v>5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25.5" customHeight="1">
      <c r="A327" s="8" t="s">
        <v>125</v>
      </c>
      <c r="B327" s="37"/>
      <c r="C327" s="37"/>
      <c r="D327" s="30"/>
      <c r="E327" s="7">
        <v>16</v>
      </c>
      <c r="F327" s="7">
        <f>D327+E327</f>
        <v>16</v>
      </c>
      <c r="G327" s="7"/>
      <c r="H327" s="7">
        <v>16</v>
      </c>
      <c r="I327" s="7"/>
      <c r="J327" s="7">
        <f>H327</f>
        <v>16</v>
      </c>
      <c r="K327" s="7"/>
      <c r="L327" s="7"/>
      <c r="M327" s="7"/>
      <c r="N327" s="7"/>
      <c r="O327" s="7">
        <v>16</v>
      </c>
      <c r="P327" s="7">
        <v>16</v>
      </c>
    </row>
    <row r="328" spans="1:16" ht="15.75" customHeight="1">
      <c r="A328" s="5" t="s">
        <v>7</v>
      </c>
      <c r="B328" s="37"/>
      <c r="C328" s="37"/>
      <c r="D328" s="3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37.5" customHeight="1">
      <c r="A329" s="8" t="s">
        <v>195</v>
      </c>
      <c r="B329" s="37"/>
      <c r="C329" s="37"/>
      <c r="D329" s="30"/>
      <c r="E329" s="7">
        <v>312500</v>
      </c>
      <c r="F329" s="7">
        <f>D329+E329</f>
        <v>312500</v>
      </c>
      <c r="G329" s="7"/>
      <c r="H329" s="7">
        <v>375000</v>
      </c>
      <c r="I329" s="7"/>
      <c r="J329" s="7">
        <f>H329</f>
        <v>375000</v>
      </c>
      <c r="K329" s="7"/>
      <c r="L329" s="7"/>
      <c r="M329" s="7"/>
      <c r="N329" s="7"/>
      <c r="O329" s="7">
        <v>437500</v>
      </c>
      <c r="P329" s="7">
        <f>O329</f>
        <v>437500</v>
      </c>
    </row>
    <row r="330" spans="1:235" s="52" customFormat="1" ht="37.5" customHeight="1">
      <c r="A330" s="5" t="s">
        <v>388</v>
      </c>
      <c r="B330" s="37"/>
      <c r="C330" s="37"/>
      <c r="D330" s="30"/>
      <c r="E330" s="30">
        <f aca="true" t="shared" si="44" ref="E330:P330">SUM(E332)</f>
        <v>800003</v>
      </c>
      <c r="F330" s="30">
        <f t="shared" si="44"/>
        <v>800003</v>
      </c>
      <c r="G330" s="30">
        <f t="shared" si="44"/>
        <v>0</v>
      </c>
      <c r="H330" s="30">
        <f t="shared" si="44"/>
        <v>742600</v>
      </c>
      <c r="I330" s="30">
        <f t="shared" si="44"/>
        <v>742600</v>
      </c>
      <c r="J330" s="30">
        <f t="shared" si="44"/>
        <v>742600</v>
      </c>
      <c r="K330" s="30">
        <f t="shared" si="44"/>
        <v>0</v>
      </c>
      <c r="L330" s="30">
        <f t="shared" si="44"/>
        <v>0</v>
      </c>
      <c r="M330" s="30">
        <f t="shared" si="44"/>
        <v>0</v>
      </c>
      <c r="N330" s="30">
        <f t="shared" si="44"/>
        <v>0</v>
      </c>
      <c r="O330" s="30">
        <f t="shared" si="44"/>
        <v>0</v>
      </c>
      <c r="P330" s="30">
        <f t="shared" si="44"/>
        <v>0</v>
      </c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  <c r="DO330" s="51"/>
      <c r="DP330" s="51"/>
      <c r="DQ330" s="51"/>
      <c r="DR330" s="51"/>
      <c r="DS330" s="51"/>
      <c r="DT330" s="51"/>
      <c r="DU330" s="51"/>
      <c r="DV330" s="51"/>
      <c r="DW330" s="51"/>
      <c r="DX330" s="51"/>
      <c r="DY330" s="51"/>
      <c r="DZ330" s="51"/>
      <c r="EA330" s="51"/>
      <c r="EB330" s="51"/>
      <c r="EC330" s="51"/>
      <c r="ED330" s="51"/>
      <c r="EE330" s="51"/>
      <c r="EF330" s="51"/>
      <c r="EG330" s="51"/>
      <c r="EH330" s="51"/>
      <c r="EI330" s="51"/>
      <c r="EJ330" s="51"/>
      <c r="EK330" s="51"/>
      <c r="EL330" s="51"/>
      <c r="EM330" s="51"/>
      <c r="EN330" s="51"/>
      <c r="EO330" s="51"/>
      <c r="EP330" s="51"/>
      <c r="EQ330" s="51"/>
      <c r="ER330" s="51"/>
      <c r="ES330" s="51"/>
      <c r="ET330" s="51"/>
      <c r="EU330" s="51"/>
      <c r="EV330" s="51"/>
      <c r="EW330" s="51"/>
      <c r="EX330" s="51"/>
      <c r="EY330" s="51"/>
      <c r="EZ330" s="51"/>
      <c r="FA330" s="51"/>
      <c r="FB330" s="51"/>
      <c r="FC330" s="51"/>
      <c r="FD330" s="51"/>
      <c r="FE330" s="51"/>
      <c r="FF330" s="51"/>
      <c r="FG330" s="51"/>
      <c r="FH330" s="51"/>
      <c r="FI330" s="51"/>
      <c r="FJ330" s="51"/>
      <c r="FK330" s="51"/>
      <c r="FL330" s="51"/>
      <c r="FM330" s="51"/>
      <c r="FN330" s="51"/>
      <c r="FO330" s="51"/>
      <c r="FP330" s="51"/>
      <c r="FQ330" s="51"/>
      <c r="FR330" s="51"/>
      <c r="FS330" s="51"/>
      <c r="FT330" s="51"/>
      <c r="FU330" s="51"/>
      <c r="FV330" s="51"/>
      <c r="FW330" s="51"/>
      <c r="FX330" s="51"/>
      <c r="FY330" s="51"/>
      <c r="FZ330" s="51"/>
      <c r="GA330" s="51"/>
      <c r="GB330" s="51"/>
      <c r="GC330" s="51"/>
      <c r="GD330" s="51"/>
      <c r="GE330" s="51"/>
      <c r="GF330" s="51"/>
      <c r="GG330" s="51"/>
      <c r="GH330" s="51"/>
      <c r="GI330" s="51"/>
      <c r="GJ330" s="51"/>
      <c r="GK330" s="51"/>
      <c r="GL330" s="51"/>
      <c r="GM330" s="51"/>
      <c r="GN330" s="51"/>
      <c r="GO330" s="51"/>
      <c r="GP330" s="51"/>
      <c r="GQ330" s="51"/>
      <c r="GR330" s="51"/>
      <c r="GS330" s="51"/>
      <c r="GT330" s="51"/>
      <c r="GU330" s="51"/>
      <c r="GV330" s="51"/>
      <c r="GW330" s="51"/>
      <c r="GX330" s="51"/>
      <c r="GY330" s="51"/>
      <c r="GZ330" s="51"/>
      <c r="HA330" s="51"/>
      <c r="HB330" s="51"/>
      <c r="HC330" s="51"/>
      <c r="HD330" s="51"/>
      <c r="HE330" s="51"/>
      <c r="HF330" s="51"/>
      <c r="HG330" s="51"/>
      <c r="HH330" s="51"/>
      <c r="HI330" s="51"/>
      <c r="HJ330" s="51"/>
      <c r="HK330" s="51"/>
      <c r="HL330" s="51"/>
      <c r="HM330" s="51"/>
      <c r="HN330" s="51"/>
      <c r="HO330" s="51"/>
      <c r="HP330" s="51"/>
      <c r="HQ330" s="51"/>
      <c r="HR330" s="51"/>
      <c r="HS330" s="51"/>
      <c r="HT330" s="51"/>
      <c r="HU330" s="51"/>
      <c r="HV330" s="51"/>
      <c r="HW330" s="51"/>
      <c r="HX330" s="51"/>
      <c r="HY330" s="51"/>
      <c r="HZ330" s="51"/>
      <c r="IA330" s="51"/>
    </row>
    <row r="331" spans="1:16" ht="10.5" customHeight="1">
      <c r="A331" s="5" t="s">
        <v>4</v>
      </c>
      <c r="B331" s="37"/>
      <c r="C331" s="37"/>
      <c r="D331" s="30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32.25" customHeight="1">
      <c r="A332" s="8" t="s">
        <v>339</v>
      </c>
      <c r="B332" s="37"/>
      <c r="C332" s="37"/>
      <c r="D332" s="30"/>
      <c r="E332" s="7">
        <v>800003</v>
      </c>
      <c r="F332" s="7">
        <v>800003</v>
      </c>
      <c r="G332" s="7"/>
      <c r="H332" s="7">
        <v>742600</v>
      </c>
      <c r="I332" s="7">
        <v>742600</v>
      </c>
      <c r="J332" s="7">
        <v>742600</v>
      </c>
      <c r="K332" s="7"/>
      <c r="L332" s="7"/>
      <c r="M332" s="7"/>
      <c r="N332" s="7"/>
      <c r="O332" s="7"/>
      <c r="P332" s="7"/>
    </row>
    <row r="333" spans="1:16" ht="16.5" customHeight="1">
      <c r="A333" s="5" t="s">
        <v>5</v>
      </c>
      <c r="B333" s="37"/>
      <c r="C333" s="37"/>
      <c r="D333" s="3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26.25" customHeight="1">
      <c r="A334" s="8" t="s">
        <v>125</v>
      </c>
      <c r="B334" s="37"/>
      <c r="C334" s="37"/>
      <c r="D334" s="30"/>
      <c r="E334" s="7">
        <v>10</v>
      </c>
      <c r="F334" s="7">
        <v>10</v>
      </c>
      <c r="G334" s="7"/>
      <c r="H334" s="7">
        <v>10</v>
      </c>
      <c r="I334" s="7">
        <v>10</v>
      </c>
      <c r="J334" s="7">
        <v>10</v>
      </c>
      <c r="K334" s="7"/>
      <c r="L334" s="7"/>
      <c r="M334" s="7"/>
      <c r="N334" s="7"/>
      <c r="O334" s="7"/>
      <c r="P334" s="7"/>
    </row>
    <row r="335" spans="1:235" s="52" customFormat="1" ht="18" customHeight="1">
      <c r="A335" s="5" t="s">
        <v>7</v>
      </c>
      <c r="B335" s="37"/>
      <c r="C335" s="37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  <c r="DL335" s="51"/>
      <c r="DM335" s="51"/>
      <c r="DN335" s="51"/>
      <c r="DO335" s="51"/>
      <c r="DP335" s="51"/>
      <c r="DQ335" s="51"/>
      <c r="DR335" s="51"/>
      <c r="DS335" s="51"/>
      <c r="DT335" s="51"/>
      <c r="DU335" s="51"/>
      <c r="DV335" s="51"/>
      <c r="DW335" s="51"/>
      <c r="DX335" s="51"/>
      <c r="DY335" s="51"/>
      <c r="DZ335" s="51"/>
      <c r="EA335" s="51"/>
      <c r="EB335" s="51"/>
      <c r="EC335" s="51"/>
      <c r="ED335" s="51"/>
      <c r="EE335" s="51"/>
      <c r="EF335" s="51"/>
      <c r="EG335" s="51"/>
      <c r="EH335" s="51"/>
      <c r="EI335" s="51"/>
      <c r="EJ335" s="51"/>
      <c r="EK335" s="51"/>
      <c r="EL335" s="51"/>
      <c r="EM335" s="51"/>
      <c r="EN335" s="51"/>
      <c r="EO335" s="51"/>
      <c r="EP335" s="51"/>
      <c r="EQ335" s="51"/>
      <c r="ER335" s="51"/>
      <c r="ES335" s="51"/>
      <c r="ET335" s="51"/>
      <c r="EU335" s="51"/>
      <c r="EV335" s="51"/>
      <c r="EW335" s="51"/>
      <c r="EX335" s="51"/>
      <c r="EY335" s="51"/>
      <c r="EZ335" s="51"/>
      <c r="FA335" s="51"/>
      <c r="FB335" s="51"/>
      <c r="FC335" s="51"/>
      <c r="FD335" s="51"/>
      <c r="FE335" s="51"/>
      <c r="FF335" s="51"/>
      <c r="FG335" s="51"/>
      <c r="FH335" s="51"/>
      <c r="FI335" s="51"/>
      <c r="FJ335" s="51"/>
      <c r="FK335" s="51"/>
      <c r="FL335" s="51"/>
      <c r="FM335" s="51"/>
      <c r="FN335" s="51"/>
      <c r="FO335" s="51"/>
      <c r="FP335" s="51"/>
      <c r="FQ335" s="51"/>
      <c r="FR335" s="51"/>
      <c r="FS335" s="51"/>
      <c r="FT335" s="51"/>
      <c r="FU335" s="51"/>
      <c r="FV335" s="51"/>
      <c r="FW335" s="51"/>
      <c r="FX335" s="51"/>
      <c r="FY335" s="51"/>
      <c r="FZ335" s="51"/>
      <c r="GA335" s="51"/>
      <c r="GB335" s="51"/>
      <c r="GC335" s="51"/>
      <c r="GD335" s="51"/>
      <c r="GE335" s="51"/>
      <c r="GF335" s="51"/>
      <c r="GG335" s="51"/>
      <c r="GH335" s="51"/>
      <c r="GI335" s="51"/>
      <c r="GJ335" s="51"/>
      <c r="GK335" s="51"/>
      <c r="GL335" s="51"/>
      <c r="GM335" s="51"/>
      <c r="GN335" s="51"/>
      <c r="GO335" s="51"/>
      <c r="GP335" s="51"/>
      <c r="GQ335" s="51"/>
      <c r="GR335" s="51"/>
      <c r="GS335" s="51"/>
      <c r="GT335" s="51"/>
      <c r="GU335" s="51"/>
      <c r="GV335" s="51"/>
      <c r="GW335" s="51"/>
      <c r="GX335" s="51"/>
      <c r="GY335" s="51"/>
      <c r="GZ335" s="51"/>
      <c r="HA335" s="51"/>
      <c r="HB335" s="51"/>
      <c r="HC335" s="51"/>
      <c r="HD335" s="51"/>
      <c r="HE335" s="51"/>
      <c r="HF335" s="51"/>
      <c r="HG335" s="51"/>
      <c r="HH335" s="51"/>
      <c r="HI335" s="51"/>
      <c r="HJ335" s="51"/>
      <c r="HK335" s="51"/>
      <c r="HL335" s="51"/>
      <c r="HM335" s="51"/>
      <c r="HN335" s="51"/>
      <c r="HO335" s="51"/>
      <c r="HP335" s="51"/>
      <c r="HQ335" s="51"/>
      <c r="HR335" s="51"/>
      <c r="HS335" s="51"/>
      <c r="HT335" s="51"/>
      <c r="HU335" s="51"/>
      <c r="HV335" s="51"/>
      <c r="HW335" s="51"/>
      <c r="HX335" s="51"/>
      <c r="HY335" s="51"/>
      <c r="HZ335" s="51"/>
      <c r="IA335" s="51"/>
    </row>
    <row r="336" spans="1:16" ht="37.5" customHeight="1">
      <c r="A336" s="8" t="s">
        <v>340</v>
      </c>
      <c r="B336" s="37"/>
      <c r="C336" s="37"/>
      <c r="D336" s="30"/>
      <c r="E336" s="7">
        <f>SUM(E332)/E334</f>
        <v>80000.3</v>
      </c>
      <c r="F336" s="7">
        <f>SUM(F332)/F334</f>
        <v>80000.3</v>
      </c>
      <c r="G336" s="7"/>
      <c r="H336" s="7">
        <f>H332/H334</f>
        <v>74260</v>
      </c>
      <c r="I336" s="7">
        <f>I332/I334</f>
        <v>74260</v>
      </c>
      <c r="J336" s="7">
        <f>J332/J334</f>
        <v>74260</v>
      </c>
      <c r="K336" s="7"/>
      <c r="L336" s="7"/>
      <c r="M336" s="7"/>
      <c r="N336" s="7"/>
      <c r="O336" s="7"/>
      <c r="P336" s="7"/>
    </row>
    <row r="337" spans="1:16" ht="16.5" customHeight="1">
      <c r="A337" s="37" t="s">
        <v>361</v>
      </c>
      <c r="B337" s="37"/>
      <c r="C337" s="37"/>
      <c r="D337" s="30">
        <f>D338+D339</f>
        <v>3794380.0029998</v>
      </c>
      <c r="E337" s="30">
        <f>E338+E339</f>
        <v>692840</v>
      </c>
      <c r="F337" s="30">
        <f>D337+E337</f>
        <v>4487220.002999799</v>
      </c>
      <c r="G337" s="30">
        <f>G338+G339</f>
        <v>4043475</v>
      </c>
      <c r="H337" s="30">
        <f>H338+H339</f>
        <v>763900</v>
      </c>
      <c r="I337" s="30">
        <f>I338+I339</f>
        <v>0</v>
      </c>
      <c r="J337" s="30">
        <f>G337+H337</f>
        <v>4807375</v>
      </c>
      <c r="K337" s="30" t="e">
        <f>K338+K339</f>
        <v>#REF!</v>
      </c>
      <c r="L337" s="30">
        <f>L338+L339</f>
        <v>0</v>
      </c>
      <c r="M337" s="30">
        <f>M338+M339</f>
        <v>0</v>
      </c>
      <c r="N337" s="30">
        <f>N338+N339</f>
        <v>3742519.99999968</v>
      </c>
      <c r="O337" s="30">
        <f>O338+O339</f>
        <v>787532</v>
      </c>
      <c r="P337" s="30">
        <f>N337+O337</f>
        <v>4530051.99999968</v>
      </c>
    </row>
    <row r="338" spans="1:16" ht="13.5" customHeight="1">
      <c r="A338" s="37" t="s">
        <v>54</v>
      </c>
      <c r="B338" s="37"/>
      <c r="C338" s="37"/>
      <c r="D338" s="30">
        <f>D341+D348+D426+D431</f>
        <v>3331999.9999997998</v>
      </c>
      <c r="E338" s="30">
        <f>E341+E348+E426+E431</f>
        <v>0</v>
      </c>
      <c r="F338" s="30">
        <f>D338+E338</f>
        <v>3331999.9999997998</v>
      </c>
      <c r="G338" s="30">
        <f>G341+G348+G426+G431+G358</f>
        <v>3599700</v>
      </c>
      <c r="H338" s="30">
        <f>H341+H348+H426+H431</f>
        <v>0</v>
      </c>
      <c r="I338" s="30">
        <f>I341+I348+I426+I431</f>
        <v>0</v>
      </c>
      <c r="J338" s="30">
        <f>G338+H338</f>
        <v>3599700</v>
      </c>
      <c r="K338" s="30" t="e">
        <f>K341+K348+K426+K431</f>
        <v>#REF!</v>
      </c>
      <c r="L338" s="30">
        <f>L341+L348+L426+L431</f>
        <v>0</v>
      </c>
      <c r="M338" s="30">
        <f>M341+M348+M426+M431</f>
        <v>0</v>
      </c>
      <c r="N338" s="30">
        <f>N341+N348+N426+N431</f>
        <v>3389999.99999968</v>
      </c>
      <c r="O338" s="30">
        <f>O341+O348+O426+O431</f>
        <v>0</v>
      </c>
      <c r="P338" s="30">
        <f>N338+O338</f>
        <v>3389999.99999968</v>
      </c>
    </row>
    <row r="339" spans="1:235" s="139" customFormat="1" ht="11.25">
      <c r="A339" s="152" t="s">
        <v>189</v>
      </c>
      <c r="B339" s="152"/>
      <c r="C339" s="152"/>
      <c r="D339" s="153">
        <f>D367+D448</f>
        <v>462380.003</v>
      </c>
      <c r="E339" s="153">
        <f>E401</f>
        <v>692840</v>
      </c>
      <c r="F339" s="153">
        <f>D339+E339</f>
        <v>1155220.003</v>
      </c>
      <c r="G339" s="153">
        <f>G367+G448</f>
        <v>443775</v>
      </c>
      <c r="H339" s="153">
        <f>H401</f>
        <v>763900</v>
      </c>
      <c r="I339" s="153">
        <f>I369+I379</f>
        <v>0</v>
      </c>
      <c r="J339" s="153">
        <f>G339+H339</f>
        <v>1207675</v>
      </c>
      <c r="K339" s="153">
        <f>K369+K379</f>
        <v>0</v>
      </c>
      <c r="L339" s="153">
        <f>L369+L379</f>
        <v>0</v>
      </c>
      <c r="M339" s="153">
        <f>M369+M379</f>
        <v>0</v>
      </c>
      <c r="N339" s="153">
        <f>N367</f>
        <v>352520</v>
      </c>
      <c r="O339" s="153">
        <f>O401</f>
        <v>787532</v>
      </c>
      <c r="P339" s="153">
        <f>N339+O339</f>
        <v>1140052</v>
      </c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  <c r="BP339" s="138"/>
      <c r="BQ339" s="138"/>
      <c r="BR339" s="138"/>
      <c r="BS339" s="138"/>
      <c r="BT339" s="138"/>
      <c r="BU339" s="138"/>
      <c r="BV339" s="138"/>
      <c r="BW339" s="138"/>
      <c r="BX339" s="138"/>
      <c r="BY339" s="138"/>
      <c r="BZ339" s="138"/>
      <c r="CA339" s="138"/>
      <c r="CB339" s="138"/>
      <c r="CC339" s="138"/>
      <c r="CD339" s="138"/>
      <c r="CE339" s="138"/>
      <c r="CF339" s="138"/>
      <c r="CG339" s="138"/>
      <c r="CH339" s="138"/>
      <c r="CI339" s="138"/>
      <c r="CJ339" s="138"/>
      <c r="CK339" s="138"/>
      <c r="CL339" s="138"/>
      <c r="CM339" s="138"/>
      <c r="CN339" s="138"/>
      <c r="CO339" s="138"/>
      <c r="CP339" s="138"/>
      <c r="CQ339" s="138"/>
      <c r="CR339" s="138"/>
      <c r="CS339" s="138"/>
      <c r="CT339" s="138"/>
      <c r="CU339" s="138"/>
      <c r="CV339" s="138"/>
      <c r="CW339" s="138"/>
      <c r="CX339" s="138"/>
      <c r="CY339" s="138"/>
      <c r="CZ339" s="138"/>
      <c r="DA339" s="138"/>
      <c r="DB339" s="138"/>
      <c r="DC339" s="138"/>
      <c r="DD339" s="138"/>
      <c r="DE339" s="138"/>
      <c r="DF339" s="138"/>
      <c r="DG339" s="138"/>
      <c r="DH339" s="138"/>
      <c r="DI339" s="138"/>
      <c r="DJ339" s="138"/>
      <c r="DK339" s="138"/>
      <c r="DL339" s="138"/>
      <c r="DM339" s="138"/>
      <c r="DN339" s="138"/>
      <c r="DO339" s="138"/>
      <c r="DP339" s="138"/>
      <c r="DQ339" s="138"/>
      <c r="DR339" s="138"/>
      <c r="DS339" s="138"/>
      <c r="DT339" s="138"/>
      <c r="DU339" s="138"/>
      <c r="DV339" s="138"/>
      <c r="DW339" s="138"/>
      <c r="DX339" s="138"/>
      <c r="DY339" s="138"/>
      <c r="DZ339" s="138"/>
      <c r="EA339" s="138"/>
      <c r="EB339" s="138"/>
      <c r="EC339" s="138"/>
      <c r="ED339" s="138"/>
      <c r="EE339" s="138"/>
      <c r="EF339" s="138"/>
      <c r="EG339" s="138"/>
      <c r="EH339" s="138"/>
      <c r="EI339" s="138"/>
      <c r="EJ339" s="138"/>
      <c r="EK339" s="138"/>
      <c r="EL339" s="138"/>
      <c r="EM339" s="138"/>
      <c r="EN339" s="138"/>
      <c r="EO339" s="138"/>
      <c r="EP339" s="138"/>
      <c r="EQ339" s="138"/>
      <c r="ER339" s="138"/>
      <c r="ES339" s="138"/>
      <c r="ET339" s="138"/>
      <c r="EU339" s="138"/>
      <c r="EV339" s="138"/>
      <c r="EW339" s="138"/>
      <c r="EX339" s="138"/>
      <c r="EY339" s="138"/>
      <c r="EZ339" s="138"/>
      <c r="FA339" s="138"/>
      <c r="FB339" s="138"/>
      <c r="FC339" s="138"/>
      <c r="FD339" s="138"/>
      <c r="FE339" s="138"/>
      <c r="FF339" s="138"/>
      <c r="FG339" s="138"/>
      <c r="FH339" s="138"/>
      <c r="FI339" s="138"/>
      <c r="FJ339" s="138"/>
      <c r="FK339" s="138"/>
      <c r="FL339" s="138"/>
      <c r="FM339" s="138"/>
      <c r="FN339" s="138"/>
      <c r="FO339" s="138"/>
      <c r="FP339" s="138"/>
      <c r="FQ339" s="138"/>
      <c r="FR339" s="138"/>
      <c r="FS339" s="138"/>
      <c r="FT339" s="138"/>
      <c r="FU339" s="138"/>
      <c r="FV339" s="138"/>
      <c r="FW339" s="138"/>
      <c r="FX339" s="138"/>
      <c r="FY339" s="138"/>
      <c r="FZ339" s="138"/>
      <c r="GA339" s="138"/>
      <c r="GB339" s="138"/>
      <c r="GC339" s="138"/>
      <c r="GD339" s="138"/>
      <c r="GE339" s="138"/>
      <c r="GF339" s="138"/>
      <c r="GG339" s="138"/>
      <c r="GH339" s="138"/>
      <c r="GI339" s="138"/>
      <c r="GJ339" s="138"/>
      <c r="GK339" s="138"/>
      <c r="GL339" s="138"/>
      <c r="GM339" s="138"/>
      <c r="GN339" s="138"/>
      <c r="GO339" s="138"/>
      <c r="GP339" s="138"/>
      <c r="GQ339" s="138"/>
      <c r="GR339" s="138"/>
      <c r="GS339" s="138"/>
      <c r="GT339" s="138"/>
      <c r="GU339" s="138"/>
      <c r="GV339" s="138"/>
      <c r="GW339" s="138"/>
      <c r="GX339" s="138"/>
      <c r="GY339" s="138"/>
      <c r="GZ339" s="138"/>
      <c r="HA339" s="138"/>
      <c r="HB339" s="138"/>
      <c r="HC339" s="138"/>
      <c r="HD339" s="138"/>
      <c r="HE339" s="138"/>
      <c r="HF339" s="138"/>
      <c r="HG339" s="138"/>
      <c r="HH339" s="138"/>
      <c r="HI339" s="138"/>
      <c r="HJ339" s="138"/>
      <c r="HK339" s="138"/>
      <c r="HL339" s="138"/>
      <c r="HM339" s="138"/>
      <c r="HN339" s="138"/>
      <c r="HO339" s="138"/>
      <c r="HP339" s="138"/>
      <c r="HQ339" s="138"/>
      <c r="HR339" s="138"/>
      <c r="HS339" s="138"/>
      <c r="HT339" s="138"/>
      <c r="HU339" s="138"/>
      <c r="HV339" s="138"/>
      <c r="HW339" s="138"/>
      <c r="HX339" s="138"/>
      <c r="HY339" s="138"/>
      <c r="HZ339" s="138"/>
      <c r="IA339" s="138"/>
    </row>
    <row r="340" spans="1:16" ht="36" customHeight="1">
      <c r="A340" s="8" t="s">
        <v>129</v>
      </c>
      <c r="B340" s="6"/>
      <c r="C340" s="6"/>
      <c r="D340" s="36"/>
      <c r="E340" s="36"/>
      <c r="F340" s="36"/>
      <c r="G340" s="36"/>
      <c r="H340" s="36"/>
      <c r="I340" s="36"/>
      <c r="J340" s="36"/>
      <c r="K340" s="7"/>
      <c r="L340" s="36"/>
      <c r="M340" s="36"/>
      <c r="N340" s="36"/>
      <c r="O340" s="36"/>
      <c r="P340" s="36"/>
    </row>
    <row r="341" spans="1:235" s="39" customFormat="1" ht="22.5">
      <c r="A341" s="34" t="s">
        <v>389</v>
      </c>
      <c r="B341" s="35"/>
      <c r="C341" s="35"/>
      <c r="D341" s="36">
        <f>D343</f>
        <v>2700000</v>
      </c>
      <c r="E341" s="36"/>
      <c r="F341" s="36">
        <f>F343</f>
        <v>2700000</v>
      </c>
      <c r="G341" s="36">
        <f>G345*G347+800000-2000-220000</f>
        <v>2578000</v>
      </c>
      <c r="H341" s="36"/>
      <c r="I341" s="36"/>
      <c r="J341" s="36">
        <f>J343</f>
        <v>2578000</v>
      </c>
      <c r="K341" s="36"/>
      <c r="L341" s="36"/>
      <c r="M341" s="36"/>
      <c r="N341" s="36">
        <f>N343</f>
        <v>2900000</v>
      </c>
      <c r="O341" s="36"/>
      <c r="P341" s="36">
        <f>N341</f>
        <v>2900000</v>
      </c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  <c r="DH341" s="38"/>
      <c r="DI341" s="38"/>
      <c r="DJ341" s="38"/>
      <c r="DK341" s="38"/>
      <c r="DL341" s="38"/>
      <c r="DM341" s="38"/>
      <c r="DN341" s="38"/>
      <c r="DO341" s="38"/>
      <c r="DP341" s="38"/>
      <c r="DQ341" s="38"/>
      <c r="DR341" s="38"/>
      <c r="DS341" s="38"/>
      <c r="DT341" s="38"/>
      <c r="DU341" s="38"/>
      <c r="DV341" s="38"/>
      <c r="DW341" s="38"/>
      <c r="DX341" s="38"/>
      <c r="DY341" s="38"/>
      <c r="DZ341" s="38"/>
      <c r="EA341" s="38"/>
      <c r="EB341" s="38"/>
      <c r="EC341" s="38"/>
      <c r="ED341" s="38"/>
      <c r="EE341" s="38"/>
      <c r="EF341" s="38"/>
      <c r="EG341" s="38"/>
      <c r="EH341" s="38"/>
      <c r="EI341" s="38"/>
      <c r="EJ341" s="38"/>
      <c r="EK341" s="38"/>
      <c r="EL341" s="38"/>
      <c r="EM341" s="38"/>
      <c r="EN341" s="38"/>
      <c r="EO341" s="38"/>
      <c r="EP341" s="38"/>
      <c r="EQ341" s="38"/>
      <c r="ER341" s="38"/>
      <c r="ES341" s="38"/>
      <c r="ET341" s="38"/>
      <c r="EU341" s="38"/>
      <c r="EV341" s="38"/>
      <c r="EW341" s="38"/>
      <c r="EX341" s="38"/>
      <c r="EY341" s="38"/>
      <c r="EZ341" s="38"/>
      <c r="FA341" s="38"/>
      <c r="FB341" s="38"/>
      <c r="FC341" s="38"/>
      <c r="FD341" s="38"/>
      <c r="FE341" s="38"/>
      <c r="FF341" s="38"/>
      <c r="FG341" s="38"/>
      <c r="FH341" s="38"/>
      <c r="FI341" s="38"/>
      <c r="FJ341" s="38"/>
      <c r="FK341" s="38"/>
      <c r="FL341" s="38"/>
      <c r="FM341" s="38"/>
      <c r="FN341" s="38"/>
      <c r="FO341" s="38"/>
      <c r="FP341" s="38"/>
      <c r="FQ341" s="38"/>
      <c r="FR341" s="38"/>
      <c r="FS341" s="38"/>
      <c r="FT341" s="38"/>
      <c r="FU341" s="38"/>
      <c r="FV341" s="38"/>
      <c r="FW341" s="38"/>
      <c r="FX341" s="38"/>
      <c r="FY341" s="38"/>
      <c r="FZ341" s="38"/>
      <c r="GA341" s="38"/>
      <c r="GB341" s="38"/>
      <c r="GC341" s="38"/>
      <c r="GD341" s="38"/>
      <c r="GE341" s="38"/>
      <c r="GF341" s="38"/>
      <c r="GG341" s="38"/>
      <c r="GH341" s="38"/>
      <c r="GI341" s="38"/>
      <c r="GJ341" s="38"/>
      <c r="GK341" s="38"/>
      <c r="GL341" s="38"/>
      <c r="GM341" s="38"/>
      <c r="GN341" s="38"/>
      <c r="GO341" s="38"/>
      <c r="GP341" s="38"/>
      <c r="GQ341" s="38"/>
      <c r="GR341" s="38"/>
      <c r="GS341" s="38"/>
      <c r="GT341" s="38"/>
      <c r="GU341" s="38"/>
      <c r="GV341" s="38"/>
      <c r="GW341" s="38"/>
      <c r="GX341" s="38"/>
      <c r="GY341" s="38"/>
      <c r="GZ341" s="38"/>
      <c r="HA341" s="38"/>
      <c r="HB341" s="38"/>
      <c r="HC341" s="38"/>
      <c r="HD341" s="38"/>
      <c r="HE341" s="38"/>
      <c r="HF341" s="38"/>
      <c r="HG341" s="38"/>
      <c r="HH341" s="38"/>
      <c r="HI341" s="38"/>
      <c r="HJ341" s="38"/>
      <c r="HK341" s="38"/>
      <c r="HL341" s="38"/>
      <c r="HM341" s="38"/>
      <c r="HN341" s="38"/>
      <c r="HO341" s="38"/>
      <c r="HP341" s="38"/>
      <c r="HQ341" s="38"/>
      <c r="HR341" s="38"/>
      <c r="HS341" s="38"/>
      <c r="HT341" s="38"/>
      <c r="HU341" s="38"/>
      <c r="HV341" s="38"/>
      <c r="HW341" s="38"/>
      <c r="HX341" s="38"/>
      <c r="HY341" s="38"/>
      <c r="HZ341" s="38"/>
      <c r="IA341" s="38"/>
    </row>
    <row r="342" spans="1:16" ht="11.25">
      <c r="A342" s="5" t="s">
        <v>38</v>
      </c>
      <c r="B342" s="37"/>
      <c r="C342" s="37"/>
      <c r="D342" s="30"/>
      <c r="E342" s="30"/>
      <c r="F342" s="30"/>
      <c r="G342" s="30"/>
      <c r="H342" s="30"/>
      <c r="I342" s="30"/>
      <c r="J342" s="30"/>
      <c r="K342" s="7"/>
      <c r="L342" s="30"/>
      <c r="M342" s="30"/>
      <c r="N342" s="30"/>
      <c r="O342" s="30"/>
      <c r="P342" s="30"/>
    </row>
    <row r="343" spans="1:16" ht="23.25" customHeight="1">
      <c r="A343" s="8" t="s">
        <v>269</v>
      </c>
      <c r="B343" s="6"/>
      <c r="C343" s="6"/>
      <c r="D343" s="7">
        <f>(D345*D347)+280000+700000</f>
        <v>2700000</v>
      </c>
      <c r="E343" s="7"/>
      <c r="F343" s="7">
        <f>D343</f>
        <v>2700000</v>
      </c>
      <c r="G343" s="7">
        <f>G345*G347+800000-2000-220000</f>
        <v>2578000</v>
      </c>
      <c r="H343" s="7"/>
      <c r="I343" s="7"/>
      <c r="J343" s="7">
        <f>G343</f>
        <v>2578000</v>
      </c>
      <c r="K343" s="7">
        <f>G343/D343*100</f>
        <v>95.48148148148148</v>
      </c>
      <c r="L343" s="7"/>
      <c r="M343" s="7"/>
      <c r="N343" s="7">
        <f>N345*N347+700000</f>
        <v>2900000</v>
      </c>
      <c r="O343" s="7"/>
      <c r="P343" s="7">
        <f>N343</f>
        <v>2900000</v>
      </c>
    </row>
    <row r="344" spans="1:16" ht="11.25">
      <c r="A344" s="5" t="s">
        <v>5</v>
      </c>
      <c r="B344" s="37"/>
      <c r="C344" s="37"/>
      <c r="D344" s="30"/>
      <c r="E344" s="30"/>
      <c r="F344" s="7"/>
      <c r="G344" s="30"/>
      <c r="H344" s="30"/>
      <c r="I344" s="30"/>
      <c r="J344" s="7"/>
      <c r="K344" s="7"/>
      <c r="L344" s="30"/>
      <c r="M344" s="30"/>
      <c r="N344" s="30"/>
      <c r="O344" s="30"/>
      <c r="P344" s="7"/>
    </row>
    <row r="345" spans="1:16" ht="22.5">
      <c r="A345" s="8" t="s">
        <v>268</v>
      </c>
      <c r="B345" s="6"/>
      <c r="C345" s="6"/>
      <c r="D345" s="7">
        <v>8</v>
      </c>
      <c r="E345" s="7"/>
      <c r="F345" s="7">
        <f>D345</f>
        <v>8</v>
      </c>
      <c r="G345" s="7">
        <v>8</v>
      </c>
      <c r="H345" s="7"/>
      <c r="I345" s="7"/>
      <c r="J345" s="7">
        <f>G345</f>
        <v>8</v>
      </c>
      <c r="K345" s="7">
        <f>G345/D345*100</f>
        <v>100</v>
      </c>
      <c r="L345" s="7"/>
      <c r="M345" s="7"/>
      <c r="N345" s="7">
        <v>8</v>
      </c>
      <c r="O345" s="7"/>
      <c r="P345" s="7">
        <f>N345</f>
        <v>8</v>
      </c>
    </row>
    <row r="346" spans="1:16" ht="11.25">
      <c r="A346" s="5" t="s">
        <v>7</v>
      </c>
      <c r="B346" s="37"/>
      <c r="C346" s="37"/>
      <c r="D346" s="30"/>
      <c r="E346" s="30"/>
      <c r="F346" s="7"/>
      <c r="G346" s="30"/>
      <c r="H346" s="30"/>
      <c r="I346" s="30"/>
      <c r="J346" s="7"/>
      <c r="K346" s="7"/>
      <c r="L346" s="30"/>
      <c r="M346" s="30"/>
      <c r="N346" s="30"/>
      <c r="O346" s="30"/>
      <c r="P346" s="7"/>
    </row>
    <row r="347" spans="1:16" ht="22.5">
      <c r="A347" s="8" t="s">
        <v>270</v>
      </c>
      <c r="B347" s="6"/>
      <c r="C347" s="6"/>
      <c r="D347" s="7">
        <v>215000</v>
      </c>
      <c r="E347" s="7"/>
      <c r="F347" s="7">
        <f>D347</f>
        <v>215000</v>
      </c>
      <c r="G347" s="7">
        <v>250000</v>
      </c>
      <c r="H347" s="7"/>
      <c r="I347" s="7"/>
      <c r="J347" s="7">
        <f>G347</f>
        <v>250000</v>
      </c>
      <c r="K347" s="7">
        <f>G347/D347*100</f>
        <v>116.27906976744187</v>
      </c>
      <c r="L347" s="7"/>
      <c r="M347" s="7"/>
      <c r="N347" s="7">
        <v>275000</v>
      </c>
      <c r="O347" s="7"/>
      <c r="P347" s="7">
        <f>N347</f>
        <v>275000</v>
      </c>
    </row>
    <row r="348" spans="1:235" s="39" customFormat="1" ht="36" customHeight="1">
      <c r="A348" s="34" t="s">
        <v>390</v>
      </c>
      <c r="B348" s="35"/>
      <c r="C348" s="35"/>
      <c r="D348" s="45">
        <f>D352*D355</f>
        <v>163000</v>
      </c>
      <c r="E348" s="45"/>
      <c r="F348" s="45">
        <f>D348+E348</f>
        <v>163000</v>
      </c>
      <c r="G348" s="45">
        <f aca="true" t="shared" si="45" ref="G348:M348">G352*G355</f>
        <v>300000</v>
      </c>
      <c r="H348" s="45"/>
      <c r="I348" s="45"/>
      <c r="J348" s="45">
        <f t="shared" si="45"/>
        <v>300000</v>
      </c>
      <c r="K348" s="45" t="e">
        <f t="shared" si="45"/>
        <v>#REF!</v>
      </c>
      <c r="L348" s="45">
        <f t="shared" si="45"/>
        <v>0</v>
      </c>
      <c r="M348" s="45">
        <f t="shared" si="45"/>
        <v>0</v>
      </c>
      <c r="N348" s="45">
        <f>N352*N355</f>
        <v>350000</v>
      </c>
      <c r="O348" s="45"/>
      <c r="P348" s="45" t="e">
        <f>P352*P355+P353*#REF!</f>
        <v>#REF!</v>
      </c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  <c r="DG348" s="38"/>
      <c r="DH348" s="38"/>
      <c r="DI348" s="38"/>
      <c r="DJ348" s="38"/>
      <c r="DK348" s="38"/>
      <c r="DL348" s="38"/>
      <c r="DM348" s="38"/>
      <c r="DN348" s="38"/>
      <c r="DO348" s="38"/>
      <c r="DP348" s="38"/>
      <c r="DQ348" s="38"/>
      <c r="DR348" s="38"/>
      <c r="DS348" s="38"/>
      <c r="DT348" s="38"/>
      <c r="DU348" s="38"/>
      <c r="DV348" s="38"/>
      <c r="DW348" s="38"/>
      <c r="DX348" s="38"/>
      <c r="DY348" s="38"/>
      <c r="DZ348" s="38"/>
      <c r="EA348" s="38"/>
      <c r="EB348" s="38"/>
      <c r="EC348" s="38"/>
      <c r="ED348" s="38"/>
      <c r="EE348" s="38"/>
      <c r="EF348" s="38"/>
      <c r="EG348" s="38"/>
      <c r="EH348" s="38"/>
      <c r="EI348" s="38"/>
      <c r="EJ348" s="38"/>
      <c r="EK348" s="38"/>
      <c r="EL348" s="38"/>
      <c r="EM348" s="38"/>
      <c r="EN348" s="38"/>
      <c r="EO348" s="38"/>
      <c r="EP348" s="38"/>
      <c r="EQ348" s="38"/>
      <c r="ER348" s="38"/>
      <c r="ES348" s="38"/>
      <c r="ET348" s="38"/>
      <c r="EU348" s="38"/>
      <c r="EV348" s="38"/>
      <c r="EW348" s="38"/>
      <c r="EX348" s="38"/>
      <c r="EY348" s="38"/>
      <c r="EZ348" s="38"/>
      <c r="FA348" s="38"/>
      <c r="FB348" s="38"/>
      <c r="FC348" s="38"/>
      <c r="FD348" s="38"/>
      <c r="FE348" s="38"/>
      <c r="FF348" s="38"/>
      <c r="FG348" s="38"/>
      <c r="FH348" s="38"/>
      <c r="FI348" s="38"/>
      <c r="FJ348" s="38"/>
      <c r="FK348" s="38"/>
      <c r="FL348" s="38"/>
      <c r="FM348" s="38"/>
      <c r="FN348" s="38"/>
      <c r="FO348" s="38"/>
      <c r="FP348" s="38"/>
      <c r="FQ348" s="38"/>
      <c r="FR348" s="38"/>
      <c r="FS348" s="38"/>
      <c r="FT348" s="38"/>
      <c r="FU348" s="38"/>
      <c r="FV348" s="38"/>
      <c r="FW348" s="38"/>
      <c r="FX348" s="38"/>
      <c r="FY348" s="38"/>
      <c r="FZ348" s="38"/>
      <c r="GA348" s="38"/>
      <c r="GB348" s="38"/>
      <c r="GC348" s="38"/>
      <c r="GD348" s="38"/>
      <c r="GE348" s="38"/>
      <c r="GF348" s="38"/>
      <c r="GG348" s="38"/>
      <c r="GH348" s="38"/>
      <c r="GI348" s="38"/>
      <c r="GJ348" s="38"/>
      <c r="GK348" s="38"/>
      <c r="GL348" s="38"/>
      <c r="GM348" s="38"/>
      <c r="GN348" s="38"/>
      <c r="GO348" s="38"/>
      <c r="GP348" s="38"/>
      <c r="GQ348" s="38"/>
      <c r="GR348" s="38"/>
      <c r="GS348" s="38"/>
      <c r="GT348" s="38"/>
      <c r="GU348" s="38"/>
      <c r="GV348" s="38"/>
      <c r="GW348" s="38"/>
      <c r="GX348" s="38"/>
      <c r="GY348" s="38"/>
      <c r="GZ348" s="38"/>
      <c r="HA348" s="38"/>
      <c r="HB348" s="38"/>
      <c r="HC348" s="38"/>
      <c r="HD348" s="38"/>
      <c r="HE348" s="38"/>
      <c r="HF348" s="38"/>
      <c r="HG348" s="38"/>
      <c r="HH348" s="38"/>
      <c r="HI348" s="38"/>
      <c r="HJ348" s="38"/>
      <c r="HK348" s="38"/>
      <c r="HL348" s="38"/>
      <c r="HM348" s="38"/>
      <c r="HN348" s="38"/>
      <c r="HO348" s="38"/>
      <c r="HP348" s="38"/>
      <c r="HQ348" s="38"/>
      <c r="HR348" s="38"/>
      <c r="HS348" s="38"/>
      <c r="HT348" s="38"/>
      <c r="HU348" s="38"/>
      <c r="HV348" s="38"/>
      <c r="HW348" s="38"/>
      <c r="HX348" s="38"/>
      <c r="HY348" s="38"/>
      <c r="HZ348" s="38"/>
      <c r="IA348" s="38"/>
    </row>
    <row r="349" spans="1:16" ht="11.25">
      <c r="A349" s="5" t="s">
        <v>38</v>
      </c>
      <c r="B349" s="37"/>
      <c r="C349" s="37"/>
      <c r="D349" s="44"/>
      <c r="E349" s="44"/>
      <c r="F349" s="44"/>
      <c r="G349" s="30"/>
      <c r="H349" s="30"/>
      <c r="I349" s="30"/>
      <c r="J349" s="30"/>
      <c r="K349" s="7"/>
      <c r="L349" s="30"/>
      <c r="M349" s="30"/>
      <c r="N349" s="30"/>
      <c r="O349" s="30"/>
      <c r="P349" s="30"/>
    </row>
    <row r="350" spans="1:16" ht="23.25" customHeight="1">
      <c r="A350" s="8" t="s">
        <v>132</v>
      </c>
      <c r="B350" s="6"/>
      <c r="C350" s="6"/>
      <c r="D350" s="44">
        <v>2752</v>
      </c>
      <c r="E350" s="44"/>
      <c r="F350" s="44">
        <f>D350</f>
        <v>2752</v>
      </c>
      <c r="G350" s="44">
        <v>1752</v>
      </c>
      <c r="H350" s="44"/>
      <c r="I350" s="44"/>
      <c r="J350" s="44">
        <f>G350</f>
        <v>1752</v>
      </c>
      <c r="K350" s="7" t="e">
        <f>#REF!/G350*100</f>
        <v>#REF!</v>
      </c>
      <c r="L350" s="7"/>
      <c r="M350" s="7"/>
      <c r="N350" s="44">
        <v>952</v>
      </c>
      <c r="O350" s="44"/>
      <c r="P350" s="44">
        <f>N350</f>
        <v>952</v>
      </c>
    </row>
    <row r="351" spans="1:16" ht="11.25">
      <c r="A351" s="5" t="s">
        <v>5</v>
      </c>
      <c r="B351" s="37"/>
      <c r="C351" s="37"/>
      <c r="D351" s="44"/>
      <c r="E351" s="44"/>
      <c r="F351" s="44"/>
      <c r="G351" s="30"/>
      <c r="H351" s="30"/>
      <c r="I351" s="30"/>
      <c r="J351" s="7"/>
      <c r="K351" s="7"/>
      <c r="L351" s="30"/>
      <c r="M351" s="30"/>
      <c r="N351" s="30"/>
      <c r="O351" s="30"/>
      <c r="P351" s="7"/>
    </row>
    <row r="352" spans="1:16" ht="24" customHeight="1">
      <c r="A352" s="8" t="s">
        <v>130</v>
      </c>
      <c r="B352" s="6"/>
      <c r="C352" s="6"/>
      <c r="D352" s="44">
        <v>1000</v>
      </c>
      <c r="E352" s="44"/>
      <c r="F352" s="44">
        <f>D352</f>
        <v>1000</v>
      </c>
      <c r="G352" s="44">
        <v>800</v>
      </c>
      <c r="H352" s="44"/>
      <c r="I352" s="44"/>
      <c r="J352" s="44">
        <f>G352</f>
        <v>800</v>
      </c>
      <c r="K352" s="7" t="e">
        <f>#REF!/G352*100</f>
        <v>#REF!</v>
      </c>
      <c r="L352" s="7"/>
      <c r="M352" s="7"/>
      <c r="N352" s="44">
        <v>875</v>
      </c>
      <c r="O352" s="44"/>
      <c r="P352" s="44">
        <f>N352</f>
        <v>875</v>
      </c>
    </row>
    <row r="353" spans="1:16" ht="33.75" customHeight="1">
      <c r="A353" s="8" t="s">
        <v>202</v>
      </c>
      <c r="B353" s="6"/>
      <c r="C353" s="6"/>
      <c r="D353" s="44"/>
      <c r="E353" s="44"/>
      <c r="F353" s="44"/>
      <c r="G353" s="44">
        <v>0</v>
      </c>
      <c r="H353" s="44"/>
      <c r="I353" s="44"/>
      <c r="J353" s="44"/>
      <c r="K353" s="7"/>
      <c r="L353" s="7"/>
      <c r="M353" s="7"/>
      <c r="N353" s="44">
        <v>5</v>
      </c>
      <c r="O353" s="44"/>
      <c r="P353" s="44">
        <f>N353</f>
        <v>5</v>
      </c>
    </row>
    <row r="354" spans="1:16" ht="11.25">
      <c r="A354" s="5" t="s">
        <v>7</v>
      </c>
      <c r="B354" s="37"/>
      <c r="C354" s="37"/>
      <c r="D354" s="44"/>
      <c r="E354" s="44"/>
      <c r="F354" s="44"/>
      <c r="G354" s="44"/>
      <c r="H354" s="44"/>
      <c r="I354" s="44"/>
      <c r="J354" s="44"/>
      <c r="K354" s="7"/>
      <c r="L354" s="30"/>
      <c r="M354" s="30"/>
      <c r="N354" s="44"/>
      <c r="O354" s="44"/>
      <c r="P354" s="44"/>
    </row>
    <row r="355" spans="1:16" ht="24" customHeight="1">
      <c r="A355" s="8" t="s">
        <v>40</v>
      </c>
      <c r="B355" s="6"/>
      <c r="C355" s="6"/>
      <c r="D355" s="44">
        <v>163</v>
      </c>
      <c r="E355" s="44"/>
      <c r="F355" s="44">
        <f>D355</f>
        <v>163</v>
      </c>
      <c r="G355" s="44">
        <v>375</v>
      </c>
      <c r="H355" s="44"/>
      <c r="I355" s="44"/>
      <c r="J355" s="44">
        <f>G355</f>
        <v>375</v>
      </c>
      <c r="K355" s="7" t="e">
        <f>#REF!/G355*100</f>
        <v>#REF!</v>
      </c>
      <c r="L355" s="7"/>
      <c r="M355" s="7"/>
      <c r="N355" s="44">
        <v>400</v>
      </c>
      <c r="O355" s="44"/>
      <c r="P355" s="44">
        <f>N355</f>
        <v>400</v>
      </c>
    </row>
    <row r="356" spans="1:16" ht="11.25">
      <c r="A356" s="54" t="s">
        <v>6</v>
      </c>
      <c r="B356" s="55"/>
      <c r="C356" s="55"/>
      <c r="D356" s="48"/>
      <c r="E356" s="48"/>
      <c r="F356" s="48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1:235" s="22" customFormat="1" ht="39" customHeight="1">
      <c r="A357" s="8" t="s">
        <v>131</v>
      </c>
      <c r="B357" s="6"/>
      <c r="C357" s="6"/>
      <c r="D357" s="44">
        <f>D352/D350*100</f>
        <v>36.337209302325576</v>
      </c>
      <c r="E357" s="44"/>
      <c r="F357" s="44">
        <f>D357</f>
        <v>36.337209302325576</v>
      </c>
      <c r="G357" s="44">
        <f>G352/G350*100</f>
        <v>45.662100456621005</v>
      </c>
      <c r="H357" s="44"/>
      <c r="I357" s="44"/>
      <c r="J357" s="44">
        <f>G357</f>
        <v>45.662100456621005</v>
      </c>
      <c r="K357" s="7"/>
      <c r="L357" s="7"/>
      <c r="M357" s="7"/>
      <c r="N357" s="44">
        <f>N352/N350*100</f>
        <v>91.91176470588235</v>
      </c>
      <c r="O357" s="44"/>
      <c r="P357" s="44">
        <f>N357</f>
        <v>91.91176470588235</v>
      </c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45.75" customHeight="1">
      <c r="A358" s="34" t="s">
        <v>399</v>
      </c>
      <c r="B358" s="6"/>
      <c r="C358" s="6"/>
      <c r="D358" s="44"/>
      <c r="E358" s="44"/>
      <c r="F358" s="44"/>
      <c r="G358" s="57">
        <f>G360</f>
        <v>250000</v>
      </c>
      <c r="H358" s="44"/>
      <c r="I358" s="44"/>
      <c r="J358" s="44">
        <f>G358</f>
        <v>250000</v>
      </c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15" customHeight="1">
      <c r="A359" s="5" t="s">
        <v>38</v>
      </c>
      <c r="B359" s="6"/>
      <c r="C359" s="6"/>
      <c r="D359" s="44"/>
      <c r="E359" s="44"/>
      <c r="F359" s="44"/>
      <c r="G359" s="44"/>
      <c r="H359" s="44"/>
      <c r="I359" s="44"/>
      <c r="J359" s="44"/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22.5" customHeight="1">
      <c r="A360" s="8" t="s">
        <v>402</v>
      </c>
      <c r="B360" s="6"/>
      <c r="C360" s="6"/>
      <c r="D360" s="44"/>
      <c r="E360" s="44"/>
      <c r="F360" s="44"/>
      <c r="G360" s="44">
        <f>G362*G364</f>
        <v>250000</v>
      </c>
      <c r="H360" s="44"/>
      <c r="I360" s="44"/>
      <c r="J360" s="44">
        <f>G360</f>
        <v>250000</v>
      </c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15.75" customHeight="1">
      <c r="A361" s="5" t="s">
        <v>5</v>
      </c>
      <c r="B361" s="6"/>
      <c r="C361" s="6"/>
      <c r="D361" s="44"/>
      <c r="E361" s="44"/>
      <c r="F361" s="44"/>
      <c r="G361" s="44"/>
      <c r="H361" s="44"/>
      <c r="I361" s="44"/>
      <c r="J361" s="44"/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8" t="s">
        <v>400</v>
      </c>
      <c r="B362" s="6"/>
      <c r="C362" s="6"/>
      <c r="D362" s="44"/>
      <c r="E362" s="44"/>
      <c r="F362" s="44"/>
      <c r="G362" s="44">
        <v>5000</v>
      </c>
      <c r="H362" s="44"/>
      <c r="I362" s="44"/>
      <c r="J362" s="44">
        <f>G362</f>
        <v>5000</v>
      </c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5" t="s">
        <v>7</v>
      </c>
      <c r="B363" s="6"/>
      <c r="C363" s="6"/>
      <c r="D363" s="44"/>
      <c r="E363" s="44"/>
      <c r="F363" s="44"/>
      <c r="G363" s="44"/>
      <c r="H363" s="44"/>
      <c r="I363" s="44"/>
      <c r="J363" s="44"/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22.5" customHeight="1">
      <c r="A364" s="8" t="s">
        <v>401</v>
      </c>
      <c r="B364" s="6"/>
      <c r="C364" s="6"/>
      <c r="D364" s="44"/>
      <c r="E364" s="44"/>
      <c r="F364" s="44"/>
      <c r="G364" s="44">
        <v>50</v>
      </c>
      <c r="H364" s="44"/>
      <c r="I364" s="44"/>
      <c r="J364" s="44">
        <f>G364</f>
        <v>50</v>
      </c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16.5" customHeight="1">
      <c r="A365" s="54" t="s">
        <v>6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2.5" customHeight="1">
      <c r="A366" s="8" t="s">
        <v>131</v>
      </c>
      <c r="B366" s="6"/>
      <c r="C366" s="6"/>
      <c r="D366" s="44"/>
      <c r="E366" s="44"/>
      <c r="F366" s="44"/>
      <c r="G366" s="44"/>
      <c r="H366" s="44"/>
      <c r="I366" s="44"/>
      <c r="J366" s="44"/>
      <c r="K366" s="7"/>
      <c r="L366" s="7"/>
      <c r="M366" s="7"/>
      <c r="N366" s="44"/>
      <c r="O366" s="44"/>
      <c r="P366" s="44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37" t="s">
        <v>304</v>
      </c>
      <c r="B367" s="20"/>
      <c r="C367" s="20"/>
      <c r="D367" s="57">
        <f>D369+D379</f>
        <v>312380.003</v>
      </c>
      <c r="E367" s="57"/>
      <c r="F367" s="57">
        <f>F369+F379</f>
        <v>312380.003</v>
      </c>
      <c r="G367" s="57">
        <f>G369+G379</f>
        <v>343775</v>
      </c>
      <c r="H367" s="57"/>
      <c r="I367" s="57"/>
      <c r="J367" s="57">
        <f>J369+J379</f>
        <v>343775</v>
      </c>
      <c r="K367" s="57"/>
      <c r="L367" s="57"/>
      <c r="M367" s="57"/>
      <c r="N367" s="57">
        <f>N369+N379</f>
        <v>352520</v>
      </c>
      <c r="O367" s="57"/>
      <c r="P367" s="57">
        <f>P369+P379</f>
        <v>352520</v>
      </c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22" customFormat="1" ht="24" customHeight="1">
      <c r="A368" s="8" t="s">
        <v>281</v>
      </c>
      <c r="B368" s="20"/>
      <c r="C368" s="20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</row>
    <row r="369" spans="1:235" s="60" customFormat="1" ht="44.25" customHeight="1">
      <c r="A369" s="58" t="s">
        <v>406</v>
      </c>
      <c r="B369" s="58"/>
      <c r="C369" s="58"/>
      <c r="D369" s="45">
        <f>D371+D372</f>
        <v>209000.003</v>
      </c>
      <c r="E369" s="45"/>
      <c r="F369" s="45">
        <f>F371+F372</f>
        <v>209000.003</v>
      </c>
      <c r="G369" s="45">
        <f>G371+G372</f>
        <v>224075</v>
      </c>
      <c r="H369" s="45"/>
      <c r="I369" s="45"/>
      <c r="J369" s="45">
        <f>J371+J372</f>
        <v>224075</v>
      </c>
      <c r="K369" s="45"/>
      <c r="L369" s="45"/>
      <c r="M369" s="45"/>
      <c r="N369" s="45">
        <f>N371+N372</f>
        <v>237530</v>
      </c>
      <c r="O369" s="45"/>
      <c r="P369" s="45">
        <f>P371+P372</f>
        <v>237530</v>
      </c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  <c r="EQ369" s="59"/>
      <c r="ER369" s="59"/>
      <c r="ES369" s="59"/>
      <c r="ET369" s="59"/>
      <c r="EU369" s="59"/>
      <c r="EV369" s="59"/>
      <c r="EW369" s="59"/>
      <c r="EX369" s="59"/>
      <c r="EY369" s="59"/>
      <c r="EZ369" s="59"/>
      <c r="FA369" s="59"/>
      <c r="FB369" s="59"/>
      <c r="FC369" s="59"/>
      <c r="FD369" s="59"/>
      <c r="FE369" s="59"/>
      <c r="FF369" s="59"/>
      <c r="FG369" s="59"/>
      <c r="FH369" s="59"/>
      <c r="FI369" s="59"/>
      <c r="FJ369" s="59"/>
      <c r="FK369" s="59"/>
      <c r="FL369" s="59"/>
      <c r="FM369" s="59"/>
      <c r="FN369" s="59"/>
      <c r="FO369" s="59"/>
      <c r="FP369" s="59"/>
      <c r="FQ369" s="59"/>
      <c r="FR369" s="59"/>
      <c r="FS369" s="59"/>
      <c r="FT369" s="59"/>
      <c r="FU369" s="59"/>
      <c r="FV369" s="59"/>
      <c r="FW369" s="59"/>
      <c r="FX369" s="59"/>
      <c r="FY369" s="59"/>
      <c r="FZ369" s="59"/>
      <c r="GA369" s="59"/>
      <c r="GB369" s="59"/>
      <c r="GC369" s="59"/>
      <c r="GD369" s="59"/>
      <c r="GE369" s="59"/>
      <c r="GF369" s="59"/>
      <c r="GG369" s="59"/>
      <c r="GH369" s="59"/>
      <c r="GI369" s="59"/>
      <c r="GJ369" s="59"/>
      <c r="GK369" s="59"/>
      <c r="GL369" s="59"/>
      <c r="GM369" s="59"/>
      <c r="GN369" s="59"/>
      <c r="GO369" s="59"/>
      <c r="GP369" s="59"/>
      <c r="GQ369" s="59"/>
      <c r="GR369" s="59"/>
      <c r="GS369" s="59"/>
      <c r="GT369" s="59"/>
      <c r="GU369" s="59"/>
      <c r="GV369" s="59"/>
      <c r="GW369" s="59"/>
      <c r="GX369" s="59"/>
      <c r="GY369" s="59"/>
      <c r="GZ369" s="59"/>
      <c r="HA369" s="59"/>
      <c r="HB369" s="59"/>
      <c r="HC369" s="59"/>
      <c r="HD369" s="59"/>
      <c r="HE369" s="59"/>
      <c r="HF369" s="59"/>
      <c r="HG369" s="59"/>
      <c r="HH369" s="59"/>
      <c r="HI369" s="59"/>
      <c r="HJ369" s="59"/>
      <c r="HK369" s="59"/>
      <c r="HL369" s="59"/>
      <c r="HM369" s="59"/>
      <c r="HN369" s="59"/>
      <c r="HO369" s="59"/>
      <c r="HP369" s="59"/>
      <c r="HQ369" s="59"/>
      <c r="HR369" s="59"/>
      <c r="HS369" s="59"/>
      <c r="HT369" s="59"/>
      <c r="HU369" s="59"/>
      <c r="HV369" s="59"/>
      <c r="HW369" s="59"/>
      <c r="HX369" s="59"/>
      <c r="HY369" s="59"/>
      <c r="HZ369" s="59"/>
      <c r="IA369" s="59"/>
    </row>
    <row r="370" spans="1:16" ht="11.25">
      <c r="A370" s="61" t="s">
        <v>4</v>
      </c>
      <c r="B370" s="61"/>
      <c r="C370" s="61"/>
      <c r="D370" s="62"/>
      <c r="E370" s="62"/>
      <c r="F370" s="62"/>
      <c r="G370" s="62"/>
      <c r="H370" s="62"/>
      <c r="I370" s="62"/>
      <c r="J370" s="62"/>
      <c r="K370" s="63"/>
      <c r="L370" s="62"/>
      <c r="M370" s="62"/>
      <c r="N370" s="62"/>
      <c r="O370" s="62"/>
      <c r="P370" s="62"/>
    </row>
    <row r="371" spans="1:16" ht="33.75">
      <c r="A371" s="11" t="s">
        <v>394</v>
      </c>
      <c r="B371" s="11"/>
      <c r="C371" s="11"/>
      <c r="D371" s="43">
        <f>D374*D377</f>
        <v>132000.003</v>
      </c>
      <c r="E371" s="43"/>
      <c r="F371" s="43">
        <f>F374*F377</f>
        <v>132000.003</v>
      </c>
      <c r="G371" s="43">
        <f>G374*G377</f>
        <v>141525</v>
      </c>
      <c r="H371" s="43"/>
      <c r="I371" s="43"/>
      <c r="J371" s="43">
        <f>J374*J377</f>
        <v>141525</v>
      </c>
      <c r="K371" s="43">
        <f>G371/D371*100</f>
        <v>107.21590665418394</v>
      </c>
      <c r="L371" s="43"/>
      <c r="M371" s="43"/>
      <c r="N371" s="43">
        <f>N374*N377</f>
        <v>150030</v>
      </c>
      <c r="O371" s="43"/>
      <c r="P371" s="43">
        <f>P374*P377</f>
        <v>150030</v>
      </c>
    </row>
    <row r="372" spans="1:16" ht="36.75" customHeight="1">
      <c r="A372" s="11" t="s">
        <v>395</v>
      </c>
      <c r="B372" s="11"/>
      <c r="C372" s="11"/>
      <c r="D372" s="43">
        <f>D375*D378</f>
        <v>77000</v>
      </c>
      <c r="E372" s="43"/>
      <c r="F372" s="43">
        <f>F375*F378</f>
        <v>77000</v>
      </c>
      <c r="G372" s="43">
        <f>G375*G378</f>
        <v>82550</v>
      </c>
      <c r="H372" s="43"/>
      <c r="I372" s="43"/>
      <c r="J372" s="43">
        <f>J375*J378</f>
        <v>82550</v>
      </c>
      <c r="K372" s="43"/>
      <c r="L372" s="43"/>
      <c r="M372" s="43"/>
      <c r="N372" s="43">
        <f>N375*N378</f>
        <v>87500</v>
      </c>
      <c r="O372" s="43"/>
      <c r="P372" s="43">
        <f>P375*P378</f>
        <v>87500</v>
      </c>
    </row>
    <row r="373" spans="1:16" ht="11.25">
      <c r="A373" s="13" t="s">
        <v>5</v>
      </c>
      <c r="B373" s="13"/>
      <c r="C373" s="13"/>
      <c r="D373" s="10"/>
      <c r="E373" s="10"/>
      <c r="F373" s="43"/>
      <c r="G373" s="10"/>
      <c r="H373" s="10"/>
      <c r="I373" s="10"/>
      <c r="J373" s="43"/>
      <c r="K373" s="43"/>
      <c r="L373" s="10"/>
      <c r="M373" s="10"/>
      <c r="N373" s="10"/>
      <c r="O373" s="10"/>
      <c r="P373" s="43"/>
    </row>
    <row r="374" spans="1:16" ht="25.5" customHeight="1">
      <c r="A374" s="11" t="s">
        <v>283</v>
      </c>
      <c r="B374" s="11"/>
      <c r="C374" s="11"/>
      <c r="D374" s="43">
        <v>9</v>
      </c>
      <c r="E374" s="43"/>
      <c r="F374" s="43">
        <f>D374</f>
        <v>9</v>
      </c>
      <c r="G374" s="43">
        <v>9</v>
      </c>
      <c r="H374" s="43"/>
      <c r="I374" s="43"/>
      <c r="J374" s="43">
        <f>G374+H374</f>
        <v>9</v>
      </c>
      <c r="K374" s="43">
        <f>G374/D374*100</f>
        <v>100</v>
      </c>
      <c r="L374" s="43"/>
      <c r="M374" s="43"/>
      <c r="N374" s="43">
        <v>9</v>
      </c>
      <c r="O374" s="43"/>
      <c r="P374" s="43">
        <f>N374</f>
        <v>9</v>
      </c>
    </row>
    <row r="375" spans="1:16" ht="25.5" customHeight="1">
      <c r="A375" s="11" t="s">
        <v>282</v>
      </c>
      <c r="B375" s="11"/>
      <c r="C375" s="11"/>
      <c r="D375" s="43">
        <v>10</v>
      </c>
      <c r="E375" s="43"/>
      <c r="F375" s="43">
        <v>10</v>
      </c>
      <c r="G375" s="43">
        <v>10</v>
      </c>
      <c r="H375" s="43"/>
      <c r="I375" s="43"/>
      <c r="J375" s="43">
        <v>10</v>
      </c>
      <c r="K375" s="43"/>
      <c r="L375" s="43"/>
      <c r="M375" s="43"/>
      <c r="N375" s="43">
        <v>10</v>
      </c>
      <c r="O375" s="43"/>
      <c r="P375" s="43">
        <v>10</v>
      </c>
    </row>
    <row r="376" spans="1:16" ht="11.25">
      <c r="A376" s="13" t="s">
        <v>7</v>
      </c>
      <c r="B376" s="13"/>
      <c r="C376" s="13"/>
      <c r="D376" s="64"/>
      <c r="E376" s="64"/>
      <c r="F376" s="65"/>
      <c r="G376" s="64"/>
      <c r="H376" s="64"/>
      <c r="I376" s="64"/>
      <c r="J376" s="65"/>
      <c r="K376" s="65"/>
      <c r="L376" s="64"/>
      <c r="M376" s="64"/>
      <c r="N376" s="64"/>
      <c r="O376" s="64"/>
      <c r="P376" s="65"/>
    </row>
    <row r="377" spans="1:16" ht="33.75">
      <c r="A377" s="11" t="s">
        <v>284</v>
      </c>
      <c r="B377" s="11"/>
      <c r="C377" s="11"/>
      <c r="D377" s="65">
        <v>14666.667</v>
      </c>
      <c r="E377" s="65"/>
      <c r="F377" s="65">
        <f>D377</f>
        <v>14666.667</v>
      </c>
      <c r="G377" s="65">
        <v>15725</v>
      </c>
      <c r="H377" s="65"/>
      <c r="I377" s="65"/>
      <c r="J377" s="65">
        <f>G377</f>
        <v>15725</v>
      </c>
      <c r="K377" s="65">
        <f>G377/D377*100</f>
        <v>107.21590665418394</v>
      </c>
      <c r="L377" s="65"/>
      <c r="M377" s="65"/>
      <c r="N377" s="65">
        <v>16670</v>
      </c>
      <c r="O377" s="65"/>
      <c r="P377" s="65">
        <f>N377</f>
        <v>16670</v>
      </c>
    </row>
    <row r="378" spans="1:16" ht="24" customHeight="1">
      <c r="A378" s="11" t="s">
        <v>285</v>
      </c>
      <c r="B378" s="11"/>
      <c r="C378" s="11"/>
      <c r="D378" s="43">
        <v>7700</v>
      </c>
      <c r="E378" s="43"/>
      <c r="F378" s="43">
        <v>7700</v>
      </c>
      <c r="G378" s="43">
        <v>8255</v>
      </c>
      <c r="H378" s="43"/>
      <c r="I378" s="43"/>
      <c r="J378" s="43">
        <v>8255</v>
      </c>
      <c r="K378" s="65"/>
      <c r="L378" s="65"/>
      <c r="M378" s="65"/>
      <c r="N378" s="43">
        <v>8750</v>
      </c>
      <c r="O378" s="43"/>
      <c r="P378" s="43">
        <v>8750</v>
      </c>
    </row>
    <row r="379" spans="1:235" s="39" customFormat="1" ht="33.75">
      <c r="A379" s="9" t="s">
        <v>407</v>
      </c>
      <c r="B379" s="9"/>
      <c r="C379" s="9"/>
      <c r="D379" s="10">
        <f>D381+D382+D383+D384+D385+D386</f>
        <v>103380</v>
      </c>
      <c r="E379" s="10"/>
      <c r="F379" s="10">
        <f>D379+E379</f>
        <v>103380</v>
      </c>
      <c r="G379" s="10">
        <f>G381+G382+G383+G384+G385+G386</f>
        <v>119700</v>
      </c>
      <c r="H379" s="10"/>
      <c r="I379" s="10"/>
      <c r="J379" s="10">
        <f>G379+H379</f>
        <v>119700</v>
      </c>
      <c r="K379" s="10"/>
      <c r="L379" s="10"/>
      <c r="M379" s="10"/>
      <c r="N379" s="10">
        <f>N381+N382+N383+N384+N385+N386</f>
        <v>114990</v>
      </c>
      <c r="O379" s="10"/>
      <c r="P379" s="10">
        <f>N379</f>
        <v>114990</v>
      </c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11.25">
      <c r="A380" s="61" t="s">
        <v>4</v>
      </c>
      <c r="B380" s="9"/>
      <c r="C380" s="9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2.25" customHeight="1">
      <c r="A381" s="9" t="s">
        <v>286</v>
      </c>
      <c r="B381" s="9"/>
      <c r="C381" s="9"/>
      <c r="D381" s="10">
        <f>D388*D395</f>
        <v>7200</v>
      </c>
      <c r="E381" s="10"/>
      <c r="F381" s="10">
        <f aca="true" t="shared" si="46" ref="F381:F386">D381+E381</f>
        <v>7200</v>
      </c>
      <c r="G381" s="10">
        <f>G388*G395</f>
        <v>7800</v>
      </c>
      <c r="H381" s="10"/>
      <c r="I381" s="10"/>
      <c r="J381" s="10">
        <f aca="true" t="shared" si="47" ref="J381:J386">G381+H381</f>
        <v>7800</v>
      </c>
      <c r="K381" s="10"/>
      <c r="L381" s="10"/>
      <c r="M381" s="10"/>
      <c r="N381" s="10">
        <f>N388*N395</f>
        <v>8250</v>
      </c>
      <c r="O381" s="10"/>
      <c r="P381" s="10">
        <f aca="true" t="shared" si="48" ref="P381:P386">N381+O381</f>
        <v>8250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287</v>
      </c>
      <c r="B382" s="9"/>
      <c r="C382" s="9"/>
      <c r="D382" s="10">
        <f>D396*D389</f>
        <v>22800</v>
      </c>
      <c r="E382" s="10"/>
      <c r="F382" s="10">
        <f t="shared" si="46"/>
        <v>22800</v>
      </c>
      <c r="G382" s="10">
        <f>G396*G389</f>
        <v>24600</v>
      </c>
      <c r="H382" s="10"/>
      <c r="I382" s="10"/>
      <c r="J382" s="10">
        <f t="shared" si="47"/>
        <v>24600</v>
      </c>
      <c r="K382" s="10"/>
      <c r="L382" s="10"/>
      <c r="M382" s="10"/>
      <c r="N382" s="10">
        <f>N396*N389</f>
        <v>26100</v>
      </c>
      <c r="O382" s="10"/>
      <c r="P382" s="10">
        <f t="shared" si="48"/>
        <v>26100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288</v>
      </c>
      <c r="B383" s="9"/>
      <c r="C383" s="9"/>
      <c r="D383" s="10">
        <f>D390*D397</f>
        <v>40500</v>
      </c>
      <c r="E383" s="10"/>
      <c r="F383" s="10">
        <f t="shared" si="46"/>
        <v>40500</v>
      </c>
      <c r="G383" s="10">
        <f>G390*G397</f>
        <v>43500</v>
      </c>
      <c r="H383" s="10"/>
      <c r="I383" s="10"/>
      <c r="J383" s="10">
        <f t="shared" si="47"/>
        <v>43500</v>
      </c>
      <c r="K383" s="10"/>
      <c r="L383" s="10"/>
      <c r="M383" s="10"/>
      <c r="N383" s="10">
        <f>N390*N397</f>
        <v>46200</v>
      </c>
      <c r="O383" s="10"/>
      <c r="P383" s="10">
        <f t="shared" si="48"/>
        <v>46200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33.75">
      <c r="A384" s="9" t="s">
        <v>289</v>
      </c>
      <c r="B384" s="9"/>
      <c r="C384" s="9"/>
      <c r="D384" s="10">
        <f>D398*D391</f>
        <v>25200</v>
      </c>
      <c r="E384" s="10"/>
      <c r="F384" s="10">
        <f t="shared" si="46"/>
        <v>25200</v>
      </c>
      <c r="G384" s="10">
        <f>G391*G398</f>
        <v>27000</v>
      </c>
      <c r="H384" s="10"/>
      <c r="I384" s="10"/>
      <c r="J384" s="10">
        <f t="shared" si="47"/>
        <v>27000</v>
      </c>
      <c r="K384" s="10"/>
      <c r="L384" s="10"/>
      <c r="M384" s="10"/>
      <c r="N384" s="10">
        <f>N398*N391</f>
        <v>28800</v>
      </c>
      <c r="O384" s="10"/>
      <c r="P384" s="10">
        <f t="shared" si="48"/>
        <v>28800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22.5">
      <c r="A385" s="9" t="s">
        <v>290</v>
      </c>
      <c r="B385" s="9"/>
      <c r="C385" s="9"/>
      <c r="D385" s="10">
        <f>D392*D399</f>
        <v>6120</v>
      </c>
      <c r="E385" s="10"/>
      <c r="F385" s="10">
        <f t="shared" si="46"/>
        <v>6120</v>
      </c>
      <c r="G385" s="10">
        <f>G392*G399</f>
        <v>6600</v>
      </c>
      <c r="H385" s="10"/>
      <c r="I385" s="10"/>
      <c r="J385" s="10">
        <f t="shared" si="47"/>
        <v>6600</v>
      </c>
      <c r="K385" s="10"/>
      <c r="L385" s="10"/>
      <c r="M385" s="10"/>
      <c r="N385" s="10">
        <f>N392*N398</f>
        <v>3840</v>
      </c>
      <c r="O385" s="10"/>
      <c r="P385" s="10">
        <f t="shared" si="48"/>
        <v>3840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235" s="39" customFormat="1" ht="33.75">
      <c r="A386" s="9" t="s">
        <v>291</v>
      </c>
      <c r="B386" s="9"/>
      <c r="C386" s="9"/>
      <c r="D386" s="10">
        <f>D393*D400</f>
        <v>1560</v>
      </c>
      <c r="E386" s="10"/>
      <c r="F386" s="10">
        <f t="shared" si="46"/>
        <v>1560</v>
      </c>
      <c r="G386" s="10">
        <v>10200</v>
      </c>
      <c r="H386" s="10"/>
      <c r="I386" s="10"/>
      <c r="J386" s="10">
        <f t="shared" si="47"/>
        <v>10200</v>
      </c>
      <c r="K386" s="10"/>
      <c r="L386" s="10"/>
      <c r="M386" s="10"/>
      <c r="N386" s="10">
        <f>N393*N400</f>
        <v>1800</v>
      </c>
      <c r="O386" s="10"/>
      <c r="P386" s="10">
        <f t="shared" si="48"/>
        <v>1800</v>
      </c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ET386" s="38"/>
      <c r="EU386" s="38"/>
      <c r="EV386" s="38"/>
      <c r="EW386" s="38"/>
      <c r="EX386" s="38"/>
      <c r="EY386" s="38"/>
      <c r="EZ386" s="38"/>
      <c r="FA386" s="38"/>
      <c r="FB386" s="38"/>
      <c r="FC386" s="38"/>
      <c r="FD386" s="38"/>
      <c r="FE386" s="38"/>
      <c r="FF386" s="38"/>
      <c r="FG386" s="38"/>
      <c r="FH386" s="38"/>
      <c r="FI386" s="38"/>
      <c r="FJ386" s="38"/>
      <c r="FK386" s="38"/>
      <c r="FL386" s="38"/>
      <c r="FM386" s="38"/>
      <c r="FN386" s="38"/>
      <c r="FO386" s="38"/>
      <c r="FP386" s="38"/>
      <c r="FQ386" s="38"/>
      <c r="FR386" s="38"/>
      <c r="FS386" s="38"/>
      <c r="FT386" s="38"/>
      <c r="FU386" s="38"/>
      <c r="FV386" s="38"/>
      <c r="FW386" s="38"/>
      <c r="FX386" s="38"/>
      <c r="FY386" s="38"/>
      <c r="FZ386" s="38"/>
      <c r="GA386" s="38"/>
      <c r="GB386" s="38"/>
      <c r="GC386" s="38"/>
      <c r="GD386" s="38"/>
      <c r="GE386" s="38"/>
      <c r="GF386" s="38"/>
      <c r="GG386" s="38"/>
      <c r="GH386" s="38"/>
      <c r="GI386" s="38"/>
      <c r="GJ386" s="38"/>
      <c r="GK386" s="38"/>
      <c r="GL386" s="38"/>
      <c r="GM386" s="38"/>
      <c r="GN386" s="38"/>
      <c r="GO386" s="38"/>
      <c r="GP386" s="38"/>
      <c r="GQ386" s="38"/>
      <c r="GR386" s="38"/>
      <c r="GS386" s="38"/>
      <c r="GT386" s="38"/>
      <c r="GU386" s="38"/>
      <c r="GV386" s="38"/>
      <c r="GW386" s="38"/>
      <c r="GX386" s="38"/>
      <c r="GY386" s="38"/>
      <c r="GZ386" s="38"/>
      <c r="HA386" s="38"/>
      <c r="HB386" s="38"/>
      <c r="HC386" s="38"/>
      <c r="HD386" s="38"/>
      <c r="HE386" s="38"/>
      <c r="HF386" s="38"/>
      <c r="HG386" s="38"/>
      <c r="HH386" s="38"/>
      <c r="HI386" s="38"/>
      <c r="HJ386" s="38"/>
      <c r="HK386" s="38"/>
      <c r="HL386" s="38"/>
      <c r="HM386" s="38"/>
      <c r="HN386" s="38"/>
      <c r="HO386" s="38"/>
      <c r="HP386" s="38"/>
      <c r="HQ386" s="38"/>
      <c r="HR386" s="38"/>
      <c r="HS386" s="38"/>
      <c r="HT386" s="38"/>
      <c r="HU386" s="38"/>
      <c r="HV386" s="38"/>
      <c r="HW386" s="38"/>
      <c r="HX386" s="38"/>
      <c r="HY386" s="38"/>
      <c r="HZ386" s="38"/>
      <c r="IA386" s="38"/>
    </row>
    <row r="387" spans="1:16" ht="11.25">
      <c r="A387" s="13" t="s">
        <v>5</v>
      </c>
      <c r="B387" s="13"/>
      <c r="C387" s="13"/>
      <c r="D387" s="64"/>
      <c r="E387" s="64"/>
      <c r="F387" s="65"/>
      <c r="G387" s="64"/>
      <c r="H387" s="64"/>
      <c r="I387" s="64"/>
      <c r="J387" s="65"/>
      <c r="K387" s="65"/>
      <c r="L387" s="64"/>
      <c r="M387" s="64"/>
      <c r="N387" s="64"/>
      <c r="O387" s="64"/>
      <c r="P387" s="65"/>
    </row>
    <row r="388" spans="1:16" ht="33.75" customHeight="1">
      <c r="A388" s="11" t="s">
        <v>292</v>
      </c>
      <c r="B388" s="11"/>
      <c r="C388" s="11"/>
      <c r="D388" s="66">
        <v>30</v>
      </c>
      <c r="E388" s="66"/>
      <c r="F388" s="66">
        <f aca="true" t="shared" si="49" ref="F388:F393">D388+E388</f>
        <v>30</v>
      </c>
      <c r="G388" s="66">
        <v>30</v>
      </c>
      <c r="H388" s="66"/>
      <c r="I388" s="66"/>
      <c r="J388" s="66">
        <f aca="true" t="shared" si="50" ref="J388:J393">G388+H388</f>
        <v>30</v>
      </c>
      <c r="K388" s="66">
        <f aca="true" t="shared" si="51" ref="K388:K393">G388/D388*100</f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9" customHeight="1">
      <c r="A389" s="11" t="s">
        <v>293</v>
      </c>
      <c r="B389" s="11"/>
      <c r="C389" s="11"/>
      <c r="D389" s="66">
        <v>30</v>
      </c>
      <c r="E389" s="66"/>
      <c r="F389" s="66">
        <f t="shared" si="49"/>
        <v>30</v>
      </c>
      <c r="G389" s="66">
        <v>30</v>
      </c>
      <c r="H389" s="66"/>
      <c r="I389" s="66"/>
      <c r="J389" s="66">
        <f t="shared" si="50"/>
        <v>30</v>
      </c>
      <c r="K389" s="66">
        <f t="shared" si="51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3.75" customHeight="1">
      <c r="A390" s="11" t="s">
        <v>294</v>
      </c>
      <c r="B390" s="11"/>
      <c r="C390" s="11"/>
      <c r="D390" s="66">
        <v>30</v>
      </c>
      <c r="E390" s="66"/>
      <c r="F390" s="66">
        <f t="shared" si="49"/>
        <v>30</v>
      </c>
      <c r="G390" s="66">
        <v>30</v>
      </c>
      <c r="H390" s="66"/>
      <c r="I390" s="66"/>
      <c r="J390" s="66">
        <f t="shared" si="50"/>
        <v>30</v>
      </c>
      <c r="K390" s="66">
        <f t="shared" si="51"/>
        <v>100</v>
      </c>
      <c r="L390" s="66"/>
      <c r="M390" s="66"/>
      <c r="N390" s="66">
        <v>30</v>
      </c>
      <c r="O390" s="66"/>
      <c r="P390" s="66">
        <f>N390+O390</f>
        <v>30</v>
      </c>
    </row>
    <row r="391" spans="1:16" ht="39" customHeight="1">
      <c r="A391" s="11" t="s">
        <v>295</v>
      </c>
      <c r="B391" s="11"/>
      <c r="C391" s="11"/>
      <c r="D391" s="66">
        <v>90</v>
      </c>
      <c r="E391" s="66"/>
      <c r="F391" s="66">
        <f t="shared" si="49"/>
        <v>90</v>
      </c>
      <c r="G391" s="66">
        <v>90</v>
      </c>
      <c r="H391" s="66"/>
      <c r="I391" s="66"/>
      <c r="J391" s="66">
        <f t="shared" si="50"/>
        <v>90</v>
      </c>
      <c r="K391" s="66">
        <f t="shared" si="51"/>
        <v>100</v>
      </c>
      <c r="L391" s="66"/>
      <c r="M391" s="66"/>
      <c r="N391" s="66">
        <v>90</v>
      </c>
      <c r="O391" s="66"/>
      <c r="P391" s="66">
        <f>N391+O391</f>
        <v>90</v>
      </c>
    </row>
    <row r="392" spans="1:16" ht="22.5">
      <c r="A392" s="11" t="s">
        <v>296</v>
      </c>
      <c r="B392" s="11"/>
      <c r="C392" s="11"/>
      <c r="D392" s="66">
        <v>12</v>
      </c>
      <c r="E392" s="66"/>
      <c r="F392" s="66">
        <f t="shared" si="49"/>
        <v>12</v>
      </c>
      <c r="G392" s="66">
        <v>12</v>
      </c>
      <c r="H392" s="66"/>
      <c r="I392" s="66"/>
      <c r="J392" s="66">
        <f t="shared" si="50"/>
        <v>12</v>
      </c>
      <c r="K392" s="66">
        <f t="shared" si="51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22.5">
      <c r="A393" s="11" t="s">
        <v>297</v>
      </c>
      <c r="B393" s="11"/>
      <c r="C393" s="11"/>
      <c r="D393" s="66">
        <v>12</v>
      </c>
      <c r="E393" s="66"/>
      <c r="F393" s="66">
        <f t="shared" si="49"/>
        <v>12</v>
      </c>
      <c r="G393" s="66">
        <v>12</v>
      </c>
      <c r="H393" s="66"/>
      <c r="I393" s="66"/>
      <c r="J393" s="66">
        <f t="shared" si="50"/>
        <v>12</v>
      </c>
      <c r="K393" s="66">
        <f t="shared" si="51"/>
        <v>100</v>
      </c>
      <c r="L393" s="66"/>
      <c r="M393" s="66"/>
      <c r="N393" s="66">
        <v>12</v>
      </c>
      <c r="O393" s="66"/>
      <c r="P393" s="66">
        <f>N393</f>
        <v>12</v>
      </c>
    </row>
    <row r="394" spans="1:16" ht="11.25">
      <c r="A394" s="13" t="s">
        <v>7</v>
      </c>
      <c r="B394" s="13"/>
      <c r="C394" s="13"/>
      <c r="D394" s="10"/>
      <c r="E394" s="10"/>
      <c r="F394" s="43"/>
      <c r="G394" s="10"/>
      <c r="H394" s="10"/>
      <c r="I394" s="10"/>
      <c r="J394" s="43"/>
      <c r="K394" s="43"/>
      <c r="L394" s="10"/>
      <c r="M394" s="10"/>
      <c r="N394" s="10"/>
      <c r="O394" s="10"/>
      <c r="P394" s="43"/>
    </row>
    <row r="395" spans="1:16" ht="41.25" customHeight="1">
      <c r="A395" s="11" t="s">
        <v>298</v>
      </c>
      <c r="B395" s="11"/>
      <c r="C395" s="11"/>
      <c r="D395" s="43">
        <v>240</v>
      </c>
      <c r="E395" s="43"/>
      <c r="F395" s="43">
        <f aca="true" t="shared" si="52" ref="F395:F400">D395+E395</f>
        <v>240</v>
      </c>
      <c r="G395" s="43">
        <v>260</v>
      </c>
      <c r="H395" s="43"/>
      <c r="I395" s="43"/>
      <c r="J395" s="43">
        <f aca="true" t="shared" si="53" ref="J395:J400">G395+H395</f>
        <v>260</v>
      </c>
      <c r="K395" s="43">
        <f>G395/D395*100</f>
        <v>108.33333333333333</v>
      </c>
      <c r="L395" s="43"/>
      <c r="M395" s="43"/>
      <c r="N395" s="43">
        <v>275</v>
      </c>
      <c r="O395" s="43"/>
      <c r="P395" s="43">
        <f>N395+O395</f>
        <v>275</v>
      </c>
    </row>
    <row r="396" spans="1:16" ht="33.75">
      <c r="A396" s="11" t="s">
        <v>299</v>
      </c>
      <c r="B396" s="11"/>
      <c r="C396" s="11"/>
      <c r="D396" s="65">
        <v>760</v>
      </c>
      <c r="E396" s="65"/>
      <c r="F396" s="65">
        <f t="shared" si="52"/>
        <v>760</v>
      </c>
      <c r="G396" s="65">
        <v>820</v>
      </c>
      <c r="H396" s="65"/>
      <c r="I396" s="65"/>
      <c r="J396" s="65">
        <f t="shared" si="53"/>
        <v>820</v>
      </c>
      <c r="K396" s="65">
        <f>G396/D396*100</f>
        <v>107.89473684210526</v>
      </c>
      <c r="L396" s="65"/>
      <c r="M396" s="65"/>
      <c r="N396" s="65">
        <v>870</v>
      </c>
      <c r="O396" s="65"/>
      <c r="P396" s="65">
        <f>N396+O396</f>
        <v>870</v>
      </c>
    </row>
    <row r="397" spans="1:16" ht="33.75" customHeight="1">
      <c r="A397" s="11" t="s">
        <v>300</v>
      </c>
      <c r="B397" s="11"/>
      <c r="C397" s="11"/>
      <c r="D397" s="43">
        <v>1350</v>
      </c>
      <c r="E397" s="43"/>
      <c r="F397" s="43">
        <f t="shared" si="52"/>
        <v>1350</v>
      </c>
      <c r="G397" s="43">
        <v>1450</v>
      </c>
      <c r="H397" s="43"/>
      <c r="I397" s="43"/>
      <c r="J397" s="43">
        <f t="shared" si="53"/>
        <v>1450</v>
      </c>
      <c r="K397" s="65"/>
      <c r="L397" s="65"/>
      <c r="M397" s="65"/>
      <c r="N397" s="43">
        <v>1540</v>
      </c>
      <c r="O397" s="43"/>
      <c r="P397" s="43">
        <f>N397</f>
        <v>1540</v>
      </c>
    </row>
    <row r="398" spans="1:16" ht="38.25" customHeight="1">
      <c r="A398" s="11" t="s">
        <v>301</v>
      </c>
      <c r="B398" s="11"/>
      <c r="C398" s="11"/>
      <c r="D398" s="43">
        <v>280</v>
      </c>
      <c r="E398" s="43"/>
      <c r="F398" s="43">
        <f t="shared" si="52"/>
        <v>280</v>
      </c>
      <c r="G398" s="43">
        <v>300</v>
      </c>
      <c r="H398" s="43"/>
      <c r="I398" s="43"/>
      <c r="J398" s="43">
        <f t="shared" si="53"/>
        <v>300</v>
      </c>
      <c r="K398" s="65"/>
      <c r="L398" s="65"/>
      <c r="M398" s="65"/>
      <c r="N398" s="43">
        <v>320</v>
      </c>
      <c r="O398" s="43"/>
      <c r="P398" s="43">
        <f>N398</f>
        <v>320</v>
      </c>
    </row>
    <row r="399" spans="1:16" ht="22.5">
      <c r="A399" s="11" t="s">
        <v>302</v>
      </c>
      <c r="B399" s="11"/>
      <c r="C399" s="11"/>
      <c r="D399" s="43">
        <v>510</v>
      </c>
      <c r="E399" s="43"/>
      <c r="F399" s="43">
        <f t="shared" si="52"/>
        <v>510</v>
      </c>
      <c r="G399" s="43">
        <v>550</v>
      </c>
      <c r="H399" s="43"/>
      <c r="I399" s="43"/>
      <c r="J399" s="43">
        <f t="shared" si="53"/>
        <v>550</v>
      </c>
      <c r="K399" s="65"/>
      <c r="L399" s="65"/>
      <c r="M399" s="65"/>
      <c r="N399" s="43">
        <v>585</v>
      </c>
      <c r="O399" s="43"/>
      <c r="P399" s="43">
        <f>N399</f>
        <v>585</v>
      </c>
    </row>
    <row r="400" spans="1:16" ht="22.5">
      <c r="A400" s="11" t="s">
        <v>303</v>
      </c>
      <c r="B400" s="11"/>
      <c r="C400" s="11"/>
      <c r="D400" s="43">
        <v>130</v>
      </c>
      <c r="E400" s="43"/>
      <c r="F400" s="43">
        <f t="shared" si="52"/>
        <v>130</v>
      </c>
      <c r="G400" s="43">
        <v>850</v>
      </c>
      <c r="H400" s="43"/>
      <c r="I400" s="43"/>
      <c r="J400" s="43">
        <f t="shared" si="53"/>
        <v>850</v>
      </c>
      <c r="K400" s="65"/>
      <c r="L400" s="65"/>
      <c r="M400" s="65"/>
      <c r="N400" s="43">
        <v>150</v>
      </c>
      <c r="O400" s="43"/>
      <c r="P400" s="43">
        <f>N400+O400</f>
        <v>150</v>
      </c>
    </row>
    <row r="401" spans="1:16" ht="11.25">
      <c r="A401" s="125" t="s">
        <v>427</v>
      </c>
      <c r="B401" s="13"/>
      <c r="C401" s="13"/>
      <c r="D401" s="10"/>
      <c r="E401" s="10">
        <f>E403+E419</f>
        <v>692840</v>
      </c>
      <c r="F401" s="10">
        <f>F403+F419</f>
        <v>692840</v>
      </c>
      <c r="G401" s="10"/>
      <c r="H401" s="10">
        <f>H403+H419</f>
        <v>763900</v>
      </c>
      <c r="I401" s="10"/>
      <c r="J401" s="10">
        <f>J403+J419</f>
        <v>763900</v>
      </c>
      <c r="K401" s="64"/>
      <c r="L401" s="64"/>
      <c r="M401" s="64"/>
      <c r="N401" s="10"/>
      <c r="O401" s="10">
        <f>O403+O419</f>
        <v>787532</v>
      </c>
      <c r="P401" s="10">
        <f>P403+P419</f>
        <v>787532</v>
      </c>
    </row>
    <row r="402" spans="1:16" ht="101.25">
      <c r="A402" s="12" t="s">
        <v>306</v>
      </c>
      <c r="B402" s="11"/>
      <c r="C402" s="11"/>
      <c r="D402" s="43"/>
      <c r="E402" s="43"/>
      <c r="F402" s="43"/>
      <c r="G402" s="43"/>
      <c r="H402" s="43"/>
      <c r="I402" s="43"/>
      <c r="J402" s="43"/>
      <c r="K402" s="65"/>
      <c r="L402" s="65"/>
      <c r="M402" s="65"/>
      <c r="N402" s="43"/>
      <c r="O402" s="43"/>
      <c r="P402" s="43"/>
    </row>
    <row r="403" spans="1:16" ht="78.75">
      <c r="A403" s="67" t="s">
        <v>408</v>
      </c>
      <c r="B403" s="11"/>
      <c r="C403" s="11"/>
      <c r="D403" s="43"/>
      <c r="E403" s="43">
        <f>E405+E406+E407+E408</f>
        <v>428840</v>
      </c>
      <c r="F403" s="43">
        <f>D403+E403</f>
        <v>428840</v>
      </c>
      <c r="G403" s="43"/>
      <c r="H403" s="43">
        <f>H405+H406+H407+H408</f>
        <v>480700</v>
      </c>
      <c r="I403" s="43"/>
      <c r="J403" s="43">
        <f>J405+J406+J407+J408</f>
        <v>480700</v>
      </c>
      <c r="K403" s="65"/>
      <c r="L403" s="65"/>
      <c r="M403" s="65"/>
      <c r="N403" s="43"/>
      <c r="O403" s="43">
        <f>O405+O406+O407+O408</f>
        <v>487340</v>
      </c>
      <c r="P403" s="43">
        <f>P405+P406+P407+P408</f>
        <v>487340</v>
      </c>
    </row>
    <row r="404" spans="1:16" ht="11.25">
      <c r="A404" s="13" t="s">
        <v>4</v>
      </c>
      <c r="B404" s="11"/>
      <c r="C404" s="11"/>
      <c r="D404" s="43"/>
      <c r="E404" s="43"/>
      <c r="F404" s="43"/>
      <c r="G404" s="43"/>
      <c r="H404" s="43"/>
      <c r="I404" s="43"/>
      <c r="J404" s="43"/>
      <c r="K404" s="65"/>
      <c r="L404" s="65"/>
      <c r="M404" s="65"/>
      <c r="N404" s="43"/>
      <c r="O404" s="43"/>
      <c r="P404" s="43"/>
    </row>
    <row r="405" spans="1:16" ht="33.75">
      <c r="A405" s="8" t="s">
        <v>308</v>
      </c>
      <c r="B405" s="11"/>
      <c r="C405" s="11"/>
      <c r="D405" s="43"/>
      <c r="E405" s="43">
        <f>E410*E415</f>
        <v>387500</v>
      </c>
      <c r="F405" s="43">
        <f>D405+E405</f>
        <v>387500</v>
      </c>
      <c r="G405" s="43"/>
      <c r="H405" s="43">
        <f>H410*H415</f>
        <v>415000</v>
      </c>
      <c r="I405" s="43"/>
      <c r="J405" s="43">
        <f>G405+H405</f>
        <v>415000</v>
      </c>
      <c r="K405" s="65"/>
      <c r="L405" s="65"/>
      <c r="M405" s="65"/>
      <c r="N405" s="43"/>
      <c r="O405" s="43">
        <f>O410*O415</f>
        <v>440000</v>
      </c>
      <c r="P405" s="43">
        <f>N405+O405</f>
        <v>440000</v>
      </c>
    </row>
    <row r="406" spans="1:16" ht="22.5">
      <c r="A406" s="8" t="s">
        <v>307</v>
      </c>
      <c r="B406" s="11"/>
      <c r="C406" s="11"/>
      <c r="D406" s="43"/>
      <c r="E406" s="43">
        <f>E411*E416</f>
        <v>12240</v>
      </c>
      <c r="F406" s="43">
        <f>D406+E406</f>
        <v>12240</v>
      </c>
      <c r="G406" s="43"/>
      <c r="H406" s="43">
        <f>H411*H416</f>
        <v>13200</v>
      </c>
      <c r="I406" s="43"/>
      <c r="J406" s="43">
        <f>G406+H406</f>
        <v>13200</v>
      </c>
      <c r="K406" s="65"/>
      <c r="L406" s="65"/>
      <c r="M406" s="65"/>
      <c r="N406" s="43"/>
      <c r="O406" s="43">
        <f>O411*O416</f>
        <v>14040</v>
      </c>
      <c r="P406" s="43">
        <f>N406+O406</f>
        <v>14040</v>
      </c>
    </row>
    <row r="407" spans="1:16" ht="33.75">
      <c r="A407" s="8" t="s">
        <v>309</v>
      </c>
      <c r="B407" s="11"/>
      <c r="C407" s="11"/>
      <c r="D407" s="43"/>
      <c r="E407" s="43">
        <f>E412*E417</f>
        <v>25200</v>
      </c>
      <c r="F407" s="43">
        <f>D407+E407</f>
        <v>25200</v>
      </c>
      <c r="G407" s="43"/>
      <c r="H407" s="43">
        <f>H412*H417</f>
        <v>27000</v>
      </c>
      <c r="I407" s="43"/>
      <c r="J407" s="43">
        <f>G407+H407</f>
        <v>27000</v>
      </c>
      <c r="K407" s="65"/>
      <c r="L407" s="65"/>
      <c r="M407" s="65"/>
      <c r="N407" s="43"/>
      <c r="O407" s="43">
        <f>O412*O417</f>
        <v>28800</v>
      </c>
      <c r="P407" s="43">
        <f>N407+O407</f>
        <v>28800</v>
      </c>
    </row>
    <row r="408" spans="1:16" ht="33.75">
      <c r="A408" s="8" t="s">
        <v>310</v>
      </c>
      <c r="B408" s="11"/>
      <c r="C408" s="11"/>
      <c r="D408" s="43"/>
      <c r="E408" s="43">
        <f>E413*E418</f>
        <v>3900</v>
      </c>
      <c r="F408" s="43">
        <f>D408+E408</f>
        <v>3900</v>
      </c>
      <c r="G408" s="43"/>
      <c r="H408" s="43">
        <v>25500</v>
      </c>
      <c r="I408" s="43"/>
      <c r="J408" s="43">
        <f>G408+H408</f>
        <v>25500</v>
      </c>
      <c r="K408" s="65"/>
      <c r="L408" s="65"/>
      <c r="M408" s="65"/>
      <c r="N408" s="43"/>
      <c r="O408" s="43">
        <f>O413*O418</f>
        <v>4500</v>
      </c>
      <c r="P408" s="43">
        <f>N408+O408</f>
        <v>4500</v>
      </c>
    </row>
    <row r="409" spans="1:16" ht="11.25">
      <c r="A409" s="13" t="s">
        <v>5</v>
      </c>
      <c r="B409" s="11"/>
      <c r="C409" s="11"/>
      <c r="D409" s="43"/>
      <c r="E409" s="43"/>
      <c r="F409" s="43"/>
      <c r="G409" s="43"/>
      <c r="H409" s="43"/>
      <c r="I409" s="43"/>
      <c r="J409" s="43"/>
      <c r="K409" s="65"/>
      <c r="L409" s="65"/>
      <c r="M409" s="65"/>
      <c r="N409" s="43"/>
      <c r="O409" s="43"/>
      <c r="P409" s="43"/>
    </row>
    <row r="410" spans="1:16" ht="33.75">
      <c r="A410" s="8" t="s">
        <v>311</v>
      </c>
      <c r="B410" s="11"/>
      <c r="C410" s="11"/>
      <c r="D410" s="43"/>
      <c r="E410" s="14">
        <f>60+160+30</f>
        <v>250</v>
      </c>
      <c r="F410" s="43">
        <f aca="true" t="shared" si="54" ref="F410:F418">D410+E410</f>
        <v>250</v>
      </c>
      <c r="G410" s="43"/>
      <c r="H410" s="14">
        <f>60+160+30</f>
        <v>250</v>
      </c>
      <c r="I410" s="43"/>
      <c r="J410" s="43">
        <f aca="true" t="shared" si="55" ref="J410:J418">G410+H410</f>
        <v>250</v>
      </c>
      <c r="K410" s="65"/>
      <c r="L410" s="65"/>
      <c r="M410" s="65"/>
      <c r="N410" s="43"/>
      <c r="O410" s="14">
        <f>60+160+30</f>
        <v>250</v>
      </c>
      <c r="P410" s="43">
        <f aca="true" t="shared" si="56" ref="P410:P418">N410+O410</f>
        <v>250</v>
      </c>
    </row>
    <row r="411" spans="1:16" ht="33.75">
      <c r="A411" s="8" t="s">
        <v>312</v>
      </c>
      <c r="B411" s="11"/>
      <c r="C411" s="11"/>
      <c r="D411" s="43"/>
      <c r="E411" s="14">
        <v>24</v>
      </c>
      <c r="F411" s="43">
        <f t="shared" si="54"/>
        <v>24</v>
      </c>
      <c r="G411" s="43"/>
      <c r="H411" s="14">
        <v>24</v>
      </c>
      <c r="I411" s="43"/>
      <c r="J411" s="43">
        <f t="shared" si="55"/>
        <v>24</v>
      </c>
      <c r="K411" s="65"/>
      <c r="L411" s="65"/>
      <c r="M411" s="65"/>
      <c r="N411" s="43"/>
      <c r="O411" s="14">
        <v>24</v>
      </c>
      <c r="P411" s="43">
        <f t="shared" si="56"/>
        <v>24</v>
      </c>
    </row>
    <row r="412" spans="1:16" ht="33.75">
      <c r="A412" s="8" t="s">
        <v>313</v>
      </c>
      <c r="B412" s="11"/>
      <c r="C412" s="11"/>
      <c r="D412" s="43"/>
      <c r="E412" s="14">
        <v>90</v>
      </c>
      <c r="F412" s="43">
        <f t="shared" si="54"/>
        <v>90</v>
      </c>
      <c r="G412" s="43"/>
      <c r="H412" s="14">
        <v>90</v>
      </c>
      <c r="I412" s="43"/>
      <c r="J412" s="43">
        <f t="shared" si="55"/>
        <v>90</v>
      </c>
      <c r="K412" s="65"/>
      <c r="L412" s="65"/>
      <c r="M412" s="65"/>
      <c r="N412" s="43"/>
      <c r="O412" s="14">
        <v>90</v>
      </c>
      <c r="P412" s="43">
        <f t="shared" si="56"/>
        <v>90</v>
      </c>
    </row>
    <row r="413" spans="1:16" ht="22.5">
      <c r="A413" s="8" t="s">
        <v>314</v>
      </c>
      <c r="B413" s="11"/>
      <c r="C413" s="11"/>
      <c r="D413" s="43"/>
      <c r="E413" s="14">
        <v>30</v>
      </c>
      <c r="F413" s="43">
        <f t="shared" si="54"/>
        <v>30</v>
      </c>
      <c r="G413" s="43"/>
      <c r="H413" s="14">
        <v>30</v>
      </c>
      <c r="I413" s="43"/>
      <c r="J413" s="43">
        <f t="shared" si="55"/>
        <v>30</v>
      </c>
      <c r="K413" s="65"/>
      <c r="L413" s="65"/>
      <c r="M413" s="65"/>
      <c r="N413" s="43"/>
      <c r="O413" s="14">
        <v>30</v>
      </c>
      <c r="P413" s="43">
        <f t="shared" si="56"/>
        <v>30</v>
      </c>
    </row>
    <row r="414" spans="1:16" ht="11.25">
      <c r="A414" s="13" t="s">
        <v>7</v>
      </c>
      <c r="B414" s="68"/>
      <c r="C414" s="11"/>
      <c r="D414" s="43"/>
      <c r="E414" s="15">
        <f>E415+E416+E417+E418</f>
        <v>2470</v>
      </c>
      <c r="F414" s="43">
        <f t="shared" si="54"/>
        <v>2470</v>
      </c>
      <c r="G414" s="43"/>
      <c r="H414" s="15">
        <f>H415+H416+H417+H418</f>
        <v>3360</v>
      </c>
      <c r="I414" s="43"/>
      <c r="J414" s="43">
        <f t="shared" si="55"/>
        <v>3360</v>
      </c>
      <c r="K414" s="65"/>
      <c r="L414" s="65"/>
      <c r="M414" s="65"/>
      <c r="N414" s="43"/>
      <c r="O414" s="15">
        <f>O415+O416+O417+O418</f>
        <v>2815</v>
      </c>
      <c r="P414" s="43">
        <f t="shared" si="56"/>
        <v>2815</v>
      </c>
    </row>
    <row r="415" spans="1:16" ht="33.75">
      <c r="A415" s="11" t="s">
        <v>315</v>
      </c>
      <c r="B415" s="68"/>
      <c r="C415" s="11"/>
      <c r="D415" s="43"/>
      <c r="E415" s="15">
        <v>1550</v>
      </c>
      <c r="F415" s="43">
        <f t="shared" si="54"/>
        <v>1550</v>
      </c>
      <c r="G415" s="43"/>
      <c r="H415" s="15">
        <v>1660</v>
      </c>
      <c r="I415" s="43"/>
      <c r="J415" s="43">
        <f t="shared" si="55"/>
        <v>1660</v>
      </c>
      <c r="K415" s="65"/>
      <c r="L415" s="65"/>
      <c r="M415" s="65"/>
      <c r="N415" s="43"/>
      <c r="O415" s="15">
        <v>1760</v>
      </c>
      <c r="P415" s="43">
        <f t="shared" si="56"/>
        <v>1760</v>
      </c>
    </row>
    <row r="416" spans="1:16" ht="24.75" customHeight="1">
      <c r="A416" s="11" t="s">
        <v>316</v>
      </c>
      <c r="B416" s="68"/>
      <c r="C416" s="11"/>
      <c r="D416" s="43"/>
      <c r="E416" s="15">
        <v>510</v>
      </c>
      <c r="F416" s="43">
        <f t="shared" si="54"/>
        <v>510</v>
      </c>
      <c r="G416" s="43"/>
      <c r="H416" s="15">
        <v>550</v>
      </c>
      <c r="I416" s="43"/>
      <c r="J416" s="43">
        <f t="shared" si="55"/>
        <v>550</v>
      </c>
      <c r="K416" s="65"/>
      <c r="L416" s="65"/>
      <c r="M416" s="65"/>
      <c r="N416" s="43"/>
      <c r="O416" s="15">
        <v>585</v>
      </c>
      <c r="P416" s="43">
        <f t="shared" si="56"/>
        <v>585</v>
      </c>
    </row>
    <row r="417" spans="1:16" ht="33.75">
      <c r="A417" s="11" t="s">
        <v>317</v>
      </c>
      <c r="B417" s="11"/>
      <c r="C417" s="11"/>
      <c r="D417" s="43"/>
      <c r="E417" s="15">
        <v>280</v>
      </c>
      <c r="F417" s="43">
        <f t="shared" si="54"/>
        <v>280</v>
      </c>
      <c r="G417" s="43"/>
      <c r="H417" s="15">
        <v>300</v>
      </c>
      <c r="I417" s="43"/>
      <c r="J417" s="43">
        <f t="shared" si="55"/>
        <v>300</v>
      </c>
      <c r="K417" s="65"/>
      <c r="L417" s="65"/>
      <c r="M417" s="65"/>
      <c r="N417" s="43"/>
      <c r="O417" s="15">
        <v>320</v>
      </c>
      <c r="P417" s="43">
        <f t="shared" si="56"/>
        <v>320</v>
      </c>
    </row>
    <row r="418" spans="1:16" ht="22.5">
      <c r="A418" s="16" t="s">
        <v>318</v>
      </c>
      <c r="B418" s="11"/>
      <c r="C418" s="11"/>
      <c r="D418" s="43"/>
      <c r="E418" s="17">
        <v>130</v>
      </c>
      <c r="F418" s="43">
        <f t="shared" si="54"/>
        <v>130</v>
      </c>
      <c r="G418" s="43"/>
      <c r="H418" s="17">
        <v>850</v>
      </c>
      <c r="I418" s="43"/>
      <c r="J418" s="43">
        <f t="shared" si="55"/>
        <v>850</v>
      </c>
      <c r="K418" s="65"/>
      <c r="L418" s="65"/>
      <c r="M418" s="65"/>
      <c r="N418" s="43"/>
      <c r="O418" s="18">
        <v>150</v>
      </c>
      <c r="P418" s="43">
        <f t="shared" si="56"/>
        <v>150</v>
      </c>
    </row>
    <row r="419" spans="1:16" ht="45">
      <c r="A419" s="58" t="s">
        <v>409</v>
      </c>
      <c r="B419" s="11"/>
      <c r="C419" s="11"/>
      <c r="D419" s="43">
        <f>D421</f>
        <v>0</v>
      </c>
      <c r="E419" s="43">
        <f>E421</f>
        <v>264000</v>
      </c>
      <c r="F419" s="43">
        <f>F421</f>
        <v>264000</v>
      </c>
      <c r="G419" s="43"/>
      <c r="H419" s="43">
        <f>H421</f>
        <v>283200</v>
      </c>
      <c r="I419" s="43"/>
      <c r="J419" s="43">
        <f>J421</f>
        <v>283200</v>
      </c>
      <c r="K419" s="65"/>
      <c r="L419" s="65"/>
      <c r="M419" s="65"/>
      <c r="N419" s="43"/>
      <c r="O419" s="43">
        <f>O421</f>
        <v>300192</v>
      </c>
      <c r="P419" s="43">
        <f>P421</f>
        <v>300192</v>
      </c>
    </row>
    <row r="420" spans="1:16" ht="11.25">
      <c r="A420" s="19" t="s">
        <v>4</v>
      </c>
      <c r="B420" s="11"/>
      <c r="C420" s="11"/>
      <c r="D420" s="43"/>
      <c r="E420" s="17"/>
      <c r="F420" s="43"/>
      <c r="G420" s="43"/>
      <c r="H420" s="17"/>
      <c r="I420" s="43"/>
      <c r="J420" s="43"/>
      <c r="K420" s="65"/>
      <c r="L420" s="65"/>
      <c r="M420" s="65"/>
      <c r="N420" s="43"/>
      <c r="O420" s="18"/>
      <c r="P420" s="43"/>
    </row>
    <row r="421" spans="1:16" ht="22.5">
      <c r="A421" s="8" t="s">
        <v>319</v>
      </c>
      <c r="B421" s="11"/>
      <c r="C421" s="11"/>
      <c r="D421" s="43"/>
      <c r="E421" s="17">
        <v>264000</v>
      </c>
      <c r="F421" s="43">
        <f>D421+E421</f>
        <v>264000</v>
      </c>
      <c r="G421" s="43"/>
      <c r="H421" s="17">
        <f>H423*H425</f>
        <v>283200</v>
      </c>
      <c r="I421" s="43"/>
      <c r="J421" s="43">
        <f>G421+H421</f>
        <v>283200</v>
      </c>
      <c r="K421" s="65"/>
      <c r="L421" s="65"/>
      <c r="M421" s="65"/>
      <c r="N421" s="43"/>
      <c r="O421" s="18">
        <f>O423*O425</f>
        <v>300192</v>
      </c>
      <c r="P421" s="43">
        <f>N421+O421</f>
        <v>300192</v>
      </c>
    </row>
    <row r="422" spans="1:16" ht="11.25">
      <c r="A422" s="19" t="s">
        <v>5</v>
      </c>
      <c r="B422" s="11"/>
      <c r="C422" s="11"/>
      <c r="D422" s="43"/>
      <c r="E422" s="17"/>
      <c r="F422" s="43"/>
      <c r="G422" s="43"/>
      <c r="H422" s="17"/>
      <c r="I422" s="43"/>
      <c r="J422" s="43"/>
      <c r="K422" s="65"/>
      <c r="L422" s="65"/>
      <c r="M422" s="65"/>
      <c r="N422" s="43"/>
      <c r="O422" s="18"/>
      <c r="P422" s="43"/>
    </row>
    <row r="423" spans="1:16" ht="22.5">
      <c r="A423" s="20" t="s">
        <v>320</v>
      </c>
      <c r="B423" s="11"/>
      <c r="C423" s="11"/>
      <c r="D423" s="43"/>
      <c r="E423" s="21">
        <v>236</v>
      </c>
      <c r="F423" s="69">
        <f>D423+E423</f>
        <v>236</v>
      </c>
      <c r="G423" s="69"/>
      <c r="H423" s="21">
        <v>236</v>
      </c>
      <c r="I423" s="69"/>
      <c r="J423" s="69">
        <f>G423+H423</f>
        <v>236</v>
      </c>
      <c r="K423" s="70"/>
      <c r="L423" s="70"/>
      <c r="M423" s="70"/>
      <c r="N423" s="69"/>
      <c r="O423" s="21">
        <v>236</v>
      </c>
      <c r="P423" s="69">
        <f>N423+O423</f>
        <v>236</v>
      </c>
    </row>
    <row r="424" spans="1:16" ht="11.25">
      <c r="A424" s="19" t="s">
        <v>7</v>
      </c>
      <c r="B424" s="11"/>
      <c r="C424" s="11"/>
      <c r="D424" s="43"/>
      <c r="E424" s="17"/>
      <c r="F424" s="43"/>
      <c r="G424" s="43"/>
      <c r="H424" s="17"/>
      <c r="I424" s="43"/>
      <c r="J424" s="43"/>
      <c r="K424" s="65"/>
      <c r="L424" s="65"/>
      <c r="M424" s="65"/>
      <c r="N424" s="43"/>
      <c r="O424" s="18"/>
      <c r="P424" s="43"/>
    </row>
    <row r="425" spans="1:16" ht="22.5">
      <c r="A425" s="20" t="s">
        <v>321</v>
      </c>
      <c r="B425" s="11"/>
      <c r="C425" s="11"/>
      <c r="D425" s="43"/>
      <c r="E425" s="43">
        <v>1118.64</v>
      </c>
      <c r="F425" s="43">
        <f>D425+E425</f>
        <v>1118.64</v>
      </c>
      <c r="G425" s="43"/>
      <c r="H425" s="43">
        <v>1200</v>
      </c>
      <c r="I425" s="43"/>
      <c r="J425" s="43">
        <f>G425+H425</f>
        <v>1200</v>
      </c>
      <c r="K425" s="65"/>
      <c r="L425" s="65"/>
      <c r="M425" s="65"/>
      <c r="N425" s="43"/>
      <c r="O425" s="43">
        <v>1272</v>
      </c>
      <c r="P425" s="43">
        <f>N425+O425</f>
        <v>1272</v>
      </c>
    </row>
    <row r="426" spans="1:235" s="39" customFormat="1" ht="24" customHeight="1">
      <c r="A426" s="9" t="s">
        <v>410</v>
      </c>
      <c r="B426" s="9"/>
      <c r="C426" s="9"/>
      <c r="D426" s="10">
        <f>(D428*D430)</f>
        <v>64999.9999998</v>
      </c>
      <c r="E426" s="10"/>
      <c r="F426" s="10">
        <f>D426</f>
        <v>64999.9999998</v>
      </c>
      <c r="G426" s="10">
        <f>G428*G430</f>
        <v>58000</v>
      </c>
      <c r="H426" s="10"/>
      <c r="I426" s="10"/>
      <c r="J426" s="10">
        <f>G426</f>
        <v>58000</v>
      </c>
      <c r="K426" s="10"/>
      <c r="L426" s="10"/>
      <c r="M426" s="10"/>
      <c r="N426" s="10">
        <f>N428*N430</f>
        <v>74999.99999968</v>
      </c>
      <c r="O426" s="10"/>
      <c r="P426" s="10">
        <f>N426</f>
        <v>74999.99999968</v>
      </c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  <c r="DG426" s="38"/>
      <c r="DH426" s="38"/>
      <c r="DI426" s="38"/>
      <c r="DJ426" s="38"/>
      <c r="DK426" s="38"/>
      <c r="DL426" s="38"/>
      <c r="DM426" s="38"/>
      <c r="DN426" s="38"/>
      <c r="DO426" s="38"/>
      <c r="DP426" s="38"/>
      <c r="DQ426" s="38"/>
      <c r="DR426" s="38"/>
      <c r="DS426" s="38"/>
      <c r="DT426" s="38"/>
      <c r="DU426" s="38"/>
      <c r="DV426" s="38"/>
      <c r="DW426" s="38"/>
      <c r="DX426" s="38"/>
      <c r="DY426" s="38"/>
      <c r="DZ426" s="38"/>
      <c r="EA426" s="38"/>
      <c r="EB426" s="38"/>
      <c r="EC426" s="38"/>
      <c r="ED426" s="38"/>
      <c r="EE426" s="38"/>
      <c r="EF426" s="38"/>
      <c r="EG426" s="38"/>
      <c r="EH426" s="38"/>
      <c r="EI426" s="38"/>
      <c r="EJ426" s="38"/>
      <c r="EK426" s="38"/>
      <c r="EL426" s="38"/>
      <c r="EM426" s="38"/>
      <c r="EN426" s="38"/>
      <c r="EO426" s="38"/>
      <c r="EP426" s="38"/>
      <c r="EQ426" s="38"/>
      <c r="ER426" s="38"/>
      <c r="ES426" s="38"/>
      <c r="ET426" s="38"/>
      <c r="EU426" s="38"/>
      <c r="EV426" s="38"/>
      <c r="EW426" s="38"/>
      <c r="EX426" s="38"/>
      <c r="EY426" s="38"/>
      <c r="EZ426" s="38"/>
      <c r="FA426" s="38"/>
      <c r="FB426" s="38"/>
      <c r="FC426" s="38"/>
      <c r="FD426" s="38"/>
      <c r="FE426" s="38"/>
      <c r="FF426" s="38"/>
      <c r="FG426" s="38"/>
      <c r="FH426" s="38"/>
      <c r="FI426" s="38"/>
      <c r="FJ426" s="38"/>
      <c r="FK426" s="38"/>
      <c r="FL426" s="38"/>
      <c r="FM426" s="38"/>
      <c r="FN426" s="38"/>
      <c r="FO426" s="38"/>
      <c r="FP426" s="38"/>
      <c r="FQ426" s="38"/>
      <c r="FR426" s="38"/>
      <c r="FS426" s="38"/>
      <c r="FT426" s="38"/>
      <c r="FU426" s="38"/>
      <c r="FV426" s="38"/>
      <c r="FW426" s="38"/>
      <c r="FX426" s="38"/>
      <c r="FY426" s="38"/>
      <c r="FZ426" s="38"/>
      <c r="GA426" s="38"/>
      <c r="GB426" s="38"/>
      <c r="GC426" s="38"/>
      <c r="GD426" s="38"/>
      <c r="GE426" s="38"/>
      <c r="GF426" s="38"/>
      <c r="GG426" s="38"/>
      <c r="GH426" s="38"/>
      <c r="GI426" s="38"/>
      <c r="GJ426" s="38"/>
      <c r="GK426" s="38"/>
      <c r="GL426" s="38"/>
      <c r="GM426" s="38"/>
      <c r="GN426" s="38"/>
      <c r="GO426" s="38"/>
      <c r="GP426" s="38"/>
      <c r="GQ426" s="38"/>
      <c r="GR426" s="38"/>
      <c r="GS426" s="38"/>
      <c r="GT426" s="38"/>
      <c r="GU426" s="38"/>
      <c r="GV426" s="38"/>
      <c r="GW426" s="38"/>
      <c r="GX426" s="38"/>
      <c r="GY426" s="38"/>
      <c r="GZ426" s="38"/>
      <c r="HA426" s="38"/>
      <c r="HB426" s="38"/>
      <c r="HC426" s="38"/>
      <c r="HD426" s="38"/>
      <c r="HE426" s="38"/>
      <c r="HF426" s="38"/>
      <c r="HG426" s="38"/>
      <c r="HH426" s="38"/>
      <c r="HI426" s="38"/>
      <c r="HJ426" s="38"/>
      <c r="HK426" s="38"/>
      <c r="HL426" s="38"/>
      <c r="HM426" s="38"/>
      <c r="HN426" s="38"/>
      <c r="HO426" s="38"/>
      <c r="HP426" s="38"/>
      <c r="HQ426" s="38"/>
      <c r="HR426" s="38"/>
      <c r="HS426" s="38"/>
      <c r="HT426" s="38"/>
      <c r="HU426" s="38"/>
      <c r="HV426" s="38"/>
      <c r="HW426" s="38"/>
      <c r="HX426" s="38"/>
      <c r="HY426" s="38"/>
      <c r="HZ426" s="38"/>
      <c r="IA426" s="38"/>
    </row>
    <row r="427" spans="1:16" ht="12.75" customHeight="1">
      <c r="A427" s="13" t="s">
        <v>152</v>
      </c>
      <c r="B427" s="9"/>
      <c r="C427" s="9"/>
      <c r="D427" s="10"/>
      <c r="E427" s="10"/>
      <c r="F427" s="10"/>
      <c r="G427" s="10"/>
      <c r="H427" s="10"/>
      <c r="I427" s="10"/>
      <c r="J427" s="10"/>
      <c r="K427" s="65"/>
      <c r="L427" s="10"/>
      <c r="M427" s="10"/>
      <c r="N427" s="10"/>
      <c r="O427" s="10"/>
      <c r="P427" s="10"/>
    </row>
    <row r="428" spans="1:16" ht="24" customHeight="1">
      <c r="A428" s="8" t="s">
        <v>151</v>
      </c>
      <c r="B428" s="11"/>
      <c r="C428" s="11"/>
      <c r="D428" s="43">
        <v>5400</v>
      </c>
      <c r="E428" s="43"/>
      <c r="F428" s="43">
        <f>D428</f>
        <v>5400</v>
      </c>
      <c r="G428" s="43">
        <v>4640</v>
      </c>
      <c r="H428" s="43"/>
      <c r="I428" s="43"/>
      <c r="J428" s="43">
        <f>G428</f>
        <v>4640</v>
      </c>
      <c r="K428" s="65"/>
      <c r="L428" s="65"/>
      <c r="M428" s="65"/>
      <c r="N428" s="43">
        <v>5600</v>
      </c>
      <c r="O428" s="43"/>
      <c r="P428" s="43">
        <f>N428</f>
        <v>5600</v>
      </c>
    </row>
    <row r="429" spans="1:16" ht="11.25">
      <c r="A429" s="13" t="s">
        <v>7</v>
      </c>
      <c r="B429" s="11"/>
      <c r="C429" s="11"/>
      <c r="D429" s="43"/>
      <c r="E429" s="43"/>
      <c r="F429" s="43"/>
      <c r="G429" s="43"/>
      <c r="H429" s="43"/>
      <c r="I429" s="43"/>
      <c r="J429" s="43"/>
      <c r="K429" s="65"/>
      <c r="L429" s="65"/>
      <c r="M429" s="65"/>
      <c r="N429" s="43"/>
      <c r="O429" s="43"/>
      <c r="P429" s="43"/>
    </row>
    <row r="430" spans="1:16" ht="24" customHeight="1">
      <c r="A430" s="11" t="s">
        <v>153</v>
      </c>
      <c r="B430" s="11"/>
      <c r="C430" s="11"/>
      <c r="D430" s="43">
        <v>12.037037037</v>
      </c>
      <c r="E430" s="43"/>
      <c r="F430" s="43">
        <f>D430</f>
        <v>12.037037037</v>
      </c>
      <c r="G430" s="43">
        <v>12.5</v>
      </c>
      <c r="H430" s="43"/>
      <c r="I430" s="43"/>
      <c r="J430" s="43">
        <f>G430</f>
        <v>12.5</v>
      </c>
      <c r="K430" s="65"/>
      <c r="L430" s="65"/>
      <c r="M430" s="65"/>
      <c r="N430" s="43">
        <v>13.3928571428</v>
      </c>
      <c r="O430" s="43"/>
      <c r="P430" s="43">
        <f>N430</f>
        <v>13.3928571428</v>
      </c>
    </row>
    <row r="431" spans="1:235" s="39" customFormat="1" ht="123.75">
      <c r="A431" s="67" t="s">
        <v>424</v>
      </c>
      <c r="B431" s="9"/>
      <c r="C431" s="9"/>
      <c r="D431" s="146">
        <f>D433*D441+D435*D443+D434*D442+D436*D444+D437*D445+D438*D446</f>
        <v>404000</v>
      </c>
      <c r="E431" s="10"/>
      <c r="F431" s="10">
        <f>F433*F441+F435*F443+F434*F442+F436*F444+F437*F445+F438*F446</f>
        <v>404000</v>
      </c>
      <c r="G431" s="10">
        <f>G433*G441+G435*G443+G434*G442+G436*G444+G437*G445+G438*G446+G439*G447</f>
        <v>413700</v>
      </c>
      <c r="H431" s="10"/>
      <c r="I431" s="10"/>
      <c r="J431" s="10">
        <f>G431</f>
        <v>413700</v>
      </c>
      <c r="K431" s="10"/>
      <c r="L431" s="10"/>
      <c r="M431" s="10"/>
      <c r="N431" s="10">
        <f>N435*N443+N433*N441</f>
        <v>65000</v>
      </c>
      <c r="O431" s="10"/>
      <c r="P431" s="10">
        <f>N431</f>
        <v>65000</v>
      </c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  <c r="DG431" s="38"/>
      <c r="DH431" s="38"/>
      <c r="DI431" s="38"/>
      <c r="DJ431" s="38"/>
      <c r="DK431" s="38"/>
      <c r="DL431" s="38"/>
      <c r="DM431" s="38"/>
      <c r="DN431" s="38"/>
      <c r="DO431" s="38"/>
      <c r="DP431" s="38"/>
      <c r="DQ431" s="38"/>
      <c r="DR431" s="38"/>
      <c r="DS431" s="38"/>
      <c r="DT431" s="38"/>
      <c r="DU431" s="38"/>
      <c r="DV431" s="38"/>
      <c r="DW431" s="38"/>
      <c r="DX431" s="38"/>
      <c r="DY431" s="38"/>
      <c r="DZ431" s="38"/>
      <c r="EA431" s="38"/>
      <c r="EB431" s="38"/>
      <c r="EC431" s="38"/>
      <c r="ED431" s="38"/>
      <c r="EE431" s="38"/>
      <c r="EF431" s="38"/>
      <c r="EG431" s="38"/>
      <c r="EH431" s="38"/>
      <c r="EI431" s="38"/>
      <c r="EJ431" s="38"/>
      <c r="EK431" s="38"/>
      <c r="EL431" s="38"/>
      <c r="EM431" s="38"/>
      <c r="EN431" s="38"/>
      <c r="EO431" s="38"/>
      <c r="EP431" s="38"/>
      <c r="EQ431" s="38"/>
      <c r="ER431" s="38"/>
      <c r="ES431" s="38"/>
      <c r="ET431" s="38"/>
      <c r="EU431" s="38"/>
      <c r="EV431" s="38"/>
      <c r="EW431" s="38"/>
      <c r="EX431" s="38"/>
      <c r="EY431" s="38"/>
      <c r="EZ431" s="38"/>
      <c r="FA431" s="38"/>
      <c r="FB431" s="38"/>
      <c r="FC431" s="38"/>
      <c r="FD431" s="38"/>
      <c r="FE431" s="38"/>
      <c r="FF431" s="38"/>
      <c r="FG431" s="38"/>
      <c r="FH431" s="38"/>
      <c r="FI431" s="38"/>
      <c r="FJ431" s="38"/>
      <c r="FK431" s="38"/>
      <c r="FL431" s="38"/>
      <c r="FM431" s="38"/>
      <c r="FN431" s="38"/>
      <c r="FO431" s="38"/>
      <c r="FP431" s="38"/>
      <c r="FQ431" s="38"/>
      <c r="FR431" s="38"/>
      <c r="FS431" s="38"/>
      <c r="FT431" s="38"/>
      <c r="FU431" s="38"/>
      <c r="FV431" s="38"/>
      <c r="FW431" s="38"/>
      <c r="FX431" s="38"/>
      <c r="FY431" s="38"/>
      <c r="FZ431" s="38"/>
      <c r="GA431" s="38"/>
      <c r="GB431" s="38"/>
      <c r="GC431" s="38"/>
      <c r="GD431" s="38"/>
      <c r="GE431" s="38"/>
      <c r="GF431" s="38"/>
      <c r="GG431" s="38"/>
      <c r="GH431" s="38"/>
      <c r="GI431" s="38"/>
      <c r="GJ431" s="38"/>
      <c r="GK431" s="38"/>
      <c r="GL431" s="38"/>
      <c r="GM431" s="38"/>
      <c r="GN431" s="38"/>
      <c r="GO431" s="38"/>
      <c r="GP431" s="38"/>
      <c r="GQ431" s="38"/>
      <c r="GR431" s="38"/>
      <c r="GS431" s="38"/>
      <c r="GT431" s="38"/>
      <c r="GU431" s="38"/>
      <c r="GV431" s="38"/>
      <c r="GW431" s="38"/>
      <c r="GX431" s="38"/>
      <c r="GY431" s="38"/>
      <c r="GZ431" s="38"/>
      <c r="HA431" s="38"/>
      <c r="HB431" s="38"/>
      <c r="HC431" s="38"/>
      <c r="HD431" s="38"/>
      <c r="HE431" s="38"/>
      <c r="HF431" s="38"/>
      <c r="HG431" s="38"/>
      <c r="HH431" s="38"/>
      <c r="HI431" s="38"/>
      <c r="HJ431" s="38"/>
      <c r="HK431" s="38"/>
      <c r="HL431" s="38"/>
      <c r="HM431" s="38"/>
      <c r="HN431" s="38"/>
      <c r="HO431" s="38"/>
      <c r="HP431" s="38"/>
      <c r="HQ431" s="38"/>
      <c r="HR431" s="38"/>
      <c r="HS431" s="38"/>
      <c r="HT431" s="38"/>
      <c r="HU431" s="38"/>
      <c r="HV431" s="38"/>
      <c r="HW431" s="38"/>
      <c r="HX431" s="38"/>
      <c r="HY431" s="38"/>
      <c r="HZ431" s="38"/>
      <c r="IA431" s="38"/>
    </row>
    <row r="432" spans="1:16" ht="11.25">
      <c r="A432" s="13" t="s">
        <v>152</v>
      </c>
      <c r="B432" s="9"/>
      <c r="C432" s="9"/>
      <c r="D432" s="10"/>
      <c r="E432" s="10"/>
      <c r="F432" s="10"/>
      <c r="G432" s="10"/>
      <c r="H432" s="10"/>
      <c r="I432" s="10"/>
      <c r="J432" s="10"/>
      <c r="K432" s="65"/>
      <c r="L432" s="65"/>
      <c r="M432" s="65"/>
      <c r="N432" s="43"/>
      <c r="O432" s="43"/>
      <c r="P432" s="43"/>
    </row>
    <row r="433" spans="1:16" ht="33" customHeight="1">
      <c r="A433" s="8" t="s">
        <v>267</v>
      </c>
      <c r="B433" s="9"/>
      <c r="C433" s="9"/>
      <c r="D433" s="43">
        <v>5</v>
      </c>
      <c r="E433" s="10"/>
      <c r="F433" s="43">
        <f>D433+E433</f>
        <v>5</v>
      </c>
      <c r="G433" s="43">
        <v>5</v>
      </c>
      <c r="H433" s="10"/>
      <c r="I433" s="43"/>
      <c r="J433" s="43">
        <f aca="true" t="shared" si="57" ref="J433:J439">G433+H433</f>
        <v>5</v>
      </c>
      <c r="K433" s="65"/>
      <c r="L433" s="65"/>
      <c r="M433" s="65"/>
      <c r="N433" s="43">
        <v>5</v>
      </c>
      <c r="O433" s="43"/>
      <c r="P433" s="43">
        <f>N433</f>
        <v>5</v>
      </c>
    </row>
    <row r="434" spans="1:16" ht="26.25" customHeight="1">
      <c r="A434" s="8" t="s">
        <v>272</v>
      </c>
      <c r="B434" s="9"/>
      <c r="C434" s="9"/>
      <c r="D434" s="43">
        <v>1</v>
      </c>
      <c r="E434" s="10"/>
      <c r="F434" s="43">
        <v>1</v>
      </c>
      <c r="G434" s="43">
        <v>1</v>
      </c>
      <c r="H434" s="10"/>
      <c r="I434" s="43"/>
      <c r="J434" s="43">
        <f t="shared" si="57"/>
        <v>1</v>
      </c>
      <c r="K434" s="65"/>
      <c r="L434" s="65"/>
      <c r="M434" s="65"/>
      <c r="N434" s="43"/>
      <c r="O434" s="43"/>
      <c r="P434" s="43"/>
    </row>
    <row r="435" spans="1:16" ht="39" customHeight="1">
      <c r="A435" s="8" t="s">
        <v>224</v>
      </c>
      <c r="B435" s="11"/>
      <c r="C435" s="11"/>
      <c r="D435" s="43">
        <v>12</v>
      </c>
      <c r="E435" s="43"/>
      <c r="F435" s="43">
        <f>D435+E435</f>
        <v>12</v>
      </c>
      <c r="G435" s="43">
        <v>12</v>
      </c>
      <c r="H435" s="43"/>
      <c r="I435" s="43"/>
      <c r="J435" s="43">
        <f t="shared" si="57"/>
        <v>12</v>
      </c>
      <c r="K435" s="65"/>
      <c r="L435" s="65"/>
      <c r="M435" s="65"/>
      <c r="N435" s="43">
        <v>12</v>
      </c>
      <c r="O435" s="43"/>
      <c r="P435" s="43">
        <f>N435</f>
        <v>12</v>
      </c>
    </row>
    <row r="436" spans="1:16" ht="27.75" customHeight="1">
      <c r="A436" s="71" t="s">
        <v>325</v>
      </c>
      <c r="B436" s="11"/>
      <c r="C436" s="11"/>
      <c r="D436" s="43">
        <v>1</v>
      </c>
      <c r="E436" s="43"/>
      <c r="F436" s="43">
        <f>D436+E436</f>
        <v>1</v>
      </c>
      <c r="G436" s="43"/>
      <c r="H436" s="43"/>
      <c r="I436" s="43"/>
      <c r="J436" s="43">
        <f t="shared" si="57"/>
        <v>0</v>
      </c>
      <c r="K436" s="65"/>
      <c r="L436" s="65"/>
      <c r="M436" s="65"/>
      <c r="N436" s="43"/>
      <c r="O436" s="43"/>
      <c r="P436" s="43"/>
    </row>
    <row r="437" spans="1:16" ht="30" customHeight="1">
      <c r="A437" s="71" t="s">
        <v>327</v>
      </c>
      <c r="B437" s="11"/>
      <c r="C437" s="11"/>
      <c r="D437" s="43">
        <v>1</v>
      </c>
      <c r="E437" s="43"/>
      <c r="F437" s="43">
        <f>D437+E437</f>
        <v>1</v>
      </c>
      <c r="G437" s="43"/>
      <c r="H437" s="43"/>
      <c r="I437" s="43"/>
      <c r="J437" s="43">
        <f t="shared" si="57"/>
        <v>0</v>
      </c>
      <c r="K437" s="65"/>
      <c r="L437" s="65"/>
      <c r="M437" s="65"/>
      <c r="N437" s="43"/>
      <c r="O437" s="43"/>
      <c r="P437" s="43"/>
    </row>
    <row r="438" spans="1:16" ht="21.75" customHeight="1">
      <c r="A438" s="8" t="s">
        <v>357</v>
      </c>
      <c r="B438" s="68"/>
      <c r="C438" s="11"/>
      <c r="D438" s="43">
        <v>4</v>
      </c>
      <c r="E438" s="43"/>
      <c r="F438" s="43">
        <f>D438+E438</f>
        <v>4</v>
      </c>
      <c r="G438" s="43">
        <v>4</v>
      </c>
      <c r="H438" s="43"/>
      <c r="I438" s="43"/>
      <c r="J438" s="43">
        <f t="shared" si="57"/>
        <v>4</v>
      </c>
      <c r="K438" s="65"/>
      <c r="L438" s="65"/>
      <c r="M438" s="65"/>
      <c r="N438" s="43"/>
      <c r="O438" s="43"/>
      <c r="P438" s="43"/>
    </row>
    <row r="439" spans="1:16" ht="46.5" customHeight="1">
      <c r="A439" s="8" t="s">
        <v>425</v>
      </c>
      <c r="B439" s="68"/>
      <c r="C439" s="11"/>
      <c r="D439" s="43">
        <v>0</v>
      </c>
      <c r="E439" s="43"/>
      <c r="F439" s="43">
        <f>D439+E439</f>
        <v>0</v>
      </c>
      <c r="G439" s="43">
        <v>1</v>
      </c>
      <c r="H439" s="43"/>
      <c r="I439" s="43"/>
      <c r="J439" s="43">
        <f t="shared" si="57"/>
        <v>1</v>
      </c>
      <c r="K439" s="65"/>
      <c r="L439" s="65"/>
      <c r="M439" s="65"/>
      <c r="N439" s="43"/>
      <c r="O439" s="43"/>
      <c r="P439" s="43"/>
    </row>
    <row r="440" spans="1:16" ht="11.25">
      <c r="A440" s="61" t="s">
        <v>7</v>
      </c>
      <c r="B440" s="11"/>
      <c r="C440" s="11"/>
      <c r="D440" s="43"/>
      <c r="E440" s="43"/>
      <c r="F440" s="43"/>
      <c r="G440" s="43"/>
      <c r="H440" s="43"/>
      <c r="I440" s="43"/>
      <c r="J440" s="43"/>
      <c r="K440" s="65"/>
      <c r="L440" s="65"/>
      <c r="M440" s="65"/>
      <c r="N440" s="43"/>
      <c r="O440" s="43"/>
      <c r="P440" s="43"/>
    </row>
    <row r="441" spans="1:16" ht="22.5">
      <c r="A441" s="11" t="s">
        <v>266</v>
      </c>
      <c r="B441" s="11"/>
      <c r="C441" s="11"/>
      <c r="D441" s="43">
        <v>8400</v>
      </c>
      <c r="E441" s="43"/>
      <c r="F441" s="43">
        <f>D441+E441</f>
        <v>8400</v>
      </c>
      <c r="G441" s="43">
        <v>13000</v>
      </c>
      <c r="H441" s="43"/>
      <c r="I441" s="43"/>
      <c r="J441" s="43">
        <f aca="true" t="shared" si="58" ref="J441:J447">G441+H441</f>
        <v>13000</v>
      </c>
      <c r="K441" s="65"/>
      <c r="L441" s="65"/>
      <c r="M441" s="65"/>
      <c r="N441" s="43">
        <v>10000</v>
      </c>
      <c r="O441" s="43"/>
      <c r="P441" s="43">
        <f>N441</f>
        <v>10000</v>
      </c>
    </row>
    <row r="442" spans="1:16" ht="22.5">
      <c r="A442" s="11" t="s">
        <v>271</v>
      </c>
      <c r="B442" s="11"/>
      <c r="C442" s="11"/>
      <c r="D442" s="43">
        <v>167000</v>
      </c>
      <c r="E442" s="43"/>
      <c r="F442" s="43">
        <f>D442+E442</f>
        <v>167000</v>
      </c>
      <c r="G442" s="43">
        <v>200000</v>
      </c>
      <c r="H442" s="43"/>
      <c r="I442" s="43"/>
      <c r="J442" s="43">
        <f t="shared" si="58"/>
        <v>200000</v>
      </c>
      <c r="K442" s="65"/>
      <c r="L442" s="65"/>
      <c r="M442" s="65"/>
      <c r="N442" s="43"/>
      <c r="O442" s="43"/>
      <c r="P442" s="43"/>
    </row>
    <row r="443" spans="1:16" ht="33.75" customHeight="1">
      <c r="A443" s="11" t="s">
        <v>175</v>
      </c>
      <c r="B443" s="11"/>
      <c r="C443" s="11"/>
      <c r="D443" s="43">
        <f>10000/12</f>
        <v>833.3333333333334</v>
      </c>
      <c r="E443" s="43"/>
      <c r="F443" s="43">
        <f>D443+E443</f>
        <v>833.3333333333334</v>
      </c>
      <c r="G443" s="43">
        <v>500</v>
      </c>
      <c r="H443" s="43"/>
      <c r="I443" s="43"/>
      <c r="J443" s="43">
        <f t="shared" si="58"/>
        <v>500</v>
      </c>
      <c r="K443" s="65"/>
      <c r="L443" s="65"/>
      <c r="M443" s="65"/>
      <c r="N443" s="43">
        <f>15000/12</f>
        <v>1250</v>
      </c>
      <c r="O443" s="43"/>
      <c r="P443" s="43">
        <f>N443</f>
        <v>1250</v>
      </c>
    </row>
    <row r="444" spans="1:16" ht="30.75" customHeight="1">
      <c r="A444" s="11" t="s">
        <v>326</v>
      </c>
      <c r="B444" s="20"/>
      <c r="C444" s="20"/>
      <c r="D444" s="43">
        <v>150000</v>
      </c>
      <c r="E444" s="44"/>
      <c r="F444" s="44">
        <v>150000</v>
      </c>
      <c r="G444" s="44"/>
      <c r="H444" s="44"/>
      <c r="I444" s="44"/>
      <c r="J444" s="65">
        <f t="shared" si="58"/>
        <v>0</v>
      </c>
      <c r="K444" s="44"/>
      <c r="L444" s="44"/>
      <c r="M444" s="44"/>
      <c r="N444" s="44"/>
      <c r="O444" s="44"/>
      <c r="P444" s="44"/>
    </row>
    <row r="445" spans="1:16" ht="30.75" customHeight="1">
      <c r="A445" s="16" t="s">
        <v>328</v>
      </c>
      <c r="B445" s="20"/>
      <c r="C445" s="20"/>
      <c r="D445" s="44">
        <v>1000</v>
      </c>
      <c r="E445" s="44"/>
      <c r="F445" s="44">
        <v>1000</v>
      </c>
      <c r="G445" s="44"/>
      <c r="H445" s="44"/>
      <c r="I445" s="44"/>
      <c r="J445" s="65">
        <f t="shared" si="58"/>
        <v>0</v>
      </c>
      <c r="K445" s="44"/>
      <c r="L445" s="44"/>
      <c r="M445" s="44"/>
      <c r="N445" s="44"/>
      <c r="O445" s="44"/>
      <c r="P445" s="44"/>
    </row>
    <row r="446" spans="1:16" ht="21.75" customHeight="1">
      <c r="A446" s="20" t="s">
        <v>358</v>
      </c>
      <c r="B446" s="20"/>
      <c r="C446" s="20"/>
      <c r="D446" s="44">
        <v>8500</v>
      </c>
      <c r="E446" s="44"/>
      <c r="F446" s="44">
        <v>8500</v>
      </c>
      <c r="G446" s="44">
        <v>12750</v>
      </c>
      <c r="H446" s="44"/>
      <c r="I446" s="44"/>
      <c r="J446" s="65">
        <f t="shared" si="58"/>
        <v>12750</v>
      </c>
      <c r="K446" s="44"/>
      <c r="L446" s="44"/>
      <c r="M446" s="44"/>
      <c r="N446" s="44"/>
      <c r="O446" s="44"/>
      <c r="P446" s="44"/>
    </row>
    <row r="447" spans="1:16" ht="21.75" customHeight="1">
      <c r="A447" s="20" t="s">
        <v>426</v>
      </c>
      <c r="B447" s="20"/>
      <c r="C447" s="20"/>
      <c r="D447" s="44"/>
      <c r="E447" s="44"/>
      <c r="F447" s="44"/>
      <c r="G447" s="44">
        <f>20000+30000+16200+13500+12000</f>
        <v>91700</v>
      </c>
      <c r="H447" s="44"/>
      <c r="I447" s="44"/>
      <c r="J447" s="65">
        <f t="shared" si="58"/>
        <v>91700</v>
      </c>
      <c r="K447" s="44"/>
      <c r="L447" s="44"/>
      <c r="M447" s="44"/>
      <c r="N447" s="44"/>
      <c r="O447" s="44"/>
      <c r="P447" s="44"/>
    </row>
    <row r="448" spans="1:16" ht="21.75" customHeight="1">
      <c r="A448" s="151" t="s">
        <v>366</v>
      </c>
      <c r="B448" s="20"/>
      <c r="C448" s="20"/>
      <c r="D448" s="57">
        <f>D450</f>
        <v>150000</v>
      </c>
      <c r="E448" s="57"/>
      <c r="F448" s="57">
        <f>F450</f>
        <v>150000</v>
      </c>
      <c r="G448" s="57">
        <f>G450</f>
        <v>100000</v>
      </c>
      <c r="H448" s="57"/>
      <c r="I448" s="57">
        <f>I450</f>
        <v>0</v>
      </c>
      <c r="J448" s="57">
        <f>J450</f>
        <v>100000</v>
      </c>
      <c r="K448" s="44"/>
      <c r="L448" s="44"/>
      <c r="M448" s="44"/>
      <c r="N448" s="44"/>
      <c r="O448" s="44"/>
      <c r="P448" s="44"/>
    </row>
    <row r="449" spans="1:16" ht="21.75" customHeight="1">
      <c r="A449" s="147" t="s">
        <v>362</v>
      </c>
      <c r="B449" s="20"/>
      <c r="C449" s="20"/>
      <c r="D449" s="57"/>
      <c r="E449" s="57"/>
      <c r="F449" s="57"/>
      <c r="G449" s="57"/>
      <c r="H449" s="57"/>
      <c r="I449" s="57"/>
      <c r="J449" s="57"/>
      <c r="K449" s="44"/>
      <c r="L449" s="44"/>
      <c r="M449" s="44"/>
      <c r="N449" s="44"/>
      <c r="O449" s="44"/>
      <c r="P449" s="44"/>
    </row>
    <row r="450" spans="1:16" ht="46.5" customHeight="1">
      <c r="A450" s="148" t="s">
        <v>411</v>
      </c>
      <c r="B450" s="20"/>
      <c r="C450" s="20"/>
      <c r="D450" s="57">
        <f>D452</f>
        <v>150000</v>
      </c>
      <c r="E450" s="57"/>
      <c r="F450" s="57">
        <f>F452</f>
        <v>150000</v>
      </c>
      <c r="G450" s="57">
        <f>G452</f>
        <v>100000</v>
      </c>
      <c r="H450" s="57"/>
      <c r="I450" s="57">
        <f>I452</f>
        <v>0</v>
      </c>
      <c r="J450" s="57">
        <f>J452</f>
        <v>100000</v>
      </c>
      <c r="K450" s="44"/>
      <c r="L450" s="44"/>
      <c r="M450" s="44"/>
      <c r="N450" s="44"/>
      <c r="O450" s="44"/>
      <c r="P450" s="44"/>
    </row>
    <row r="451" spans="1:16" ht="21.75" customHeight="1">
      <c r="A451" s="149" t="s">
        <v>4</v>
      </c>
      <c r="B451" s="20"/>
      <c r="C451" s="20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</row>
    <row r="452" spans="1:16" ht="21.75" customHeight="1">
      <c r="A452" s="147" t="s">
        <v>363</v>
      </c>
      <c r="B452" s="20"/>
      <c r="C452" s="20"/>
      <c r="D452" s="44">
        <f>D454*D456</f>
        <v>150000</v>
      </c>
      <c r="E452" s="44"/>
      <c r="F452" s="44">
        <f>F454*F456</f>
        <v>150000</v>
      </c>
      <c r="G452" s="44">
        <f>G454*G456</f>
        <v>100000</v>
      </c>
      <c r="H452" s="44"/>
      <c r="I452" s="44">
        <f>I454*I456</f>
        <v>0</v>
      </c>
      <c r="J452" s="44">
        <f>J454*J456</f>
        <v>100000</v>
      </c>
      <c r="K452" s="44"/>
      <c r="L452" s="44"/>
      <c r="M452" s="44"/>
      <c r="N452" s="44"/>
      <c r="O452" s="44"/>
      <c r="P452" s="44"/>
    </row>
    <row r="453" spans="1:16" ht="21.75" customHeight="1">
      <c r="A453" s="149" t="s">
        <v>5</v>
      </c>
      <c r="B453" s="20"/>
      <c r="C453" s="20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1:16" ht="21.75" customHeight="1">
      <c r="A454" s="147" t="s">
        <v>364</v>
      </c>
      <c r="B454" s="20"/>
      <c r="C454" s="20"/>
      <c r="D454" s="44">
        <v>1</v>
      </c>
      <c r="E454" s="44"/>
      <c r="F454" s="44">
        <v>1</v>
      </c>
      <c r="G454" s="44">
        <v>2</v>
      </c>
      <c r="H454" s="44"/>
      <c r="I454" s="44"/>
      <c r="J454" s="44">
        <v>2</v>
      </c>
      <c r="K454" s="44"/>
      <c r="L454" s="44"/>
      <c r="M454" s="44"/>
      <c r="N454" s="44"/>
      <c r="O454" s="44"/>
      <c r="P454" s="44"/>
    </row>
    <row r="455" spans="1:16" ht="21.75" customHeight="1">
      <c r="A455" s="149" t="s">
        <v>7</v>
      </c>
      <c r="B455" s="20"/>
      <c r="C455" s="20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</row>
    <row r="456" spans="1:16" ht="21.75" customHeight="1">
      <c r="A456" s="150" t="s">
        <v>365</v>
      </c>
      <c r="B456" s="20"/>
      <c r="C456" s="20"/>
      <c r="D456" s="44">
        <v>150000</v>
      </c>
      <c r="E456" s="44"/>
      <c r="F456" s="44">
        <v>150000</v>
      </c>
      <c r="G456" s="44">
        <v>50000</v>
      </c>
      <c r="H456" s="44"/>
      <c r="I456" s="44"/>
      <c r="J456" s="44">
        <v>50000</v>
      </c>
      <c r="K456" s="44"/>
      <c r="L456" s="44"/>
      <c r="M456" s="44"/>
      <c r="N456" s="44"/>
      <c r="O456" s="44"/>
      <c r="P456" s="44"/>
    </row>
    <row r="457" spans="1:16" ht="16.5" customHeight="1">
      <c r="A457" s="37" t="s">
        <v>248</v>
      </c>
      <c r="B457" s="37"/>
      <c r="C457" s="37"/>
      <c r="D457" s="30">
        <f>D458</f>
        <v>8624700</v>
      </c>
      <c r="E457" s="30">
        <f>E458</f>
        <v>13705000</v>
      </c>
      <c r="F457" s="30">
        <f>F458</f>
        <v>22329700</v>
      </c>
      <c r="G457" s="30">
        <f>G458</f>
        <v>5666600</v>
      </c>
      <c r="H457" s="30"/>
      <c r="I457" s="30">
        <f>I458</f>
        <v>0</v>
      </c>
      <c r="J457" s="30">
        <f>G457</f>
        <v>5666600</v>
      </c>
      <c r="K457" s="30" t="e">
        <f>#REF!+K458</f>
        <v>#REF!</v>
      </c>
      <c r="L457" s="30" t="e">
        <f>#REF!+L458</f>
        <v>#REF!</v>
      </c>
      <c r="M457" s="30" t="e">
        <f>#REF!+M458</f>
        <v>#REF!</v>
      </c>
      <c r="N457" s="30">
        <f>N458</f>
        <v>1650000</v>
      </c>
      <c r="O457" s="30">
        <f>O458</f>
        <v>0</v>
      </c>
      <c r="P457" s="30">
        <f>N457</f>
        <v>1650000</v>
      </c>
    </row>
    <row r="458" spans="1:235" s="39" customFormat="1" ht="26.25" customHeight="1">
      <c r="A458" s="34" t="s">
        <v>412</v>
      </c>
      <c r="B458" s="35"/>
      <c r="C458" s="35"/>
      <c r="D458" s="36">
        <f>D460</f>
        <v>8624700</v>
      </c>
      <c r="E458" s="36">
        <f>SUM(E461)</f>
        <v>13705000</v>
      </c>
      <c r="F458" s="36">
        <f>D458+E458</f>
        <v>22329700</v>
      </c>
      <c r="G458" s="36">
        <f>G460</f>
        <v>5666600</v>
      </c>
      <c r="H458" s="36"/>
      <c r="I458" s="36">
        <f>I460</f>
        <v>0</v>
      </c>
      <c r="J458" s="36">
        <f>G458</f>
        <v>5666600</v>
      </c>
      <c r="K458" s="36"/>
      <c r="L458" s="36"/>
      <c r="M458" s="36"/>
      <c r="N458" s="36">
        <f>N460</f>
        <v>1650000</v>
      </c>
      <c r="O458" s="36">
        <f>O460</f>
        <v>0</v>
      </c>
      <c r="P458" s="36">
        <f>N458</f>
        <v>1650000</v>
      </c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  <c r="DG458" s="38"/>
      <c r="DH458" s="38"/>
      <c r="DI458" s="38"/>
      <c r="DJ458" s="38"/>
      <c r="DK458" s="38"/>
      <c r="DL458" s="38"/>
      <c r="DM458" s="38"/>
      <c r="DN458" s="38"/>
      <c r="DO458" s="38"/>
      <c r="DP458" s="38"/>
      <c r="DQ458" s="38"/>
      <c r="DR458" s="38"/>
      <c r="DS458" s="38"/>
      <c r="DT458" s="38"/>
      <c r="DU458" s="38"/>
      <c r="DV458" s="38"/>
      <c r="DW458" s="38"/>
      <c r="DX458" s="38"/>
      <c r="DY458" s="38"/>
      <c r="DZ458" s="38"/>
      <c r="EA458" s="38"/>
      <c r="EB458" s="38"/>
      <c r="EC458" s="38"/>
      <c r="ED458" s="38"/>
      <c r="EE458" s="38"/>
      <c r="EF458" s="38"/>
      <c r="EG458" s="38"/>
      <c r="EH458" s="38"/>
      <c r="EI458" s="38"/>
      <c r="EJ458" s="38"/>
      <c r="EK458" s="38"/>
      <c r="EL458" s="38"/>
      <c r="EM458" s="38"/>
      <c r="EN458" s="38"/>
      <c r="EO458" s="38"/>
      <c r="EP458" s="38"/>
      <c r="EQ458" s="38"/>
      <c r="ER458" s="38"/>
      <c r="ES458" s="38"/>
      <c r="ET458" s="38"/>
      <c r="EU458" s="38"/>
      <c r="EV458" s="38"/>
      <c r="EW458" s="38"/>
      <c r="EX458" s="38"/>
      <c r="EY458" s="38"/>
      <c r="EZ458" s="38"/>
      <c r="FA458" s="38"/>
      <c r="FB458" s="38"/>
      <c r="FC458" s="38"/>
      <c r="FD458" s="38"/>
      <c r="FE458" s="38"/>
      <c r="FF458" s="38"/>
      <c r="FG458" s="38"/>
      <c r="FH458" s="38"/>
      <c r="FI458" s="38"/>
      <c r="FJ458" s="38"/>
      <c r="FK458" s="38"/>
      <c r="FL458" s="38"/>
      <c r="FM458" s="38"/>
      <c r="FN458" s="38"/>
      <c r="FO458" s="38"/>
      <c r="FP458" s="38"/>
      <c r="FQ458" s="38"/>
      <c r="FR458" s="38"/>
      <c r="FS458" s="38"/>
      <c r="FT458" s="38"/>
      <c r="FU458" s="38"/>
      <c r="FV458" s="38"/>
      <c r="FW458" s="38"/>
      <c r="FX458" s="38"/>
      <c r="FY458" s="38"/>
      <c r="FZ458" s="38"/>
      <c r="GA458" s="38"/>
      <c r="GB458" s="38"/>
      <c r="GC458" s="38"/>
      <c r="GD458" s="38"/>
      <c r="GE458" s="38"/>
      <c r="GF458" s="38"/>
      <c r="GG458" s="38"/>
      <c r="GH458" s="38"/>
      <c r="GI458" s="38"/>
      <c r="GJ458" s="38"/>
      <c r="GK458" s="38"/>
      <c r="GL458" s="38"/>
      <c r="GM458" s="38"/>
      <c r="GN458" s="38"/>
      <c r="GO458" s="38"/>
      <c r="GP458" s="38"/>
      <c r="GQ458" s="38"/>
      <c r="GR458" s="38"/>
      <c r="GS458" s="38"/>
      <c r="GT458" s="38"/>
      <c r="GU458" s="38"/>
      <c r="GV458" s="38"/>
      <c r="GW458" s="38"/>
      <c r="GX458" s="38"/>
      <c r="GY458" s="38"/>
      <c r="GZ458" s="38"/>
      <c r="HA458" s="38"/>
      <c r="HB458" s="38"/>
      <c r="HC458" s="38"/>
      <c r="HD458" s="38"/>
      <c r="HE458" s="38"/>
      <c r="HF458" s="38"/>
      <c r="HG458" s="38"/>
      <c r="HH458" s="38"/>
      <c r="HI458" s="38"/>
      <c r="HJ458" s="38"/>
      <c r="HK458" s="38"/>
      <c r="HL458" s="38"/>
      <c r="HM458" s="38"/>
      <c r="HN458" s="38"/>
      <c r="HO458" s="38"/>
      <c r="HP458" s="38"/>
      <c r="HQ458" s="38"/>
      <c r="HR458" s="38"/>
      <c r="HS458" s="38"/>
      <c r="HT458" s="38"/>
      <c r="HU458" s="38"/>
      <c r="HV458" s="38"/>
      <c r="HW458" s="38"/>
      <c r="HX458" s="38"/>
      <c r="HY458" s="38"/>
      <c r="HZ458" s="38"/>
      <c r="IA458" s="38"/>
    </row>
    <row r="459" spans="1:16" ht="11.25">
      <c r="A459" s="5" t="s">
        <v>4</v>
      </c>
      <c r="B459" s="6"/>
      <c r="C459" s="6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35.25" customHeight="1">
      <c r="A460" s="8" t="s">
        <v>249</v>
      </c>
      <c r="B460" s="6"/>
      <c r="C460" s="6"/>
      <c r="D460" s="7">
        <f>8124700+500000</f>
        <v>8624700</v>
      </c>
      <c r="E460" s="7"/>
      <c r="F460" s="7">
        <f>D460</f>
        <v>8624700</v>
      </c>
      <c r="G460" s="7">
        <f>G463*G465</f>
        <v>5666600</v>
      </c>
      <c r="H460" s="7"/>
      <c r="I460" s="7"/>
      <c r="J460" s="7">
        <f>G460+H460</f>
        <v>5666600</v>
      </c>
      <c r="K460" s="7"/>
      <c r="L460" s="7"/>
      <c r="M460" s="7"/>
      <c r="N460" s="7">
        <f>N463*N465</f>
        <v>1650000</v>
      </c>
      <c r="O460" s="7"/>
      <c r="P460" s="7">
        <f>N460</f>
        <v>1650000</v>
      </c>
    </row>
    <row r="461" spans="1:16" ht="164.25" customHeight="1">
      <c r="A461" s="8" t="s">
        <v>329</v>
      </c>
      <c r="B461" s="6"/>
      <c r="C461" s="6"/>
      <c r="D461" s="7"/>
      <c r="E461" s="7">
        <v>13705000</v>
      </c>
      <c r="F461" s="7">
        <f>D461+E461</f>
        <v>13705000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1.25">
      <c r="A462" s="5" t="s">
        <v>5</v>
      </c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39.75" customHeight="1">
      <c r="A463" s="8" t="s">
        <v>250</v>
      </c>
      <c r="B463" s="6"/>
      <c r="C463" s="6"/>
      <c r="D463" s="7">
        <v>2</v>
      </c>
      <c r="E463" s="7"/>
      <c r="F463" s="7">
        <f>D463</f>
        <v>2</v>
      </c>
      <c r="G463" s="7">
        <v>2</v>
      </c>
      <c r="H463" s="7"/>
      <c r="I463" s="7"/>
      <c r="J463" s="7">
        <f>G463+H463</f>
        <v>2</v>
      </c>
      <c r="K463" s="7"/>
      <c r="L463" s="7"/>
      <c r="M463" s="7"/>
      <c r="N463" s="7">
        <v>1</v>
      </c>
      <c r="O463" s="7"/>
      <c r="P463" s="7">
        <f>N463</f>
        <v>1</v>
      </c>
    </row>
    <row r="464" spans="1:16" ht="11.25">
      <c r="A464" s="5" t="s">
        <v>7</v>
      </c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40.5" customHeight="1">
      <c r="A465" s="8" t="s">
        <v>251</v>
      </c>
      <c r="B465" s="6"/>
      <c r="C465" s="6"/>
      <c r="D465" s="7">
        <v>3812350</v>
      </c>
      <c r="E465" s="7"/>
      <c r="F465" s="7">
        <f>F460/F463</f>
        <v>4312350</v>
      </c>
      <c r="G465" s="7">
        <v>2833300</v>
      </c>
      <c r="H465" s="7"/>
      <c r="I465" s="7"/>
      <c r="J465" s="7">
        <f>G465+H465</f>
        <v>2833300</v>
      </c>
      <c r="K465" s="7"/>
      <c r="L465" s="7"/>
      <c r="M465" s="7"/>
      <c r="N465" s="7">
        <v>1650000</v>
      </c>
      <c r="O465" s="7"/>
      <c r="P465" s="7">
        <f>P460/P463</f>
        <v>1650000</v>
      </c>
    </row>
    <row r="466" spans="1:17" ht="15" customHeight="1">
      <c r="A466" s="37" t="s">
        <v>254</v>
      </c>
      <c r="B466" s="6"/>
      <c r="C466" s="6"/>
      <c r="D466" s="36">
        <f>D468+D482+D489+D498+D505+D516+D523+D530+D537</f>
        <v>22123399.999999568</v>
      </c>
      <c r="E466" s="36">
        <f>E468+E482+E489+E498+E505+E516+E523+E530+E537</f>
        <v>1370000</v>
      </c>
      <c r="F466" s="36">
        <f>F468+F482+F489+F498+F505+F516+F523+F530+F537</f>
        <v>23493399.999999568</v>
      </c>
      <c r="G466" s="36">
        <f>G468+G482+G489+G498+G505+G516+G544+G551+G565</f>
        <v>56545000.4</v>
      </c>
      <c r="H466" s="36">
        <f>H468+H482+H489+H498+H505+H516+H558</f>
        <v>2300000</v>
      </c>
      <c r="I466" s="36">
        <f aca="true" t="shared" si="59" ref="I466:Q466">I468+I482+I489+I498+I505+I516</f>
        <v>0</v>
      </c>
      <c r="J466" s="36">
        <f>J468+J482+J489+J498+J505+J516+J544+J551+J558+J565</f>
        <v>58845000.4</v>
      </c>
      <c r="K466" s="36">
        <f t="shared" si="59"/>
        <v>0</v>
      </c>
      <c r="L466" s="36">
        <f t="shared" si="59"/>
        <v>0</v>
      </c>
      <c r="M466" s="36">
        <f t="shared" si="59"/>
        <v>0</v>
      </c>
      <c r="N466" s="36">
        <f t="shared" si="59"/>
        <v>7650000.00205</v>
      </c>
      <c r="O466" s="36">
        <f t="shared" si="59"/>
        <v>2000000</v>
      </c>
      <c r="P466" s="36">
        <f t="shared" si="59"/>
        <v>9650000.002050001</v>
      </c>
      <c r="Q466" s="36">
        <f t="shared" si="59"/>
        <v>0</v>
      </c>
    </row>
    <row r="467" spans="1:16" ht="23.25" customHeight="1">
      <c r="A467" s="8" t="s">
        <v>133</v>
      </c>
      <c r="B467" s="6"/>
      <c r="C467" s="6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235" s="39" customFormat="1" ht="78.75" customHeight="1">
      <c r="A468" s="34" t="s">
        <v>455</v>
      </c>
      <c r="B468" s="35"/>
      <c r="C468" s="35"/>
      <c r="D468" s="36">
        <f>SUM(D469)+D476</f>
        <v>19868000</v>
      </c>
      <c r="E468" s="36"/>
      <c r="F468" s="36">
        <f>SUM(F469)+F476</f>
        <v>19868000</v>
      </c>
      <c r="G468" s="36">
        <f>SUM(G469)+G476+G479</f>
        <v>50333000</v>
      </c>
      <c r="H468" s="36"/>
      <c r="I468" s="36">
        <f aca="true" t="shared" si="60" ref="I468:N468">SUM(I469)+I476</f>
        <v>0</v>
      </c>
      <c r="J468" s="36">
        <f>SUM(J469)+J476+J479</f>
        <v>50333000</v>
      </c>
      <c r="K468" s="36">
        <f t="shared" si="60"/>
        <v>0</v>
      </c>
      <c r="L468" s="36">
        <f t="shared" si="60"/>
        <v>0</v>
      </c>
      <c r="M468" s="36">
        <f t="shared" si="60"/>
        <v>0</v>
      </c>
      <c r="N468" s="36">
        <f t="shared" si="60"/>
        <v>7000000</v>
      </c>
      <c r="O468" s="36"/>
      <c r="P468" s="36">
        <f>SUM(P469)+P476</f>
        <v>7000000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235" s="39" customFormat="1" ht="90.75" customHeight="1">
      <c r="A469" s="34" t="s">
        <v>430</v>
      </c>
      <c r="B469" s="35"/>
      <c r="C469" s="35"/>
      <c r="D469" s="36">
        <f>SUM(D471)</f>
        <v>5868000</v>
      </c>
      <c r="E469" s="36"/>
      <c r="F469" s="36">
        <f>SUM(D469)</f>
        <v>5868000</v>
      </c>
      <c r="G469" s="36">
        <f>SUM(G471)</f>
        <v>10908000</v>
      </c>
      <c r="H469" s="36"/>
      <c r="I469" s="36"/>
      <c r="J469" s="36">
        <f>SUM(J471)</f>
        <v>10908000</v>
      </c>
      <c r="K469" s="36"/>
      <c r="L469" s="36"/>
      <c r="M469" s="36"/>
      <c r="N469" s="36">
        <f>SUM(N471)</f>
        <v>7000000</v>
      </c>
      <c r="O469" s="36"/>
      <c r="P469" s="36">
        <f>P471</f>
        <v>7000000</v>
      </c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  <c r="CW469" s="38"/>
      <c r="CX469" s="38"/>
      <c r="CY469" s="38"/>
      <c r="CZ469" s="38"/>
      <c r="DA469" s="38"/>
      <c r="DB469" s="38"/>
      <c r="DC469" s="38"/>
      <c r="DD469" s="38"/>
      <c r="DE469" s="38"/>
      <c r="DF469" s="38"/>
      <c r="DG469" s="38"/>
      <c r="DH469" s="38"/>
      <c r="DI469" s="38"/>
      <c r="DJ469" s="38"/>
      <c r="DK469" s="38"/>
      <c r="DL469" s="38"/>
      <c r="DM469" s="38"/>
      <c r="DN469" s="38"/>
      <c r="DO469" s="38"/>
      <c r="DP469" s="38"/>
      <c r="DQ469" s="38"/>
      <c r="DR469" s="38"/>
      <c r="DS469" s="38"/>
      <c r="DT469" s="38"/>
      <c r="DU469" s="38"/>
      <c r="DV469" s="38"/>
      <c r="DW469" s="38"/>
      <c r="DX469" s="38"/>
      <c r="DY469" s="38"/>
      <c r="DZ469" s="38"/>
      <c r="EA469" s="38"/>
      <c r="EB469" s="38"/>
      <c r="EC469" s="38"/>
      <c r="ED469" s="38"/>
      <c r="EE469" s="38"/>
      <c r="EF469" s="38"/>
      <c r="EG469" s="38"/>
      <c r="EH469" s="38"/>
      <c r="EI469" s="38"/>
      <c r="EJ469" s="38"/>
      <c r="EK469" s="38"/>
      <c r="EL469" s="38"/>
      <c r="EM469" s="38"/>
      <c r="EN469" s="38"/>
      <c r="EO469" s="38"/>
      <c r="EP469" s="38"/>
      <c r="EQ469" s="38"/>
      <c r="ER469" s="38"/>
      <c r="ES469" s="38"/>
      <c r="ET469" s="38"/>
      <c r="EU469" s="38"/>
      <c r="EV469" s="38"/>
      <c r="EW469" s="38"/>
      <c r="EX469" s="38"/>
      <c r="EY469" s="38"/>
      <c r="EZ469" s="38"/>
      <c r="FA469" s="38"/>
      <c r="FB469" s="38"/>
      <c r="FC469" s="38"/>
      <c r="FD469" s="38"/>
      <c r="FE469" s="38"/>
      <c r="FF469" s="38"/>
      <c r="FG469" s="38"/>
      <c r="FH469" s="38"/>
      <c r="FI469" s="38"/>
      <c r="FJ469" s="38"/>
      <c r="FK469" s="38"/>
      <c r="FL469" s="38"/>
      <c r="FM469" s="38"/>
      <c r="FN469" s="38"/>
      <c r="FO469" s="38"/>
      <c r="FP469" s="38"/>
      <c r="FQ469" s="38"/>
      <c r="FR469" s="38"/>
      <c r="FS469" s="38"/>
      <c r="FT469" s="38"/>
      <c r="FU469" s="38"/>
      <c r="FV469" s="38"/>
      <c r="FW469" s="38"/>
      <c r="FX469" s="38"/>
      <c r="FY469" s="38"/>
      <c r="FZ469" s="38"/>
      <c r="GA469" s="38"/>
      <c r="GB469" s="38"/>
      <c r="GC469" s="38"/>
      <c r="GD469" s="38"/>
      <c r="GE469" s="38"/>
      <c r="GF469" s="38"/>
      <c r="GG469" s="38"/>
      <c r="GH469" s="38"/>
      <c r="GI469" s="38"/>
      <c r="GJ469" s="38"/>
      <c r="GK469" s="38"/>
      <c r="GL469" s="38"/>
      <c r="GM469" s="38"/>
      <c r="GN469" s="38"/>
      <c r="GO469" s="38"/>
      <c r="GP469" s="38"/>
      <c r="GQ469" s="38"/>
      <c r="GR469" s="38"/>
      <c r="GS469" s="38"/>
      <c r="GT469" s="38"/>
      <c r="GU469" s="38"/>
      <c r="GV469" s="38"/>
      <c r="GW469" s="38"/>
      <c r="GX469" s="38"/>
      <c r="GY469" s="38"/>
      <c r="GZ469" s="38"/>
      <c r="HA469" s="38"/>
      <c r="HB469" s="38"/>
      <c r="HC469" s="38"/>
      <c r="HD469" s="38"/>
      <c r="HE469" s="38"/>
      <c r="HF469" s="38"/>
      <c r="HG469" s="38"/>
      <c r="HH469" s="38"/>
      <c r="HI469" s="38"/>
      <c r="HJ469" s="38"/>
      <c r="HK469" s="38"/>
      <c r="HL469" s="38"/>
      <c r="HM469" s="38"/>
      <c r="HN469" s="38"/>
      <c r="HO469" s="38"/>
      <c r="HP469" s="38"/>
      <c r="HQ469" s="38"/>
      <c r="HR469" s="38"/>
      <c r="HS469" s="38"/>
      <c r="HT469" s="38"/>
      <c r="HU469" s="38"/>
      <c r="HV469" s="38"/>
      <c r="HW469" s="38"/>
      <c r="HX469" s="38"/>
      <c r="HY469" s="38"/>
      <c r="HZ469" s="38"/>
      <c r="IA469" s="38"/>
    </row>
    <row r="470" spans="1:16" ht="12" customHeight="1">
      <c r="A470" s="5" t="s">
        <v>4</v>
      </c>
      <c r="B470" s="6"/>
      <c r="C470" s="6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3.5" customHeight="1">
      <c r="A471" s="8" t="s">
        <v>43</v>
      </c>
      <c r="B471" s="6"/>
      <c r="C471" s="6"/>
      <c r="D471" s="7">
        <f>6000000-180000-320000+180000+60000+90000+38000</f>
        <v>5868000</v>
      </c>
      <c r="E471" s="7"/>
      <c r="F471" s="7">
        <f>D471</f>
        <v>5868000</v>
      </c>
      <c r="G471" s="7">
        <f>6500000+4000000+190000+78000+140000</f>
        <v>10908000</v>
      </c>
      <c r="H471" s="7"/>
      <c r="I471" s="7"/>
      <c r="J471" s="7">
        <f>SUM(G471)</f>
        <v>10908000</v>
      </c>
      <c r="K471" s="7"/>
      <c r="L471" s="7"/>
      <c r="M471" s="7"/>
      <c r="N471" s="7">
        <v>7000000</v>
      </c>
      <c r="O471" s="7"/>
      <c r="P471" s="7">
        <f>N471</f>
        <v>7000000</v>
      </c>
    </row>
    <row r="472" spans="1:16" ht="12" customHeight="1">
      <c r="A472" s="5" t="s">
        <v>5</v>
      </c>
      <c r="B472" s="6"/>
      <c r="C472" s="6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51" customHeight="1">
      <c r="A473" s="8" t="s">
        <v>252</v>
      </c>
      <c r="B473" s="6"/>
      <c r="C473" s="6"/>
      <c r="D473" s="7">
        <v>12</v>
      </c>
      <c r="E473" s="7"/>
      <c r="F473" s="7">
        <v>12</v>
      </c>
      <c r="G473" s="7">
        <v>12</v>
      </c>
      <c r="H473" s="7"/>
      <c r="I473" s="7"/>
      <c r="J473" s="7">
        <v>12</v>
      </c>
      <c r="K473" s="7"/>
      <c r="L473" s="7"/>
      <c r="M473" s="7"/>
      <c r="N473" s="7">
        <v>12</v>
      </c>
      <c r="O473" s="7"/>
      <c r="P473" s="7">
        <v>12</v>
      </c>
    </row>
    <row r="474" spans="1:16" ht="11.25">
      <c r="A474" s="5" t="s">
        <v>7</v>
      </c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36" customHeight="1">
      <c r="A475" s="8" t="s">
        <v>253</v>
      </c>
      <c r="B475" s="6"/>
      <c r="C475" s="6"/>
      <c r="D475" s="7">
        <f>SUM(D471)/D473</f>
        <v>489000</v>
      </c>
      <c r="E475" s="7"/>
      <c r="F475" s="7">
        <f>D475</f>
        <v>489000</v>
      </c>
      <c r="G475" s="7">
        <f>SUM(G471)/G473</f>
        <v>909000</v>
      </c>
      <c r="H475" s="7"/>
      <c r="I475" s="7"/>
      <c r="J475" s="7">
        <f>SUM(J471)/J473</f>
        <v>909000</v>
      </c>
      <c r="K475" s="7"/>
      <c r="L475" s="7"/>
      <c r="M475" s="7"/>
      <c r="N475" s="7">
        <f>SUM(N471)/N473</f>
        <v>583333.3333333334</v>
      </c>
      <c r="O475" s="7"/>
      <c r="P475" s="7">
        <f>SUM(P471)/P473</f>
        <v>583333.3333333334</v>
      </c>
    </row>
    <row r="476" spans="1:16" ht="36" customHeight="1">
      <c r="A476" s="34" t="s">
        <v>413</v>
      </c>
      <c r="B476" s="6"/>
      <c r="C476" s="6"/>
      <c r="D476" s="7">
        <f>D478</f>
        <v>14000000</v>
      </c>
      <c r="E476" s="7"/>
      <c r="F476" s="7">
        <f>F478</f>
        <v>14000000</v>
      </c>
      <c r="G476" s="7">
        <f>G478</f>
        <v>38425000</v>
      </c>
      <c r="H476" s="7"/>
      <c r="I476" s="7"/>
      <c r="J476" s="7">
        <f>G476</f>
        <v>38425000</v>
      </c>
      <c r="K476" s="7"/>
      <c r="L476" s="7"/>
      <c r="M476" s="7"/>
      <c r="N476" s="7"/>
      <c r="O476" s="7"/>
      <c r="P476" s="7"/>
    </row>
    <row r="477" spans="1:16" ht="16.5" customHeight="1">
      <c r="A477" s="5" t="s">
        <v>4</v>
      </c>
      <c r="B477" s="6"/>
      <c r="C477" s="6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2.75" customHeight="1">
      <c r="A478" s="5" t="s">
        <v>43</v>
      </c>
      <c r="B478" s="6"/>
      <c r="C478" s="6"/>
      <c r="D478" s="7">
        <f>3000000+2000000+3000000+1000000+3000000+2000000</f>
        <v>14000000</v>
      </c>
      <c r="E478" s="7"/>
      <c r="F478" s="7">
        <f>3000000+2000000+3000000+1000000+3000000+2000000</f>
        <v>14000000</v>
      </c>
      <c r="G478" s="7">
        <f>0+4000000+2725000+3000000+9000000+3000000+3000000+3000000+3200000+4000000+3500000</f>
        <v>38425000</v>
      </c>
      <c r="H478" s="7"/>
      <c r="I478" s="7"/>
      <c r="J478" s="7">
        <f>G478</f>
        <v>38425000</v>
      </c>
      <c r="K478" s="7"/>
      <c r="L478" s="7"/>
      <c r="M478" s="7"/>
      <c r="N478" s="7"/>
      <c r="O478" s="7"/>
      <c r="P478" s="7"/>
    </row>
    <row r="479" spans="1:16" ht="35.25" customHeight="1">
      <c r="A479" s="34" t="s">
        <v>454</v>
      </c>
      <c r="B479" s="6"/>
      <c r="C479" s="6"/>
      <c r="D479" s="7"/>
      <c r="E479" s="7"/>
      <c r="F479" s="7"/>
      <c r="G479" s="7">
        <f>G481</f>
        <v>1000000</v>
      </c>
      <c r="H479" s="7">
        <f>H481</f>
        <v>0</v>
      </c>
      <c r="I479" s="7">
        <f>I481</f>
        <v>0</v>
      </c>
      <c r="J479" s="7">
        <f>J481</f>
        <v>1000000</v>
      </c>
      <c r="K479" s="7"/>
      <c r="L479" s="7"/>
      <c r="M479" s="7"/>
      <c r="N479" s="7"/>
      <c r="O479" s="7"/>
      <c r="P479" s="7"/>
    </row>
    <row r="480" spans="1:16" ht="12.75" customHeight="1">
      <c r="A480" s="5" t="s">
        <v>4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2.75" customHeight="1">
      <c r="A481" s="5" t="s">
        <v>43</v>
      </c>
      <c r="B481" s="6"/>
      <c r="C481" s="6"/>
      <c r="D481" s="7"/>
      <c r="E481" s="7"/>
      <c r="F481" s="7"/>
      <c r="G481" s="7">
        <v>1000000</v>
      </c>
      <c r="H481" s="7"/>
      <c r="I481" s="7"/>
      <c r="J481" s="7">
        <f>G481+H481</f>
        <v>1000000</v>
      </c>
      <c r="K481" s="7"/>
      <c r="L481" s="7"/>
      <c r="M481" s="7"/>
      <c r="N481" s="7"/>
      <c r="O481" s="7"/>
      <c r="P481" s="7"/>
    </row>
    <row r="482" spans="1:235" s="39" customFormat="1" ht="25.5" customHeight="1">
      <c r="A482" s="34" t="s">
        <v>414</v>
      </c>
      <c r="B482" s="35"/>
      <c r="C482" s="35"/>
      <c r="D482" s="36">
        <f>D484</f>
        <v>70000</v>
      </c>
      <c r="E482" s="36"/>
      <c r="F482" s="36">
        <f>D482+E482</f>
        <v>70000</v>
      </c>
      <c r="G482" s="36">
        <f>G486*G488</f>
        <v>0</v>
      </c>
      <c r="H482" s="36"/>
      <c r="I482" s="36"/>
      <c r="J482" s="36">
        <f>G482</f>
        <v>0</v>
      </c>
      <c r="K482" s="36"/>
      <c r="L482" s="36"/>
      <c r="M482" s="36"/>
      <c r="N482" s="36">
        <f>N488*N486</f>
        <v>0</v>
      </c>
      <c r="O482" s="36"/>
      <c r="P482" s="36">
        <f>N482</f>
        <v>0</v>
      </c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  <c r="CV482" s="38"/>
      <c r="CW482" s="38"/>
      <c r="CX482" s="38"/>
      <c r="CY482" s="38"/>
      <c r="CZ482" s="38"/>
      <c r="DA482" s="38"/>
      <c r="DB482" s="38"/>
      <c r="DC482" s="38"/>
      <c r="DD482" s="38"/>
      <c r="DE482" s="38"/>
      <c r="DF482" s="38"/>
      <c r="DG482" s="38"/>
      <c r="DH482" s="38"/>
      <c r="DI482" s="38"/>
      <c r="DJ482" s="38"/>
      <c r="DK482" s="38"/>
      <c r="DL482" s="38"/>
      <c r="DM482" s="38"/>
      <c r="DN482" s="38"/>
      <c r="DO482" s="38"/>
      <c r="DP482" s="38"/>
      <c r="DQ482" s="38"/>
      <c r="DR482" s="38"/>
      <c r="DS482" s="38"/>
      <c r="DT482" s="38"/>
      <c r="DU482" s="38"/>
      <c r="DV482" s="38"/>
      <c r="DW482" s="38"/>
      <c r="DX482" s="38"/>
      <c r="DY482" s="38"/>
      <c r="DZ482" s="38"/>
      <c r="EA482" s="38"/>
      <c r="EB482" s="38"/>
      <c r="EC482" s="38"/>
      <c r="ED482" s="38"/>
      <c r="EE482" s="38"/>
      <c r="EF482" s="38"/>
      <c r="EG482" s="38"/>
      <c r="EH482" s="38"/>
      <c r="EI482" s="38"/>
      <c r="EJ482" s="38"/>
      <c r="EK482" s="38"/>
      <c r="EL482" s="38"/>
      <c r="EM482" s="38"/>
      <c r="EN482" s="38"/>
      <c r="EO482" s="38"/>
      <c r="EP482" s="38"/>
      <c r="EQ482" s="38"/>
      <c r="ER482" s="38"/>
      <c r="ES482" s="38"/>
      <c r="ET482" s="38"/>
      <c r="EU482" s="38"/>
      <c r="EV482" s="38"/>
      <c r="EW482" s="38"/>
      <c r="EX482" s="38"/>
      <c r="EY482" s="38"/>
      <c r="EZ482" s="38"/>
      <c r="FA482" s="38"/>
      <c r="FB482" s="38"/>
      <c r="FC482" s="38"/>
      <c r="FD482" s="38"/>
      <c r="FE482" s="38"/>
      <c r="FF482" s="38"/>
      <c r="FG482" s="38"/>
      <c r="FH482" s="38"/>
      <c r="FI482" s="38"/>
      <c r="FJ482" s="38"/>
      <c r="FK482" s="38"/>
      <c r="FL482" s="38"/>
      <c r="FM482" s="38"/>
      <c r="FN482" s="38"/>
      <c r="FO482" s="38"/>
      <c r="FP482" s="38"/>
      <c r="FQ482" s="38"/>
      <c r="FR482" s="38"/>
      <c r="FS482" s="38"/>
      <c r="FT482" s="38"/>
      <c r="FU482" s="38"/>
      <c r="FV482" s="38"/>
      <c r="FW482" s="38"/>
      <c r="FX482" s="38"/>
      <c r="FY482" s="38"/>
      <c r="FZ482" s="38"/>
      <c r="GA482" s="38"/>
      <c r="GB482" s="38"/>
      <c r="GC482" s="38"/>
      <c r="GD482" s="38"/>
      <c r="GE482" s="38"/>
      <c r="GF482" s="38"/>
      <c r="GG482" s="38"/>
      <c r="GH482" s="38"/>
      <c r="GI482" s="38"/>
      <c r="GJ482" s="38"/>
      <c r="GK482" s="38"/>
      <c r="GL482" s="38"/>
      <c r="GM482" s="38"/>
      <c r="GN482" s="38"/>
      <c r="GO482" s="38"/>
      <c r="GP482" s="38"/>
      <c r="GQ482" s="38"/>
      <c r="GR482" s="38"/>
      <c r="GS482" s="38"/>
      <c r="GT482" s="38"/>
      <c r="GU482" s="38"/>
      <c r="GV482" s="38"/>
      <c r="GW482" s="38"/>
      <c r="GX482" s="38"/>
      <c r="GY482" s="38"/>
      <c r="GZ482" s="38"/>
      <c r="HA482" s="38"/>
      <c r="HB482" s="38"/>
      <c r="HC482" s="38"/>
      <c r="HD482" s="38"/>
      <c r="HE482" s="38"/>
      <c r="HF482" s="38"/>
      <c r="HG482" s="38"/>
      <c r="HH482" s="38"/>
      <c r="HI482" s="38"/>
      <c r="HJ482" s="38"/>
      <c r="HK482" s="38"/>
      <c r="HL482" s="38"/>
      <c r="HM482" s="38"/>
      <c r="HN482" s="38"/>
      <c r="HO482" s="38"/>
      <c r="HP482" s="38"/>
      <c r="HQ482" s="38"/>
      <c r="HR482" s="38"/>
      <c r="HS482" s="38"/>
      <c r="HT482" s="38"/>
      <c r="HU482" s="38"/>
      <c r="HV482" s="38"/>
      <c r="HW482" s="38"/>
      <c r="HX482" s="38"/>
      <c r="HY482" s="38"/>
      <c r="HZ482" s="38"/>
      <c r="IA482" s="38"/>
    </row>
    <row r="483" spans="1:16" ht="11.25">
      <c r="A483" s="5" t="s">
        <v>4</v>
      </c>
      <c r="B483" s="6"/>
      <c r="C483" s="6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4.25" customHeight="1">
      <c r="A484" s="8" t="s">
        <v>43</v>
      </c>
      <c r="B484" s="6"/>
      <c r="C484" s="6"/>
      <c r="D484" s="7">
        <f>D486*D488</f>
        <v>70000</v>
      </c>
      <c r="E484" s="7"/>
      <c r="F484" s="7">
        <f>D484+E484</f>
        <v>70000</v>
      </c>
      <c r="G484" s="7"/>
      <c r="H484" s="7"/>
      <c r="I484" s="7"/>
      <c r="J484" s="7">
        <f>G484</f>
        <v>0</v>
      </c>
      <c r="K484" s="7"/>
      <c r="L484" s="7"/>
      <c r="M484" s="7"/>
      <c r="N484" s="7"/>
      <c r="O484" s="7"/>
      <c r="P484" s="7">
        <f>N484</f>
        <v>0</v>
      </c>
    </row>
    <row r="485" spans="1:16" ht="11.25">
      <c r="A485" s="5" t="s">
        <v>5</v>
      </c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23.25" customHeight="1">
      <c r="A486" s="8" t="s">
        <v>134</v>
      </c>
      <c r="B486" s="6"/>
      <c r="C486" s="6"/>
      <c r="D486" s="7">
        <v>2</v>
      </c>
      <c r="E486" s="7"/>
      <c r="F486" s="7">
        <f>D486+E486</f>
        <v>2</v>
      </c>
      <c r="G486" s="7"/>
      <c r="H486" s="7"/>
      <c r="I486" s="7"/>
      <c r="J486" s="7">
        <v>0</v>
      </c>
      <c r="K486" s="7"/>
      <c r="L486" s="7"/>
      <c r="M486" s="7"/>
      <c r="N486" s="7"/>
      <c r="O486" s="7"/>
      <c r="P486" s="7">
        <v>0</v>
      </c>
    </row>
    <row r="487" spans="1:16" ht="11.25">
      <c r="A487" s="5" t="s">
        <v>7</v>
      </c>
      <c r="B487" s="6"/>
      <c r="C487" s="6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24.75" customHeight="1">
      <c r="A488" s="8" t="s">
        <v>135</v>
      </c>
      <c r="B488" s="6"/>
      <c r="C488" s="6"/>
      <c r="D488" s="7">
        <v>35000</v>
      </c>
      <c r="E488" s="7"/>
      <c r="F488" s="7">
        <f>D488+E488</f>
        <v>35000</v>
      </c>
      <c r="G488" s="7"/>
      <c r="H488" s="7"/>
      <c r="I488" s="7"/>
      <c r="J488" s="7">
        <f>G488</f>
        <v>0</v>
      </c>
      <c r="K488" s="7"/>
      <c r="L488" s="7"/>
      <c r="M488" s="7"/>
      <c r="N488" s="7"/>
      <c r="O488" s="7"/>
      <c r="P488" s="7">
        <v>0</v>
      </c>
    </row>
    <row r="489" spans="1:235" s="39" customFormat="1" ht="15" customHeight="1">
      <c r="A489" s="34" t="s">
        <v>415</v>
      </c>
      <c r="B489" s="35"/>
      <c r="C489" s="35"/>
      <c r="D489" s="36">
        <f>D491</f>
        <v>150399.999999935</v>
      </c>
      <c r="E489" s="36"/>
      <c r="F489" s="36">
        <f>D489</f>
        <v>150399.999999935</v>
      </c>
      <c r="G489" s="36">
        <f>G491</f>
        <v>200000.4</v>
      </c>
      <c r="H489" s="36"/>
      <c r="I489" s="36"/>
      <c r="J489" s="30">
        <f aca="true" t="shared" si="61" ref="J489:J497">G489</f>
        <v>200000.4</v>
      </c>
      <c r="K489" s="36"/>
      <c r="L489" s="36"/>
      <c r="M489" s="36"/>
      <c r="N489" s="36"/>
      <c r="O489" s="36"/>
      <c r="P489" s="36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  <c r="CV489" s="38"/>
      <c r="CW489" s="38"/>
      <c r="CX489" s="38"/>
      <c r="CY489" s="38"/>
      <c r="CZ489" s="38"/>
      <c r="DA489" s="38"/>
      <c r="DB489" s="38"/>
      <c r="DC489" s="38"/>
      <c r="DD489" s="38"/>
      <c r="DE489" s="38"/>
      <c r="DF489" s="38"/>
      <c r="DG489" s="38"/>
      <c r="DH489" s="38"/>
      <c r="DI489" s="38"/>
      <c r="DJ489" s="38"/>
      <c r="DK489" s="38"/>
      <c r="DL489" s="38"/>
      <c r="DM489" s="38"/>
      <c r="DN489" s="38"/>
      <c r="DO489" s="38"/>
      <c r="DP489" s="38"/>
      <c r="DQ489" s="38"/>
      <c r="DR489" s="38"/>
      <c r="DS489" s="38"/>
      <c r="DT489" s="38"/>
      <c r="DU489" s="38"/>
      <c r="DV489" s="38"/>
      <c r="DW489" s="38"/>
      <c r="DX489" s="38"/>
      <c r="DY489" s="38"/>
      <c r="DZ489" s="38"/>
      <c r="EA489" s="38"/>
      <c r="EB489" s="38"/>
      <c r="EC489" s="38"/>
      <c r="ED489" s="38"/>
      <c r="EE489" s="38"/>
      <c r="EF489" s="38"/>
      <c r="EG489" s="38"/>
      <c r="EH489" s="38"/>
      <c r="EI489" s="38"/>
      <c r="EJ489" s="38"/>
      <c r="EK489" s="38"/>
      <c r="EL489" s="38"/>
      <c r="EM489" s="38"/>
      <c r="EN489" s="38"/>
      <c r="EO489" s="38"/>
      <c r="EP489" s="38"/>
      <c r="EQ489" s="38"/>
      <c r="ER489" s="38"/>
      <c r="ES489" s="38"/>
      <c r="ET489" s="38"/>
      <c r="EU489" s="38"/>
      <c r="EV489" s="38"/>
      <c r="EW489" s="38"/>
      <c r="EX489" s="38"/>
      <c r="EY489" s="38"/>
      <c r="EZ489" s="38"/>
      <c r="FA489" s="38"/>
      <c r="FB489" s="38"/>
      <c r="FC489" s="38"/>
      <c r="FD489" s="38"/>
      <c r="FE489" s="38"/>
      <c r="FF489" s="38"/>
      <c r="FG489" s="38"/>
      <c r="FH489" s="38"/>
      <c r="FI489" s="38"/>
      <c r="FJ489" s="38"/>
      <c r="FK489" s="38"/>
      <c r="FL489" s="38"/>
      <c r="FM489" s="38"/>
      <c r="FN489" s="38"/>
      <c r="FO489" s="38"/>
      <c r="FP489" s="38"/>
      <c r="FQ489" s="38"/>
      <c r="FR489" s="38"/>
      <c r="FS489" s="38"/>
      <c r="FT489" s="38"/>
      <c r="FU489" s="38"/>
      <c r="FV489" s="38"/>
      <c r="FW489" s="38"/>
      <c r="FX489" s="38"/>
      <c r="FY489" s="38"/>
      <c r="FZ489" s="38"/>
      <c r="GA489" s="38"/>
      <c r="GB489" s="38"/>
      <c r="GC489" s="38"/>
      <c r="GD489" s="38"/>
      <c r="GE489" s="38"/>
      <c r="GF489" s="38"/>
      <c r="GG489" s="38"/>
      <c r="GH489" s="38"/>
      <c r="GI489" s="38"/>
      <c r="GJ489" s="38"/>
      <c r="GK489" s="38"/>
      <c r="GL489" s="38"/>
      <c r="GM489" s="38"/>
      <c r="GN489" s="38"/>
      <c r="GO489" s="38"/>
      <c r="GP489" s="38"/>
      <c r="GQ489" s="38"/>
      <c r="GR489" s="38"/>
      <c r="GS489" s="38"/>
      <c r="GT489" s="38"/>
      <c r="GU489" s="38"/>
      <c r="GV489" s="38"/>
      <c r="GW489" s="38"/>
      <c r="GX489" s="38"/>
      <c r="GY489" s="38"/>
      <c r="GZ489" s="38"/>
      <c r="HA489" s="38"/>
      <c r="HB489" s="38"/>
      <c r="HC489" s="38"/>
      <c r="HD489" s="38"/>
      <c r="HE489" s="38"/>
      <c r="HF489" s="38"/>
      <c r="HG489" s="38"/>
      <c r="HH489" s="38"/>
      <c r="HI489" s="38"/>
      <c r="HJ489" s="38"/>
      <c r="HK489" s="38"/>
      <c r="HL489" s="38"/>
      <c r="HM489" s="38"/>
      <c r="HN489" s="38"/>
      <c r="HO489" s="38"/>
      <c r="HP489" s="38"/>
      <c r="HQ489" s="38"/>
      <c r="HR489" s="38"/>
      <c r="HS489" s="38"/>
      <c r="HT489" s="38"/>
      <c r="HU489" s="38"/>
      <c r="HV489" s="38"/>
      <c r="HW489" s="38"/>
      <c r="HX489" s="38"/>
      <c r="HY489" s="38"/>
      <c r="HZ489" s="38"/>
      <c r="IA489" s="38"/>
    </row>
    <row r="490" spans="1:16" ht="12" customHeight="1">
      <c r="A490" s="5" t="s">
        <v>4</v>
      </c>
      <c r="B490" s="6"/>
      <c r="C490" s="6"/>
      <c r="D490" s="7"/>
      <c r="E490" s="7"/>
      <c r="F490" s="7"/>
      <c r="G490" s="7"/>
      <c r="H490" s="7"/>
      <c r="I490" s="7"/>
      <c r="J490" s="7">
        <f t="shared" si="61"/>
        <v>0</v>
      </c>
      <c r="K490" s="7"/>
      <c r="L490" s="7"/>
      <c r="M490" s="7"/>
      <c r="N490" s="7"/>
      <c r="O490" s="7"/>
      <c r="P490" s="7"/>
    </row>
    <row r="491" spans="1:16" ht="12" customHeight="1">
      <c r="A491" s="8" t="s">
        <v>43</v>
      </c>
      <c r="B491" s="6"/>
      <c r="C491" s="6"/>
      <c r="D491" s="7">
        <f>(D493*D496)+(D494*D497)</f>
        <v>150399.999999935</v>
      </c>
      <c r="E491" s="7"/>
      <c r="F491" s="7">
        <f>D491</f>
        <v>150399.999999935</v>
      </c>
      <c r="G491" s="7">
        <f>(G493*G496)+(G494*G497)</f>
        <v>200000.4</v>
      </c>
      <c r="H491" s="7"/>
      <c r="I491" s="7"/>
      <c r="J491" s="7">
        <f t="shared" si="61"/>
        <v>200000.4</v>
      </c>
      <c r="K491" s="7"/>
      <c r="L491" s="7"/>
      <c r="M491" s="7"/>
      <c r="N491" s="7"/>
      <c r="O491" s="7"/>
      <c r="P491" s="7"/>
    </row>
    <row r="492" spans="1:16" ht="12" customHeight="1">
      <c r="A492" s="5" t="s">
        <v>5</v>
      </c>
      <c r="B492" s="6"/>
      <c r="C492" s="6"/>
      <c r="D492" s="7"/>
      <c r="E492" s="7"/>
      <c r="F492" s="7"/>
      <c r="G492" s="7"/>
      <c r="H492" s="7"/>
      <c r="I492" s="7"/>
      <c r="J492" s="7">
        <f t="shared" si="61"/>
        <v>0</v>
      </c>
      <c r="K492" s="7"/>
      <c r="L492" s="7"/>
      <c r="M492" s="7"/>
      <c r="N492" s="7"/>
      <c r="O492" s="7"/>
      <c r="P492" s="7"/>
    </row>
    <row r="493" spans="1:16" ht="24.75" customHeight="1">
      <c r="A493" s="8" t="s">
        <v>156</v>
      </c>
      <c r="B493" s="6"/>
      <c r="C493" s="6"/>
      <c r="D493" s="7">
        <v>57</v>
      </c>
      <c r="E493" s="7"/>
      <c r="F493" s="7">
        <v>57</v>
      </c>
      <c r="G493" s="7">
        <v>57</v>
      </c>
      <c r="H493" s="7"/>
      <c r="I493" s="7"/>
      <c r="J493" s="7">
        <f t="shared" si="61"/>
        <v>57</v>
      </c>
      <c r="K493" s="7"/>
      <c r="L493" s="7"/>
      <c r="M493" s="7"/>
      <c r="N493" s="7"/>
      <c r="O493" s="7"/>
      <c r="P493" s="7"/>
    </row>
    <row r="494" spans="1:16" ht="15.75" customHeight="1">
      <c r="A494" s="8" t="s">
        <v>154</v>
      </c>
      <c r="B494" s="6"/>
      <c r="C494" s="6"/>
      <c r="D494" s="7">
        <v>145</v>
      </c>
      <c r="E494" s="7"/>
      <c r="F494" s="7">
        <f>D494</f>
        <v>145</v>
      </c>
      <c r="G494" s="7">
        <v>145</v>
      </c>
      <c r="H494" s="7"/>
      <c r="I494" s="7"/>
      <c r="J494" s="7">
        <f t="shared" si="61"/>
        <v>145</v>
      </c>
      <c r="K494" s="7"/>
      <c r="L494" s="7"/>
      <c r="M494" s="7"/>
      <c r="N494" s="7"/>
      <c r="O494" s="7"/>
      <c r="P494" s="7"/>
    </row>
    <row r="495" spans="1:16" ht="12.75" customHeight="1">
      <c r="A495" s="5" t="s">
        <v>7</v>
      </c>
      <c r="B495" s="6"/>
      <c r="C495" s="6"/>
      <c r="D495" s="7"/>
      <c r="E495" s="7"/>
      <c r="F495" s="7"/>
      <c r="G495" s="7"/>
      <c r="H495" s="7"/>
      <c r="I495" s="7"/>
      <c r="J495" s="7">
        <f t="shared" si="61"/>
        <v>0</v>
      </c>
      <c r="K495" s="7"/>
      <c r="L495" s="7"/>
      <c r="M495" s="7"/>
      <c r="N495" s="7"/>
      <c r="O495" s="7"/>
      <c r="P495" s="7"/>
    </row>
    <row r="496" spans="1:16" ht="24.75" customHeight="1">
      <c r="A496" s="8" t="s">
        <v>155</v>
      </c>
      <c r="B496" s="6"/>
      <c r="C496" s="6"/>
      <c r="D496" s="7">
        <v>1950.89</v>
      </c>
      <c r="E496" s="7"/>
      <c r="F496" s="7">
        <f>D496</f>
        <v>1950.89</v>
      </c>
      <c r="G496" s="7">
        <v>2596.5</v>
      </c>
      <c r="H496" s="7"/>
      <c r="I496" s="7"/>
      <c r="J496" s="7">
        <f t="shared" si="61"/>
        <v>2596.5</v>
      </c>
      <c r="K496" s="7"/>
      <c r="L496" s="7"/>
      <c r="M496" s="7"/>
      <c r="N496" s="7"/>
      <c r="O496" s="7"/>
      <c r="P496" s="7"/>
    </row>
    <row r="497" spans="1:16" ht="24.75" customHeight="1">
      <c r="A497" s="8" t="s">
        <v>157</v>
      </c>
      <c r="B497" s="6"/>
      <c r="C497" s="6"/>
      <c r="D497" s="7">
        <v>270.339793103</v>
      </c>
      <c r="E497" s="7"/>
      <c r="F497" s="7">
        <f>D497</f>
        <v>270.339793103</v>
      </c>
      <c r="G497" s="7">
        <v>358.62</v>
      </c>
      <c r="H497" s="7"/>
      <c r="I497" s="7"/>
      <c r="J497" s="7">
        <f t="shared" si="61"/>
        <v>358.62</v>
      </c>
      <c r="K497" s="7"/>
      <c r="L497" s="7"/>
      <c r="M497" s="7"/>
      <c r="N497" s="7"/>
      <c r="O497" s="7"/>
      <c r="P497" s="7"/>
    </row>
    <row r="498" spans="1:235" s="39" customFormat="1" ht="25.5" customHeight="1">
      <c r="A498" s="34" t="s">
        <v>416</v>
      </c>
      <c r="B498" s="35"/>
      <c r="C498" s="35"/>
      <c r="D498" s="36">
        <f>D500</f>
        <v>399999.99999963003</v>
      </c>
      <c r="E498" s="36"/>
      <c r="F498" s="36">
        <f>D498</f>
        <v>399999.99999963003</v>
      </c>
      <c r="G498" s="36">
        <f>G500</f>
        <v>450000</v>
      </c>
      <c r="H498" s="36"/>
      <c r="I498" s="36"/>
      <c r="J498" s="36">
        <f>G498+H498</f>
        <v>450000</v>
      </c>
      <c r="K498" s="36"/>
      <c r="L498" s="36"/>
      <c r="M498" s="36"/>
      <c r="N498" s="36">
        <f>N500</f>
        <v>500000.00204999995</v>
      </c>
      <c r="O498" s="36"/>
      <c r="P498" s="36">
        <f>N498</f>
        <v>500000.00204999995</v>
      </c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  <c r="DG498" s="38"/>
      <c r="DH498" s="38"/>
      <c r="DI498" s="38"/>
      <c r="DJ498" s="38"/>
      <c r="DK498" s="38"/>
      <c r="DL498" s="38"/>
      <c r="DM498" s="38"/>
      <c r="DN498" s="38"/>
      <c r="DO498" s="38"/>
      <c r="DP498" s="38"/>
      <c r="DQ498" s="38"/>
      <c r="DR498" s="38"/>
      <c r="DS498" s="38"/>
      <c r="DT498" s="38"/>
      <c r="DU498" s="38"/>
      <c r="DV498" s="38"/>
      <c r="DW498" s="38"/>
      <c r="DX498" s="38"/>
      <c r="DY498" s="38"/>
      <c r="DZ498" s="38"/>
      <c r="EA498" s="38"/>
      <c r="EB498" s="38"/>
      <c r="EC498" s="38"/>
      <c r="ED498" s="38"/>
      <c r="EE498" s="38"/>
      <c r="EF498" s="38"/>
      <c r="EG498" s="38"/>
      <c r="EH498" s="38"/>
      <c r="EI498" s="38"/>
      <c r="EJ498" s="38"/>
      <c r="EK498" s="38"/>
      <c r="EL498" s="38"/>
      <c r="EM498" s="38"/>
      <c r="EN498" s="38"/>
      <c r="EO498" s="38"/>
      <c r="EP498" s="38"/>
      <c r="EQ498" s="38"/>
      <c r="ER498" s="38"/>
      <c r="ES498" s="38"/>
      <c r="ET498" s="38"/>
      <c r="EU498" s="38"/>
      <c r="EV498" s="38"/>
      <c r="EW498" s="38"/>
      <c r="EX498" s="38"/>
      <c r="EY498" s="38"/>
      <c r="EZ498" s="38"/>
      <c r="FA498" s="38"/>
      <c r="FB498" s="38"/>
      <c r="FC498" s="38"/>
      <c r="FD498" s="38"/>
      <c r="FE498" s="38"/>
      <c r="FF498" s="38"/>
      <c r="FG498" s="38"/>
      <c r="FH498" s="38"/>
      <c r="FI498" s="38"/>
      <c r="FJ498" s="38"/>
      <c r="FK498" s="38"/>
      <c r="FL498" s="38"/>
      <c r="FM498" s="38"/>
      <c r="FN498" s="38"/>
      <c r="FO498" s="38"/>
      <c r="FP498" s="38"/>
      <c r="FQ498" s="38"/>
      <c r="FR498" s="38"/>
      <c r="FS498" s="38"/>
      <c r="FT498" s="38"/>
      <c r="FU498" s="38"/>
      <c r="FV498" s="38"/>
      <c r="FW498" s="38"/>
      <c r="FX498" s="38"/>
      <c r="FY498" s="38"/>
      <c r="FZ498" s="38"/>
      <c r="GA498" s="38"/>
      <c r="GB498" s="38"/>
      <c r="GC498" s="38"/>
      <c r="GD498" s="38"/>
      <c r="GE498" s="38"/>
      <c r="GF498" s="38"/>
      <c r="GG498" s="38"/>
      <c r="GH498" s="38"/>
      <c r="GI498" s="38"/>
      <c r="GJ498" s="38"/>
      <c r="GK498" s="38"/>
      <c r="GL498" s="38"/>
      <c r="GM498" s="38"/>
      <c r="GN498" s="38"/>
      <c r="GO498" s="38"/>
      <c r="GP498" s="38"/>
      <c r="GQ498" s="38"/>
      <c r="GR498" s="38"/>
      <c r="GS498" s="38"/>
      <c r="GT498" s="38"/>
      <c r="GU498" s="38"/>
      <c r="GV498" s="38"/>
      <c r="GW498" s="38"/>
      <c r="GX498" s="38"/>
      <c r="GY498" s="38"/>
      <c r="GZ498" s="38"/>
      <c r="HA498" s="38"/>
      <c r="HB498" s="38"/>
      <c r="HC498" s="38"/>
      <c r="HD498" s="38"/>
      <c r="HE498" s="38"/>
      <c r="HF498" s="38"/>
      <c r="HG498" s="38"/>
      <c r="HH498" s="38"/>
      <c r="HI498" s="38"/>
      <c r="HJ498" s="38"/>
      <c r="HK498" s="38"/>
      <c r="HL498" s="38"/>
      <c r="HM498" s="38"/>
      <c r="HN498" s="38"/>
      <c r="HO498" s="38"/>
      <c r="HP498" s="38"/>
      <c r="HQ498" s="38"/>
      <c r="HR498" s="38"/>
      <c r="HS498" s="38"/>
      <c r="HT498" s="38"/>
      <c r="HU498" s="38"/>
      <c r="HV498" s="38"/>
      <c r="HW498" s="38"/>
      <c r="HX498" s="38"/>
      <c r="HY498" s="38"/>
      <c r="HZ498" s="38"/>
      <c r="IA498" s="38"/>
    </row>
    <row r="499" spans="1:16" ht="11.25" customHeight="1">
      <c r="A499" s="5" t="s">
        <v>4</v>
      </c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36"/>
    </row>
    <row r="500" spans="1:16" ht="14.25" customHeight="1">
      <c r="A500" s="8" t="s">
        <v>43</v>
      </c>
      <c r="B500" s="6"/>
      <c r="C500" s="6"/>
      <c r="D500" s="7">
        <f>D502*D504</f>
        <v>399999.99999963003</v>
      </c>
      <c r="E500" s="7"/>
      <c r="F500" s="7">
        <f>D500+E500</f>
        <v>399999.99999963003</v>
      </c>
      <c r="G500" s="7">
        <f>G502*G504</f>
        <v>450000</v>
      </c>
      <c r="H500" s="7"/>
      <c r="I500" s="7"/>
      <c r="J500" s="7">
        <f>G500+H500</f>
        <v>450000</v>
      </c>
      <c r="K500" s="7"/>
      <c r="L500" s="7"/>
      <c r="M500" s="7"/>
      <c r="N500" s="7">
        <f>N502*N504</f>
        <v>500000.00204999995</v>
      </c>
      <c r="O500" s="7"/>
      <c r="P500" s="36">
        <f>N500</f>
        <v>500000.00204999995</v>
      </c>
    </row>
    <row r="501" spans="1:16" ht="10.5" customHeight="1">
      <c r="A501" s="5" t="s">
        <v>5</v>
      </c>
      <c r="B501" s="6"/>
      <c r="C501" s="6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36"/>
    </row>
    <row r="502" spans="1:16" ht="24.75" customHeight="1">
      <c r="A502" s="8" t="s">
        <v>162</v>
      </c>
      <c r="B502" s="6"/>
      <c r="C502" s="6"/>
      <c r="D502" s="7">
        <v>307</v>
      </c>
      <c r="E502" s="7"/>
      <c r="F502" s="7">
        <f>D502</f>
        <v>307</v>
      </c>
      <c r="G502" s="7">
        <v>300</v>
      </c>
      <c r="H502" s="7"/>
      <c r="I502" s="7"/>
      <c r="J502" s="7">
        <f>G502+H502</f>
        <v>300</v>
      </c>
      <c r="K502" s="7"/>
      <c r="L502" s="7"/>
      <c r="M502" s="7"/>
      <c r="N502" s="7">
        <v>213</v>
      </c>
      <c r="O502" s="7"/>
      <c r="P502" s="36">
        <f>N502</f>
        <v>213</v>
      </c>
    </row>
    <row r="503" spans="1:16" ht="11.25">
      <c r="A503" s="5" t="s">
        <v>7</v>
      </c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36"/>
    </row>
    <row r="504" spans="1:16" ht="24.75" customHeight="1">
      <c r="A504" s="8" t="s">
        <v>163</v>
      </c>
      <c r="B504" s="6"/>
      <c r="C504" s="6"/>
      <c r="D504" s="7">
        <v>1302.93159609</v>
      </c>
      <c r="E504" s="7"/>
      <c r="F504" s="7">
        <f>D504</f>
        <v>1302.93159609</v>
      </c>
      <c r="G504" s="7">
        <f>450000/300</f>
        <v>1500</v>
      </c>
      <c r="H504" s="7"/>
      <c r="I504" s="7"/>
      <c r="J504" s="7">
        <f>G504+H504</f>
        <v>1500</v>
      </c>
      <c r="K504" s="7"/>
      <c r="L504" s="7"/>
      <c r="M504" s="7"/>
      <c r="N504" s="7">
        <v>2347.41785</v>
      </c>
      <c r="O504" s="7"/>
      <c r="P504" s="36">
        <f>N504</f>
        <v>2347.41785</v>
      </c>
    </row>
    <row r="505" spans="1:235" s="39" customFormat="1" ht="36.75" customHeight="1">
      <c r="A505" s="34" t="s">
        <v>417</v>
      </c>
      <c r="B505" s="35"/>
      <c r="C505" s="35"/>
      <c r="D505" s="36">
        <f>700000+35000+10000</f>
        <v>745000</v>
      </c>
      <c r="E505" s="36">
        <f>E507</f>
        <v>1000000</v>
      </c>
      <c r="F505" s="36">
        <f>D505+E505</f>
        <v>1745000</v>
      </c>
      <c r="G505" s="36">
        <v>200000</v>
      </c>
      <c r="H505" s="36">
        <v>1300000</v>
      </c>
      <c r="I505" s="36"/>
      <c r="J505" s="36">
        <f>G505+H505</f>
        <v>1500000</v>
      </c>
      <c r="K505" s="36"/>
      <c r="L505" s="36"/>
      <c r="M505" s="36"/>
      <c r="N505" s="36">
        <f>N510*N513</f>
        <v>0</v>
      </c>
      <c r="O505" s="36">
        <f>O510*O513</f>
        <v>2000000</v>
      </c>
      <c r="P505" s="36">
        <f>O505+N505</f>
        <v>2000000</v>
      </c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  <c r="DG505" s="38"/>
      <c r="DH505" s="38"/>
      <c r="DI505" s="38"/>
      <c r="DJ505" s="38"/>
      <c r="DK505" s="38"/>
      <c r="DL505" s="38"/>
      <c r="DM505" s="38"/>
      <c r="DN505" s="38"/>
      <c r="DO505" s="38"/>
      <c r="DP505" s="38"/>
      <c r="DQ505" s="38"/>
      <c r="DR505" s="38"/>
      <c r="DS505" s="38"/>
      <c r="DT505" s="38"/>
      <c r="DU505" s="38"/>
      <c r="DV505" s="38"/>
      <c r="DW505" s="38"/>
      <c r="DX505" s="38"/>
      <c r="DY505" s="38"/>
      <c r="DZ505" s="38"/>
      <c r="EA505" s="38"/>
      <c r="EB505" s="38"/>
      <c r="EC505" s="38"/>
      <c r="ED505" s="38"/>
      <c r="EE505" s="38"/>
      <c r="EF505" s="38"/>
      <c r="EG505" s="38"/>
      <c r="EH505" s="38"/>
      <c r="EI505" s="38"/>
      <c r="EJ505" s="38"/>
      <c r="EK505" s="38"/>
      <c r="EL505" s="38"/>
      <c r="EM505" s="38"/>
      <c r="EN505" s="38"/>
      <c r="EO505" s="38"/>
      <c r="EP505" s="38"/>
      <c r="EQ505" s="38"/>
      <c r="ER505" s="38"/>
      <c r="ES505" s="38"/>
      <c r="ET505" s="38"/>
      <c r="EU505" s="38"/>
      <c r="EV505" s="38"/>
      <c r="EW505" s="38"/>
      <c r="EX505" s="38"/>
      <c r="EY505" s="38"/>
      <c r="EZ505" s="38"/>
      <c r="FA505" s="38"/>
      <c r="FB505" s="38"/>
      <c r="FC505" s="38"/>
      <c r="FD505" s="38"/>
      <c r="FE505" s="38"/>
      <c r="FF505" s="38"/>
      <c r="FG505" s="38"/>
      <c r="FH505" s="38"/>
      <c r="FI505" s="38"/>
      <c r="FJ505" s="38"/>
      <c r="FK505" s="38"/>
      <c r="FL505" s="38"/>
      <c r="FM505" s="38"/>
      <c r="FN505" s="38"/>
      <c r="FO505" s="38"/>
      <c r="FP505" s="38"/>
      <c r="FQ505" s="38"/>
      <c r="FR505" s="38"/>
      <c r="FS505" s="38"/>
      <c r="FT505" s="38"/>
      <c r="FU505" s="38"/>
      <c r="FV505" s="38"/>
      <c r="FW505" s="38"/>
      <c r="FX505" s="38"/>
      <c r="FY505" s="38"/>
      <c r="FZ505" s="38"/>
      <c r="GA505" s="38"/>
      <c r="GB505" s="38"/>
      <c r="GC505" s="38"/>
      <c r="GD505" s="38"/>
      <c r="GE505" s="38"/>
      <c r="GF505" s="38"/>
      <c r="GG505" s="38"/>
      <c r="GH505" s="38"/>
      <c r="GI505" s="38"/>
      <c r="GJ505" s="38"/>
      <c r="GK505" s="38"/>
      <c r="GL505" s="38"/>
      <c r="GM505" s="38"/>
      <c r="GN505" s="38"/>
      <c r="GO505" s="38"/>
      <c r="GP505" s="38"/>
      <c r="GQ505" s="38"/>
      <c r="GR505" s="38"/>
      <c r="GS505" s="38"/>
      <c r="GT505" s="38"/>
      <c r="GU505" s="38"/>
      <c r="GV505" s="38"/>
      <c r="GW505" s="38"/>
      <c r="GX505" s="38"/>
      <c r="GY505" s="38"/>
      <c r="GZ505" s="38"/>
      <c r="HA505" s="38"/>
      <c r="HB505" s="38"/>
      <c r="HC505" s="38"/>
      <c r="HD505" s="38"/>
      <c r="HE505" s="38"/>
      <c r="HF505" s="38"/>
      <c r="HG505" s="38"/>
      <c r="HH505" s="38"/>
      <c r="HI505" s="38"/>
      <c r="HJ505" s="38"/>
      <c r="HK505" s="38"/>
      <c r="HL505" s="38"/>
      <c r="HM505" s="38"/>
      <c r="HN505" s="38"/>
      <c r="HO505" s="38"/>
      <c r="HP505" s="38"/>
      <c r="HQ505" s="38"/>
      <c r="HR505" s="38"/>
      <c r="HS505" s="38"/>
      <c r="HT505" s="38"/>
      <c r="HU505" s="38"/>
      <c r="HV505" s="38"/>
      <c r="HW505" s="38"/>
      <c r="HX505" s="38"/>
      <c r="HY505" s="38"/>
      <c r="HZ505" s="38"/>
      <c r="IA505" s="38"/>
    </row>
    <row r="506" spans="1:16" ht="11.25">
      <c r="A506" s="5" t="s">
        <v>4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36"/>
    </row>
    <row r="507" spans="1:16" ht="22.5">
      <c r="A507" s="8" t="s">
        <v>351</v>
      </c>
      <c r="B507" s="6"/>
      <c r="C507" s="6"/>
      <c r="D507" s="7">
        <v>700000</v>
      </c>
      <c r="E507" s="7">
        <f>E510*E513</f>
        <v>1000000</v>
      </c>
      <c r="F507" s="7">
        <f>D507+E507</f>
        <v>1700000</v>
      </c>
      <c r="G507" s="7">
        <v>200000</v>
      </c>
      <c r="H507" s="7">
        <v>1300000</v>
      </c>
      <c r="I507" s="7"/>
      <c r="J507" s="7">
        <f>G507+H507</f>
        <v>1500000</v>
      </c>
      <c r="K507" s="7"/>
      <c r="L507" s="7"/>
      <c r="M507" s="7"/>
      <c r="N507" s="7"/>
      <c r="O507" s="7">
        <f>O510*O513</f>
        <v>2000000</v>
      </c>
      <c r="P507" s="7">
        <f>O507+N507</f>
        <v>2000000</v>
      </c>
    </row>
    <row r="508" spans="1:16" ht="22.5">
      <c r="A508" s="8" t="s">
        <v>354</v>
      </c>
      <c r="B508" s="6"/>
      <c r="C508" s="6"/>
      <c r="D508" s="7">
        <f>35000+10000</f>
        <v>45000</v>
      </c>
      <c r="E508" s="7"/>
      <c r="F508" s="7">
        <f>D508+E508</f>
        <v>45000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1.25">
      <c r="A509" s="5" t="s">
        <v>5</v>
      </c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22.5">
      <c r="A510" s="72" t="s">
        <v>183</v>
      </c>
      <c r="B510" s="6"/>
      <c r="C510" s="6"/>
      <c r="D510" s="7">
        <v>6</v>
      </c>
      <c r="E510" s="7">
        <v>2</v>
      </c>
      <c r="F510" s="7">
        <f>D510+E510</f>
        <v>8</v>
      </c>
      <c r="G510" s="7">
        <v>1</v>
      </c>
      <c r="H510" s="7">
        <v>3</v>
      </c>
      <c r="I510" s="7"/>
      <c r="J510" s="7">
        <f>G510+H510</f>
        <v>4</v>
      </c>
      <c r="K510" s="7"/>
      <c r="L510" s="7"/>
      <c r="M510" s="7"/>
      <c r="N510" s="7"/>
      <c r="O510" s="7">
        <v>4</v>
      </c>
      <c r="P510" s="7">
        <f>O510+N510</f>
        <v>4</v>
      </c>
    </row>
    <row r="511" spans="1:16" ht="22.5">
      <c r="A511" s="72" t="s">
        <v>352</v>
      </c>
      <c r="B511" s="6"/>
      <c r="C511" s="6"/>
      <c r="D511" s="7">
        <v>1</v>
      </c>
      <c r="E511" s="7"/>
      <c r="F511" s="7">
        <f>D511+E511</f>
        <v>1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1.25">
      <c r="A512" s="5" t="s">
        <v>7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33.75">
      <c r="A513" s="8" t="s">
        <v>203</v>
      </c>
      <c r="B513" s="6"/>
      <c r="C513" s="6"/>
      <c r="D513" s="7">
        <v>116666.66</v>
      </c>
      <c r="E513" s="7">
        <v>500000</v>
      </c>
      <c r="F513" s="7">
        <f>D513+E513</f>
        <v>616666.66</v>
      </c>
      <c r="G513" s="7">
        <v>200000</v>
      </c>
      <c r="H513" s="7">
        <v>433333.33</v>
      </c>
      <c r="I513" s="7"/>
      <c r="J513" s="7">
        <f>G513+H513</f>
        <v>633333.3300000001</v>
      </c>
      <c r="K513" s="7"/>
      <c r="L513" s="7"/>
      <c r="M513" s="7"/>
      <c r="N513" s="7"/>
      <c r="O513" s="7">
        <v>500000</v>
      </c>
      <c r="P513" s="7">
        <f>O513+N513</f>
        <v>500000</v>
      </c>
    </row>
    <row r="514" spans="1:16" ht="22.5">
      <c r="A514" s="8" t="s">
        <v>353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1.25">
      <c r="A515" s="8"/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235" s="39" customFormat="1" ht="24.75" customHeight="1">
      <c r="A516" s="34" t="s">
        <v>418</v>
      </c>
      <c r="B516" s="35"/>
      <c r="C516" s="35"/>
      <c r="D516" s="36">
        <f>D518</f>
        <v>100000</v>
      </c>
      <c r="E516" s="36"/>
      <c r="F516" s="36">
        <f>D516+E516</f>
        <v>100000</v>
      </c>
      <c r="G516" s="36">
        <f>G520*G522</f>
        <v>130000</v>
      </c>
      <c r="H516" s="36"/>
      <c r="I516" s="36"/>
      <c r="J516" s="36">
        <f>G516+H516</f>
        <v>130000</v>
      </c>
      <c r="K516" s="36"/>
      <c r="L516" s="36"/>
      <c r="M516" s="36"/>
      <c r="N516" s="36">
        <f>N522*N520</f>
        <v>150000</v>
      </c>
      <c r="O516" s="36">
        <f>O522*O520</f>
        <v>0</v>
      </c>
      <c r="P516" s="36">
        <f>P522*P520</f>
        <v>150000</v>
      </c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  <c r="CP516" s="38"/>
      <c r="CQ516" s="38"/>
      <c r="CR516" s="38"/>
      <c r="CS516" s="38"/>
      <c r="CT516" s="38"/>
      <c r="CU516" s="38"/>
      <c r="CV516" s="38"/>
      <c r="CW516" s="38"/>
      <c r="CX516" s="38"/>
      <c r="CY516" s="38"/>
      <c r="CZ516" s="38"/>
      <c r="DA516" s="38"/>
      <c r="DB516" s="38"/>
      <c r="DC516" s="38"/>
      <c r="DD516" s="38"/>
      <c r="DE516" s="38"/>
      <c r="DF516" s="38"/>
      <c r="DG516" s="38"/>
      <c r="DH516" s="38"/>
      <c r="DI516" s="38"/>
      <c r="DJ516" s="38"/>
      <c r="DK516" s="38"/>
      <c r="DL516" s="38"/>
      <c r="DM516" s="38"/>
      <c r="DN516" s="38"/>
      <c r="DO516" s="38"/>
      <c r="DP516" s="38"/>
      <c r="DQ516" s="38"/>
      <c r="DR516" s="38"/>
      <c r="DS516" s="38"/>
      <c r="DT516" s="38"/>
      <c r="DU516" s="38"/>
      <c r="DV516" s="38"/>
      <c r="DW516" s="38"/>
      <c r="DX516" s="38"/>
      <c r="DY516" s="38"/>
      <c r="DZ516" s="38"/>
      <c r="EA516" s="38"/>
      <c r="EB516" s="38"/>
      <c r="EC516" s="38"/>
      <c r="ED516" s="38"/>
      <c r="EE516" s="38"/>
      <c r="EF516" s="38"/>
      <c r="EG516" s="38"/>
      <c r="EH516" s="38"/>
      <c r="EI516" s="38"/>
      <c r="EJ516" s="38"/>
      <c r="EK516" s="38"/>
      <c r="EL516" s="38"/>
      <c r="EM516" s="38"/>
      <c r="EN516" s="38"/>
      <c r="EO516" s="38"/>
      <c r="EP516" s="38"/>
      <c r="EQ516" s="38"/>
      <c r="ER516" s="38"/>
      <c r="ES516" s="38"/>
      <c r="ET516" s="38"/>
      <c r="EU516" s="38"/>
      <c r="EV516" s="38"/>
      <c r="EW516" s="38"/>
      <c r="EX516" s="38"/>
      <c r="EY516" s="38"/>
      <c r="EZ516" s="38"/>
      <c r="FA516" s="38"/>
      <c r="FB516" s="38"/>
      <c r="FC516" s="38"/>
      <c r="FD516" s="38"/>
      <c r="FE516" s="38"/>
      <c r="FF516" s="38"/>
      <c r="FG516" s="38"/>
      <c r="FH516" s="38"/>
      <c r="FI516" s="38"/>
      <c r="FJ516" s="38"/>
      <c r="FK516" s="38"/>
      <c r="FL516" s="38"/>
      <c r="FM516" s="38"/>
      <c r="FN516" s="38"/>
      <c r="FO516" s="38"/>
      <c r="FP516" s="38"/>
      <c r="FQ516" s="38"/>
      <c r="FR516" s="38"/>
      <c r="FS516" s="38"/>
      <c r="FT516" s="38"/>
      <c r="FU516" s="38"/>
      <c r="FV516" s="38"/>
      <c r="FW516" s="38"/>
      <c r="FX516" s="38"/>
      <c r="FY516" s="38"/>
      <c r="FZ516" s="38"/>
      <c r="GA516" s="38"/>
      <c r="GB516" s="38"/>
      <c r="GC516" s="38"/>
      <c r="GD516" s="38"/>
      <c r="GE516" s="38"/>
      <c r="GF516" s="38"/>
      <c r="GG516" s="38"/>
      <c r="GH516" s="38"/>
      <c r="GI516" s="38"/>
      <c r="GJ516" s="38"/>
      <c r="GK516" s="38"/>
      <c r="GL516" s="38"/>
      <c r="GM516" s="38"/>
      <c r="GN516" s="38"/>
      <c r="GO516" s="38"/>
      <c r="GP516" s="38"/>
      <c r="GQ516" s="38"/>
      <c r="GR516" s="38"/>
      <c r="GS516" s="38"/>
      <c r="GT516" s="38"/>
      <c r="GU516" s="38"/>
      <c r="GV516" s="38"/>
      <c r="GW516" s="38"/>
      <c r="GX516" s="38"/>
      <c r="GY516" s="38"/>
      <c r="GZ516" s="38"/>
      <c r="HA516" s="38"/>
      <c r="HB516" s="38"/>
      <c r="HC516" s="38"/>
      <c r="HD516" s="38"/>
      <c r="HE516" s="38"/>
      <c r="HF516" s="38"/>
      <c r="HG516" s="38"/>
      <c r="HH516" s="38"/>
      <c r="HI516" s="38"/>
      <c r="HJ516" s="38"/>
      <c r="HK516" s="38"/>
      <c r="HL516" s="38"/>
      <c r="HM516" s="38"/>
      <c r="HN516" s="38"/>
      <c r="HO516" s="38"/>
      <c r="HP516" s="38"/>
      <c r="HQ516" s="38"/>
      <c r="HR516" s="38"/>
      <c r="HS516" s="38"/>
      <c r="HT516" s="38"/>
      <c r="HU516" s="38"/>
      <c r="HV516" s="38"/>
      <c r="HW516" s="38"/>
      <c r="HX516" s="38"/>
      <c r="HY516" s="38"/>
      <c r="HZ516" s="38"/>
      <c r="IA516" s="38"/>
    </row>
    <row r="517" spans="1:16" ht="11.25">
      <c r="A517" s="5" t="s">
        <v>4</v>
      </c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1.25">
      <c r="A518" s="8" t="s">
        <v>43</v>
      </c>
      <c r="B518" s="6"/>
      <c r="C518" s="6"/>
      <c r="D518" s="7">
        <f>D520*D522</f>
        <v>100000</v>
      </c>
      <c r="E518" s="7"/>
      <c r="F518" s="7">
        <f>D518+E518</f>
        <v>100000</v>
      </c>
      <c r="G518" s="7">
        <f>G520*G522</f>
        <v>130000</v>
      </c>
      <c r="H518" s="7"/>
      <c r="I518" s="7"/>
      <c r="J518" s="7">
        <f>G518+H518</f>
        <v>130000</v>
      </c>
      <c r="K518" s="7"/>
      <c r="L518" s="7"/>
      <c r="M518" s="7"/>
      <c r="N518" s="7">
        <f>N520*N522</f>
        <v>150000</v>
      </c>
      <c r="O518" s="7"/>
      <c r="P518" s="7">
        <f>N518+O518</f>
        <v>150000</v>
      </c>
    </row>
    <row r="519" spans="1:16" ht="11.25">
      <c r="A519" s="5" t="s">
        <v>5</v>
      </c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4.25" customHeight="1">
      <c r="A520" s="8" t="s">
        <v>196</v>
      </c>
      <c r="B520" s="6"/>
      <c r="C520" s="6"/>
      <c r="D520" s="7">
        <v>8</v>
      </c>
      <c r="E520" s="7"/>
      <c r="F520" s="7">
        <f>D520+E520</f>
        <v>8</v>
      </c>
      <c r="G520" s="7">
        <v>2</v>
      </c>
      <c r="H520" s="7"/>
      <c r="I520" s="7"/>
      <c r="J520" s="7">
        <f>G520+H520</f>
        <v>2</v>
      </c>
      <c r="K520" s="7"/>
      <c r="L520" s="7"/>
      <c r="M520" s="7"/>
      <c r="N520" s="7">
        <v>8</v>
      </c>
      <c r="O520" s="7"/>
      <c r="P520" s="7">
        <f>N520+O520</f>
        <v>8</v>
      </c>
    </row>
    <row r="521" spans="1:16" ht="12" customHeight="1">
      <c r="A521" s="5" t="s">
        <v>7</v>
      </c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24.75" customHeight="1">
      <c r="A522" s="8" t="s">
        <v>178</v>
      </c>
      <c r="B522" s="6"/>
      <c r="C522" s="6"/>
      <c r="D522" s="7">
        <f>100000/8</f>
        <v>12500</v>
      </c>
      <c r="E522" s="7"/>
      <c r="F522" s="7">
        <f>D522+E522</f>
        <v>12500</v>
      </c>
      <c r="G522" s="7">
        <v>65000</v>
      </c>
      <c r="H522" s="7"/>
      <c r="I522" s="7"/>
      <c r="J522" s="7">
        <f>G522+H522</f>
        <v>65000</v>
      </c>
      <c r="K522" s="7"/>
      <c r="L522" s="7"/>
      <c r="M522" s="7"/>
      <c r="N522" s="7">
        <f>150000/8</f>
        <v>18750</v>
      </c>
      <c r="O522" s="7"/>
      <c r="P522" s="7">
        <f>N522+O522</f>
        <v>18750</v>
      </c>
    </row>
    <row r="523" spans="1:17" ht="33.75">
      <c r="A523" s="34" t="s">
        <v>419</v>
      </c>
      <c r="B523" s="35"/>
      <c r="C523" s="35"/>
      <c r="D523" s="22"/>
      <c r="E523" s="36">
        <f>E525</f>
        <v>50000</v>
      </c>
      <c r="F523" s="36">
        <f>F525</f>
        <v>50000</v>
      </c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73"/>
    </row>
    <row r="524" spans="1:17" ht="11.25">
      <c r="A524" s="5" t="s">
        <v>4</v>
      </c>
      <c r="B524" s="6"/>
      <c r="C524" s="6"/>
      <c r="D524" s="22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3"/>
    </row>
    <row r="525" spans="1:17" ht="11.25">
      <c r="A525" s="8" t="s">
        <v>43</v>
      </c>
      <c r="B525" s="6"/>
      <c r="C525" s="6"/>
      <c r="D525" s="22"/>
      <c r="E525" s="7">
        <f>E527*E529</f>
        <v>50000</v>
      </c>
      <c r="F525" s="7">
        <f>F527*F529</f>
        <v>50000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4"/>
    </row>
    <row r="526" spans="1:17" ht="11.25">
      <c r="A526" s="5" t="s">
        <v>5</v>
      </c>
      <c r="B526" s="6"/>
      <c r="C526" s="6"/>
      <c r="D526" s="22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4"/>
    </row>
    <row r="527" spans="1:17" ht="22.5">
      <c r="A527" s="8" t="s">
        <v>196</v>
      </c>
      <c r="B527" s="6"/>
      <c r="C527" s="6"/>
      <c r="D527" s="22"/>
      <c r="E527" s="7">
        <v>1</v>
      </c>
      <c r="F527" s="7">
        <v>1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4">
        <v>5500</v>
      </c>
    </row>
    <row r="528" spans="1:17" ht="11.25">
      <c r="A528" s="5" t="s">
        <v>7</v>
      </c>
      <c r="B528" s="6"/>
      <c r="C528" s="6"/>
      <c r="D528" s="22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17" ht="22.5">
      <c r="A529" s="8" t="s">
        <v>178</v>
      </c>
      <c r="B529" s="6"/>
      <c r="C529" s="6"/>
      <c r="D529" s="22"/>
      <c r="E529" s="7">
        <v>50000</v>
      </c>
      <c r="F529" s="7">
        <v>50000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</row>
    <row r="530" spans="1:17" ht="33.75">
      <c r="A530" s="34" t="s">
        <v>420</v>
      </c>
      <c r="B530" s="35"/>
      <c r="C530" s="35"/>
      <c r="D530" s="36">
        <f>D532</f>
        <v>790000</v>
      </c>
      <c r="E530" s="36"/>
      <c r="F530" s="36">
        <f>F532</f>
        <v>790000</v>
      </c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24"/>
    </row>
    <row r="531" spans="1:17" ht="11.25">
      <c r="A531" s="5" t="s">
        <v>4</v>
      </c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</row>
    <row r="532" spans="1:17" ht="11.25">
      <c r="A532" s="8" t="s">
        <v>43</v>
      </c>
      <c r="B532" s="6"/>
      <c r="C532" s="6"/>
      <c r="D532" s="7">
        <f>D534*D536</f>
        <v>790000</v>
      </c>
      <c r="E532" s="7"/>
      <c r="F532" s="7">
        <f>F534*F536</f>
        <v>790000</v>
      </c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11.25">
      <c r="A533" s="5" t="s">
        <v>5</v>
      </c>
      <c r="B533" s="6"/>
      <c r="C533" s="6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24"/>
    </row>
    <row r="534" spans="1:17" ht="22.5">
      <c r="A534" s="8" t="s">
        <v>196</v>
      </c>
      <c r="B534" s="6"/>
      <c r="C534" s="6"/>
      <c r="D534" s="7">
        <v>1</v>
      </c>
      <c r="E534" s="7"/>
      <c r="F534" s="7">
        <v>1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24"/>
    </row>
    <row r="535" spans="1:17" ht="11.25">
      <c r="A535" s="5" t="s">
        <v>7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22.5">
      <c r="A536" s="8" t="s">
        <v>178</v>
      </c>
      <c r="B536" s="6"/>
      <c r="C536" s="6"/>
      <c r="D536" s="7">
        <v>790000</v>
      </c>
      <c r="E536" s="7"/>
      <c r="F536" s="7">
        <v>790000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17" ht="36" customHeight="1">
      <c r="A537" s="34" t="s">
        <v>421</v>
      </c>
      <c r="B537" s="35"/>
      <c r="C537" s="35"/>
      <c r="D537" s="36"/>
      <c r="E537" s="36">
        <f>E539</f>
        <v>320000</v>
      </c>
      <c r="F537" s="36">
        <f>F539</f>
        <v>320000</v>
      </c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24"/>
    </row>
    <row r="538" spans="1:17" ht="11.25">
      <c r="A538" s="5" t="s">
        <v>4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24"/>
    </row>
    <row r="539" spans="1:17" ht="11.25">
      <c r="A539" s="8" t="s">
        <v>43</v>
      </c>
      <c r="B539" s="6"/>
      <c r="C539" s="6"/>
      <c r="D539" s="7"/>
      <c r="E539" s="7">
        <f>E541*E543</f>
        <v>320000</v>
      </c>
      <c r="F539" s="7">
        <f>F541*F543</f>
        <v>320000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</row>
    <row r="540" spans="1:17" ht="11.25">
      <c r="A540" s="5" t="s">
        <v>5</v>
      </c>
      <c r="B540" s="6"/>
      <c r="C540" s="6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24"/>
    </row>
    <row r="541" spans="1:17" ht="22.5">
      <c r="A541" s="8" t="s">
        <v>196</v>
      </c>
      <c r="B541" s="6"/>
      <c r="C541" s="6"/>
      <c r="D541" s="7"/>
      <c r="E541" s="7">
        <v>1</v>
      </c>
      <c r="F541" s="7">
        <v>1</v>
      </c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</row>
    <row r="542" spans="1:17" ht="11.25">
      <c r="A542" s="5" t="s">
        <v>7</v>
      </c>
      <c r="B542" s="6"/>
      <c r="C542" s="6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24"/>
    </row>
    <row r="543" spans="1:235" ht="11.25">
      <c r="A543" s="8" t="s">
        <v>330</v>
      </c>
      <c r="B543" s="6"/>
      <c r="C543" s="6"/>
      <c r="D543" s="7"/>
      <c r="E543" s="7">
        <v>320000</v>
      </c>
      <c r="F543" s="7">
        <v>320000</v>
      </c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3"/>
      <c r="BS543" s="53"/>
      <c r="BT543" s="53"/>
      <c r="BU543" s="53"/>
      <c r="BV543" s="53"/>
      <c r="BW543" s="53"/>
      <c r="BX543" s="53"/>
      <c r="BY543" s="53"/>
      <c r="BZ543" s="53"/>
      <c r="CA543" s="53"/>
      <c r="CB543" s="53"/>
      <c r="CC543" s="53"/>
      <c r="CD543" s="53"/>
      <c r="CE543" s="53"/>
      <c r="CF543" s="53"/>
      <c r="CG543" s="53"/>
      <c r="CH543" s="53"/>
      <c r="CI543" s="53"/>
      <c r="CJ543" s="53"/>
      <c r="CK543" s="53"/>
      <c r="CL543" s="53"/>
      <c r="CM543" s="53"/>
      <c r="CN543" s="53"/>
      <c r="CO543" s="53"/>
      <c r="CP543" s="53"/>
      <c r="CQ543" s="53"/>
      <c r="CR543" s="53"/>
      <c r="CS543" s="53"/>
      <c r="CT543" s="53"/>
      <c r="CU543" s="53"/>
      <c r="CV543" s="53"/>
      <c r="CW543" s="53"/>
      <c r="CX543" s="53"/>
      <c r="CY543" s="53"/>
      <c r="CZ543" s="53"/>
      <c r="DA543" s="53"/>
      <c r="DB543" s="53"/>
      <c r="DC543" s="53"/>
      <c r="DD543" s="53"/>
      <c r="DE543" s="53"/>
      <c r="DF543" s="53"/>
      <c r="DG543" s="53"/>
      <c r="DH543" s="53"/>
      <c r="DI543" s="53"/>
      <c r="DJ543" s="53"/>
      <c r="DK543" s="53"/>
      <c r="DL543" s="53"/>
      <c r="DM543" s="53"/>
      <c r="DN543" s="53"/>
      <c r="DO543" s="53"/>
      <c r="DP543" s="53"/>
      <c r="DQ543" s="53"/>
      <c r="DR543" s="53"/>
      <c r="DS543" s="53"/>
      <c r="DT543" s="53"/>
      <c r="DU543" s="53"/>
      <c r="DV543" s="53"/>
      <c r="DW543" s="53"/>
      <c r="DX543" s="53"/>
      <c r="DY543" s="53"/>
      <c r="DZ543" s="53"/>
      <c r="EA543" s="53"/>
      <c r="EB543" s="53"/>
      <c r="EC543" s="53"/>
      <c r="ED543" s="53"/>
      <c r="EE543" s="53"/>
      <c r="EF543" s="53"/>
      <c r="EG543" s="53"/>
      <c r="EH543" s="53"/>
      <c r="EI543" s="53"/>
      <c r="EJ543" s="53"/>
      <c r="EK543" s="53"/>
      <c r="EL543" s="53"/>
      <c r="EM543" s="53"/>
      <c r="EN543" s="53"/>
      <c r="EO543" s="53"/>
      <c r="EP543" s="53"/>
      <c r="EQ543" s="53"/>
      <c r="ER543" s="53"/>
      <c r="ES543" s="53"/>
      <c r="ET543" s="53"/>
      <c r="EU543" s="53"/>
      <c r="EV543" s="53"/>
      <c r="EW543" s="53"/>
      <c r="EX543" s="53"/>
      <c r="EY543" s="53"/>
      <c r="EZ543" s="53"/>
      <c r="FA543" s="53"/>
      <c r="FB543" s="53"/>
      <c r="FC543" s="53"/>
      <c r="FD543" s="53"/>
      <c r="FE543" s="53"/>
      <c r="FF543" s="53"/>
      <c r="FG543" s="53"/>
      <c r="FH543" s="53"/>
      <c r="FI543" s="53"/>
      <c r="FJ543" s="53"/>
      <c r="FK543" s="53"/>
      <c r="FL543" s="53"/>
      <c r="FM543" s="53"/>
      <c r="FN543" s="53"/>
      <c r="FO543" s="53"/>
      <c r="FP543" s="53"/>
      <c r="FQ543" s="53"/>
      <c r="FR543" s="53"/>
      <c r="FS543" s="53"/>
      <c r="FT543" s="53"/>
      <c r="FU543" s="53"/>
      <c r="FV543" s="53"/>
      <c r="FW543" s="53"/>
      <c r="FX543" s="53"/>
      <c r="FY543" s="53"/>
      <c r="FZ543" s="53"/>
      <c r="GA543" s="53"/>
      <c r="GB543" s="53"/>
      <c r="GC543" s="53"/>
      <c r="GD543" s="53"/>
      <c r="GE543" s="53"/>
      <c r="GF543" s="53"/>
      <c r="GG543" s="53"/>
      <c r="GH543" s="53"/>
      <c r="GI543" s="53"/>
      <c r="GJ543" s="53"/>
      <c r="GK543" s="53"/>
      <c r="GL543" s="53"/>
      <c r="GM543" s="53"/>
      <c r="GN543" s="53"/>
      <c r="GO543" s="53"/>
      <c r="GP543" s="53"/>
      <c r="GQ543" s="53"/>
      <c r="GR543" s="53"/>
      <c r="GS543" s="53"/>
      <c r="GT543" s="53"/>
      <c r="GU543" s="53"/>
      <c r="GV543" s="53"/>
      <c r="GW543" s="53"/>
      <c r="GX543" s="53"/>
      <c r="GY543" s="53"/>
      <c r="GZ543" s="53"/>
      <c r="HA543" s="53"/>
      <c r="HB543" s="53"/>
      <c r="HC543" s="53"/>
      <c r="HD543" s="53"/>
      <c r="HE543" s="53"/>
      <c r="HF543" s="53"/>
      <c r="HG543" s="53"/>
      <c r="HH543" s="53"/>
      <c r="HI543" s="53"/>
      <c r="HJ543" s="53"/>
      <c r="HK543" s="53"/>
      <c r="HL543" s="53"/>
      <c r="HM543" s="53"/>
      <c r="HN543" s="53"/>
      <c r="HO543" s="53"/>
      <c r="HP543" s="53"/>
      <c r="HQ543" s="53"/>
      <c r="HR543" s="53"/>
      <c r="HS543" s="53"/>
      <c r="HT543" s="53"/>
      <c r="HU543" s="53"/>
      <c r="HV543" s="53"/>
      <c r="HW543" s="53"/>
      <c r="HX543" s="53"/>
      <c r="HY543" s="53"/>
      <c r="HZ543" s="53"/>
      <c r="IA543" s="53"/>
    </row>
    <row r="544" spans="1:17" ht="24" customHeight="1">
      <c r="A544" s="34" t="s">
        <v>422</v>
      </c>
      <c r="B544" s="35"/>
      <c r="C544" s="35"/>
      <c r="D544" s="36"/>
      <c r="E544" s="36">
        <f>E546</f>
        <v>0</v>
      </c>
      <c r="F544" s="36">
        <f>F546</f>
        <v>0</v>
      </c>
      <c r="G544" s="36">
        <f>G546</f>
        <v>1952000</v>
      </c>
      <c r="H544" s="36"/>
      <c r="I544" s="36"/>
      <c r="J544" s="36">
        <f>J546</f>
        <v>1952000</v>
      </c>
      <c r="K544" s="36"/>
      <c r="L544" s="36"/>
      <c r="M544" s="36"/>
      <c r="N544" s="36"/>
      <c r="O544" s="36"/>
      <c r="P544" s="36"/>
      <c r="Q544" s="24"/>
    </row>
    <row r="545" spans="1:17" ht="11.25">
      <c r="A545" s="5" t="s">
        <v>4</v>
      </c>
      <c r="B545" s="6"/>
      <c r="C545" s="6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24"/>
    </row>
    <row r="546" spans="1:17" ht="11.25">
      <c r="A546" s="8" t="s">
        <v>43</v>
      </c>
      <c r="B546" s="6"/>
      <c r="C546" s="6"/>
      <c r="D546" s="7"/>
      <c r="E546" s="7">
        <f>E548*E550</f>
        <v>0</v>
      </c>
      <c r="F546" s="7">
        <f>F548*F550</f>
        <v>0</v>
      </c>
      <c r="G546" s="7">
        <f>G548*G550</f>
        <v>1952000</v>
      </c>
      <c r="H546" s="7"/>
      <c r="I546" s="7"/>
      <c r="J546" s="7">
        <f>G546</f>
        <v>1952000</v>
      </c>
      <c r="K546" s="7"/>
      <c r="L546" s="7"/>
      <c r="M546" s="7"/>
      <c r="N546" s="7"/>
      <c r="O546" s="7"/>
      <c r="P546" s="7"/>
      <c r="Q546" s="24"/>
    </row>
    <row r="547" spans="1:17" ht="11.25">
      <c r="A547" s="5" t="s">
        <v>5</v>
      </c>
      <c r="B547" s="6"/>
      <c r="C547" s="6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24"/>
    </row>
    <row r="548" spans="1:17" ht="22.5">
      <c r="A548" s="8" t="s">
        <v>196</v>
      </c>
      <c r="B548" s="6"/>
      <c r="C548" s="6"/>
      <c r="D548" s="7"/>
      <c r="E548" s="7">
        <v>0</v>
      </c>
      <c r="F548" s="7">
        <v>0</v>
      </c>
      <c r="G548" s="7">
        <v>1</v>
      </c>
      <c r="H548" s="7"/>
      <c r="I548" s="7"/>
      <c r="J548" s="7">
        <f>G548</f>
        <v>1</v>
      </c>
      <c r="K548" s="7"/>
      <c r="L548" s="7"/>
      <c r="M548" s="7"/>
      <c r="N548" s="7"/>
      <c r="O548" s="7"/>
      <c r="P548" s="7"/>
      <c r="Q548" s="24"/>
    </row>
    <row r="549" spans="1:17" ht="11.25">
      <c r="A549" s="5" t="s">
        <v>7</v>
      </c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</row>
    <row r="550" spans="1:235" ht="11.25">
      <c r="A550" s="8" t="s">
        <v>330</v>
      </c>
      <c r="B550" s="6"/>
      <c r="C550" s="6"/>
      <c r="D550" s="7"/>
      <c r="E550" s="7"/>
      <c r="F550" s="7">
        <v>0</v>
      </c>
      <c r="G550" s="7">
        <f>2300000-348000</f>
        <v>1952000</v>
      </c>
      <c r="H550" s="7"/>
      <c r="I550" s="7"/>
      <c r="J550" s="7">
        <f>G550</f>
        <v>1952000</v>
      </c>
      <c r="K550" s="7"/>
      <c r="L550" s="7"/>
      <c r="M550" s="7"/>
      <c r="N550" s="7"/>
      <c r="O550" s="7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33.75">
      <c r="A551" s="34" t="s">
        <v>423</v>
      </c>
      <c r="B551" s="6"/>
      <c r="C551" s="6"/>
      <c r="D551" s="7"/>
      <c r="E551" s="7"/>
      <c r="F551" s="7"/>
      <c r="G551" s="36">
        <f>G553</f>
        <v>3200000</v>
      </c>
      <c r="H551" s="7"/>
      <c r="I551" s="7"/>
      <c r="J551" s="36">
        <f>G551</f>
        <v>3200000</v>
      </c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11.25">
      <c r="A552" s="5" t="s">
        <v>4</v>
      </c>
      <c r="B552" s="6"/>
      <c r="C552" s="6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8" t="s">
        <v>43</v>
      </c>
      <c r="B553" s="6"/>
      <c r="C553" s="6"/>
      <c r="D553" s="7"/>
      <c r="E553" s="7"/>
      <c r="F553" s="7"/>
      <c r="G553" s="7">
        <v>3200000</v>
      </c>
      <c r="H553" s="7"/>
      <c r="I553" s="7"/>
      <c r="J553" s="7">
        <f>G553</f>
        <v>3200000</v>
      </c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11.25">
      <c r="A554" s="5" t="s">
        <v>5</v>
      </c>
      <c r="B554" s="6"/>
      <c r="C554" s="6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22.5">
      <c r="A555" s="8" t="s">
        <v>196</v>
      </c>
      <c r="B555" s="6"/>
      <c r="C555" s="6"/>
      <c r="D555" s="7"/>
      <c r="E555" s="7"/>
      <c r="F555" s="7"/>
      <c r="G555" s="7">
        <v>59</v>
      </c>
      <c r="H555" s="7"/>
      <c r="I555" s="7"/>
      <c r="J555" s="7">
        <f>G555</f>
        <v>59</v>
      </c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5" t="s">
        <v>7</v>
      </c>
      <c r="B556" s="6"/>
      <c r="C556" s="6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8" t="s">
        <v>330</v>
      </c>
      <c r="B557" s="6"/>
      <c r="C557" s="6"/>
      <c r="D557" s="7"/>
      <c r="E557" s="7"/>
      <c r="F557" s="7"/>
      <c r="G557" s="7">
        <v>54237.29</v>
      </c>
      <c r="H557" s="7"/>
      <c r="I557" s="7"/>
      <c r="J557" s="7">
        <f>G557</f>
        <v>54237.29</v>
      </c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33.75">
      <c r="A558" s="155" t="s">
        <v>428</v>
      </c>
      <c r="B558" s="6"/>
      <c r="C558" s="6"/>
      <c r="D558" s="7"/>
      <c r="E558" s="7"/>
      <c r="F558" s="7"/>
      <c r="G558" s="36"/>
      <c r="H558" s="36">
        <f>H560</f>
        <v>1000000</v>
      </c>
      <c r="I558" s="7"/>
      <c r="J558" s="36">
        <f>H558</f>
        <v>1000000</v>
      </c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5" t="s">
        <v>4</v>
      </c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1.25">
      <c r="A560" s="8" t="s">
        <v>43</v>
      </c>
      <c r="B560" s="6"/>
      <c r="C560" s="6"/>
      <c r="D560" s="7"/>
      <c r="E560" s="7"/>
      <c r="F560" s="7"/>
      <c r="G560" s="7"/>
      <c r="H560" s="7">
        <v>1000000</v>
      </c>
      <c r="I560" s="7"/>
      <c r="J560" s="7">
        <f>H560</f>
        <v>1000000</v>
      </c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11.25">
      <c r="A561" s="5" t="s">
        <v>5</v>
      </c>
      <c r="B561" s="6"/>
      <c r="C561" s="6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8" t="s">
        <v>403</v>
      </c>
      <c r="B562" s="6"/>
      <c r="C562" s="6"/>
      <c r="D562" s="7"/>
      <c r="E562" s="7"/>
      <c r="F562" s="7"/>
      <c r="G562" s="7"/>
      <c r="H562" s="7">
        <v>1</v>
      </c>
      <c r="I562" s="7"/>
      <c r="J562" s="7">
        <f>H562</f>
        <v>1</v>
      </c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11.25">
      <c r="A563" s="5" t="s">
        <v>7</v>
      </c>
      <c r="B563" s="6"/>
      <c r="C563" s="6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8" t="s">
        <v>330</v>
      </c>
      <c r="B564" s="6"/>
      <c r="C564" s="6"/>
      <c r="D564" s="7"/>
      <c r="E564" s="7"/>
      <c r="F564" s="7"/>
      <c r="G564" s="7"/>
      <c r="H564" s="7">
        <v>1000000</v>
      </c>
      <c r="I564" s="7"/>
      <c r="J564" s="7">
        <f>H564</f>
        <v>1000000</v>
      </c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22.5">
      <c r="A565" s="155" t="s">
        <v>429</v>
      </c>
      <c r="B565" s="6"/>
      <c r="C565" s="6"/>
      <c r="D565" s="7"/>
      <c r="E565" s="7"/>
      <c r="F565" s="7"/>
      <c r="G565" s="36">
        <f>G567</f>
        <v>80000</v>
      </c>
      <c r="H565" s="36">
        <f>H567</f>
        <v>0</v>
      </c>
      <c r="I565" s="7"/>
      <c r="J565" s="36">
        <f>H565+G565</f>
        <v>80000</v>
      </c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5" t="s">
        <v>4</v>
      </c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8" t="s">
        <v>43</v>
      </c>
      <c r="B567" s="6"/>
      <c r="C567" s="6"/>
      <c r="D567" s="7"/>
      <c r="E567" s="7"/>
      <c r="F567" s="7"/>
      <c r="G567" s="7">
        <f>G569*G571</f>
        <v>80000</v>
      </c>
      <c r="H567" s="7"/>
      <c r="I567" s="7"/>
      <c r="J567" s="7">
        <f>H567+G567</f>
        <v>80000</v>
      </c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5" t="s">
        <v>5</v>
      </c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11.25">
      <c r="A569" s="8" t="s">
        <v>403</v>
      </c>
      <c r="B569" s="6"/>
      <c r="C569" s="6"/>
      <c r="D569" s="7"/>
      <c r="E569" s="7"/>
      <c r="F569" s="7"/>
      <c r="G569" s="7">
        <v>1</v>
      </c>
      <c r="H569" s="7"/>
      <c r="I569" s="7"/>
      <c r="J569" s="7">
        <f>H569+G569</f>
        <v>1</v>
      </c>
      <c r="K569" s="7"/>
      <c r="L569" s="7"/>
      <c r="M569" s="7"/>
      <c r="N569" s="7"/>
      <c r="O569" s="7"/>
      <c r="P569" s="7"/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235" ht="11.25">
      <c r="A570" s="5" t="s">
        <v>7</v>
      </c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11.25">
      <c r="A571" s="8" t="s">
        <v>330</v>
      </c>
      <c r="B571" s="6"/>
      <c r="C571" s="6"/>
      <c r="D571" s="7"/>
      <c r="E571" s="7"/>
      <c r="F571" s="7"/>
      <c r="G571" s="7">
        <v>80000</v>
      </c>
      <c r="H571" s="7"/>
      <c r="I571" s="7"/>
      <c r="J571" s="7">
        <f>H571+G571</f>
        <v>80000</v>
      </c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8"/>
      <c r="B572" s="6"/>
      <c r="C572" s="6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17" s="139" customFormat="1" ht="11.25">
      <c r="A573" s="152" t="s">
        <v>255</v>
      </c>
      <c r="B573" s="136"/>
      <c r="C573" s="136"/>
      <c r="D573" s="145">
        <f>D575</f>
        <v>1690000</v>
      </c>
      <c r="E573" s="145">
        <v>0</v>
      </c>
      <c r="F573" s="145">
        <f>D573</f>
        <v>1690000</v>
      </c>
      <c r="G573" s="145">
        <f>G575</f>
        <v>1900000.0019999999</v>
      </c>
      <c r="H573" s="145"/>
      <c r="I573" s="145">
        <f>I575</f>
        <v>0</v>
      </c>
      <c r="J573" s="145">
        <f>J575</f>
        <v>1900000.0019999999</v>
      </c>
      <c r="K573" s="145"/>
      <c r="L573" s="145"/>
      <c r="M573" s="145"/>
      <c r="N573" s="145">
        <f>N575</f>
        <v>1500000</v>
      </c>
      <c r="O573" s="145"/>
      <c r="P573" s="145">
        <f>P575</f>
        <v>1500000</v>
      </c>
      <c r="Q573" s="154"/>
    </row>
    <row r="574" spans="1:235" ht="54.75" customHeight="1">
      <c r="A574" s="8" t="s">
        <v>165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17" s="76" customFormat="1" ht="22.5">
      <c r="A575" s="34" t="s">
        <v>431</v>
      </c>
      <c r="B575" s="37"/>
      <c r="C575" s="37"/>
      <c r="D575" s="57">
        <f>D576+D583</f>
        <v>1690000</v>
      </c>
      <c r="E575" s="57"/>
      <c r="F575" s="57">
        <f>D575</f>
        <v>1690000</v>
      </c>
      <c r="G575" s="30">
        <f>G576+G583</f>
        <v>1900000.0019999999</v>
      </c>
      <c r="H575" s="30"/>
      <c r="I575" s="30"/>
      <c r="J575" s="30">
        <f>G575</f>
        <v>1900000.0019999999</v>
      </c>
      <c r="K575" s="30"/>
      <c r="L575" s="30"/>
      <c r="M575" s="30"/>
      <c r="N575" s="30">
        <f>N576+N583</f>
        <v>1500000</v>
      </c>
      <c r="O575" s="30"/>
      <c r="P575" s="30">
        <f>N575</f>
        <v>1500000</v>
      </c>
      <c r="Q575" s="75"/>
    </row>
    <row r="576" spans="1:17" s="79" customFormat="1" ht="45">
      <c r="A576" s="77" t="s">
        <v>432</v>
      </c>
      <c r="B576" s="35"/>
      <c r="C576" s="35"/>
      <c r="D576" s="45">
        <f>D580*D582+100000</f>
        <v>1400000</v>
      </c>
      <c r="E576" s="45"/>
      <c r="F576" s="45">
        <f>D576+E576</f>
        <v>1400000</v>
      </c>
      <c r="G576" s="36">
        <f>G580*G582</f>
        <v>1500000</v>
      </c>
      <c r="H576" s="36">
        <f aca="true" t="shared" si="62" ref="H576:O576">H580*H582</f>
        <v>0</v>
      </c>
      <c r="I576" s="36">
        <f t="shared" si="62"/>
        <v>0</v>
      </c>
      <c r="J576" s="36">
        <f>G576</f>
        <v>1500000</v>
      </c>
      <c r="K576" s="36">
        <f t="shared" si="62"/>
        <v>0</v>
      </c>
      <c r="L576" s="36">
        <f t="shared" si="62"/>
        <v>0</v>
      </c>
      <c r="M576" s="36">
        <f t="shared" si="62"/>
        <v>0</v>
      </c>
      <c r="N576" s="36">
        <f>N580*N582</f>
        <v>1300000</v>
      </c>
      <c r="O576" s="36">
        <f t="shared" si="62"/>
        <v>0</v>
      </c>
      <c r="P576" s="36">
        <f>N576</f>
        <v>1300000</v>
      </c>
      <c r="Q576" s="78"/>
    </row>
    <row r="577" spans="1:17" s="52" customFormat="1" ht="11.25">
      <c r="A577" s="5" t="s">
        <v>4</v>
      </c>
      <c r="B577" s="37"/>
      <c r="C577" s="37"/>
      <c r="D577" s="80"/>
      <c r="E577" s="80"/>
      <c r="F577" s="81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75"/>
    </row>
    <row r="578" spans="1:17" s="52" customFormat="1" ht="27.75" customHeight="1">
      <c r="A578" s="8" t="s">
        <v>166</v>
      </c>
      <c r="B578" s="37"/>
      <c r="C578" s="37"/>
      <c r="D578" s="49">
        <v>520</v>
      </c>
      <c r="E578" s="80"/>
      <c r="F578" s="81"/>
      <c r="G578" s="7">
        <v>500</v>
      </c>
      <c r="H578" s="30"/>
      <c r="I578" s="30"/>
      <c r="J578" s="7">
        <f>G578+H578</f>
        <v>500</v>
      </c>
      <c r="K578" s="30"/>
      <c r="L578" s="30"/>
      <c r="M578" s="30"/>
      <c r="N578" s="7">
        <v>520</v>
      </c>
      <c r="O578" s="7"/>
      <c r="P578" s="7">
        <f>N578+O578</f>
        <v>520</v>
      </c>
      <c r="Q578" s="75"/>
    </row>
    <row r="579" spans="1:17" s="52" customFormat="1" ht="11.25">
      <c r="A579" s="5" t="s">
        <v>5</v>
      </c>
      <c r="B579" s="37"/>
      <c r="C579" s="37"/>
      <c r="D579" s="80"/>
      <c r="E579" s="80"/>
      <c r="F579" s="81"/>
      <c r="G579" s="30"/>
      <c r="H579" s="30"/>
      <c r="I579" s="30"/>
      <c r="J579" s="7"/>
      <c r="K579" s="30"/>
      <c r="L579" s="30"/>
      <c r="M579" s="30"/>
      <c r="N579" s="30"/>
      <c r="O579" s="30"/>
      <c r="P579" s="7"/>
      <c r="Q579" s="75"/>
    </row>
    <row r="580" spans="1:17" s="52" customFormat="1" ht="22.5">
      <c r="A580" s="8" t="s">
        <v>167</v>
      </c>
      <c r="B580" s="37"/>
      <c r="C580" s="37"/>
      <c r="D580" s="49">
        <v>520</v>
      </c>
      <c r="E580" s="80"/>
      <c r="F580" s="81"/>
      <c r="G580" s="7">
        <f>G578</f>
        <v>500</v>
      </c>
      <c r="H580" s="7"/>
      <c r="I580" s="7"/>
      <c r="J580" s="7">
        <f>G580+H580</f>
        <v>500</v>
      </c>
      <c r="K580" s="7">
        <f>K578</f>
        <v>0</v>
      </c>
      <c r="L580" s="7">
        <f>L578</f>
        <v>0</v>
      </c>
      <c r="M580" s="7">
        <f>M578</f>
        <v>0</v>
      </c>
      <c r="N580" s="7">
        <v>520</v>
      </c>
      <c r="O580" s="7"/>
      <c r="P580" s="7">
        <f>N580+O580</f>
        <v>520</v>
      </c>
      <c r="Q580" s="75"/>
    </row>
    <row r="581" spans="1:17" s="52" customFormat="1" ht="11.25">
      <c r="A581" s="5" t="s">
        <v>7</v>
      </c>
      <c r="B581" s="37"/>
      <c r="C581" s="37"/>
      <c r="D581" s="80"/>
      <c r="E581" s="80"/>
      <c r="F581" s="81"/>
      <c r="G581" s="30"/>
      <c r="H581" s="30"/>
      <c r="I581" s="30"/>
      <c r="J581" s="7"/>
      <c r="K581" s="30"/>
      <c r="L581" s="30"/>
      <c r="M581" s="30"/>
      <c r="N581" s="30"/>
      <c r="O581" s="30"/>
      <c r="P581" s="7"/>
      <c r="Q581" s="75"/>
    </row>
    <row r="582" spans="1:17" s="52" customFormat="1" ht="17.25" customHeight="1">
      <c r="A582" s="8" t="s">
        <v>168</v>
      </c>
      <c r="B582" s="37"/>
      <c r="C582" s="37"/>
      <c r="D582" s="80">
        <v>2500</v>
      </c>
      <c r="E582" s="80"/>
      <c r="F582" s="81"/>
      <c r="G582" s="7">
        <v>3000</v>
      </c>
      <c r="H582" s="30"/>
      <c r="I582" s="30"/>
      <c r="J582" s="7">
        <f>G582+H582</f>
        <v>3000</v>
      </c>
      <c r="K582" s="30"/>
      <c r="L582" s="30"/>
      <c r="M582" s="30"/>
      <c r="N582" s="7">
        <v>2500</v>
      </c>
      <c r="O582" s="7"/>
      <c r="P582" s="7">
        <f>N582+O582</f>
        <v>2500</v>
      </c>
      <c r="Q582" s="75"/>
    </row>
    <row r="583" spans="1:17" s="83" customFormat="1" ht="65.25" customHeight="1">
      <c r="A583" s="77" t="s">
        <v>433</v>
      </c>
      <c r="B583" s="34"/>
      <c r="C583" s="34"/>
      <c r="D583" s="45">
        <f>D587*D590+90000</f>
        <v>290000</v>
      </c>
      <c r="E583" s="45"/>
      <c r="F583" s="45">
        <f>D583+E583</f>
        <v>290000</v>
      </c>
      <c r="G583" s="36">
        <f>G587*G590</f>
        <v>400000.002</v>
      </c>
      <c r="H583" s="36">
        <f aca="true" t="shared" si="63" ref="H583:P583">H587*H590</f>
        <v>0</v>
      </c>
      <c r="I583" s="36">
        <f t="shared" si="63"/>
        <v>0</v>
      </c>
      <c r="J583" s="36">
        <f t="shared" si="63"/>
        <v>400000.002</v>
      </c>
      <c r="K583" s="36">
        <f t="shared" si="63"/>
        <v>0</v>
      </c>
      <c r="L583" s="36">
        <f t="shared" si="63"/>
        <v>0</v>
      </c>
      <c r="M583" s="36">
        <f t="shared" si="63"/>
        <v>0</v>
      </c>
      <c r="N583" s="36">
        <f t="shared" si="63"/>
        <v>200000</v>
      </c>
      <c r="O583" s="36">
        <f t="shared" si="63"/>
        <v>0</v>
      </c>
      <c r="P583" s="36">
        <f t="shared" si="63"/>
        <v>200000</v>
      </c>
      <c r="Q583" s="82"/>
    </row>
    <row r="584" spans="1:235" ht="11.25">
      <c r="A584" s="5" t="s">
        <v>4</v>
      </c>
      <c r="B584" s="6"/>
      <c r="C584" s="6"/>
      <c r="D584" s="84"/>
      <c r="E584" s="84"/>
      <c r="F584" s="84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33.75">
      <c r="A585" s="8" t="s">
        <v>166</v>
      </c>
      <c r="B585" s="6"/>
      <c r="C585" s="6"/>
      <c r="D585" s="44">
        <v>6</v>
      </c>
      <c r="E585" s="44"/>
      <c r="F585" s="44">
        <f>D585</f>
        <v>6</v>
      </c>
      <c r="G585" s="44">
        <v>6</v>
      </c>
      <c r="H585" s="44"/>
      <c r="I585" s="44"/>
      <c r="J585" s="7">
        <f>G585+H585</f>
        <v>6</v>
      </c>
      <c r="K585" s="44">
        <f>H585</f>
        <v>0</v>
      </c>
      <c r="L585" s="44">
        <f>J585</f>
        <v>6</v>
      </c>
      <c r="M585" s="44">
        <f>K585</f>
        <v>0</v>
      </c>
      <c r="N585" s="44">
        <v>4</v>
      </c>
      <c r="O585" s="44"/>
      <c r="P585" s="44">
        <f>N585</f>
        <v>4</v>
      </c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11.25">
      <c r="A586" s="5" t="s">
        <v>5</v>
      </c>
      <c r="B586" s="6"/>
      <c r="C586" s="6"/>
      <c r="D586" s="44"/>
      <c r="E586" s="44"/>
      <c r="F586" s="44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32.25" customHeight="1">
      <c r="A587" s="8" t="s">
        <v>167</v>
      </c>
      <c r="B587" s="6"/>
      <c r="C587" s="6"/>
      <c r="D587" s="44">
        <v>6</v>
      </c>
      <c r="E587" s="44"/>
      <c r="F587" s="44">
        <f>D587</f>
        <v>6</v>
      </c>
      <c r="G587" s="7">
        <v>6</v>
      </c>
      <c r="H587" s="7"/>
      <c r="I587" s="7"/>
      <c r="J587" s="7">
        <f>G587+H587</f>
        <v>6</v>
      </c>
      <c r="K587" s="7"/>
      <c r="L587" s="7"/>
      <c r="M587" s="7"/>
      <c r="N587" s="7">
        <v>4</v>
      </c>
      <c r="O587" s="7"/>
      <c r="P587" s="7">
        <f>N587</f>
        <v>4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22.5">
      <c r="A588" s="8" t="s">
        <v>164</v>
      </c>
      <c r="B588" s="6"/>
      <c r="C588" s="6"/>
      <c r="D588" s="44"/>
      <c r="E588" s="44"/>
      <c r="F588" s="44">
        <f>D588</f>
        <v>0</v>
      </c>
      <c r="G588" s="7"/>
      <c r="H588" s="7"/>
      <c r="I588" s="7"/>
      <c r="J588" s="7">
        <f>G588+H588</f>
        <v>0</v>
      </c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235" ht="11.25">
      <c r="A589" s="5" t="s">
        <v>7</v>
      </c>
      <c r="B589" s="6"/>
      <c r="C589" s="6"/>
      <c r="D589" s="44"/>
      <c r="E589" s="44"/>
      <c r="F589" s="44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235" ht="22.5">
      <c r="A590" s="8" t="s">
        <v>168</v>
      </c>
      <c r="B590" s="6"/>
      <c r="C590" s="6"/>
      <c r="D590" s="44">
        <f>200000/6</f>
        <v>33333.333333333336</v>
      </c>
      <c r="E590" s="44"/>
      <c r="F590" s="44">
        <f>D590</f>
        <v>33333.333333333336</v>
      </c>
      <c r="G590" s="7">
        <v>66666.667</v>
      </c>
      <c r="H590" s="7"/>
      <c r="I590" s="7"/>
      <c r="J590" s="7">
        <f>G590+H590</f>
        <v>66666.667</v>
      </c>
      <c r="K590" s="7"/>
      <c r="L590" s="7"/>
      <c r="M590" s="7"/>
      <c r="N590" s="7">
        <v>50000</v>
      </c>
      <c r="O590" s="7"/>
      <c r="P590" s="7">
        <f>N590</f>
        <v>50000</v>
      </c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37" t="s">
        <v>256</v>
      </c>
      <c r="B591" s="6"/>
      <c r="C591" s="6"/>
      <c r="D591" s="36">
        <f>D593</f>
        <v>0</v>
      </c>
      <c r="E591" s="36">
        <f>E593</f>
        <v>127913400</v>
      </c>
      <c r="F591" s="36">
        <f aca="true" t="shared" si="64" ref="F591:P591">F593</f>
        <v>127913400</v>
      </c>
      <c r="G591" s="36">
        <f t="shared" si="64"/>
        <v>0</v>
      </c>
      <c r="H591" s="36">
        <f t="shared" si="64"/>
        <v>88023272</v>
      </c>
      <c r="I591" s="36">
        <f t="shared" si="64"/>
        <v>0</v>
      </c>
      <c r="J591" s="36">
        <f t="shared" si="64"/>
        <v>88023272</v>
      </c>
      <c r="K591" s="36">
        <f t="shared" si="64"/>
        <v>0</v>
      </c>
      <c r="L591" s="36">
        <f t="shared" si="64"/>
        <v>0</v>
      </c>
      <c r="M591" s="36">
        <f t="shared" si="64"/>
        <v>0</v>
      </c>
      <c r="N591" s="36">
        <f t="shared" si="64"/>
        <v>0</v>
      </c>
      <c r="O591" s="36">
        <f t="shared" si="64"/>
        <v>7297400</v>
      </c>
      <c r="P591" s="36">
        <f t="shared" si="64"/>
        <v>7297400</v>
      </c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22.5">
      <c r="A592" s="8" t="s">
        <v>170</v>
      </c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17" s="157" customFormat="1" ht="33.75">
      <c r="A593" s="155" t="s">
        <v>434</v>
      </c>
      <c r="B593" s="141"/>
      <c r="C593" s="141"/>
      <c r="D593" s="145"/>
      <c r="E593" s="145">
        <f>E595</f>
        <v>127913400</v>
      </c>
      <c r="F593" s="145">
        <f>D593+E593</f>
        <v>127913400</v>
      </c>
      <c r="G593" s="145"/>
      <c r="H593" s="145">
        <f>H597*H599</f>
        <v>88023272</v>
      </c>
      <c r="I593" s="145">
        <f>I595</f>
        <v>0</v>
      </c>
      <c r="J593" s="145">
        <f>H593+I593</f>
        <v>88023272</v>
      </c>
      <c r="K593" s="145"/>
      <c r="L593" s="145"/>
      <c r="M593" s="145"/>
      <c r="N593" s="145"/>
      <c r="O593" s="145">
        <f>O597*O599</f>
        <v>7297400</v>
      </c>
      <c r="P593" s="145">
        <f>O593</f>
        <v>7297400</v>
      </c>
      <c r="Q593" s="156"/>
    </row>
    <row r="594" spans="1:235" ht="11.25">
      <c r="A594" s="5" t="s">
        <v>4</v>
      </c>
      <c r="B594" s="6"/>
      <c r="C594" s="6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11.25">
      <c r="A595" s="8" t="s">
        <v>43</v>
      </c>
      <c r="B595" s="6"/>
      <c r="C595" s="6"/>
      <c r="D595" s="7"/>
      <c r="E595" s="7">
        <f>127784300+129100</f>
        <v>127913400</v>
      </c>
      <c r="F595" s="7">
        <f>D595+E595</f>
        <v>127913400</v>
      </c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11.25">
      <c r="A596" s="5" t="s">
        <v>5</v>
      </c>
      <c r="B596" s="6"/>
      <c r="C596" s="6"/>
      <c r="D596" s="7"/>
      <c r="E596" s="7"/>
      <c r="F596" s="7">
        <f>D596+E596</f>
        <v>0</v>
      </c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235" ht="33.75">
      <c r="A597" s="8" t="s">
        <v>171</v>
      </c>
      <c r="B597" s="6"/>
      <c r="C597" s="6"/>
      <c r="D597" s="7"/>
      <c r="E597" s="7">
        <v>10</v>
      </c>
      <c r="F597" s="7">
        <f>D597+E597</f>
        <v>10</v>
      </c>
      <c r="G597" s="7"/>
      <c r="H597" s="7">
        <v>5</v>
      </c>
      <c r="I597" s="7"/>
      <c r="J597" s="7">
        <v>5</v>
      </c>
      <c r="K597" s="7"/>
      <c r="L597" s="7"/>
      <c r="M597" s="7"/>
      <c r="N597" s="7"/>
      <c r="O597" s="7">
        <v>2</v>
      </c>
      <c r="P597" s="7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235" ht="11.25">
      <c r="A598" s="5" t="s">
        <v>7</v>
      </c>
      <c r="B598" s="6"/>
      <c r="C598" s="6"/>
      <c r="D598" s="7"/>
      <c r="E598" s="7"/>
      <c r="F598" s="7">
        <f>D598+E598</f>
        <v>0</v>
      </c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24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</row>
    <row r="599" spans="1:235" ht="24.75" customHeight="1">
      <c r="A599" s="8" t="s">
        <v>172</v>
      </c>
      <c r="B599" s="6"/>
      <c r="C599" s="6"/>
      <c r="D599" s="7"/>
      <c r="E599" s="7">
        <f>399355600/9</f>
        <v>44372844.44444445</v>
      </c>
      <c r="F599" s="7">
        <f>D599+E599</f>
        <v>44372844.44444445</v>
      </c>
      <c r="G599" s="7"/>
      <c r="H599" s="7">
        <v>17604654.4</v>
      </c>
      <c r="I599" s="7"/>
      <c r="J599" s="7">
        <v>17604654.4</v>
      </c>
      <c r="K599" s="7"/>
      <c r="L599" s="7"/>
      <c r="M599" s="7"/>
      <c r="N599" s="7"/>
      <c r="O599" s="7">
        <v>3648700</v>
      </c>
      <c r="P599" s="85">
        <f>O599</f>
        <v>3648700</v>
      </c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11.25">
      <c r="A600" s="37" t="s">
        <v>257</v>
      </c>
      <c r="B600" s="6"/>
      <c r="C600" s="6"/>
      <c r="D600" s="36">
        <f>D602</f>
        <v>760000</v>
      </c>
      <c r="E600" s="36">
        <f aca="true" t="shared" si="65" ref="E600:P600">E602</f>
        <v>1220000</v>
      </c>
      <c r="F600" s="36">
        <f t="shared" si="65"/>
        <v>1980000</v>
      </c>
      <c r="G600" s="36">
        <f t="shared" si="65"/>
        <v>1960000</v>
      </c>
      <c r="H600" s="36">
        <f t="shared" si="65"/>
        <v>6032500</v>
      </c>
      <c r="I600" s="36">
        <f t="shared" si="65"/>
        <v>7992500</v>
      </c>
      <c r="J600" s="36">
        <f t="shared" si="65"/>
        <v>7992500</v>
      </c>
      <c r="K600" s="36">
        <f t="shared" si="65"/>
        <v>0</v>
      </c>
      <c r="L600" s="36">
        <f t="shared" si="65"/>
        <v>0</v>
      </c>
      <c r="M600" s="36">
        <f t="shared" si="65"/>
        <v>0</v>
      </c>
      <c r="N600" s="36">
        <f t="shared" si="65"/>
        <v>760000</v>
      </c>
      <c r="O600" s="36">
        <f t="shared" si="65"/>
        <v>7240000</v>
      </c>
      <c r="P600" s="36">
        <f t="shared" si="65"/>
        <v>8000000</v>
      </c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67.5">
      <c r="A601" s="8" t="s">
        <v>396</v>
      </c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17" s="39" customFormat="1" ht="36" customHeight="1">
      <c r="A602" s="34" t="s">
        <v>435</v>
      </c>
      <c r="B602" s="35"/>
      <c r="C602" s="35"/>
      <c r="D602" s="36">
        <f>D604</f>
        <v>760000</v>
      </c>
      <c r="E602" s="36">
        <f>E604</f>
        <v>1220000</v>
      </c>
      <c r="F602" s="36">
        <f>D602+E602</f>
        <v>1980000</v>
      </c>
      <c r="G602" s="36">
        <f>G604</f>
        <v>1960000</v>
      </c>
      <c r="H602" s="36">
        <f>H604</f>
        <v>6032500</v>
      </c>
      <c r="I602" s="36">
        <f>G602+H602</f>
        <v>7992500</v>
      </c>
      <c r="J602" s="36">
        <f>G602+H602</f>
        <v>7992500</v>
      </c>
      <c r="K602" s="36"/>
      <c r="L602" s="36"/>
      <c r="M602" s="36"/>
      <c r="N602" s="36">
        <f>N606*N608</f>
        <v>760000</v>
      </c>
      <c r="O602" s="36">
        <f>O606*O608</f>
        <v>7240000</v>
      </c>
      <c r="P602" s="36">
        <f>N602+O602</f>
        <v>8000000</v>
      </c>
      <c r="Q602" s="78"/>
    </row>
    <row r="603" spans="1:235" ht="11.25">
      <c r="A603" s="5" t="s">
        <v>4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11.25">
      <c r="A604" s="8" t="s">
        <v>43</v>
      </c>
      <c r="B604" s="6"/>
      <c r="C604" s="6"/>
      <c r="D604" s="7">
        <f>D606*D608</f>
        <v>760000</v>
      </c>
      <c r="E604" s="7">
        <f>E606*E608</f>
        <v>1220000</v>
      </c>
      <c r="F604" s="7">
        <f>D604+E604</f>
        <v>1980000</v>
      </c>
      <c r="G604" s="7">
        <f>G606*G608</f>
        <v>1960000</v>
      </c>
      <c r="H604" s="7">
        <f>H606*H608</f>
        <v>6032500</v>
      </c>
      <c r="I604" s="7"/>
      <c r="J604" s="7">
        <f>G604+H604</f>
        <v>7992500</v>
      </c>
      <c r="K604" s="7"/>
      <c r="L604" s="7"/>
      <c r="M604" s="7"/>
      <c r="N604" s="7">
        <f>N606*N608</f>
        <v>760000</v>
      </c>
      <c r="O604" s="7">
        <f>O606*O608</f>
        <v>7240000</v>
      </c>
      <c r="P604" s="7">
        <f>N604+O604</f>
        <v>8000000</v>
      </c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11.25">
      <c r="A605" s="5" t="s">
        <v>5</v>
      </c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235" ht="22.5">
      <c r="A606" s="8" t="s">
        <v>181</v>
      </c>
      <c r="B606" s="6"/>
      <c r="C606" s="6"/>
      <c r="D606" s="7">
        <v>1</v>
      </c>
      <c r="E606" s="7">
        <v>1</v>
      </c>
      <c r="F606" s="7">
        <f>D606+E606</f>
        <v>2</v>
      </c>
      <c r="G606" s="7">
        <v>1</v>
      </c>
      <c r="H606" s="7">
        <v>1</v>
      </c>
      <c r="I606" s="7"/>
      <c r="J606" s="7">
        <v>1</v>
      </c>
      <c r="K606" s="7"/>
      <c r="L606" s="7"/>
      <c r="M606" s="7"/>
      <c r="N606" s="7">
        <v>1</v>
      </c>
      <c r="O606" s="7">
        <v>1</v>
      </c>
      <c r="P606" s="7">
        <v>1</v>
      </c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235" ht="11.25">
      <c r="A607" s="5" t="s">
        <v>7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235" ht="22.5">
      <c r="A608" s="8" t="s">
        <v>182</v>
      </c>
      <c r="B608" s="6"/>
      <c r="C608" s="6"/>
      <c r="D608" s="7">
        <v>760000</v>
      </c>
      <c r="E608" s="7">
        <v>1220000</v>
      </c>
      <c r="F608" s="7">
        <f>D608+E608</f>
        <v>1980000</v>
      </c>
      <c r="G608" s="7">
        <v>1960000</v>
      </c>
      <c r="H608" s="7">
        <v>6032500</v>
      </c>
      <c r="I608" s="7"/>
      <c r="J608" s="23">
        <f>J604/J606</f>
        <v>7992500</v>
      </c>
      <c r="K608" s="23"/>
      <c r="L608" s="23"/>
      <c r="M608" s="23"/>
      <c r="N608" s="23">
        <v>760000</v>
      </c>
      <c r="O608" s="23">
        <v>7240000</v>
      </c>
      <c r="P608" s="7">
        <f>N608+O608</f>
        <v>8000000</v>
      </c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17" s="52" customFormat="1" ht="11.25">
      <c r="A609" s="37" t="s">
        <v>346</v>
      </c>
      <c r="B609" s="37"/>
      <c r="C609" s="37"/>
      <c r="D609" s="30">
        <f>D613</f>
        <v>0</v>
      </c>
      <c r="E609" s="30">
        <f>E613</f>
        <v>2275980</v>
      </c>
      <c r="F609" s="30">
        <f>D609+E609</f>
        <v>2275980</v>
      </c>
      <c r="G609" s="30">
        <v>0</v>
      </c>
      <c r="H609" s="30">
        <f>H611</f>
        <v>1108600</v>
      </c>
      <c r="I609" s="30" t="e">
        <f>#REF!</f>
        <v>#REF!</v>
      </c>
      <c r="J609" s="129">
        <f>J611</f>
        <v>1108600</v>
      </c>
      <c r="K609" s="129" t="e">
        <f>#REF!</f>
        <v>#REF!</v>
      </c>
      <c r="L609" s="129" t="e">
        <f>#REF!</f>
        <v>#REF!</v>
      </c>
      <c r="M609" s="129" t="e">
        <f>#REF!</f>
        <v>#REF!</v>
      </c>
      <c r="N609" s="129">
        <v>0</v>
      </c>
      <c r="O609" s="129">
        <v>0</v>
      </c>
      <c r="P609" s="30">
        <v>0</v>
      </c>
      <c r="Q609" s="75" t="e">
        <f>#REF!</f>
        <v>#REF!</v>
      </c>
    </row>
    <row r="610" spans="1:235" ht="33.75">
      <c r="A610" s="8" t="s">
        <v>347</v>
      </c>
      <c r="B610" s="6"/>
      <c r="C610" s="6"/>
      <c r="D610" s="7"/>
      <c r="E610" s="7"/>
      <c r="F610" s="7"/>
      <c r="G610" s="7"/>
      <c r="H610" s="7"/>
      <c r="I610" s="7"/>
      <c r="J610" s="23"/>
      <c r="K610" s="23"/>
      <c r="L610" s="23"/>
      <c r="M610" s="23"/>
      <c r="N610" s="23"/>
      <c r="O610" s="23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17" s="52" customFormat="1" ht="22.5">
      <c r="A611" s="34" t="s">
        <v>436</v>
      </c>
      <c r="B611" s="37"/>
      <c r="C611" s="37"/>
      <c r="D611" s="30"/>
      <c r="E611" s="30">
        <v>2275980</v>
      </c>
      <c r="F611" s="30">
        <v>2275980</v>
      </c>
      <c r="G611" s="30"/>
      <c r="H611" s="30">
        <f>H613</f>
        <v>1108600</v>
      </c>
      <c r="I611" s="30"/>
      <c r="J611" s="129">
        <f>H611</f>
        <v>1108600</v>
      </c>
      <c r="K611" s="129"/>
      <c r="L611" s="129"/>
      <c r="M611" s="129"/>
      <c r="N611" s="129"/>
      <c r="O611" s="129"/>
      <c r="P611" s="30"/>
      <c r="Q611" s="75"/>
    </row>
    <row r="612" spans="1:235" ht="11.25">
      <c r="A612" s="5" t="s">
        <v>4</v>
      </c>
      <c r="B612" s="6"/>
      <c r="C612" s="6"/>
      <c r="D612" s="7"/>
      <c r="E612" s="7"/>
      <c r="F612" s="7"/>
      <c r="G612" s="7"/>
      <c r="H612" s="7"/>
      <c r="I612" s="7"/>
      <c r="J612" s="23"/>
      <c r="K612" s="23"/>
      <c r="L612" s="23"/>
      <c r="M612" s="23"/>
      <c r="N612" s="23"/>
      <c r="O612" s="23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11.25">
      <c r="A613" s="8" t="s">
        <v>43</v>
      </c>
      <c r="B613" s="6"/>
      <c r="C613" s="6"/>
      <c r="D613" s="7"/>
      <c r="E613" s="7">
        <f>2178000+97980</f>
        <v>2275980</v>
      </c>
      <c r="F613" s="7">
        <f>D613+E613</f>
        <v>2275980</v>
      </c>
      <c r="G613" s="7"/>
      <c r="H613" s="7">
        <v>1108600</v>
      </c>
      <c r="I613" s="7"/>
      <c r="J613" s="23">
        <f>H613</f>
        <v>1108600</v>
      </c>
      <c r="K613" s="23"/>
      <c r="L613" s="23"/>
      <c r="M613" s="23"/>
      <c r="N613" s="23"/>
      <c r="O613" s="23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11.25">
      <c r="A614" s="5" t="s">
        <v>5</v>
      </c>
      <c r="B614" s="6"/>
      <c r="C614" s="6"/>
      <c r="D614" s="7"/>
      <c r="E614" s="7"/>
      <c r="F614" s="7"/>
      <c r="G614" s="7"/>
      <c r="H614" s="7"/>
      <c r="I614" s="7"/>
      <c r="J614" s="23"/>
      <c r="K614" s="23"/>
      <c r="L614" s="23"/>
      <c r="M614" s="23"/>
      <c r="N614" s="23"/>
      <c r="O614" s="23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22.5">
      <c r="A615" s="8" t="s">
        <v>348</v>
      </c>
      <c r="B615" s="6"/>
      <c r="C615" s="6"/>
      <c r="D615" s="7"/>
      <c r="E615" s="7">
        <v>63</v>
      </c>
      <c r="F615" s="7">
        <v>63</v>
      </c>
      <c r="G615" s="7"/>
      <c r="H615" s="7">
        <v>22</v>
      </c>
      <c r="I615" s="7"/>
      <c r="J615" s="23">
        <f>H615</f>
        <v>22</v>
      </c>
      <c r="K615" s="23"/>
      <c r="L615" s="23"/>
      <c r="M615" s="23"/>
      <c r="N615" s="23"/>
      <c r="O615" s="23"/>
      <c r="P615" s="7"/>
      <c r="Q615" s="24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11.25">
      <c r="A616" s="5" t="s">
        <v>7</v>
      </c>
      <c r="B616" s="6"/>
      <c r="C616" s="6"/>
      <c r="D616" s="7"/>
      <c r="E616" s="7"/>
      <c r="F616" s="7"/>
      <c r="G616" s="7"/>
      <c r="H616" s="7"/>
      <c r="I616" s="7"/>
      <c r="J616" s="23"/>
      <c r="K616" s="23"/>
      <c r="L616" s="23"/>
      <c r="M616" s="23"/>
      <c r="N616" s="23"/>
      <c r="O616" s="23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22.5">
      <c r="A617" s="8" t="s">
        <v>349</v>
      </c>
      <c r="B617" s="6"/>
      <c r="C617" s="6"/>
      <c r="D617" s="7"/>
      <c r="E617" s="7">
        <v>36300</v>
      </c>
      <c r="F617" s="7">
        <v>36300</v>
      </c>
      <c r="G617" s="7"/>
      <c r="H617" s="7">
        <v>50390.91</v>
      </c>
      <c r="I617" s="7"/>
      <c r="J617" s="23">
        <f>H617</f>
        <v>50390.91</v>
      </c>
      <c r="K617" s="23"/>
      <c r="L617" s="23"/>
      <c r="M617" s="23"/>
      <c r="N617" s="23"/>
      <c r="O617" s="23"/>
      <c r="P617" s="7"/>
      <c r="Q617" s="24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235" ht="11.25">
      <c r="A618" s="8"/>
      <c r="B618" s="6"/>
      <c r="C618" s="6"/>
      <c r="D618" s="7"/>
      <c r="E618" s="7"/>
      <c r="F618" s="7"/>
      <c r="G618" s="7"/>
      <c r="H618" s="7"/>
      <c r="I618" s="7"/>
      <c r="J618" s="23"/>
      <c r="K618" s="23"/>
      <c r="L618" s="23"/>
      <c r="M618" s="23"/>
      <c r="N618" s="23"/>
      <c r="O618" s="23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11.25">
      <c r="A619" s="37" t="s">
        <v>331</v>
      </c>
      <c r="B619" s="6"/>
      <c r="C619" s="6"/>
      <c r="D619" s="36">
        <f>D621</f>
        <v>3000000</v>
      </c>
      <c r="E619" s="36">
        <f aca="true" t="shared" si="66" ref="E619:Q619">E621</f>
        <v>0</v>
      </c>
      <c r="F619" s="36">
        <f t="shared" si="66"/>
        <v>3000000</v>
      </c>
      <c r="G619" s="36">
        <f t="shared" si="66"/>
        <v>1714999.99773</v>
      </c>
      <c r="H619" s="36">
        <f t="shared" si="66"/>
        <v>0</v>
      </c>
      <c r="I619" s="36">
        <f t="shared" si="66"/>
        <v>0</v>
      </c>
      <c r="J619" s="36">
        <f t="shared" si="66"/>
        <v>1714999.99773</v>
      </c>
      <c r="K619" s="36">
        <f t="shared" si="66"/>
        <v>0</v>
      </c>
      <c r="L619" s="36">
        <f t="shared" si="66"/>
        <v>0</v>
      </c>
      <c r="M619" s="36">
        <f t="shared" si="66"/>
        <v>0</v>
      </c>
      <c r="N619" s="36">
        <f t="shared" si="66"/>
        <v>0</v>
      </c>
      <c r="O619" s="36">
        <f t="shared" si="66"/>
        <v>0</v>
      </c>
      <c r="P619" s="36">
        <f t="shared" si="66"/>
        <v>0</v>
      </c>
      <c r="Q619" s="36">
        <f t="shared" si="66"/>
        <v>0</v>
      </c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22.5">
      <c r="A620" s="8" t="s">
        <v>260</v>
      </c>
      <c r="B620" s="6"/>
      <c r="C620" s="6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17" s="39" customFormat="1" ht="37.5" customHeight="1">
      <c r="A621" s="34" t="s">
        <v>437</v>
      </c>
      <c r="B621" s="35"/>
      <c r="C621" s="35"/>
      <c r="D621" s="45">
        <f>D623</f>
        <v>3000000</v>
      </c>
      <c r="E621" s="45"/>
      <c r="F621" s="45">
        <f>D621+E621</f>
        <v>3000000</v>
      </c>
      <c r="G621" s="36">
        <f>G626*G628</f>
        <v>1714999.99773</v>
      </c>
      <c r="H621" s="36"/>
      <c r="I621" s="36"/>
      <c r="J621" s="36">
        <f>J623</f>
        <v>1714999.99773</v>
      </c>
      <c r="K621" s="36"/>
      <c r="L621" s="36"/>
      <c r="M621" s="36"/>
      <c r="N621" s="36">
        <f>N623</f>
        <v>0</v>
      </c>
      <c r="O621" s="36"/>
      <c r="P621" s="36">
        <f>N621</f>
        <v>0</v>
      </c>
      <c r="Q621" s="78"/>
    </row>
    <row r="622" spans="1:235" ht="11.25">
      <c r="A622" s="5" t="s">
        <v>4</v>
      </c>
      <c r="B622" s="6"/>
      <c r="C622" s="6"/>
      <c r="D622" s="84"/>
      <c r="E622" s="84"/>
      <c r="F622" s="84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0.5" customHeight="1">
      <c r="A623" s="8" t="s">
        <v>43</v>
      </c>
      <c r="B623" s="6"/>
      <c r="C623" s="6"/>
      <c r="D623" s="84">
        <f>D626*D628</f>
        <v>3000000</v>
      </c>
      <c r="E623" s="84"/>
      <c r="F623" s="84">
        <f>D623+E623</f>
        <v>3000000</v>
      </c>
      <c r="G623" s="7">
        <f>G626*G628</f>
        <v>1714999.99773</v>
      </c>
      <c r="H623" s="7"/>
      <c r="I623" s="7"/>
      <c r="J623" s="7">
        <f>G623+H623</f>
        <v>1714999.99773</v>
      </c>
      <c r="K623" s="7"/>
      <c r="L623" s="7"/>
      <c r="M623" s="7"/>
      <c r="N623" s="7"/>
      <c r="O623" s="7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11.25">
      <c r="A624" s="5" t="s">
        <v>5</v>
      </c>
      <c r="B624" s="6"/>
      <c r="C624" s="6"/>
      <c r="D624" s="84"/>
      <c r="E624" s="84"/>
      <c r="F624" s="84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0.75" customHeight="1">
      <c r="A625" s="8" t="s">
        <v>169</v>
      </c>
      <c r="B625" s="6"/>
      <c r="C625" s="6"/>
      <c r="D625" s="84"/>
      <c r="E625" s="84"/>
      <c r="F625" s="84">
        <f>D625+E625</f>
        <v>0</v>
      </c>
      <c r="G625" s="84"/>
      <c r="H625" s="84"/>
      <c r="I625" s="84"/>
      <c r="J625" s="84"/>
      <c r="K625" s="7"/>
      <c r="L625" s="7"/>
      <c r="M625" s="7"/>
      <c r="N625" s="7"/>
      <c r="O625" s="7"/>
      <c r="P625" s="7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235" ht="11.25">
      <c r="A626" s="8" t="s">
        <v>176</v>
      </c>
      <c r="B626" s="6"/>
      <c r="C626" s="6"/>
      <c r="D626" s="84">
        <v>667</v>
      </c>
      <c r="E626" s="84"/>
      <c r="F626" s="84">
        <f>D626+E626</f>
        <v>667</v>
      </c>
      <c r="G626" s="84">
        <v>381</v>
      </c>
      <c r="H626" s="84"/>
      <c r="I626" s="84"/>
      <c r="J626" s="84">
        <f>G626+H626</f>
        <v>381</v>
      </c>
      <c r="K626" s="7"/>
      <c r="L626" s="7"/>
      <c r="M626" s="7"/>
      <c r="N626" s="7"/>
      <c r="O626" s="7"/>
      <c r="P626" s="7"/>
      <c r="Q626" s="24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235" ht="10.5" customHeight="1">
      <c r="A627" s="5" t="s">
        <v>7</v>
      </c>
      <c r="B627" s="6"/>
      <c r="C627" s="6"/>
      <c r="D627" s="84"/>
      <c r="E627" s="84"/>
      <c r="F627" s="84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2.5" customHeight="1">
      <c r="A628" s="8" t="s">
        <v>177</v>
      </c>
      <c r="B628" s="6"/>
      <c r="C628" s="6"/>
      <c r="D628" s="7">
        <f>3000000/667</f>
        <v>4497.751124437781</v>
      </c>
      <c r="E628" s="7"/>
      <c r="F628" s="84">
        <f>D628+E628</f>
        <v>4497.751124437781</v>
      </c>
      <c r="G628" s="7">
        <v>4501.31233</v>
      </c>
      <c r="H628" s="7"/>
      <c r="I628" s="7"/>
      <c r="J628" s="7">
        <f>G628+H628</f>
        <v>4501.31233</v>
      </c>
      <c r="K628" s="7"/>
      <c r="L628" s="7"/>
      <c r="M628" s="7"/>
      <c r="N628" s="7"/>
      <c r="O628" s="7"/>
      <c r="P628" s="7"/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126" t="s">
        <v>332</v>
      </c>
      <c r="B629" s="6"/>
      <c r="C629" s="6"/>
      <c r="D629" s="30">
        <f>D630</f>
        <v>656000</v>
      </c>
      <c r="E629" s="30">
        <f>E630</f>
        <v>0</v>
      </c>
      <c r="F629" s="30">
        <f>F630</f>
        <v>656000</v>
      </c>
      <c r="G629" s="30">
        <f>G630</f>
        <v>819000</v>
      </c>
      <c r="H629" s="30"/>
      <c r="I629" s="30">
        <f>I630</f>
        <v>0</v>
      </c>
      <c r="J629" s="30">
        <f>G629</f>
        <v>819000</v>
      </c>
      <c r="K629" s="7"/>
      <c r="L629" s="7"/>
      <c r="M629" s="7"/>
      <c r="N629" s="30">
        <f>N630</f>
        <v>725000</v>
      </c>
      <c r="O629" s="30"/>
      <c r="P629" s="30">
        <f>N629</f>
        <v>725000</v>
      </c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17" s="39" customFormat="1" ht="22.5">
      <c r="A630" s="34" t="s">
        <v>438</v>
      </c>
      <c r="B630" s="35"/>
      <c r="C630" s="35"/>
      <c r="D630" s="36">
        <f>D632</f>
        <v>656000</v>
      </c>
      <c r="E630" s="36"/>
      <c r="F630" s="7">
        <f>D630</f>
        <v>656000</v>
      </c>
      <c r="G630" s="36">
        <f>G634*G636</f>
        <v>819000</v>
      </c>
      <c r="H630" s="36"/>
      <c r="I630" s="36"/>
      <c r="J630" s="36">
        <f>G630</f>
        <v>819000</v>
      </c>
      <c r="K630" s="36"/>
      <c r="L630" s="36"/>
      <c r="M630" s="36"/>
      <c r="N630" s="36">
        <f>N634*N636</f>
        <v>725000</v>
      </c>
      <c r="O630" s="36"/>
      <c r="P630" s="30">
        <f>N630</f>
        <v>725000</v>
      </c>
      <c r="Q630" s="78"/>
    </row>
    <row r="631" spans="1:235" ht="11.25">
      <c r="A631" s="5" t="s">
        <v>4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22.5">
      <c r="A632" s="8" t="s">
        <v>49</v>
      </c>
      <c r="B632" s="6"/>
      <c r="C632" s="6"/>
      <c r="D632" s="7">
        <f>D634*D636</f>
        <v>656000</v>
      </c>
      <c r="E632" s="7"/>
      <c r="F632" s="7">
        <f>D632</f>
        <v>656000</v>
      </c>
      <c r="G632" s="7">
        <v>819000</v>
      </c>
      <c r="H632" s="7"/>
      <c r="I632" s="7"/>
      <c r="J632" s="7">
        <f>G632</f>
        <v>819000</v>
      </c>
      <c r="K632" s="7"/>
      <c r="L632" s="7"/>
      <c r="M632" s="7"/>
      <c r="N632" s="7">
        <f>N634*N636</f>
        <v>725000</v>
      </c>
      <c r="O632" s="7"/>
      <c r="P632" s="7">
        <f>N632</f>
        <v>725000</v>
      </c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5" t="s">
        <v>5</v>
      </c>
      <c r="B633" s="6"/>
      <c r="C633" s="6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27.75" customHeight="1">
      <c r="A634" s="8" t="s">
        <v>48</v>
      </c>
      <c r="B634" s="6"/>
      <c r="C634" s="6"/>
      <c r="D634" s="7">
        <v>16</v>
      </c>
      <c r="E634" s="7"/>
      <c r="F634" s="7">
        <f>D634</f>
        <v>16</v>
      </c>
      <c r="G634" s="7">
        <v>16</v>
      </c>
      <c r="H634" s="7"/>
      <c r="I634" s="7"/>
      <c r="J634" s="7">
        <f>G634</f>
        <v>16</v>
      </c>
      <c r="K634" s="7"/>
      <c r="L634" s="7"/>
      <c r="M634" s="7"/>
      <c r="N634" s="7">
        <v>16</v>
      </c>
      <c r="O634" s="7"/>
      <c r="P634" s="7">
        <f>N634</f>
        <v>16</v>
      </c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11.25">
      <c r="A635" s="5" t="s">
        <v>7</v>
      </c>
      <c r="B635" s="6"/>
      <c r="C635" s="6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33.75">
      <c r="A636" s="8" t="s">
        <v>50</v>
      </c>
      <c r="B636" s="6"/>
      <c r="C636" s="6"/>
      <c r="D636" s="7">
        <v>41000</v>
      </c>
      <c r="E636" s="7"/>
      <c r="F636" s="7">
        <v>41000</v>
      </c>
      <c r="G636" s="7">
        <v>51187.5</v>
      </c>
      <c r="H636" s="7"/>
      <c r="I636" s="7"/>
      <c r="J636" s="7">
        <f>G636</f>
        <v>51187.5</v>
      </c>
      <c r="K636" s="7"/>
      <c r="L636" s="7"/>
      <c r="M636" s="7"/>
      <c r="N636" s="7">
        <v>45312.5</v>
      </c>
      <c r="O636" s="7"/>
      <c r="P636" s="7">
        <f>N636</f>
        <v>45312.5</v>
      </c>
      <c r="Q636" s="24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235" ht="11.25">
      <c r="A637" s="37" t="s">
        <v>359</v>
      </c>
      <c r="B637" s="6"/>
      <c r="C637" s="6"/>
      <c r="D637" s="36"/>
      <c r="E637" s="36">
        <f>E639+E652</f>
        <v>94580322</v>
      </c>
      <c r="F637" s="36">
        <f>D637+E637</f>
        <v>94580322</v>
      </c>
      <c r="G637" s="36">
        <f aca="true" t="shared" si="67" ref="G637:P637">G639+G652</f>
        <v>0</v>
      </c>
      <c r="H637" s="36">
        <f t="shared" si="67"/>
        <v>92000000</v>
      </c>
      <c r="I637" s="36">
        <f t="shared" si="67"/>
        <v>0</v>
      </c>
      <c r="J637" s="36">
        <f t="shared" si="67"/>
        <v>92000000</v>
      </c>
      <c r="K637" s="36">
        <f t="shared" si="67"/>
        <v>0</v>
      </c>
      <c r="L637" s="36">
        <f t="shared" si="67"/>
        <v>0</v>
      </c>
      <c r="M637" s="36">
        <f t="shared" si="67"/>
        <v>0</v>
      </c>
      <c r="N637" s="36">
        <f t="shared" si="67"/>
        <v>0</v>
      </c>
      <c r="O637" s="36">
        <f t="shared" si="67"/>
        <v>95000000</v>
      </c>
      <c r="P637" s="36">
        <f t="shared" si="67"/>
        <v>95000000</v>
      </c>
      <c r="Q637" s="24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22.5">
      <c r="A638" s="8" t="s">
        <v>201</v>
      </c>
      <c r="B638" s="6"/>
      <c r="C638" s="6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24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17" s="39" customFormat="1" ht="22.5">
      <c r="A639" s="34" t="s">
        <v>439</v>
      </c>
      <c r="B639" s="35"/>
      <c r="C639" s="35"/>
      <c r="D639" s="86"/>
      <c r="E639" s="86">
        <f>E641+E647+E648+E649</f>
        <v>94580322</v>
      </c>
      <c r="F639" s="86">
        <f>D639+E639</f>
        <v>94580322</v>
      </c>
      <c r="G639" s="36">
        <f>G641</f>
        <v>0</v>
      </c>
      <c r="H639" s="36">
        <f>SUM(H641)</f>
        <v>92000000</v>
      </c>
      <c r="I639" s="36"/>
      <c r="J639" s="36">
        <f>G639+H639+I639</f>
        <v>92000000</v>
      </c>
      <c r="K639" s="36"/>
      <c r="L639" s="36"/>
      <c r="M639" s="36"/>
      <c r="N639" s="36"/>
      <c r="O639" s="36">
        <f>O641</f>
        <v>95000000</v>
      </c>
      <c r="P639" s="36">
        <f>N639+O639</f>
        <v>95000000</v>
      </c>
      <c r="Q639" s="78"/>
    </row>
    <row r="640" spans="1:17" s="39" customFormat="1" ht="11.25">
      <c r="A640" s="34" t="s">
        <v>4</v>
      </c>
      <c r="B640" s="35"/>
      <c r="C640" s="35"/>
      <c r="D640" s="86"/>
      <c r="E640" s="86"/>
      <c r="F640" s="8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78"/>
    </row>
    <row r="641" spans="1:17" s="39" customFormat="1" ht="11.25">
      <c r="A641" s="40" t="s">
        <v>43</v>
      </c>
      <c r="B641" s="41"/>
      <c r="C641" s="41"/>
      <c r="D641" s="80"/>
      <c r="E641" s="80">
        <f>E643*E645+1224322-0.03+30000+1000000+37400</f>
        <v>90291722</v>
      </c>
      <c r="F641" s="80">
        <f>F643*F645+1224322-0.03+30000+1000000</f>
        <v>90254322</v>
      </c>
      <c r="G641" s="87"/>
      <c r="H641" s="87">
        <v>92000000</v>
      </c>
      <c r="I641" s="87"/>
      <c r="J641" s="87">
        <f>H641</f>
        <v>92000000</v>
      </c>
      <c r="K641" s="87"/>
      <c r="L641" s="87"/>
      <c r="M641" s="87"/>
      <c r="N641" s="87"/>
      <c r="O641" s="87">
        <v>95000000</v>
      </c>
      <c r="P641" s="87">
        <f>O641</f>
        <v>95000000</v>
      </c>
      <c r="Q641" s="78"/>
    </row>
    <row r="642" spans="1:17" s="39" customFormat="1" ht="11.25">
      <c r="A642" s="34" t="s">
        <v>5</v>
      </c>
      <c r="B642" s="35"/>
      <c r="C642" s="35"/>
      <c r="D642" s="86"/>
      <c r="E642" s="86"/>
      <c r="F642" s="8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78"/>
    </row>
    <row r="643" spans="1:17" s="39" customFormat="1" ht="11.25">
      <c r="A643" s="40" t="s">
        <v>187</v>
      </c>
      <c r="B643" s="41"/>
      <c r="C643" s="41"/>
      <c r="D643" s="80"/>
      <c r="E643" s="80">
        <v>17</v>
      </c>
      <c r="F643" s="80">
        <v>17</v>
      </c>
      <c r="G643" s="87"/>
      <c r="H643" s="87">
        <v>11</v>
      </c>
      <c r="I643" s="87"/>
      <c r="J643" s="87">
        <f>H643</f>
        <v>11</v>
      </c>
      <c r="K643" s="87">
        <f>H643</f>
        <v>11</v>
      </c>
      <c r="L643" s="87">
        <f>J643</f>
        <v>11</v>
      </c>
      <c r="M643" s="87">
        <f>K643</f>
        <v>11</v>
      </c>
      <c r="N643" s="87"/>
      <c r="O643" s="87">
        <v>8</v>
      </c>
      <c r="P643" s="87">
        <f>O643</f>
        <v>8</v>
      </c>
      <c r="Q643" s="78"/>
    </row>
    <row r="644" spans="1:17" s="39" customFormat="1" ht="11.25">
      <c r="A644" s="40" t="s">
        <v>7</v>
      </c>
      <c r="B644" s="41"/>
      <c r="C644" s="41"/>
      <c r="D644" s="80"/>
      <c r="E644" s="80"/>
      <c r="F644" s="80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78"/>
    </row>
    <row r="645" spans="1:17" s="39" customFormat="1" ht="22.5">
      <c r="A645" s="40" t="s">
        <v>259</v>
      </c>
      <c r="B645" s="41"/>
      <c r="C645" s="41"/>
      <c r="D645" s="80"/>
      <c r="E645" s="87">
        <v>5176470.59</v>
      </c>
      <c r="F645" s="87">
        <v>5176470.59</v>
      </c>
      <c r="G645" s="87"/>
      <c r="H645" s="87">
        <f>SUM(H641)/H643</f>
        <v>8363636.363636363</v>
      </c>
      <c r="I645" s="87"/>
      <c r="J645" s="87">
        <f>SUM(J641)/J643</f>
        <v>8363636.363636363</v>
      </c>
      <c r="K645" s="87"/>
      <c r="L645" s="87"/>
      <c r="M645" s="87"/>
      <c r="N645" s="87"/>
      <c r="O645" s="87">
        <f>SUM(O641)/O643</f>
        <v>11875000</v>
      </c>
      <c r="P645" s="87">
        <f>SUM(P641)/P643</f>
        <v>11875000</v>
      </c>
      <c r="Q645" s="78"/>
    </row>
    <row r="646" spans="1:17" s="52" customFormat="1" ht="11.25">
      <c r="A646" s="34" t="s">
        <v>5</v>
      </c>
      <c r="B646" s="35"/>
      <c r="C646" s="35"/>
      <c r="D646" s="86"/>
      <c r="E646" s="86"/>
      <c r="F646" s="8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75"/>
    </row>
    <row r="647" spans="1:235" ht="33.75">
      <c r="A647" s="88" t="s">
        <v>278</v>
      </c>
      <c r="B647" s="29"/>
      <c r="C647" s="29"/>
      <c r="D647" s="89"/>
      <c r="E647" s="48">
        <v>621600</v>
      </c>
      <c r="F647" s="48">
        <v>621600</v>
      </c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4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11.25">
      <c r="A648" s="88" t="s">
        <v>360</v>
      </c>
      <c r="B648" s="29"/>
      <c r="C648" s="29"/>
      <c r="D648" s="89"/>
      <c r="E648" s="48">
        <v>1247000</v>
      </c>
      <c r="F648" s="48">
        <f>E648</f>
        <v>1247000</v>
      </c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4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33.75">
      <c r="A649" s="88" t="s">
        <v>368</v>
      </c>
      <c r="B649" s="29"/>
      <c r="C649" s="29"/>
      <c r="D649" s="89"/>
      <c r="E649" s="48">
        <v>2420000</v>
      </c>
      <c r="F649" s="48">
        <f>E649</f>
        <v>2420000</v>
      </c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17" s="91" customFormat="1" ht="13.5" customHeight="1">
      <c r="A650" s="37" t="s">
        <v>333</v>
      </c>
      <c r="B650" s="37"/>
      <c r="C650" s="37"/>
      <c r="D650" s="81">
        <f>SUM(D652)</f>
        <v>0</v>
      </c>
      <c r="E650" s="81"/>
      <c r="F650" s="81">
        <f>SUM(F652)</f>
        <v>0</v>
      </c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90"/>
    </row>
    <row r="651" spans="1:17" s="22" customFormat="1" ht="20.25" customHeight="1">
      <c r="A651" s="8" t="s">
        <v>335</v>
      </c>
      <c r="B651" s="6"/>
      <c r="C651" s="6"/>
      <c r="D651" s="84"/>
      <c r="E651" s="84"/>
      <c r="F651" s="84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4"/>
    </row>
    <row r="652" spans="1:17" s="95" customFormat="1" ht="16.5" customHeight="1">
      <c r="A652" s="92" t="s">
        <v>440</v>
      </c>
      <c r="B652" s="93"/>
      <c r="C652" s="93"/>
      <c r="D652" s="94">
        <f>SUM(D654)</f>
        <v>0</v>
      </c>
      <c r="E652" s="94">
        <f>SUM(E654)</f>
        <v>0</v>
      </c>
      <c r="F652" s="94">
        <f>SUM(F654)</f>
        <v>0</v>
      </c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78"/>
    </row>
    <row r="653" spans="1:235" ht="11.25">
      <c r="A653" s="34" t="s">
        <v>4</v>
      </c>
      <c r="B653" s="6"/>
      <c r="C653" s="6"/>
      <c r="D653" s="84"/>
      <c r="E653" s="84"/>
      <c r="F653" s="84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24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235" ht="15" customHeight="1">
      <c r="A654" s="40" t="s">
        <v>43</v>
      </c>
      <c r="B654" s="6"/>
      <c r="C654" s="6"/>
      <c r="D654" s="84">
        <v>0</v>
      </c>
      <c r="E654" s="84"/>
      <c r="F654" s="84">
        <f>SUM(D654:E654)</f>
        <v>0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24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17" s="52" customFormat="1" ht="11.25">
      <c r="A655" s="34" t="s">
        <v>5</v>
      </c>
      <c r="B655" s="37"/>
      <c r="C655" s="37"/>
      <c r="D655" s="81"/>
      <c r="E655" s="81"/>
      <c r="F655" s="81">
        <f>SUM(D655:E655)</f>
        <v>0</v>
      </c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75"/>
    </row>
    <row r="656" spans="1:235" ht="13.5" customHeight="1">
      <c r="A656" s="34" t="s">
        <v>336</v>
      </c>
      <c r="B656" s="6"/>
      <c r="C656" s="6"/>
      <c r="D656" s="84">
        <v>0</v>
      </c>
      <c r="E656" s="84"/>
      <c r="F656" s="84">
        <f>SUM(D656:E656)</f>
        <v>0</v>
      </c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24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17" s="52" customFormat="1" ht="16.5" customHeight="1">
      <c r="A657" s="34" t="s">
        <v>7</v>
      </c>
      <c r="B657" s="37"/>
      <c r="C657" s="37"/>
      <c r="D657" s="81"/>
      <c r="E657" s="81"/>
      <c r="F657" s="81"/>
      <c r="G657" s="81"/>
      <c r="H657" s="81"/>
      <c r="I657" s="81"/>
      <c r="J657" s="30"/>
      <c r="K657" s="81"/>
      <c r="L657" s="81"/>
      <c r="M657" s="81"/>
      <c r="N657" s="81"/>
      <c r="O657" s="81"/>
      <c r="P657" s="81"/>
      <c r="Q657" s="75"/>
    </row>
    <row r="658" spans="1:235" ht="11.25">
      <c r="A658" s="34" t="s">
        <v>334</v>
      </c>
      <c r="B658" s="6"/>
      <c r="C658" s="6"/>
      <c r="D658" s="84">
        <v>0</v>
      </c>
      <c r="E658" s="84"/>
      <c r="F658" s="84">
        <f>SUM(D658:E658)</f>
        <v>0</v>
      </c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24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11.25">
      <c r="A659" s="37" t="s">
        <v>258</v>
      </c>
      <c r="B659" s="6"/>
      <c r="C659" s="6"/>
      <c r="D659" s="81">
        <f>D661</f>
        <v>0</v>
      </c>
      <c r="E659" s="81">
        <f>E661</f>
        <v>-20000</v>
      </c>
      <c r="F659" s="81">
        <f>F661</f>
        <v>-20000</v>
      </c>
      <c r="G659" s="81">
        <f aca="true" t="shared" si="68" ref="G659:Q659">G661</f>
        <v>0</v>
      </c>
      <c r="H659" s="81">
        <f t="shared" si="68"/>
        <v>-2054092</v>
      </c>
      <c r="I659" s="81">
        <f t="shared" si="68"/>
        <v>0</v>
      </c>
      <c r="J659" s="81">
        <f t="shared" si="68"/>
        <v>-2054092</v>
      </c>
      <c r="K659" s="81">
        <f t="shared" si="68"/>
        <v>0</v>
      </c>
      <c r="L659" s="81">
        <f t="shared" si="68"/>
        <v>0</v>
      </c>
      <c r="M659" s="81">
        <f t="shared" si="68"/>
        <v>0</v>
      </c>
      <c r="N659" s="81">
        <f t="shared" si="68"/>
        <v>0</v>
      </c>
      <c r="O659" s="81">
        <f t="shared" si="68"/>
        <v>0</v>
      </c>
      <c r="P659" s="81">
        <f t="shared" si="68"/>
        <v>0</v>
      </c>
      <c r="Q659" s="81">
        <f t="shared" si="68"/>
        <v>0</v>
      </c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7.25" customHeight="1">
      <c r="A660" s="8" t="s">
        <v>198</v>
      </c>
      <c r="B660" s="6"/>
      <c r="C660" s="6"/>
      <c r="D660" s="84"/>
      <c r="E660" s="84"/>
      <c r="F660" s="84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17" s="52" customFormat="1" ht="22.5">
      <c r="A661" s="34" t="s">
        <v>442</v>
      </c>
      <c r="B661" s="37"/>
      <c r="C661" s="37"/>
      <c r="D661" s="81"/>
      <c r="E661" s="81">
        <f>E663</f>
        <v>-20000</v>
      </c>
      <c r="F661" s="81">
        <f>D661+E661</f>
        <v>-20000</v>
      </c>
      <c r="G661" s="30"/>
      <c r="H661" s="36">
        <f>H663</f>
        <v>-2054092</v>
      </c>
      <c r="I661" s="36"/>
      <c r="J661" s="36">
        <f>H661</f>
        <v>-2054092</v>
      </c>
      <c r="K661" s="36"/>
      <c r="L661" s="36"/>
      <c r="M661" s="36"/>
      <c r="N661" s="36"/>
      <c r="O661" s="36">
        <f>O663</f>
        <v>0</v>
      </c>
      <c r="P661" s="36">
        <f>O661</f>
        <v>0</v>
      </c>
      <c r="Q661" s="75"/>
    </row>
    <row r="662" spans="1:235" ht="11.25">
      <c r="A662" s="5" t="s">
        <v>4</v>
      </c>
      <c r="B662" s="6"/>
      <c r="C662" s="6"/>
      <c r="D662" s="84"/>
      <c r="E662" s="84"/>
      <c r="F662" s="84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22.5">
      <c r="A663" s="8" t="s">
        <v>200</v>
      </c>
      <c r="B663" s="6"/>
      <c r="C663" s="6"/>
      <c r="D663" s="49"/>
      <c r="E663" s="49">
        <f>E665*E667</f>
        <v>-20000</v>
      </c>
      <c r="F663" s="49">
        <f>F665*F667</f>
        <v>-20000</v>
      </c>
      <c r="G663" s="87"/>
      <c r="H663" s="87">
        <f>H665*H667</f>
        <v>-2054092</v>
      </c>
      <c r="I663" s="87"/>
      <c r="J663" s="87">
        <f>H663</f>
        <v>-2054092</v>
      </c>
      <c r="K663" s="87"/>
      <c r="L663" s="87"/>
      <c r="M663" s="87"/>
      <c r="N663" s="87"/>
      <c r="O663" s="87"/>
      <c r="P663" s="87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5" t="s">
        <v>5</v>
      </c>
      <c r="B664" s="6"/>
      <c r="C664" s="6"/>
      <c r="D664" s="49"/>
      <c r="E664" s="49"/>
      <c r="F664" s="49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22.5">
      <c r="A665" s="8" t="s">
        <v>199</v>
      </c>
      <c r="B665" s="6"/>
      <c r="C665" s="6"/>
      <c r="D665" s="49"/>
      <c r="E665" s="49">
        <v>1</v>
      </c>
      <c r="F665" s="49">
        <f>D665+E665</f>
        <v>1</v>
      </c>
      <c r="G665" s="87"/>
      <c r="H665" s="96">
        <v>1</v>
      </c>
      <c r="I665" s="87"/>
      <c r="J665" s="96">
        <f>H665</f>
        <v>1</v>
      </c>
      <c r="K665" s="87"/>
      <c r="L665" s="87"/>
      <c r="M665" s="87"/>
      <c r="N665" s="87"/>
      <c r="O665" s="96"/>
      <c r="P665" s="96"/>
      <c r="Q665" s="24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11.25">
      <c r="A666" s="34" t="s">
        <v>7</v>
      </c>
      <c r="B666" s="6"/>
      <c r="C666" s="6"/>
      <c r="D666" s="49"/>
      <c r="E666" s="49"/>
      <c r="F666" s="49"/>
      <c r="G666" s="87"/>
      <c r="H666" s="96"/>
      <c r="I666" s="87"/>
      <c r="J666" s="96"/>
      <c r="K666" s="87"/>
      <c r="L666" s="87"/>
      <c r="M666" s="87"/>
      <c r="N666" s="87"/>
      <c r="O666" s="96"/>
      <c r="P666" s="96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22.5">
      <c r="A667" s="40" t="s">
        <v>342</v>
      </c>
      <c r="B667" s="6"/>
      <c r="C667" s="6"/>
      <c r="D667" s="49"/>
      <c r="E667" s="49">
        <v>-20000</v>
      </c>
      <c r="F667" s="49">
        <f>E667</f>
        <v>-20000</v>
      </c>
      <c r="G667" s="87"/>
      <c r="H667" s="87">
        <v>-2054092</v>
      </c>
      <c r="I667" s="87"/>
      <c r="J667" s="87">
        <f>H667</f>
        <v>-2054092</v>
      </c>
      <c r="K667" s="87"/>
      <c r="L667" s="87"/>
      <c r="M667" s="87"/>
      <c r="N667" s="87"/>
      <c r="O667" s="96"/>
      <c r="P667" s="96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11.25">
      <c r="A668" s="37" t="s">
        <v>305</v>
      </c>
      <c r="B668" s="6"/>
      <c r="C668" s="6"/>
      <c r="D668" s="49"/>
      <c r="E668" s="49"/>
      <c r="F668" s="49"/>
      <c r="G668" s="81">
        <f>G670</f>
        <v>0</v>
      </c>
      <c r="H668" s="81">
        <f>H670</f>
        <v>-740000</v>
      </c>
      <c r="I668" s="81">
        <f>I670</f>
        <v>0</v>
      </c>
      <c r="J668" s="81">
        <f>J670</f>
        <v>-740000</v>
      </c>
      <c r="K668" s="87"/>
      <c r="L668" s="87"/>
      <c r="M668" s="87"/>
      <c r="N668" s="87"/>
      <c r="O668" s="96"/>
      <c r="P668" s="96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8" t="s">
        <v>198</v>
      </c>
      <c r="B669" s="6"/>
      <c r="C669" s="6"/>
      <c r="D669" s="49"/>
      <c r="E669" s="49"/>
      <c r="F669" s="49"/>
      <c r="G669" s="7"/>
      <c r="H669" s="7"/>
      <c r="I669" s="7"/>
      <c r="J669" s="7"/>
      <c r="K669" s="87"/>
      <c r="L669" s="87"/>
      <c r="M669" s="87"/>
      <c r="N669" s="87"/>
      <c r="O669" s="96"/>
      <c r="P669" s="96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22.5">
      <c r="A670" s="34" t="s">
        <v>441</v>
      </c>
      <c r="B670" s="6"/>
      <c r="C670" s="6"/>
      <c r="D670" s="49"/>
      <c r="E670" s="49"/>
      <c r="F670" s="49"/>
      <c r="G670" s="30"/>
      <c r="H670" s="36">
        <f>H672</f>
        <v>-740000</v>
      </c>
      <c r="I670" s="36"/>
      <c r="J670" s="36">
        <f>H670</f>
        <v>-740000</v>
      </c>
      <c r="K670" s="87"/>
      <c r="L670" s="87"/>
      <c r="M670" s="87"/>
      <c r="N670" s="87"/>
      <c r="O670" s="96"/>
      <c r="P670" s="96"/>
      <c r="Q670" s="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5" t="s">
        <v>4</v>
      </c>
      <c r="B671" s="6"/>
      <c r="C671" s="6"/>
      <c r="D671" s="49"/>
      <c r="E671" s="49"/>
      <c r="F671" s="49"/>
      <c r="G671" s="7"/>
      <c r="H671" s="7"/>
      <c r="I671" s="7"/>
      <c r="J671" s="7"/>
      <c r="K671" s="87"/>
      <c r="L671" s="87"/>
      <c r="M671" s="87"/>
      <c r="N671" s="87"/>
      <c r="O671" s="96"/>
      <c r="P671" s="96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22.5">
      <c r="A672" s="8" t="s">
        <v>200</v>
      </c>
      <c r="B672" s="6"/>
      <c r="C672" s="6"/>
      <c r="D672" s="49"/>
      <c r="E672" s="49"/>
      <c r="F672" s="49"/>
      <c r="G672" s="87"/>
      <c r="H672" s="87">
        <f>H674*H676</f>
        <v>-740000</v>
      </c>
      <c r="I672" s="87"/>
      <c r="J672" s="87">
        <f>H672</f>
        <v>-740000</v>
      </c>
      <c r="K672" s="87"/>
      <c r="L672" s="87"/>
      <c r="M672" s="87"/>
      <c r="N672" s="87"/>
      <c r="O672" s="96"/>
      <c r="P672" s="96"/>
      <c r="Q672" s="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1.25">
      <c r="A673" s="5" t="s">
        <v>5</v>
      </c>
      <c r="B673" s="6"/>
      <c r="C673" s="6"/>
      <c r="D673" s="49"/>
      <c r="E673" s="49"/>
      <c r="F673" s="49"/>
      <c r="G673" s="87"/>
      <c r="H673" s="87"/>
      <c r="I673" s="87"/>
      <c r="J673" s="87"/>
      <c r="K673" s="87"/>
      <c r="L673" s="87"/>
      <c r="M673" s="87"/>
      <c r="N673" s="87"/>
      <c r="O673" s="96"/>
      <c r="P673" s="96"/>
      <c r="Q673" s="24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22.5">
      <c r="A674" s="8" t="s">
        <v>199</v>
      </c>
      <c r="B674" s="6"/>
      <c r="C674" s="6"/>
      <c r="D674" s="49"/>
      <c r="E674" s="49"/>
      <c r="F674" s="49"/>
      <c r="G674" s="87"/>
      <c r="H674" s="96">
        <v>1</v>
      </c>
      <c r="I674" s="87"/>
      <c r="J674" s="96">
        <f>H674</f>
        <v>1</v>
      </c>
      <c r="K674" s="87"/>
      <c r="L674" s="87"/>
      <c r="M674" s="87"/>
      <c r="N674" s="87"/>
      <c r="O674" s="96"/>
      <c r="P674" s="96"/>
      <c r="Q674" s="24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1.25">
      <c r="A675" s="34" t="s">
        <v>7</v>
      </c>
      <c r="B675" s="6"/>
      <c r="C675" s="6"/>
      <c r="D675" s="49"/>
      <c r="E675" s="49"/>
      <c r="F675" s="49"/>
      <c r="G675" s="87"/>
      <c r="H675" s="96"/>
      <c r="I675" s="87"/>
      <c r="J675" s="96"/>
      <c r="K675" s="87"/>
      <c r="L675" s="87"/>
      <c r="M675" s="87"/>
      <c r="N675" s="87"/>
      <c r="O675" s="96"/>
      <c r="P675" s="96"/>
      <c r="Q675" s="24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2.5">
      <c r="A676" s="40" t="s">
        <v>342</v>
      </c>
      <c r="B676" s="6"/>
      <c r="C676" s="6"/>
      <c r="D676" s="49"/>
      <c r="E676" s="49"/>
      <c r="F676" s="49"/>
      <c r="G676" s="87"/>
      <c r="H676" s="87">
        <v>-740000</v>
      </c>
      <c r="I676" s="87"/>
      <c r="J676" s="87">
        <f>H676</f>
        <v>-740000</v>
      </c>
      <c r="K676" s="87"/>
      <c r="L676" s="87"/>
      <c r="M676" s="87"/>
      <c r="N676" s="87"/>
      <c r="O676" s="96"/>
      <c r="P676" s="96"/>
      <c r="Q676" s="24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13.5" customHeight="1">
      <c r="A677" s="37" t="s">
        <v>265</v>
      </c>
      <c r="B677" s="6"/>
      <c r="C677" s="6"/>
      <c r="D677" s="81">
        <f>D679</f>
        <v>0</v>
      </c>
      <c r="E677" s="81">
        <f aca="true" t="shared" si="69" ref="E677:P677">E679</f>
        <v>74070200</v>
      </c>
      <c r="F677" s="81">
        <f t="shared" si="69"/>
        <v>74070200</v>
      </c>
      <c r="G677" s="81">
        <f t="shared" si="69"/>
        <v>0</v>
      </c>
      <c r="H677" s="81">
        <f t="shared" si="69"/>
        <v>0</v>
      </c>
      <c r="I677" s="81">
        <f t="shared" si="69"/>
        <v>0</v>
      </c>
      <c r="J677" s="81">
        <f t="shared" si="69"/>
        <v>0</v>
      </c>
      <c r="K677" s="81">
        <f t="shared" si="69"/>
        <v>0</v>
      </c>
      <c r="L677" s="81">
        <f t="shared" si="69"/>
        <v>0</v>
      </c>
      <c r="M677" s="81">
        <f t="shared" si="69"/>
        <v>0</v>
      </c>
      <c r="N677" s="81">
        <f t="shared" si="69"/>
        <v>0</v>
      </c>
      <c r="O677" s="81">
        <f t="shared" si="69"/>
        <v>0</v>
      </c>
      <c r="P677" s="81">
        <f t="shared" si="69"/>
        <v>0</v>
      </c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1.75" customHeight="1">
      <c r="A678" s="8" t="s">
        <v>261</v>
      </c>
      <c r="B678" s="6"/>
      <c r="C678" s="6"/>
      <c r="D678" s="84"/>
      <c r="E678" s="84"/>
      <c r="F678" s="84"/>
      <c r="G678" s="7"/>
      <c r="H678" s="7"/>
      <c r="I678" s="7"/>
      <c r="J678" s="7"/>
      <c r="K678" s="7"/>
      <c r="L678" s="7"/>
      <c r="M678" s="7"/>
      <c r="N678" s="7"/>
      <c r="O678" s="7"/>
      <c r="P678" s="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21.75" customHeight="1">
      <c r="A679" s="34" t="s">
        <v>443</v>
      </c>
      <c r="B679" s="37"/>
      <c r="C679" s="37"/>
      <c r="D679" s="81"/>
      <c r="E679" s="81">
        <f>E681</f>
        <v>74070200</v>
      </c>
      <c r="F679" s="81">
        <f>D679+E679</f>
        <v>74070200</v>
      </c>
      <c r="G679" s="30"/>
      <c r="H679" s="36">
        <f>H681</f>
        <v>0</v>
      </c>
      <c r="I679" s="36"/>
      <c r="J679" s="36">
        <f>H679</f>
        <v>0</v>
      </c>
      <c r="K679" s="36"/>
      <c r="L679" s="36"/>
      <c r="M679" s="36"/>
      <c r="N679" s="36"/>
      <c r="O679" s="36">
        <f>O681</f>
        <v>0</v>
      </c>
      <c r="P679" s="36">
        <f>O679</f>
        <v>0</v>
      </c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1.75" customHeight="1">
      <c r="A680" s="5" t="s">
        <v>4</v>
      </c>
      <c r="B680" s="6"/>
      <c r="C680" s="6"/>
      <c r="D680" s="84"/>
      <c r="E680" s="84"/>
      <c r="F680" s="84"/>
      <c r="G680" s="7"/>
      <c r="H680" s="7"/>
      <c r="I680" s="7"/>
      <c r="J680" s="7"/>
      <c r="K680" s="7"/>
      <c r="L680" s="7"/>
      <c r="M680" s="7"/>
      <c r="N680" s="7"/>
      <c r="O680" s="7"/>
      <c r="P680" s="7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21.75" customHeight="1">
      <c r="A681" s="8" t="s">
        <v>264</v>
      </c>
      <c r="B681" s="6"/>
      <c r="C681" s="6"/>
      <c r="D681" s="49"/>
      <c r="E681" s="49">
        <v>74070200</v>
      </c>
      <c r="F681" s="49">
        <f>D681+E681</f>
        <v>74070200</v>
      </c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21.75" customHeight="1">
      <c r="A682" s="5" t="s">
        <v>5</v>
      </c>
      <c r="B682" s="6"/>
      <c r="C682" s="6"/>
      <c r="D682" s="49"/>
      <c r="E682" s="49"/>
      <c r="F682" s="49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21.75" customHeight="1">
      <c r="A683" s="8" t="s">
        <v>262</v>
      </c>
      <c r="B683" s="6"/>
      <c r="C683" s="6"/>
      <c r="D683" s="49"/>
      <c r="E683" s="49">
        <v>1</v>
      </c>
      <c r="F683" s="49">
        <f>D683+E683</f>
        <v>1</v>
      </c>
      <c r="G683" s="87"/>
      <c r="H683" s="96"/>
      <c r="I683" s="87"/>
      <c r="J683" s="96"/>
      <c r="K683" s="87"/>
      <c r="L683" s="87"/>
      <c r="M683" s="87"/>
      <c r="N683" s="87"/>
      <c r="O683" s="96"/>
      <c r="P683" s="96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21.75" customHeight="1">
      <c r="A684" s="5" t="s">
        <v>7</v>
      </c>
      <c r="B684" s="6"/>
      <c r="C684" s="6"/>
      <c r="D684" s="49"/>
      <c r="E684" s="49"/>
      <c r="F684" s="49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21.75" customHeight="1">
      <c r="A685" s="8" t="s">
        <v>263</v>
      </c>
      <c r="B685" s="127"/>
      <c r="C685" s="127"/>
      <c r="D685" s="36"/>
      <c r="E685" s="87">
        <f>E681/E683</f>
        <v>74070200</v>
      </c>
      <c r="F685" s="49">
        <f>D685+E685</f>
        <v>74070200</v>
      </c>
      <c r="G685" s="128"/>
      <c r="H685" s="128"/>
      <c r="I685" s="128"/>
      <c r="J685" s="30"/>
      <c r="K685" s="30"/>
      <c r="L685" s="30"/>
      <c r="M685" s="30"/>
      <c r="N685" s="30"/>
      <c r="O685" s="30"/>
      <c r="P685" s="30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 customHeight="1">
      <c r="A686" s="97"/>
      <c r="B686" s="98"/>
      <c r="C686" s="98"/>
      <c r="D686" s="99"/>
      <c r="E686" s="4"/>
      <c r="F686" s="4"/>
      <c r="G686" s="4"/>
      <c r="H686" s="4"/>
      <c r="I686" s="4"/>
      <c r="J686" s="100"/>
      <c r="K686" s="100"/>
      <c r="L686" s="100"/>
      <c r="M686" s="100"/>
      <c r="N686" s="100"/>
      <c r="O686" s="100"/>
      <c r="P686" s="100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10.5" customHeight="1">
      <c r="A687" s="97"/>
      <c r="B687" s="98"/>
      <c r="C687" s="98"/>
      <c r="D687" s="99"/>
      <c r="E687" s="4"/>
      <c r="F687" s="4"/>
      <c r="G687" s="4"/>
      <c r="H687" s="4"/>
      <c r="I687" s="4"/>
      <c r="J687" s="100"/>
      <c r="K687" s="100"/>
      <c r="L687" s="100"/>
      <c r="M687" s="100"/>
      <c r="N687" s="100"/>
      <c r="O687" s="100"/>
      <c r="P687" s="100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9.75" customHeight="1">
      <c r="A688" s="98"/>
      <c r="B688" s="98"/>
      <c r="C688" s="98"/>
      <c r="D688" s="99"/>
      <c r="E688" s="2"/>
      <c r="F688" s="2"/>
      <c r="G688" s="2"/>
      <c r="H688" s="2"/>
      <c r="I688" s="2"/>
      <c r="J688" s="100"/>
      <c r="K688" s="100"/>
      <c r="L688" s="100"/>
      <c r="M688" s="100"/>
      <c r="N688" s="100"/>
      <c r="O688" s="100"/>
      <c r="P688" s="100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6.75" customHeight="1">
      <c r="A689" s="98"/>
      <c r="B689" s="98"/>
      <c r="C689" s="98"/>
      <c r="D689" s="99"/>
      <c r="E689" s="2"/>
      <c r="F689" s="2"/>
      <c r="G689" s="2"/>
      <c r="H689" s="2"/>
      <c r="I689" s="2"/>
      <c r="J689" s="100"/>
      <c r="K689" s="100"/>
      <c r="L689" s="100"/>
      <c r="M689" s="100"/>
      <c r="N689" s="100"/>
      <c r="O689" s="100"/>
      <c r="P689" s="100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20.25" customHeight="1">
      <c r="A690" s="173" t="s">
        <v>449</v>
      </c>
      <c r="B690" s="173"/>
      <c r="C690" s="173"/>
      <c r="D690" s="173"/>
      <c r="E690" s="102"/>
      <c r="F690" s="103"/>
      <c r="G690" s="104"/>
      <c r="H690" s="104"/>
      <c r="I690" s="104"/>
      <c r="J690" s="105"/>
      <c r="K690" s="105"/>
      <c r="L690" s="105"/>
      <c r="M690" s="105"/>
      <c r="N690" s="104"/>
      <c r="O690" s="178" t="s">
        <v>450</v>
      </c>
      <c r="P690" s="178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8.25" customHeight="1">
      <c r="A691" s="101"/>
      <c r="B691" s="101"/>
      <c r="C691" s="101"/>
      <c r="D691" s="102"/>
      <c r="E691" s="102"/>
      <c r="F691" s="103"/>
      <c r="G691" s="104"/>
      <c r="H691" s="104"/>
      <c r="I691" s="104"/>
      <c r="J691" s="105"/>
      <c r="K691" s="105"/>
      <c r="L691" s="105"/>
      <c r="M691" s="105"/>
      <c r="N691" s="104"/>
      <c r="O691" s="106"/>
      <c r="P691" s="106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6.75" customHeight="1">
      <c r="A692" s="101"/>
      <c r="B692" s="101"/>
      <c r="C692" s="101"/>
      <c r="D692" s="102"/>
      <c r="E692" s="102"/>
      <c r="F692" s="103"/>
      <c r="G692" s="104"/>
      <c r="H692" s="104"/>
      <c r="I692" s="104"/>
      <c r="J692" s="105"/>
      <c r="K692" s="105"/>
      <c r="L692" s="105"/>
      <c r="M692" s="105"/>
      <c r="N692" s="104"/>
      <c r="O692" s="106"/>
      <c r="P692" s="106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8.75" customHeight="1">
      <c r="A693" s="160" t="s">
        <v>453</v>
      </c>
      <c r="B693" s="160"/>
      <c r="C693" s="107"/>
      <c r="D693" s="108"/>
      <c r="E693" s="102"/>
      <c r="F693" s="104"/>
      <c r="G693" s="102"/>
      <c r="H693" s="102"/>
      <c r="I693" s="102"/>
      <c r="J693" s="109"/>
      <c r="K693" s="109"/>
      <c r="L693" s="109"/>
      <c r="M693" s="109"/>
      <c r="N693" s="109"/>
      <c r="O693" s="109"/>
      <c r="P693" s="109"/>
      <c r="Q693" s="110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0.75" customHeight="1">
      <c r="A694" s="28" t="s">
        <v>150</v>
      </c>
      <c r="B694" s="28"/>
      <c r="C694" s="111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28.5" customHeight="1">
      <c r="A695" s="112"/>
      <c r="B695" s="113"/>
      <c r="C695" s="114"/>
      <c r="D695" s="115"/>
      <c r="E695" s="115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  <row r="788" spans="1:235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4"/>
      <c r="O788" s="104"/>
      <c r="P788" s="104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  <c r="CZ788" s="53"/>
      <c r="DA788" s="53"/>
      <c r="DB788" s="53"/>
      <c r="DC788" s="53"/>
      <c r="DD788" s="53"/>
      <c r="DE788" s="53"/>
      <c r="DF788" s="53"/>
      <c r="DG788" s="53"/>
      <c r="DH788" s="53"/>
      <c r="DI788" s="53"/>
      <c r="DJ788" s="53"/>
      <c r="DK788" s="53"/>
      <c r="DL788" s="53"/>
      <c r="DM788" s="53"/>
      <c r="DN788" s="53"/>
      <c r="DO788" s="53"/>
      <c r="DP788" s="53"/>
      <c r="DQ788" s="53"/>
      <c r="DR788" s="53"/>
      <c r="DS788" s="53"/>
      <c r="DT788" s="53"/>
      <c r="DU788" s="53"/>
      <c r="DV788" s="53"/>
      <c r="DW788" s="53"/>
      <c r="DX788" s="53"/>
      <c r="DY788" s="53"/>
      <c r="DZ788" s="53"/>
      <c r="EA788" s="53"/>
      <c r="EB788" s="53"/>
      <c r="EC788" s="53"/>
      <c r="ED788" s="53"/>
      <c r="EE788" s="53"/>
      <c r="EF788" s="53"/>
      <c r="EG788" s="53"/>
      <c r="EH788" s="53"/>
      <c r="EI788" s="53"/>
      <c r="EJ788" s="53"/>
      <c r="EK788" s="53"/>
      <c r="EL788" s="53"/>
      <c r="EM788" s="53"/>
      <c r="EN788" s="53"/>
      <c r="EO788" s="53"/>
      <c r="EP788" s="53"/>
      <c r="EQ788" s="53"/>
      <c r="ER788" s="53"/>
      <c r="ES788" s="53"/>
      <c r="ET788" s="53"/>
      <c r="EU788" s="53"/>
      <c r="EV788" s="53"/>
      <c r="EW788" s="53"/>
      <c r="EX788" s="53"/>
      <c r="EY788" s="53"/>
      <c r="EZ788" s="53"/>
      <c r="FA788" s="53"/>
      <c r="FB788" s="53"/>
      <c r="FC788" s="53"/>
      <c r="FD788" s="53"/>
      <c r="FE788" s="53"/>
      <c r="FF788" s="53"/>
      <c r="FG788" s="53"/>
      <c r="FH788" s="53"/>
      <c r="FI788" s="53"/>
      <c r="FJ788" s="53"/>
      <c r="FK788" s="53"/>
      <c r="FL788" s="53"/>
      <c r="FM788" s="53"/>
      <c r="FN788" s="53"/>
      <c r="FO788" s="53"/>
      <c r="FP788" s="53"/>
      <c r="FQ788" s="53"/>
      <c r="FR788" s="53"/>
      <c r="FS788" s="53"/>
      <c r="FT788" s="53"/>
      <c r="FU788" s="53"/>
      <c r="FV788" s="53"/>
      <c r="FW788" s="53"/>
      <c r="FX788" s="53"/>
      <c r="FY788" s="53"/>
      <c r="FZ788" s="53"/>
      <c r="GA788" s="53"/>
      <c r="GB788" s="53"/>
      <c r="GC788" s="53"/>
      <c r="GD788" s="53"/>
      <c r="GE788" s="53"/>
      <c r="GF788" s="53"/>
      <c r="GG788" s="53"/>
      <c r="GH788" s="53"/>
      <c r="GI788" s="53"/>
      <c r="GJ788" s="53"/>
      <c r="GK788" s="53"/>
      <c r="GL788" s="53"/>
      <c r="GM788" s="53"/>
      <c r="GN788" s="53"/>
      <c r="GO788" s="53"/>
      <c r="GP788" s="53"/>
      <c r="GQ788" s="53"/>
      <c r="GR788" s="53"/>
      <c r="GS788" s="53"/>
      <c r="GT788" s="53"/>
      <c r="GU788" s="53"/>
      <c r="GV788" s="53"/>
      <c r="GW788" s="53"/>
      <c r="GX788" s="53"/>
      <c r="GY788" s="53"/>
      <c r="GZ788" s="53"/>
      <c r="HA788" s="53"/>
      <c r="HB788" s="53"/>
      <c r="HC788" s="53"/>
      <c r="HD788" s="53"/>
      <c r="HE788" s="53"/>
      <c r="HF788" s="53"/>
      <c r="HG788" s="53"/>
      <c r="HH788" s="53"/>
      <c r="HI788" s="53"/>
      <c r="HJ788" s="53"/>
      <c r="HK788" s="53"/>
      <c r="HL788" s="53"/>
      <c r="HM788" s="53"/>
      <c r="HN788" s="53"/>
      <c r="HO788" s="53"/>
      <c r="HP788" s="53"/>
      <c r="HQ788" s="53"/>
      <c r="HR788" s="53"/>
      <c r="HS788" s="53"/>
      <c r="HT788" s="53"/>
      <c r="HU788" s="53"/>
      <c r="HV788" s="53"/>
      <c r="HW788" s="53"/>
      <c r="HX788" s="53"/>
      <c r="HY788" s="53"/>
      <c r="HZ788" s="53"/>
      <c r="IA788" s="53"/>
    </row>
    <row r="789" spans="1:235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4"/>
      <c r="O789" s="104"/>
      <c r="P789" s="104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53"/>
      <c r="BU789" s="53"/>
      <c r="BV789" s="53"/>
      <c r="BW789" s="53"/>
      <c r="BX789" s="53"/>
      <c r="BY789" s="53"/>
      <c r="BZ789" s="53"/>
      <c r="CA789" s="53"/>
      <c r="CB789" s="53"/>
      <c r="CC789" s="53"/>
      <c r="CD789" s="53"/>
      <c r="CE789" s="53"/>
      <c r="CF789" s="53"/>
      <c r="CG789" s="53"/>
      <c r="CH789" s="53"/>
      <c r="CI789" s="53"/>
      <c r="CJ789" s="53"/>
      <c r="CK789" s="53"/>
      <c r="CL789" s="53"/>
      <c r="CM789" s="53"/>
      <c r="CN789" s="53"/>
      <c r="CO789" s="53"/>
      <c r="CP789" s="53"/>
      <c r="CQ789" s="53"/>
      <c r="CR789" s="53"/>
      <c r="CS789" s="53"/>
      <c r="CT789" s="53"/>
      <c r="CU789" s="53"/>
      <c r="CV789" s="53"/>
      <c r="CW789" s="53"/>
      <c r="CX789" s="53"/>
      <c r="CY789" s="53"/>
      <c r="CZ789" s="53"/>
      <c r="DA789" s="53"/>
      <c r="DB789" s="53"/>
      <c r="DC789" s="53"/>
      <c r="DD789" s="53"/>
      <c r="DE789" s="53"/>
      <c r="DF789" s="53"/>
      <c r="DG789" s="53"/>
      <c r="DH789" s="53"/>
      <c r="DI789" s="53"/>
      <c r="DJ789" s="53"/>
      <c r="DK789" s="53"/>
      <c r="DL789" s="53"/>
      <c r="DM789" s="53"/>
      <c r="DN789" s="53"/>
      <c r="DO789" s="53"/>
      <c r="DP789" s="53"/>
      <c r="DQ789" s="53"/>
      <c r="DR789" s="53"/>
      <c r="DS789" s="53"/>
      <c r="DT789" s="53"/>
      <c r="DU789" s="53"/>
      <c r="DV789" s="53"/>
      <c r="DW789" s="53"/>
      <c r="DX789" s="53"/>
      <c r="DY789" s="53"/>
      <c r="DZ789" s="53"/>
      <c r="EA789" s="53"/>
      <c r="EB789" s="53"/>
      <c r="EC789" s="53"/>
      <c r="ED789" s="53"/>
      <c r="EE789" s="53"/>
      <c r="EF789" s="53"/>
      <c r="EG789" s="53"/>
      <c r="EH789" s="53"/>
      <c r="EI789" s="53"/>
      <c r="EJ789" s="53"/>
      <c r="EK789" s="53"/>
      <c r="EL789" s="53"/>
      <c r="EM789" s="53"/>
      <c r="EN789" s="53"/>
      <c r="EO789" s="53"/>
      <c r="EP789" s="53"/>
      <c r="EQ789" s="53"/>
      <c r="ER789" s="53"/>
      <c r="ES789" s="53"/>
      <c r="ET789" s="53"/>
      <c r="EU789" s="53"/>
      <c r="EV789" s="53"/>
      <c r="EW789" s="53"/>
      <c r="EX789" s="53"/>
      <c r="EY789" s="53"/>
      <c r="EZ789" s="53"/>
      <c r="FA789" s="53"/>
      <c r="FB789" s="53"/>
      <c r="FC789" s="53"/>
      <c r="FD789" s="53"/>
      <c r="FE789" s="53"/>
      <c r="FF789" s="53"/>
      <c r="FG789" s="53"/>
      <c r="FH789" s="53"/>
      <c r="FI789" s="53"/>
      <c r="FJ789" s="53"/>
      <c r="FK789" s="53"/>
      <c r="FL789" s="53"/>
      <c r="FM789" s="53"/>
      <c r="FN789" s="53"/>
      <c r="FO789" s="53"/>
      <c r="FP789" s="53"/>
      <c r="FQ789" s="53"/>
      <c r="FR789" s="53"/>
      <c r="FS789" s="53"/>
      <c r="FT789" s="53"/>
      <c r="FU789" s="53"/>
      <c r="FV789" s="53"/>
      <c r="FW789" s="53"/>
      <c r="FX789" s="53"/>
      <c r="FY789" s="53"/>
      <c r="FZ789" s="53"/>
      <c r="GA789" s="53"/>
      <c r="GB789" s="53"/>
      <c r="GC789" s="53"/>
      <c r="GD789" s="53"/>
      <c r="GE789" s="53"/>
      <c r="GF789" s="53"/>
      <c r="GG789" s="53"/>
      <c r="GH789" s="53"/>
      <c r="GI789" s="53"/>
      <c r="GJ789" s="53"/>
      <c r="GK789" s="53"/>
      <c r="GL789" s="53"/>
      <c r="GM789" s="53"/>
      <c r="GN789" s="53"/>
      <c r="GO789" s="53"/>
      <c r="GP789" s="53"/>
      <c r="GQ789" s="53"/>
      <c r="GR789" s="53"/>
      <c r="GS789" s="53"/>
      <c r="GT789" s="53"/>
      <c r="GU789" s="53"/>
      <c r="GV789" s="53"/>
      <c r="GW789" s="53"/>
      <c r="GX789" s="53"/>
      <c r="GY789" s="53"/>
      <c r="GZ789" s="53"/>
      <c r="HA789" s="53"/>
      <c r="HB789" s="53"/>
      <c r="HC789" s="53"/>
      <c r="HD789" s="53"/>
      <c r="HE789" s="53"/>
      <c r="HF789" s="53"/>
      <c r="HG789" s="53"/>
      <c r="HH789" s="53"/>
      <c r="HI789" s="53"/>
      <c r="HJ789" s="53"/>
      <c r="HK789" s="53"/>
      <c r="HL789" s="53"/>
      <c r="HM789" s="53"/>
      <c r="HN789" s="53"/>
      <c r="HO789" s="53"/>
      <c r="HP789" s="53"/>
      <c r="HQ789" s="53"/>
      <c r="HR789" s="53"/>
      <c r="HS789" s="53"/>
      <c r="HT789" s="53"/>
      <c r="HU789" s="53"/>
      <c r="HV789" s="53"/>
      <c r="HW789" s="53"/>
      <c r="HX789" s="53"/>
      <c r="HY789" s="53"/>
      <c r="HZ789" s="53"/>
      <c r="IA789" s="53"/>
    </row>
    <row r="790" spans="1:235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4"/>
      <c r="O790" s="104"/>
      <c r="P790" s="104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3"/>
      <c r="BS790" s="53"/>
      <c r="BT790" s="53"/>
      <c r="BU790" s="53"/>
      <c r="BV790" s="53"/>
      <c r="BW790" s="53"/>
      <c r="BX790" s="53"/>
      <c r="BY790" s="53"/>
      <c r="BZ790" s="53"/>
      <c r="CA790" s="53"/>
      <c r="CB790" s="53"/>
      <c r="CC790" s="53"/>
      <c r="CD790" s="53"/>
      <c r="CE790" s="53"/>
      <c r="CF790" s="53"/>
      <c r="CG790" s="53"/>
      <c r="CH790" s="53"/>
      <c r="CI790" s="53"/>
      <c r="CJ790" s="53"/>
      <c r="CK790" s="53"/>
      <c r="CL790" s="53"/>
      <c r="CM790" s="53"/>
      <c r="CN790" s="53"/>
      <c r="CO790" s="53"/>
      <c r="CP790" s="53"/>
      <c r="CQ790" s="53"/>
      <c r="CR790" s="53"/>
      <c r="CS790" s="53"/>
      <c r="CT790" s="53"/>
      <c r="CU790" s="53"/>
      <c r="CV790" s="53"/>
      <c r="CW790" s="53"/>
      <c r="CX790" s="53"/>
      <c r="CY790" s="53"/>
      <c r="CZ790" s="53"/>
      <c r="DA790" s="53"/>
      <c r="DB790" s="53"/>
      <c r="DC790" s="53"/>
      <c r="DD790" s="53"/>
      <c r="DE790" s="53"/>
      <c r="DF790" s="53"/>
      <c r="DG790" s="53"/>
      <c r="DH790" s="53"/>
      <c r="DI790" s="53"/>
      <c r="DJ790" s="53"/>
      <c r="DK790" s="53"/>
      <c r="DL790" s="53"/>
      <c r="DM790" s="53"/>
      <c r="DN790" s="53"/>
      <c r="DO790" s="53"/>
      <c r="DP790" s="53"/>
      <c r="DQ790" s="53"/>
      <c r="DR790" s="53"/>
      <c r="DS790" s="53"/>
      <c r="DT790" s="53"/>
      <c r="DU790" s="53"/>
      <c r="DV790" s="53"/>
      <c r="DW790" s="53"/>
      <c r="DX790" s="53"/>
      <c r="DY790" s="53"/>
      <c r="DZ790" s="53"/>
      <c r="EA790" s="53"/>
      <c r="EB790" s="53"/>
      <c r="EC790" s="53"/>
      <c r="ED790" s="53"/>
      <c r="EE790" s="53"/>
      <c r="EF790" s="53"/>
      <c r="EG790" s="53"/>
      <c r="EH790" s="53"/>
      <c r="EI790" s="53"/>
      <c r="EJ790" s="53"/>
      <c r="EK790" s="53"/>
      <c r="EL790" s="53"/>
      <c r="EM790" s="53"/>
      <c r="EN790" s="53"/>
      <c r="EO790" s="53"/>
      <c r="EP790" s="53"/>
      <c r="EQ790" s="53"/>
      <c r="ER790" s="53"/>
      <c r="ES790" s="53"/>
      <c r="ET790" s="53"/>
      <c r="EU790" s="53"/>
      <c r="EV790" s="53"/>
      <c r="EW790" s="53"/>
      <c r="EX790" s="53"/>
      <c r="EY790" s="53"/>
      <c r="EZ790" s="53"/>
      <c r="FA790" s="53"/>
      <c r="FB790" s="53"/>
      <c r="FC790" s="53"/>
      <c r="FD790" s="53"/>
      <c r="FE790" s="53"/>
      <c r="FF790" s="53"/>
      <c r="FG790" s="53"/>
      <c r="FH790" s="53"/>
      <c r="FI790" s="53"/>
      <c r="FJ790" s="53"/>
      <c r="FK790" s="53"/>
      <c r="FL790" s="53"/>
      <c r="FM790" s="53"/>
      <c r="FN790" s="53"/>
      <c r="FO790" s="53"/>
      <c r="FP790" s="53"/>
      <c r="FQ790" s="53"/>
      <c r="FR790" s="53"/>
      <c r="FS790" s="53"/>
      <c r="FT790" s="53"/>
      <c r="FU790" s="53"/>
      <c r="FV790" s="53"/>
      <c r="FW790" s="53"/>
      <c r="FX790" s="53"/>
      <c r="FY790" s="53"/>
      <c r="FZ790" s="53"/>
      <c r="GA790" s="53"/>
      <c r="GB790" s="53"/>
      <c r="GC790" s="53"/>
      <c r="GD790" s="53"/>
      <c r="GE790" s="53"/>
      <c r="GF790" s="53"/>
      <c r="GG790" s="53"/>
      <c r="GH790" s="53"/>
      <c r="GI790" s="53"/>
      <c r="GJ790" s="53"/>
      <c r="GK790" s="53"/>
      <c r="GL790" s="53"/>
      <c r="GM790" s="53"/>
      <c r="GN790" s="53"/>
      <c r="GO790" s="53"/>
      <c r="GP790" s="53"/>
      <c r="GQ790" s="53"/>
      <c r="GR790" s="53"/>
      <c r="GS790" s="53"/>
      <c r="GT790" s="53"/>
      <c r="GU790" s="53"/>
      <c r="GV790" s="53"/>
      <c r="GW790" s="53"/>
      <c r="GX790" s="53"/>
      <c r="GY790" s="53"/>
      <c r="GZ790" s="53"/>
      <c r="HA790" s="53"/>
      <c r="HB790" s="53"/>
      <c r="HC790" s="53"/>
      <c r="HD790" s="53"/>
      <c r="HE790" s="53"/>
      <c r="HF790" s="53"/>
      <c r="HG790" s="53"/>
      <c r="HH790" s="53"/>
      <c r="HI790" s="53"/>
      <c r="HJ790" s="53"/>
      <c r="HK790" s="53"/>
      <c r="HL790" s="53"/>
      <c r="HM790" s="53"/>
      <c r="HN790" s="53"/>
      <c r="HO790" s="53"/>
      <c r="HP790" s="53"/>
      <c r="HQ790" s="53"/>
      <c r="HR790" s="53"/>
      <c r="HS790" s="53"/>
      <c r="HT790" s="53"/>
      <c r="HU790" s="53"/>
      <c r="HV790" s="53"/>
      <c r="HW790" s="53"/>
      <c r="HX790" s="53"/>
      <c r="HY790" s="53"/>
      <c r="HZ790" s="53"/>
      <c r="IA790" s="53"/>
    </row>
    <row r="791" spans="1:235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4"/>
      <c r="O791" s="104"/>
      <c r="P791" s="104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53"/>
      <c r="BU791" s="53"/>
      <c r="BV791" s="53"/>
      <c r="BW791" s="53"/>
      <c r="BX791" s="53"/>
      <c r="BY791" s="53"/>
      <c r="BZ791" s="53"/>
      <c r="CA791" s="53"/>
      <c r="CB791" s="53"/>
      <c r="CC791" s="53"/>
      <c r="CD791" s="53"/>
      <c r="CE791" s="53"/>
      <c r="CF791" s="53"/>
      <c r="CG791" s="53"/>
      <c r="CH791" s="53"/>
      <c r="CI791" s="53"/>
      <c r="CJ791" s="53"/>
      <c r="CK791" s="53"/>
      <c r="CL791" s="53"/>
      <c r="CM791" s="53"/>
      <c r="CN791" s="53"/>
      <c r="CO791" s="53"/>
      <c r="CP791" s="53"/>
      <c r="CQ791" s="53"/>
      <c r="CR791" s="53"/>
      <c r="CS791" s="53"/>
      <c r="CT791" s="53"/>
      <c r="CU791" s="53"/>
      <c r="CV791" s="53"/>
      <c r="CW791" s="53"/>
      <c r="CX791" s="53"/>
      <c r="CY791" s="53"/>
      <c r="CZ791" s="53"/>
      <c r="DA791" s="53"/>
      <c r="DB791" s="53"/>
      <c r="DC791" s="53"/>
      <c r="DD791" s="53"/>
      <c r="DE791" s="53"/>
      <c r="DF791" s="53"/>
      <c r="DG791" s="53"/>
      <c r="DH791" s="53"/>
      <c r="DI791" s="53"/>
      <c r="DJ791" s="53"/>
      <c r="DK791" s="53"/>
      <c r="DL791" s="53"/>
      <c r="DM791" s="53"/>
      <c r="DN791" s="53"/>
      <c r="DO791" s="53"/>
      <c r="DP791" s="53"/>
      <c r="DQ791" s="53"/>
      <c r="DR791" s="53"/>
      <c r="DS791" s="53"/>
      <c r="DT791" s="53"/>
      <c r="DU791" s="53"/>
      <c r="DV791" s="53"/>
      <c r="DW791" s="53"/>
      <c r="DX791" s="53"/>
      <c r="DY791" s="53"/>
      <c r="DZ791" s="53"/>
      <c r="EA791" s="53"/>
      <c r="EB791" s="53"/>
      <c r="EC791" s="53"/>
      <c r="ED791" s="53"/>
      <c r="EE791" s="53"/>
      <c r="EF791" s="53"/>
      <c r="EG791" s="53"/>
      <c r="EH791" s="53"/>
      <c r="EI791" s="53"/>
      <c r="EJ791" s="53"/>
      <c r="EK791" s="53"/>
      <c r="EL791" s="53"/>
      <c r="EM791" s="53"/>
      <c r="EN791" s="53"/>
      <c r="EO791" s="53"/>
      <c r="EP791" s="53"/>
      <c r="EQ791" s="53"/>
      <c r="ER791" s="53"/>
      <c r="ES791" s="53"/>
      <c r="ET791" s="53"/>
      <c r="EU791" s="53"/>
      <c r="EV791" s="53"/>
      <c r="EW791" s="53"/>
      <c r="EX791" s="53"/>
      <c r="EY791" s="53"/>
      <c r="EZ791" s="53"/>
      <c r="FA791" s="53"/>
      <c r="FB791" s="53"/>
      <c r="FC791" s="53"/>
      <c r="FD791" s="53"/>
      <c r="FE791" s="53"/>
      <c r="FF791" s="53"/>
      <c r="FG791" s="53"/>
      <c r="FH791" s="53"/>
      <c r="FI791" s="53"/>
      <c r="FJ791" s="53"/>
      <c r="FK791" s="53"/>
      <c r="FL791" s="53"/>
      <c r="FM791" s="53"/>
      <c r="FN791" s="53"/>
      <c r="FO791" s="53"/>
      <c r="FP791" s="53"/>
      <c r="FQ791" s="53"/>
      <c r="FR791" s="53"/>
      <c r="FS791" s="53"/>
      <c r="FT791" s="53"/>
      <c r="FU791" s="53"/>
      <c r="FV791" s="53"/>
      <c r="FW791" s="53"/>
      <c r="FX791" s="53"/>
      <c r="FY791" s="53"/>
      <c r="FZ791" s="53"/>
      <c r="GA791" s="53"/>
      <c r="GB791" s="53"/>
      <c r="GC791" s="53"/>
      <c r="GD791" s="53"/>
      <c r="GE791" s="53"/>
      <c r="GF791" s="53"/>
      <c r="GG791" s="53"/>
      <c r="GH791" s="53"/>
      <c r="GI791" s="53"/>
      <c r="GJ791" s="53"/>
      <c r="GK791" s="53"/>
      <c r="GL791" s="53"/>
      <c r="GM791" s="53"/>
      <c r="GN791" s="53"/>
      <c r="GO791" s="53"/>
      <c r="GP791" s="53"/>
      <c r="GQ791" s="53"/>
      <c r="GR791" s="53"/>
      <c r="GS791" s="53"/>
      <c r="GT791" s="53"/>
      <c r="GU791" s="53"/>
      <c r="GV791" s="53"/>
      <c r="GW791" s="53"/>
      <c r="GX791" s="53"/>
      <c r="GY791" s="53"/>
      <c r="GZ791" s="53"/>
      <c r="HA791" s="53"/>
      <c r="HB791" s="53"/>
      <c r="HC791" s="53"/>
      <c r="HD791" s="53"/>
      <c r="HE791" s="53"/>
      <c r="HF791" s="53"/>
      <c r="HG791" s="53"/>
      <c r="HH791" s="53"/>
      <c r="HI791" s="53"/>
      <c r="HJ791" s="53"/>
      <c r="HK791" s="53"/>
      <c r="HL791" s="53"/>
      <c r="HM791" s="53"/>
      <c r="HN791" s="53"/>
      <c r="HO791" s="53"/>
      <c r="HP791" s="53"/>
      <c r="HQ791" s="53"/>
      <c r="HR791" s="53"/>
      <c r="HS791" s="53"/>
      <c r="HT791" s="53"/>
      <c r="HU791" s="53"/>
      <c r="HV791" s="53"/>
      <c r="HW791" s="53"/>
      <c r="HX791" s="53"/>
      <c r="HY791" s="53"/>
      <c r="HZ791" s="53"/>
      <c r="IA791" s="53"/>
    </row>
  </sheetData>
  <sheetProtection/>
  <mergeCells count="20">
    <mergeCell ref="A690:D690"/>
    <mergeCell ref="J8:P8"/>
    <mergeCell ref="F13:G13"/>
    <mergeCell ref="J2:L2"/>
    <mergeCell ref="A12:P12"/>
    <mergeCell ref="O690:P690"/>
    <mergeCell ref="N14:P14"/>
    <mergeCell ref="N15:O15"/>
    <mergeCell ref="P15:P16"/>
    <mergeCell ref="J15:J16"/>
    <mergeCell ref="A693:B693"/>
    <mergeCell ref="F15:F16"/>
    <mergeCell ref="D14:F14"/>
    <mergeCell ref="G15:I15"/>
    <mergeCell ref="K15:M15"/>
    <mergeCell ref="A14:A16"/>
    <mergeCell ref="B14:B16"/>
    <mergeCell ref="C14:C16"/>
    <mergeCell ref="D15:E15"/>
    <mergeCell ref="G14:J14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  <rowBreaks count="1" manualBreakCount="1">
    <brk id="6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2019-09-19T09:01:10Z</cp:lastPrinted>
  <dcterms:created xsi:type="dcterms:W3CDTF">2014-04-22T08:24:49Z</dcterms:created>
  <dcterms:modified xsi:type="dcterms:W3CDTF">2019-09-19T09:01:14Z</dcterms:modified>
  <cp:category/>
  <cp:version/>
  <cp:contentType/>
  <cp:contentStatus/>
</cp:coreProperties>
</file>