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<sst xmlns="http://schemas.openxmlformats.org/spreadsheetml/2006/main" count="390" uniqueCount="232">
  <si>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</si>
  <si>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</si>
  <si>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</si>
  <si>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</si>
  <si>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</si>
  <si>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</si>
  <si>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</si>
  <si>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</si>
  <si>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</si>
  <si>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</si>
  <si>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</si>
  <si>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</si>
  <si>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</si>
  <si>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</si>
  <si>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</si>
  <si>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</si>
  <si>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</si>
  <si>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</si>
  <si>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</si>
  <si>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</si>
  <si>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</si>
  <si>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</si>
  <si>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</si>
  <si>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</si>
  <si>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</si>
  <si>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</si>
  <si>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</si>
  <si>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</si>
  <si>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</si>
  <si>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</si>
  <si>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</si>
  <si>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</si>
  <si>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</si>
  <si>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</si>
  <si>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</si>
  <si>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</si>
  <si>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</si>
  <si>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</si>
  <si>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</si>
  <si>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</si>
  <si>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</si>
  <si>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</si>
  <si>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</si>
  <si>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</si>
  <si>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</si>
  <si>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</si>
  <si>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</si>
  <si>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</si>
  <si>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</si>
  <si>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</si>
  <si>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</si>
  <si>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</si>
  <si>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</si>
  <si>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</si>
  <si>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</si>
  <si>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</si>
  <si>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</si>
  <si>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</si>
  <si>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</si>
  <si>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</si>
  <si>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</si>
  <si>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</si>
  <si>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</si>
  <si>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</si>
  <si>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</si>
  <si>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</si>
  <si>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</si>
  <si>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</si>
  <si>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</si>
  <si>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</si>
  <si>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</si>
  <si>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</si>
  <si>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</si>
  <si>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</si>
  <si>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</si>
  <si>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</si>
  <si>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</si>
  <si>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</si>
  <si>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</si>
  <si>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</si>
  <si>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</si>
  <si>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</si>
  <si>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</si>
  <si>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</si>
  <si>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</si>
  <si>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</si>
  <si>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</si>
  <si>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</si>
  <si>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</si>
  <si>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</si>
  <si>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</si>
  <si>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</si>
  <si>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</si>
  <si>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</si>
  <si>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</si>
  <si>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</si>
  <si>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</si>
  <si>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</si>
  <si>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</si>
  <si>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</si>
  <si>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</si>
  <si>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</si>
  <si>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</si>
  <si>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</si>
  <si>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</si>
  <si>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</si>
  <si>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</si>
  <si>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</si>
  <si>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</si>
  <si>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</si>
  <si>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</si>
  <si>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</si>
  <si>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</si>
  <si>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</si>
  <si>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</si>
  <si>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</si>
  <si>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</si>
  <si>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</si>
  <si>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</si>
  <si>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</si>
  <si>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</si>
  <si>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</si>
  <si>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</si>
  <si>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</si>
  <si>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</si>
  <si>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</si>
  <si>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</si>
  <si>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</si>
  <si>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</si>
  <si>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</si>
  <si>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</si>
  <si>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</si>
  <si>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</si>
  <si>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</si>
  <si>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</si>
  <si>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</si>
  <si>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</si>
  <si>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</si>
  <si>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</si>
  <si>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</si>
  <si>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</si>
  <si>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</si>
  <si>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</si>
  <si>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</si>
  <si>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</si>
  <si>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</si>
  <si>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</si>
  <si>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</si>
  <si>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</si>
  <si>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</si>
  <si>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</si>
  <si>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</si>
  <si>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</si>
  <si>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</si>
  <si>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</si>
  <si>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</si>
  <si>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</si>
  <si>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</si>
  <si>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</si>
  <si>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</si>
  <si>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</si>
  <si>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</si>
  <si>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</si>
  <si>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</si>
  <si>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</si>
  <si>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</si>
  <si>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</si>
  <si>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</si>
  <si>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</si>
  <si>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</si>
  <si>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</si>
  <si>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</si>
  <si>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</si>
  <si>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</si>
  <si>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</si>
  <si>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</si>
  <si>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</si>
  <si>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</si>
  <si>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</si>
  <si>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</si>
  <si>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</si>
  <si>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</si>
  <si>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</si>
  <si>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</si>
  <si>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</si>
  <si>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</si>
  <si>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</si>
  <si>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</si>
  <si>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</si>
  <si>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</si>
  <si>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</si>
  <si>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</si>
  <si>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</si>
  <si>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</si>
  <si>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</si>
  <si>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</si>
  <si>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</si>
  <si>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</si>
  <si>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</si>
  <si>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</si>
  <si>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</si>
  <si>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</si>
  <si>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</si>
  <si>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</si>
  <si>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</si>
  <si>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</si>
  <si>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</si>
  <si>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</si>
  <si>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</si>
  <si>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</si>
  <si>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</si>
  <si>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</si>
  <si>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</si>
  <si>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</si>
  <si>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</si>
  <si>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</si>
  <si>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</si>
  <si>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</si>
  <si>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</si>
  <si>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</si>
  <si>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</si>
  <si>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</si>
  <si>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</si>
  <si>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</si>
  <si>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</si>
  <si>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</si>
  <si>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</si>
  <si>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</si>
  <si>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</si>
  <si>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</si>
  <si>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</si>
  <si>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від 16 жовтня 2019 року № 5702-МР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</si>
</sst>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4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218" fontId="55" fillId="0" borderId="10" xfId="0" applyNumberFormat="1" applyFont="1" applyFill="1" applyBorder="1" applyAlignment="1">
      <alignment horizontal="center" vertical="center"/>
    </xf>
    <xf numFmtId="218" fontId="5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4" fontId="5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80" zoomScaleNormal="80" zoomScaleSheetLayoutView="75" zoomScalePageLayoutView="0" workbookViewId="0" topLeftCell="A1">
      <selection activeCell="J24" sqref="J24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83" t="s">
        <v>225</v>
      </c>
      <c r="I1" s="183"/>
      <c r="J1" s="183"/>
      <c r="K1" s="71"/>
    </row>
    <row r="2" spans="1:12" ht="123" customHeight="1">
      <c r="A2" s="19"/>
      <c r="H2" s="185" t="s">
        <v>211</v>
      </c>
      <c r="I2" s="185"/>
      <c r="J2" s="185"/>
      <c r="K2" s="185"/>
      <c r="L2" s="132"/>
    </row>
    <row r="3" spans="1:11" ht="18.75">
      <c r="A3" s="18"/>
      <c r="H3" s="186" t="s">
        <v>231</v>
      </c>
      <c r="I3" s="186"/>
      <c r="J3" s="186"/>
      <c r="K3" s="186"/>
    </row>
    <row r="4" spans="8:10" ht="15.75">
      <c r="H4" s="133"/>
      <c r="I4" s="133"/>
      <c r="J4" s="133"/>
    </row>
    <row r="5" spans="1:12" ht="30.75" customHeight="1">
      <c r="A5" s="184" t="s">
        <v>192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72"/>
    </row>
    <row r="6" ht="12.75">
      <c r="A6" s="134"/>
    </row>
    <row r="7" spans="1:12" ht="32.25" customHeight="1">
      <c r="A7" s="179" t="s">
        <v>81</v>
      </c>
      <c r="B7" s="179" t="s">
        <v>29</v>
      </c>
      <c r="C7" s="179" t="s">
        <v>145</v>
      </c>
      <c r="D7" s="179"/>
      <c r="E7" s="179"/>
      <c r="F7" s="179" t="s">
        <v>146</v>
      </c>
      <c r="G7" s="179"/>
      <c r="H7" s="179"/>
      <c r="I7" s="179" t="s">
        <v>147</v>
      </c>
      <c r="J7" s="179"/>
      <c r="K7" s="179"/>
      <c r="L7" s="73"/>
    </row>
    <row r="8" spans="1:12" ht="1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73"/>
    </row>
    <row r="9" spans="1:12" ht="18.75" customHeight="1">
      <c r="A9" s="179"/>
      <c r="B9" s="179"/>
      <c r="C9" s="181" t="s">
        <v>0</v>
      </c>
      <c r="D9" s="181" t="s">
        <v>1</v>
      </c>
      <c r="E9" s="181"/>
      <c r="F9" s="181" t="s">
        <v>0</v>
      </c>
      <c r="G9" s="181" t="s">
        <v>1</v>
      </c>
      <c r="H9" s="181"/>
      <c r="I9" s="181" t="s">
        <v>0</v>
      </c>
      <c r="J9" s="181" t="s">
        <v>1</v>
      </c>
      <c r="K9" s="181"/>
      <c r="L9" s="30"/>
    </row>
    <row r="10" spans="1:12" ht="28.5">
      <c r="A10" s="179"/>
      <c r="B10" s="179"/>
      <c r="C10" s="181"/>
      <c r="D10" s="23" t="s">
        <v>2</v>
      </c>
      <c r="E10" s="23" t="s">
        <v>3</v>
      </c>
      <c r="F10" s="181"/>
      <c r="G10" s="23" t="s">
        <v>2</v>
      </c>
      <c r="H10" s="23" t="s">
        <v>3</v>
      </c>
      <c r="I10" s="181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87549055</v>
      </c>
      <c r="D12" s="17">
        <f>+D17+D87+D107+D133+D162+D175+D187+D203+D306+D343+D274+D300</f>
        <v>87507055</v>
      </c>
      <c r="E12" s="17">
        <f>+E17+E87+E107+E133+E162+E175+E187+E203+E289+E306+E343+E274</f>
        <v>42000</v>
      </c>
      <c r="F12" s="17">
        <f>G12+H12</f>
        <v>89073112</v>
      </c>
      <c r="G12" s="17">
        <f>+G17+G87+G107+G133+G162+G175+G187+G203+G306+G343+G274+G300</f>
        <v>89028298</v>
      </c>
      <c r="H12" s="17">
        <f>+H17+H87+H107+H133+H162+H175+H187+H203+H289+H306+H343+H274</f>
        <v>44814</v>
      </c>
      <c r="I12" s="17">
        <f>J12+K12</f>
        <v>93972135</v>
      </c>
      <c r="J12" s="17">
        <f>+J17+J87+J107+J133+J162+J175+J187+J203+J306+J343+J274+J300</f>
        <v>93924856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35"/>
    </row>
    <row r="16" spans="1:12" ht="17.25" customHeight="1">
      <c r="A16" s="182" t="s">
        <v>26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36"/>
    </row>
    <row r="17" spans="1:14" s="138" customFormat="1" ht="23.25" customHeight="1">
      <c r="A17" s="179" t="s">
        <v>7</v>
      </c>
      <c r="B17" s="38" t="s">
        <v>22</v>
      </c>
      <c r="C17" s="6">
        <f>+D17+E17</f>
        <v>14322687</v>
      </c>
      <c r="D17" s="6">
        <f>+D18+D19</f>
        <v>14280687</v>
      </c>
      <c r="E17" s="6">
        <f>+E18+E19</f>
        <v>42000</v>
      </c>
      <c r="F17" s="6">
        <f>+G17+H17</f>
        <v>13153430</v>
      </c>
      <c r="G17" s="6">
        <f>+G18+G19</f>
        <v>13108616</v>
      </c>
      <c r="H17" s="6">
        <f>+H18+H19</f>
        <v>44814</v>
      </c>
      <c r="I17" s="6">
        <f>J17+K17</f>
        <v>13876871</v>
      </c>
      <c r="J17" s="6">
        <f>+J18+J19</f>
        <v>13829592</v>
      </c>
      <c r="K17" s="6">
        <f>+K18+K19</f>
        <v>47279</v>
      </c>
      <c r="L17" s="137"/>
      <c r="N17" s="139"/>
    </row>
    <row r="18" spans="1:14" s="138" customFormat="1" ht="23.25" customHeight="1">
      <c r="A18" s="179"/>
      <c r="B18" s="74" t="s">
        <v>124</v>
      </c>
      <c r="C18" s="6">
        <f>+D18+E18</f>
        <v>14150017</v>
      </c>
      <c r="D18" s="6">
        <f>+D29+D43+D20+D53+D61+D72</f>
        <v>14108017</v>
      </c>
      <c r="E18" s="6">
        <f>+E29+E43+E20+E53+E61+E72</f>
        <v>42000</v>
      </c>
      <c r="F18" s="6">
        <f>+G18+H18</f>
        <v>12969191</v>
      </c>
      <c r="G18" s="6">
        <f>+G29+G43+G20+G53+G61+G72</f>
        <v>12924377</v>
      </c>
      <c r="H18" s="6">
        <f>+H29+H43+H20+H53+H61+H72</f>
        <v>44814</v>
      </c>
      <c r="I18" s="6">
        <f>J18+K18</f>
        <v>13682499</v>
      </c>
      <c r="J18" s="6">
        <f>+J29+J43+J20+J53+J61+J72</f>
        <v>13635220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79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12704506</v>
      </c>
      <c r="D20" s="39">
        <f>92162+12612344</f>
        <v>12704506</v>
      </c>
      <c r="E20" s="39">
        <v>0</v>
      </c>
      <c r="F20" s="6">
        <f>G20</f>
        <v>11533743</v>
      </c>
      <c r="G20" s="6">
        <f>12976+11520767</f>
        <v>11533743</v>
      </c>
      <c r="H20" s="6">
        <v>0</v>
      </c>
      <c r="I20" s="6">
        <f>J20</f>
        <v>12168100</v>
      </c>
      <c r="J20" s="6">
        <f>13689+12154411</f>
        <v>12168100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3562</v>
      </c>
      <c r="D23" s="40">
        <f>7+3555</f>
        <v>3562</v>
      </c>
      <c r="E23" s="40">
        <v>0</v>
      </c>
      <c r="F23" s="40">
        <f>G23+H23</f>
        <v>3551</v>
      </c>
      <c r="G23" s="40">
        <f>6+3545</f>
        <v>3551</v>
      </c>
      <c r="H23" s="40">
        <v>0</v>
      </c>
      <c r="I23" s="40">
        <f>J23+K23</f>
        <v>3551</v>
      </c>
      <c r="J23" s="40">
        <f>G23</f>
        <v>3551</v>
      </c>
      <c r="K23" s="40">
        <v>0</v>
      </c>
      <c r="L23" s="78"/>
      <c r="M23" s="187"/>
      <c r="O23" s="151"/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87"/>
    </row>
    <row r="25" spans="1:12" ht="16.5">
      <c r="A25" s="81" t="s">
        <v>14</v>
      </c>
      <c r="B25" s="38"/>
      <c r="C25" s="43">
        <f>D25+E25</f>
        <v>3566.6777091521617</v>
      </c>
      <c r="D25" s="43">
        <f>D20/D23</f>
        <v>3566.6777091521617</v>
      </c>
      <c r="E25" s="43">
        <v>0</v>
      </c>
      <c r="F25" s="43">
        <f>G25+H25</f>
        <v>3248.0267530273163</v>
      </c>
      <c r="G25" s="11">
        <f>G20/G23</f>
        <v>3248.0267530273163</v>
      </c>
      <c r="H25" s="43">
        <v>0</v>
      </c>
      <c r="I25" s="43">
        <f>J25+K25</f>
        <v>3426.6685440720926</v>
      </c>
      <c r="J25" s="11">
        <f>J20/J23</f>
        <v>3426.6685440720926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111.73164576955932</v>
      </c>
      <c r="D27" s="82">
        <f>D20/11370553*100</f>
        <v>111.73164576955932</v>
      </c>
      <c r="E27" s="82">
        <v>0</v>
      </c>
      <c r="F27" s="82">
        <f>G27+H27</f>
        <v>90.78466333126215</v>
      </c>
      <c r="G27" s="12">
        <f>G20/D20*100</f>
        <v>90.78466333126215</v>
      </c>
      <c r="H27" s="82">
        <v>0</v>
      </c>
      <c r="I27" s="82">
        <f>J27+K27</f>
        <v>105.50000984069092</v>
      </c>
      <c r="J27" s="12">
        <f>J20/G20*100</f>
        <v>105.50000984069092</v>
      </c>
      <c r="K27" s="82">
        <v>0</v>
      </c>
      <c r="L27" s="29"/>
    </row>
    <row r="28" spans="1:12" ht="22.5" customHeight="1">
      <c r="A28" s="190" t="s">
        <v>27</v>
      </c>
      <c r="B28" s="38" t="s">
        <v>22</v>
      </c>
      <c r="C28" s="39">
        <f>C29+C30</f>
        <v>888869</v>
      </c>
      <c r="D28" s="39">
        <f>D29+D30</f>
        <v>888869</v>
      </c>
      <c r="E28" s="39">
        <f>E29+E30</f>
        <v>0</v>
      </c>
      <c r="F28" s="39">
        <f aca="true" t="shared" si="0" ref="F28:K28">F29+F30</f>
        <v>948424</v>
      </c>
      <c r="G28" s="39">
        <f t="shared" si="0"/>
        <v>948424</v>
      </c>
      <c r="H28" s="39">
        <f t="shared" si="0"/>
        <v>0</v>
      </c>
      <c r="I28" s="39">
        <f>I29+I30</f>
        <v>1000589</v>
      </c>
      <c r="J28" s="39">
        <f>J29+J30</f>
        <v>1000589</v>
      </c>
      <c r="K28" s="39">
        <f t="shared" si="0"/>
        <v>0</v>
      </c>
      <c r="L28" s="83"/>
    </row>
    <row r="29" spans="1:13" ht="22.5" customHeight="1">
      <c r="A29" s="190"/>
      <c r="B29" s="74" t="s">
        <v>124</v>
      </c>
      <c r="C29" s="39">
        <f>D29+E29</f>
        <v>716199</v>
      </c>
      <c r="D29" s="39">
        <v>716199</v>
      </c>
      <c r="E29" s="39">
        <v>0</v>
      </c>
      <c r="F29" s="39">
        <f>G29+H29</f>
        <v>764185</v>
      </c>
      <c r="G29" s="6">
        <v>764185</v>
      </c>
      <c r="H29" s="6">
        <v>0</v>
      </c>
      <c r="I29" s="39">
        <f>J29+K29</f>
        <v>806217</v>
      </c>
      <c r="J29" s="6">
        <v>806217</v>
      </c>
      <c r="K29" s="6">
        <v>0</v>
      </c>
      <c r="L29" s="25"/>
      <c r="M29" s="187"/>
    </row>
    <row r="30" spans="1:13" ht="22.5" customHeight="1">
      <c r="A30" s="190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87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6</v>
      </c>
      <c r="D33" s="84">
        <v>6</v>
      </c>
      <c r="E33" s="84">
        <v>0</v>
      </c>
      <c r="F33" s="84">
        <f>G33+H33</f>
        <v>6</v>
      </c>
      <c r="G33" s="84">
        <v>6</v>
      </c>
      <c r="H33" s="84">
        <v>0</v>
      </c>
      <c r="I33" s="84">
        <f>J33+K33</f>
        <v>6</v>
      </c>
      <c r="J33" s="84">
        <v>6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321</v>
      </c>
      <c r="D34" s="84">
        <v>321</v>
      </c>
      <c r="E34" s="84">
        <v>0</v>
      </c>
      <c r="F34" s="84">
        <f>G34+H34</f>
        <v>321</v>
      </c>
      <c r="G34" s="84">
        <v>321</v>
      </c>
      <c r="H34" s="84">
        <v>0</v>
      </c>
      <c r="I34" s="84">
        <f>J34+K34</f>
        <v>321</v>
      </c>
      <c r="J34" s="84">
        <v>321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2" t="s">
        <v>230</v>
      </c>
      <c r="J36" s="162"/>
      <c r="K36" s="162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12519.166666666666</v>
      </c>
      <c r="D39" s="43">
        <f>75115/D33</f>
        <v>12519.166666666666</v>
      </c>
      <c r="E39" s="43">
        <v>0</v>
      </c>
      <c r="F39" s="43">
        <f>G39+H39</f>
        <v>13358</v>
      </c>
      <c r="G39" s="11">
        <f>80148/G33</f>
        <v>13358</v>
      </c>
      <c r="H39" s="11">
        <v>0</v>
      </c>
      <c r="I39" s="43">
        <f>J39+K39</f>
        <v>14092.666666666666</v>
      </c>
      <c r="J39" s="11">
        <f>84556/J33</f>
        <v>14092.666666666666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211.25493250259606</v>
      </c>
      <c r="D40" s="43">
        <f>813754/D34/12</f>
        <v>211.25493250259606</v>
      </c>
      <c r="E40" s="43">
        <v>0</v>
      </c>
      <c r="F40" s="43">
        <f>G40+H40</f>
        <v>225.4091381100727</v>
      </c>
      <c r="G40" s="11">
        <f>868276/G34/12</f>
        <v>225.4091381100727</v>
      </c>
      <c r="H40" s="11">
        <v>0</v>
      </c>
      <c r="I40" s="43">
        <f>J40+K40</f>
        <v>237.80711318795431</v>
      </c>
      <c r="J40" s="11">
        <f>916033/J34/12</f>
        <v>237.80711318795431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138.1029103768015</v>
      </c>
      <c r="D42" s="82">
        <f>D28/568628*100</f>
        <v>156.31819045140233</v>
      </c>
      <c r="E42" s="82">
        <v>0</v>
      </c>
      <c r="F42" s="82">
        <f>F28/C28*100</f>
        <v>106.7000874144559</v>
      </c>
      <c r="G42" s="12">
        <f>G28/D28*100</f>
        <v>106.7000874144559</v>
      </c>
      <c r="H42" s="12">
        <v>0</v>
      </c>
      <c r="I42" s="82">
        <f>I28/F28*100</f>
        <v>105.5001771359645</v>
      </c>
      <c r="J42" s="12">
        <f>J28/G28*100</f>
        <v>105.5001771359645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2" t="s">
        <v>230</v>
      </c>
      <c r="J70" s="162"/>
      <c r="K70" s="162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223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226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227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224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228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229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6" t="s">
        <v>135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40"/>
    </row>
    <row r="86" spans="1:12" ht="21.75" customHeight="1">
      <c r="A86" s="171" t="s">
        <v>136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2" t="s">
        <v>230</v>
      </c>
      <c r="J98" s="162"/>
      <c r="K98" s="162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3" t="s">
        <v>91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25"/>
      <c r="M105" s="141"/>
      <c r="N105" s="142"/>
      <c r="O105" s="27"/>
    </row>
    <row r="106" spans="1:12" ht="30.75" customHeight="1">
      <c r="A106" s="174" t="s">
        <v>92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43"/>
    </row>
    <row r="107" spans="1:12" ht="31.5" customHeight="1">
      <c r="A107" s="93" t="s">
        <v>94</v>
      </c>
      <c r="B107" s="38"/>
      <c r="C107" s="39">
        <f>E107+D107</f>
        <v>1717214</v>
      </c>
      <c r="D107" s="39">
        <v>1717214</v>
      </c>
      <c r="E107" s="39">
        <v>0</v>
      </c>
      <c r="F107" s="39">
        <f>H107+G107</f>
        <v>1832267</v>
      </c>
      <c r="G107" s="6">
        <v>1832267</v>
      </c>
      <c r="H107" s="6">
        <f>E107*1.05</f>
        <v>0</v>
      </c>
      <c r="I107" s="39">
        <f>K107+J107</f>
        <v>1933042</v>
      </c>
      <c r="J107" s="6">
        <v>1933042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1014</v>
      </c>
      <c r="D110" s="40">
        <f>+D111+D112+D113+D114+D115</f>
        <v>1014</v>
      </c>
      <c r="E110" s="40">
        <v>0</v>
      </c>
      <c r="F110" s="40">
        <f aca="true" t="shared" si="3" ref="F110:F115">G110+H110</f>
        <v>1014</v>
      </c>
      <c r="G110" s="40">
        <f>G111+G112+G113+G114+G115</f>
        <v>1014</v>
      </c>
      <c r="H110" s="40">
        <v>0</v>
      </c>
      <c r="I110" s="40">
        <f aca="true" t="shared" si="4" ref="I110:I115">J110+K110</f>
        <v>1014</v>
      </c>
      <c r="J110" s="40">
        <f>J111+J112+J113+J114+J115</f>
        <v>1014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v>1</v>
      </c>
      <c r="H111" s="94">
        <v>0</v>
      </c>
      <c r="I111" s="94">
        <f t="shared" si="4"/>
        <v>1</v>
      </c>
      <c r="J111" s="94"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620</v>
      </c>
      <c r="D112" s="94">
        <v>620</v>
      </c>
      <c r="E112" s="94">
        <v>0</v>
      </c>
      <c r="F112" s="94">
        <f t="shared" si="3"/>
        <v>620</v>
      </c>
      <c r="G112" s="94">
        <v>620</v>
      </c>
      <c r="H112" s="94">
        <v>0</v>
      </c>
      <c r="I112" s="94">
        <f t="shared" si="4"/>
        <v>620</v>
      </c>
      <c r="J112" s="94">
        <v>620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90</v>
      </c>
      <c r="D113" s="94">
        <v>90</v>
      </c>
      <c r="E113" s="94">
        <v>0</v>
      </c>
      <c r="F113" s="94">
        <f t="shared" si="3"/>
        <v>90</v>
      </c>
      <c r="G113" s="94">
        <v>90</v>
      </c>
      <c r="H113" s="94">
        <v>0</v>
      </c>
      <c r="I113" s="94">
        <f t="shared" si="4"/>
        <v>90</v>
      </c>
      <c r="J113" s="94">
        <v>90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100</v>
      </c>
      <c r="D114" s="94">
        <v>100</v>
      </c>
      <c r="E114" s="94">
        <v>0</v>
      </c>
      <c r="F114" s="94">
        <f t="shared" si="3"/>
        <v>100</v>
      </c>
      <c r="G114" s="94">
        <v>100</v>
      </c>
      <c r="H114" s="94">
        <v>0</v>
      </c>
      <c r="I114" s="94">
        <f t="shared" si="4"/>
        <v>100</v>
      </c>
      <c r="J114" s="94">
        <v>100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203</v>
      </c>
      <c r="D115" s="94">
        <v>203</v>
      </c>
      <c r="E115" s="94">
        <v>0</v>
      </c>
      <c r="F115" s="94">
        <f t="shared" si="3"/>
        <v>203</v>
      </c>
      <c r="G115" s="94">
        <v>203</v>
      </c>
      <c r="H115" s="94">
        <v>0</v>
      </c>
      <c r="I115" s="94">
        <f t="shared" si="4"/>
        <v>203</v>
      </c>
      <c r="J115" s="94">
        <v>203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1693.5049309664694</v>
      </c>
      <c r="D117" s="43">
        <f>D107/D110</f>
        <v>1693.5049309664694</v>
      </c>
      <c r="E117" s="43">
        <v>0</v>
      </c>
      <c r="F117" s="43">
        <f aca="true" t="shared" si="6" ref="F117:F122">G117+H117</f>
        <v>1806.9694280078895</v>
      </c>
      <c r="G117" s="43">
        <f>G107/G110</f>
        <v>1806.9694280078895</v>
      </c>
      <c r="H117" s="43">
        <v>0</v>
      </c>
      <c r="I117" s="43">
        <f aca="true" t="shared" si="7" ref="I117:I122">J117+K117</f>
        <v>1906.353057199211</v>
      </c>
      <c r="J117" s="43">
        <f>J107/J110</f>
        <v>1906.353057199211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18824</v>
      </c>
      <c r="D118" s="43">
        <f>18824/D111</f>
        <v>18824</v>
      </c>
      <c r="E118" s="43">
        <v>0</v>
      </c>
      <c r="F118" s="43">
        <f t="shared" si="6"/>
        <v>20085</v>
      </c>
      <c r="G118" s="43">
        <f>20085/G111</f>
        <v>20085</v>
      </c>
      <c r="H118" s="43">
        <v>0</v>
      </c>
      <c r="I118" s="43">
        <f t="shared" si="7"/>
        <v>21190</v>
      </c>
      <c r="J118" s="43">
        <f>21190/J111</f>
        <v>21190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1163.1935483870968</v>
      </c>
      <c r="D119" s="43">
        <f>721180/D112</f>
        <v>1163.1935483870968</v>
      </c>
      <c r="E119" s="43">
        <v>0</v>
      </c>
      <c r="F119" s="43">
        <f t="shared" si="6"/>
        <v>1241.1274193548388</v>
      </c>
      <c r="G119" s="43">
        <f>769499/G112</f>
        <v>1241.1274193548388</v>
      </c>
      <c r="H119" s="43">
        <v>0</v>
      </c>
      <c r="I119" s="43">
        <f t="shared" si="7"/>
        <v>1309.3887096774195</v>
      </c>
      <c r="J119" s="43">
        <f>811821/J112</f>
        <v>1309.3887096774195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2840.366666666667</v>
      </c>
      <c r="D120" s="43">
        <f>255633/D113</f>
        <v>2840.366666666667</v>
      </c>
      <c r="E120" s="43">
        <v>0</v>
      </c>
      <c r="F120" s="43">
        <f t="shared" si="6"/>
        <v>3030.6666666666665</v>
      </c>
      <c r="G120" s="43">
        <f>272760/G113</f>
        <v>3030.6666666666665</v>
      </c>
      <c r="H120" s="43">
        <v>0</v>
      </c>
      <c r="I120" s="43">
        <f t="shared" si="7"/>
        <v>3197.3555555555554</v>
      </c>
      <c r="J120" s="43">
        <f>287762/J113</f>
        <v>3197.3555555555554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2197.42</v>
      </c>
      <c r="D121" s="43">
        <f>219742/D114</f>
        <v>2197.42</v>
      </c>
      <c r="E121" s="43">
        <v>0</v>
      </c>
      <c r="F121" s="43">
        <f t="shared" si="6"/>
        <v>2344.65</v>
      </c>
      <c r="G121" s="43">
        <f>234465/G114</f>
        <v>2344.65</v>
      </c>
      <c r="H121" s="43">
        <v>0</v>
      </c>
      <c r="I121" s="43">
        <f t="shared" si="7"/>
        <v>2473.61</v>
      </c>
      <c r="J121" s="43">
        <f>247361/J114</f>
        <v>2473.61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2472.093596059113</v>
      </c>
      <c r="D122" s="43">
        <f>501835/D115</f>
        <v>2472.093596059113</v>
      </c>
      <c r="E122" s="43">
        <v>0</v>
      </c>
      <c r="F122" s="43">
        <f t="shared" si="6"/>
        <v>2637.7241379310344</v>
      </c>
      <c r="G122" s="43">
        <f>535458/G115</f>
        <v>2637.7241379310344</v>
      </c>
      <c r="H122" s="43">
        <v>0</v>
      </c>
      <c r="I122" s="43">
        <f t="shared" si="7"/>
        <v>2782.7980295566504</v>
      </c>
      <c r="J122" s="43">
        <f>564908/J115</f>
        <v>2782.7980295566504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124.83644973614594</v>
      </c>
      <c r="D125" s="8">
        <f>D107/1375571*100</f>
        <v>124.83644973614594</v>
      </c>
      <c r="E125" s="99">
        <v>0</v>
      </c>
      <c r="F125" s="12">
        <f>F107/C107*100</f>
        <v>106.69998031695525</v>
      </c>
      <c r="G125" s="12">
        <f>G107/D107*100</f>
        <v>106.69998031695525</v>
      </c>
      <c r="H125" s="82">
        <v>0</v>
      </c>
      <c r="I125" s="12">
        <f>+I107/F107*100</f>
        <v>105.50001719181756</v>
      </c>
      <c r="J125" s="12">
        <f>+J107/G107*100</f>
        <v>105.50001719181756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2" t="s">
        <v>230</v>
      </c>
      <c r="J127" s="162"/>
      <c r="K127" s="162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88" t="s">
        <v>134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25"/>
    </row>
    <row r="132" spans="1:12" ht="21" customHeight="1">
      <c r="A132" s="180" t="s">
        <v>9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02"/>
    </row>
    <row r="133" spans="1:12" ht="19.5" customHeight="1">
      <c r="A133" s="127" t="s">
        <v>7</v>
      </c>
      <c r="B133" s="101"/>
      <c r="C133" s="6">
        <f>D133+E133</f>
        <v>1004430</v>
      </c>
      <c r="D133" s="6">
        <f>+D134+D147</f>
        <v>1004430</v>
      </c>
      <c r="E133" s="6">
        <f>E134+0</f>
        <v>0</v>
      </c>
      <c r="F133" s="128">
        <f aca="true" t="shared" si="8" ref="F133:K133">F134+F147</f>
        <v>1071727</v>
      </c>
      <c r="G133" s="128">
        <f t="shared" si="8"/>
        <v>1071727</v>
      </c>
      <c r="H133" s="128">
        <f t="shared" si="8"/>
        <v>0</v>
      </c>
      <c r="I133" s="128">
        <f t="shared" si="8"/>
        <v>1130672</v>
      </c>
      <c r="J133" s="128">
        <f t="shared" si="8"/>
        <v>1130672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134475</v>
      </c>
      <c r="D134" s="39">
        <v>134475</v>
      </c>
      <c r="E134" s="39">
        <v>0</v>
      </c>
      <c r="F134" s="39">
        <f>H134+G134</f>
        <v>143485</v>
      </c>
      <c r="G134" s="6">
        <v>143485</v>
      </c>
      <c r="H134" s="6">
        <f>E134*1.05</f>
        <v>0</v>
      </c>
      <c r="I134" s="39">
        <f>K134+J134</f>
        <v>151376</v>
      </c>
      <c r="J134" s="6">
        <v>151376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7077.631578947368</v>
      </c>
      <c r="D141" s="43">
        <f>D134/D137</f>
        <v>7077.631578947368</v>
      </c>
      <c r="E141" s="43">
        <v>0</v>
      </c>
      <c r="F141" s="43">
        <f>G141+H141</f>
        <v>7551.8421052631575</v>
      </c>
      <c r="G141" s="11">
        <f>G134/G137</f>
        <v>7551.8421052631575</v>
      </c>
      <c r="H141" s="43">
        <v>0</v>
      </c>
      <c r="I141" s="43">
        <f>J141+K141</f>
        <v>7967.1578947368425</v>
      </c>
      <c r="J141" s="11">
        <f>J134/J137</f>
        <v>7967.1578947368425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7658.75</v>
      </c>
      <c r="D142" s="43">
        <f>122540/D138</f>
        <v>7658.75</v>
      </c>
      <c r="E142" s="43">
        <v>0</v>
      </c>
      <c r="F142" s="43">
        <f>G142+H142</f>
        <v>8171.875</v>
      </c>
      <c r="G142" s="11">
        <f>130750/G138</f>
        <v>8171.875</v>
      </c>
      <c r="H142" s="43">
        <v>0</v>
      </c>
      <c r="I142" s="43">
        <f>J142+K142</f>
        <v>8621.3125</v>
      </c>
      <c r="J142" s="11">
        <f>137941/J138</f>
        <v>8621.3125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94.44596616169065</v>
      </c>
      <c r="D146" s="43">
        <f>D134/142383*100</f>
        <v>94.44596616169065</v>
      </c>
      <c r="E146" s="43">
        <v>0</v>
      </c>
      <c r="F146" s="43">
        <f>G146+H146</f>
        <v>106.70013013571295</v>
      </c>
      <c r="G146" s="43">
        <f>G134/D134*100</f>
        <v>106.70013013571295</v>
      </c>
      <c r="H146" s="43">
        <v>0</v>
      </c>
      <c r="I146" s="43">
        <f>J146+K146</f>
        <v>105.49952956755062</v>
      </c>
      <c r="J146" s="43">
        <f>J134/G134*100</f>
        <v>105.49952956755062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869955</v>
      </c>
      <c r="D147" s="39">
        <v>869955</v>
      </c>
      <c r="E147" s="39">
        <v>0</v>
      </c>
      <c r="F147" s="39">
        <f>H147+G147</f>
        <v>928242</v>
      </c>
      <c r="G147" s="6">
        <v>928242</v>
      </c>
      <c r="H147" s="6">
        <f>E147*1.05</f>
        <v>0</v>
      </c>
      <c r="I147" s="39">
        <f>K147+J147</f>
        <v>979296</v>
      </c>
      <c r="J147" s="6">
        <v>979296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136</v>
      </c>
      <c r="D150" s="84">
        <v>136</v>
      </c>
      <c r="E150" s="84">
        <v>0</v>
      </c>
      <c r="F150" s="84">
        <f>G150+H150</f>
        <v>136</v>
      </c>
      <c r="G150" s="84">
        <f>D150</f>
        <v>136</v>
      </c>
      <c r="H150" s="84">
        <v>0</v>
      </c>
      <c r="I150" s="84">
        <f>J150+K150</f>
        <v>136</v>
      </c>
      <c r="J150" s="84">
        <f>D150</f>
        <v>136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6396.72794117647</v>
      </c>
      <c r="D152" s="43">
        <f>D147/D150</f>
        <v>6396.72794117647</v>
      </c>
      <c r="E152" s="43">
        <v>0</v>
      </c>
      <c r="F152" s="43">
        <f>G152+H152</f>
        <v>6825.308823529412</v>
      </c>
      <c r="G152" s="11">
        <f>G147/G150</f>
        <v>6825.308823529412</v>
      </c>
      <c r="H152" s="43">
        <v>0</v>
      </c>
      <c r="I152" s="43">
        <f>J152+K152</f>
        <v>7200.705882352941</v>
      </c>
      <c r="J152" s="11">
        <f>J147/J150</f>
        <v>7200.705882352941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116.18469781735088</v>
      </c>
      <c r="D154" s="82">
        <f>D147/748769*100</f>
        <v>116.18469781735088</v>
      </c>
      <c r="E154" s="82">
        <v>0</v>
      </c>
      <c r="F154" s="82">
        <f>G154+H154</f>
        <v>106.7000017242271</v>
      </c>
      <c r="G154" s="82">
        <f>G147/D147*100</f>
        <v>106.7000017242271</v>
      </c>
      <c r="H154" s="82">
        <v>0</v>
      </c>
      <c r="I154" s="82">
        <f>J154+K154</f>
        <v>105.50007433406374</v>
      </c>
      <c r="J154" s="82">
        <f>J147/G147*100</f>
        <v>105.50007433406374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2" t="s">
        <v>230</v>
      </c>
      <c r="J158" s="162"/>
      <c r="K158" s="162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88" t="s">
        <v>200</v>
      </c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06"/>
    </row>
    <row r="161" spans="1:12" ht="28.5" customHeight="1">
      <c r="A161" s="175" t="s">
        <v>201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7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N173" s="26"/>
      <c r="O173" s="68"/>
    </row>
    <row r="174" spans="1:11" ht="31.5" customHeight="1">
      <c r="A174" s="171" t="s">
        <v>79</v>
      </c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</row>
    <row r="175" spans="1:11" ht="42.75" customHeight="1">
      <c r="A175" s="114" t="s">
        <v>80</v>
      </c>
      <c r="B175" s="38"/>
      <c r="C175" s="39">
        <f>D175+E175</f>
        <v>305300</v>
      </c>
      <c r="D175" s="39">
        <v>305300</v>
      </c>
      <c r="E175" s="39">
        <v>0</v>
      </c>
      <c r="F175" s="39">
        <f>G175+H175</f>
        <v>325755</v>
      </c>
      <c r="G175" s="39">
        <v>325755</v>
      </c>
      <c r="H175" s="39">
        <v>0</v>
      </c>
      <c r="I175" s="39">
        <f>J175+K175</f>
        <v>343672</v>
      </c>
      <c r="J175" s="39">
        <v>343672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135</v>
      </c>
      <c r="D178" s="94">
        <v>135</v>
      </c>
      <c r="E178" s="94">
        <v>0</v>
      </c>
      <c r="F178" s="94">
        <f>G178+H178</f>
        <v>135</v>
      </c>
      <c r="G178" s="94">
        <v>135</v>
      </c>
      <c r="H178" s="94">
        <v>0</v>
      </c>
      <c r="I178" s="94">
        <f>J178+K178</f>
        <v>135</v>
      </c>
      <c r="J178" s="94">
        <v>135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2261.4814814814813</v>
      </c>
      <c r="D180" s="115">
        <f>D175/D178</f>
        <v>2261.4814814814813</v>
      </c>
      <c r="E180" s="115"/>
      <c r="F180" s="115">
        <f>G180+H180</f>
        <v>2413</v>
      </c>
      <c r="G180" s="115">
        <f>+G175/G178</f>
        <v>2413</v>
      </c>
      <c r="H180" s="115"/>
      <c r="I180" s="115">
        <f>J180+K180</f>
        <v>2545.7185185185185</v>
      </c>
      <c r="J180" s="115">
        <f>+J175/J178</f>
        <v>2545.7185185185185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119.39773171685569</v>
      </c>
      <c r="D182" s="99">
        <f>+D175/255700*100</f>
        <v>119.39773171685569</v>
      </c>
      <c r="E182" s="94">
        <v>0</v>
      </c>
      <c r="F182" s="99">
        <f>+F175/C175*100</f>
        <v>106.69996724533246</v>
      </c>
      <c r="G182" s="99">
        <f>+G175/D175*100</f>
        <v>106.69996724533246</v>
      </c>
      <c r="H182" s="99">
        <v>0</v>
      </c>
      <c r="I182" s="99">
        <f>J182+K182</f>
        <v>105.50014581510645</v>
      </c>
      <c r="J182" s="99">
        <f>+J175/G175*100</f>
        <v>105.50014581510645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70" t="s">
        <v>151</v>
      </c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54"/>
    </row>
    <row r="186" spans="1:12" ht="22.5" customHeight="1">
      <c r="A186" s="172" t="s">
        <v>82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2" t="s">
        <v>230</v>
      </c>
      <c r="J190" s="162"/>
      <c r="K190" s="162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89" t="s">
        <v>153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</row>
    <row r="202" spans="1:11" ht="33" customHeight="1">
      <c r="A202" s="161" t="s">
        <v>111</v>
      </c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</row>
    <row r="203" spans="1:11" ht="16.5">
      <c r="A203" s="125" t="s">
        <v>7</v>
      </c>
      <c r="B203" s="126" t="s">
        <v>112</v>
      </c>
      <c r="C203" s="6">
        <f>D203+E203</f>
        <v>66404123</v>
      </c>
      <c r="D203" s="6">
        <f>+D205+D226+D237++D247+D260</f>
        <v>66404123</v>
      </c>
      <c r="E203" s="6">
        <f>+E205+E226+E237++E247</f>
        <v>0</v>
      </c>
      <c r="F203" s="6">
        <f>G203+H203</f>
        <v>68719199</v>
      </c>
      <c r="G203" s="6">
        <f>+G205+G226+G237++G247</f>
        <v>68719199</v>
      </c>
      <c r="H203" s="6">
        <f>+H205+H226+H237++H247</f>
        <v>0</v>
      </c>
      <c r="I203" s="39">
        <f>J203+K203</f>
        <v>72498755</v>
      </c>
      <c r="J203" s="6">
        <f>+J205+J226+J237++J247</f>
        <v>72498755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563976</v>
      </c>
      <c r="D205" s="119">
        <f>D207+D208++D209</f>
        <v>563976</v>
      </c>
      <c r="E205" s="119">
        <f>E207+E208</f>
        <v>0</v>
      </c>
      <c r="F205" s="121">
        <f>+G205+H205</f>
        <v>601762</v>
      </c>
      <c r="G205" s="119">
        <f>G207+G208++G209</f>
        <v>601762</v>
      </c>
      <c r="H205" s="119">
        <f>H207+H208</f>
        <v>0</v>
      </c>
      <c r="I205" s="119">
        <f>J205+K205</f>
        <v>634859</v>
      </c>
      <c r="J205" s="119">
        <f>J207+J208++J209</f>
        <v>634859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133276</v>
      </c>
      <c r="D209" s="43">
        <f>79436+53840</f>
        <v>133276</v>
      </c>
      <c r="E209" s="43">
        <v>0</v>
      </c>
      <c r="F209" s="66">
        <f>+G209</f>
        <v>142205</v>
      </c>
      <c r="G209" s="11">
        <v>142205</v>
      </c>
      <c r="H209" s="43">
        <v>0</v>
      </c>
      <c r="I209" s="66">
        <f>+J209</f>
        <v>150026</v>
      </c>
      <c r="J209" s="11">
        <v>150026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190</v>
      </c>
      <c r="D213" s="40">
        <f>182+8</f>
        <v>190</v>
      </c>
      <c r="E213" s="40">
        <v>0</v>
      </c>
      <c r="F213" s="40">
        <f>+G213</f>
        <v>190</v>
      </c>
      <c r="G213" s="24">
        <v>190</v>
      </c>
      <c r="H213" s="40">
        <v>0</v>
      </c>
      <c r="I213" s="40">
        <f>+J213</f>
        <v>190</v>
      </c>
      <c r="J213" s="24">
        <v>190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701.4526315789474</v>
      </c>
      <c r="D217" s="43">
        <f>+D209/D213</f>
        <v>701.4526315789474</v>
      </c>
      <c r="E217" s="43">
        <v>0</v>
      </c>
      <c r="F217" s="43">
        <f>+G217</f>
        <v>748.4473684210526</v>
      </c>
      <c r="G217" s="11">
        <f>+G209/G213</f>
        <v>748.4473684210526</v>
      </c>
      <c r="H217" s="43">
        <v>0</v>
      </c>
      <c r="I217" s="43">
        <f>+J217</f>
        <v>789.6105263157895</v>
      </c>
      <c r="J217" s="11">
        <f>J209/J213</f>
        <v>789.6105263157895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2" t="s">
        <v>230</v>
      </c>
      <c r="J221" s="162"/>
      <c r="K221" s="162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1342557</v>
      </c>
      <c r="D226" s="39">
        <f>1436397-53840-40000</f>
        <v>1342557</v>
      </c>
      <c r="E226" s="39">
        <v>0</v>
      </c>
      <c r="F226" s="6">
        <f>G226+H226</f>
        <v>1432508</v>
      </c>
      <c r="G226" s="6">
        <v>1432508</v>
      </c>
      <c r="H226" s="6">
        <v>0</v>
      </c>
      <c r="I226" s="39">
        <f>J226+K226</f>
        <v>1511296</v>
      </c>
      <c r="J226" s="6">
        <v>1511296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3504</v>
      </c>
      <c r="D229" s="40">
        <f>4105-601</f>
        <v>3504</v>
      </c>
      <c r="E229" s="40">
        <v>0</v>
      </c>
      <c r="F229" s="40">
        <f>+G229</f>
        <v>3504</v>
      </c>
      <c r="G229" s="40">
        <v>3504</v>
      </c>
      <c r="H229" s="84">
        <v>0</v>
      </c>
      <c r="I229" s="40">
        <f>+J229</f>
        <v>3504</v>
      </c>
      <c r="J229" s="40">
        <v>3504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111489.75</v>
      </c>
      <c r="D232" s="43">
        <f>1337877/12</f>
        <v>111489.75</v>
      </c>
      <c r="E232" s="43">
        <v>0</v>
      </c>
      <c r="F232" s="43">
        <f>+G232</f>
        <v>118959.5</v>
      </c>
      <c r="G232" s="43">
        <f>1427514/12</f>
        <v>118959.5</v>
      </c>
      <c r="H232" s="43">
        <v>0</v>
      </c>
      <c r="I232" s="43">
        <f>+J232</f>
        <v>125502.25</v>
      </c>
      <c r="J232" s="11">
        <f>1506027/12</f>
        <v>125502.25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24508500</v>
      </c>
      <c r="D237" s="11">
        <v>24508500</v>
      </c>
      <c r="E237" s="6">
        <v>0</v>
      </c>
      <c r="F237" s="6">
        <f>+G237</f>
        <v>26150570</v>
      </c>
      <c r="G237" s="11">
        <v>26150570</v>
      </c>
      <c r="H237" s="6">
        <v>0</v>
      </c>
      <c r="I237" s="39">
        <f>J237+K237</f>
        <v>27588851</v>
      </c>
      <c r="J237" s="11">
        <v>27588851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2042375</v>
      </c>
      <c r="D243" s="43">
        <f>+D237/12</f>
        <v>2042375</v>
      </c>
      <c r="E243" s="43">
        <v>0</v>
      </c>
      <c r="F243" s="43">
        <f>G243+H243</f>
        <v>2179214.1666666665</v>
      </c>
      <c r="G243" s="43">
        <f>+G237/12</f>
        <v>2179214.1666666665</v>
      </c>
      <c r="H243" s="43">
        <v>0</v>
      </c>
      <c r="I243" s="43">
        <f>J243+K243</f>
        <v>2299070.9166666665</v>
      </c>
      <c r="J243" s="43">
        <f>+J237/12</f>
        <v>2299070.9166666665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37989090</v>
      </c>
      <c r="D247" s="39">
        <v>37989090</v>
      </c>
      <c r="E247" s="39">
        <v>0</v>
      </c>
      <c r="F247" s="121">
        <f>G247+H247</f>
        <v>40534359</v>
      </c>
      <c r="G247" s="121">
        <v>40534359</v>
      </c>
      <c r="H247" s="6">
        <v>0</v>
      </c>
      <c r="I247" s="6">
        <f>J247+K247</f>
        <v>42763749</v>
      </c>
      <c r="J247" s="6">
        <v>42763749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3165757.5</v>
      </c>
      <c r="D253" s="43">
        <f>D247/12</f>
        <v>3165757.5</v>
      </c>
      <c r="E253" s="43">
        <v>0</v>
      </c>
      <c r="F253" s="43">
        <f>G253+H253</f>
        <v>3377863.25</v>
      </c>
      <c r="G253" s="43">
        <f>G247/12</f>
        <v>3377863.25</v>
      </c>
      <c r="H253" s="43">
        <v>0</v>
      </c>
      <c r="I253" s="43">
        <f>J253+K253</f>
        <v>3563645.75</v>
      </c>
      <c r="J253" s="11">
        <f>J247/12</f>
        <v>3563645.75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2" t="s">
        <v>230</v>
      </c>
      <c r="J255" s="162"/>
      <c r="K255" s="162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2000000</v>
      </c>
      <c r="D260" s="39">
        <v>2000000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166666.66666666666</v>
      </c>
      <c r="D266" s="43">
        <f>D260/12</f>
        <v>166666.66666666666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70" t="s">
        <v>181</v>
      </c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54"/>
      <c r="N271" s="26"/>
    </row>
    <row r="272" spans="1:14" ht="26.25" customHeight="1">
      <c r="A272" s="191" t="s">
        <v>182</v>
      </c>
      <c r="B272" s="191"/>
      <c r="C272" s="191"/>
      <c r="D272" s="191"/>
      <c r="E272" s="191"/>
      <c r="F272" s="191"/>
      <c r="G272" s="191"/>
      <c r="H272" s="191"/>
      <c r="I272" s="191"/>
      <c r="J272" s="191"/>
      <c r="K272" s="191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1743118</v>
      </c>
      <c r="D274" s="58">
        <v>1743118</v>
      </c>
      <c r="E274" s="58">
        <v>0</v>
      </c>
      <c r="F274" s="57">
        <f>G274+H274</f>
        <v>1859907</v>
      </c>
      <c r="G274" s="59">
        <f>+ROUND(D274*1.067,0)</f>
        <v>1859907</v>
      </c>
      <c r="H274" s="59">
        <v>0</v>
      </c>
      <c r="I274" s="57">
        <f>J274+K274</f>
        <v>1962202</v>
      </c>
      <c r="J274" s="59">
        <f>+ROUND(G274*1.055,0)</f>
        <v>1962202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250</v>
      </c>
      <c r="D277" s="63">
        <v>250</v>
      </c>
      <c r="E277" s="63">
        <v>0</v>
      </c>
      <c r="F277" s="63">
        <f aca="true" t="shared" si="10" ref="F277:F295">G277+H277</f>
        <v>250</v>
      </c>
      <c r="G277" s="64">
        <v>250</v>
      </c>
      <c r="H277" s="63">
        <v>0</v>
      </c>
      <c r="I277" s="63">
        <f aca="true" t="shared" si="11" ref="I277:I295">J277+K277</f>
        <v>250</v>
      </c>
      <c r="J277" s="64">
        <v>250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679</v>
      </c>
      <c r="D278" s="63">
        <f>+D279+D280+D281+D282+D283</f>
        <v>679</v>
      </c>
      <c r="E278" s="63">
        <v>0</v>
      </c>
      <c r="F278" s="63">
        <f t="shared" si="10"/>
        <v>679</v>
      </c>
      <c r="G278" s="63">
        <f>+G279+G280+G281+G282+G283</f>
        <v>679</v>
      </c>
      <c r="H278" s="63">
        <v>0</v>
      </c>
      <c r="I278" s="63">
        <f t="shared" si="11"/>
        <v>679</v>
      </c>
      <c r="J278" s="63">
        <f>+J279+J280+J281+J282+J283</f>
        <v>679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309</v>
      </c>
      <c r="D279" s="63">
        <f>125+184</f>
        <v>309</v>
      </c>
      <c r="E279" s="63">
        <v>0</v>
      </c>
      <c r="F279" s="63">
        <f t="shared" si="10"/>
        <v>309</v>
      </c>
      <c r="G279" s="64">
        <v>309</v>
      </c>
      <c r="H279" s="63">
        <v>0</v>
      </c>
      <c r="I279" s="63">
        <f t="shared" si="11"/>
        <v>309</v>
      </c>
      <c r="J279" s="64">
        <v>309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158"/>
      <c r="D284" s="155"/>
      <c r="E284" s="155"/>
      <c r="F284" s="158"/>
      <c r="G284" s="156"/>
      <c r="H284" s="155"/>
      <c r="I284" s="158"/>
      <c r="J284" s="156"/>
      <c r="K284" s="155"/>
      <c r="N284" s="26"/>
    </row>
    <row r="285" spans="1:14" ht="30.75" customHeight="1">
      <c r="A285" s="61" t="s">
        <v>205</v>
      </c>
      <c r="B285" s="38"/>
      <c r="C285" s="65">
        <f t="shared" si="9"/>
        <v>213.9320078546883</v>
      </c>
      <c r="D285" s="65">
        <f>+D274/D278/12</f>
        <v>213.9320078546883</v>
      </c>
      <c r="E285" s="65">
        <v>0</v>
      </c>
      <c r="F285" s="65">
        <f t="shared" si="10"/>
        <v>228.26546391752575</v>
      </c>
      <c r="G285" s="65">
        <f>+G274/G278/12</f>
        <v>228.26546391752575</v>
      </c>
      <c r="H285" s="65">
        <v>0</v>
      </c>
      <c r="I285" s="65">
        <f t="shared" si="11"/>
        <v>240.82007854688266</v>
      </c>
      <c r="J285" s="65">
        <f>+J274/J278/12</f>
        <v>240.82007854688266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256.9118122977346</v>
      </c>
      <c r="D286" s="65">
        <f>+(443685+508944)/12/D279</f>
        <v>256.9118122977346</v>
      </c>
      <c r="E286" s="65">
        <v>0</v>
      </c>
      <c r="F286" s="65">
        <f t="shared" si="10"/>
        <v>274.12490372168287</v>
      </c>
      <c r="G286" s="65">
        <f>+(443685+508944)*1.067/12/G279</f>
        <v>274.12490372168287</v>
      </c>
      <c r="H286" s="65">
        <v>0</v>
      </c>
      <c r="I286" s="65">
        <f>J286+K286</f>
        <v>289.2017734263754</v>
      </c>
      <c r="J286" s="65">
        <f>+(443685+508944)*1.067*1.055/12/J279</f>
        <v>289.2017734263754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2" t="s">
        <v>230</v>
      </c>
      <c r="J291" s="162"/>
      <c r="K291" s="162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70" t="s">
        <v>176</v>
      </c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54"/>
    </row>
    <row r="299" spans="1:12" ht="21.75" customHeight="1">
      <c r="A299" s="161" t="s">
        <v>52</v>
      </c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63" t="s">
        <v>177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5"/>
      <c r="L304" s="142"/>
    </row>
    <row r="305" spans="1:12" ht="21.75" customHeight="1">
      <c r="A305" s="167" t="s">
        <v>143</v>
      </c>
      <c r="B305" s="168"/>
      <c r="C305" s="168"/>
      <c r="D305" s="168"/>
      <c r="E305" s="168"/>
      <c r="F305" s="168"/>
      <c r="G305" s="168"/>
      <c r="H305" s="168"/>
      <c r="I305" s="168"/>
      <c r="J305" s="168"/>
      <c r="K305" s="169"/>
      <c r="L305" s="146"/>
    </row>
    <row r="306" spans="1:12" ht="21.75" customHeight="1">
      <c r="A306" s="15" t="s">
        <v>7</v>
      </c>
      <c r="B306" s="16"/>
      <c r="C306" s="17">
        <f>+D306</f>
        <v>46448</v>
      </c>
      <c r="D306" s="17">
        <f>+D307+D317+D330</f>
        <v>46448</v>
      </c>
      <c r="E306" s="17">
        <v>0</v>
      </c>
      <c r="F306" s="17">
        <f>+G306</f>
        <v>49561</v>
      </c>
      <c r="G306" s="17">
        <f>+G307+G317+G330</f>
        <v>49561</v>
      </c>
      <c r="H306" s="17">
        <v>0</v>
      </c>
      <c r="I306" s="17">
        <f>+J306</f>
        <v>52286</v>
      </c>
      <c r="J306" s="17">
        <f>+J307+J317+J330</f>
        <v>52286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35904</v>
      </c>
      <c r="D317" s="6">
        <v>35904</v>
      </c>
      <c r="E317" s="6">
        <v>0</v>
      </c>
      <c r="F317" s="6">
        <f>G317+H317</f>
        <v>38310</v>
      </c>
      <c r="G317" s="6">
        <v>38310</v>
      </c>
      <c r="H317" s="6">
        <v>0</v>
      </c>
      <c r="I317" s="6">
        <f>J317+K317</f>
        <v>40417</v>
      </c>
      <c r="J317" s="6">
        <v>40417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2" t="s">
        <v>230</v>
      </c>
      <c r="J320" s="162"/>
      <c r="K320" s="162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16</v>
      </c>
      <c r="D323" s="10">
        <v>16</v>
      </c>
      <c r="E323" s="10">
        <v>0</v>
      </c>
      <c r="F323" s="10">
        <f>G323+H323</f>
        <v>16</v>
      </c>
      <c r="G323" s="10">
        <v>16</v>
      </c>
      <c r="H323" s="10">
        <v>0</v>
      </c>
      <c r="I323" s="10">
        <f>J323+K323</f>
        <v>16</v>
      </c>
      <c r="J323" s="10">
        <v>16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160</v>
      </c>
      <c r="D325" s="10">
        <v>160</v>
      </c>
      <c r="E325" s="10">
        <v>0</v>
      </c>
      <c r="F325" s="10">
        <f>G325+H325</f>
        <v>160</v>
      </c>
      <c r="G325" s="10">
        <v>160</v>
      </c>
      <c r="H325" s="10">
        <v>0</v>
      </c>
      <c r="I325" s="10">
        <f>J325+K325</f>
        <v>160</v>
      </c>
      <c r="J325" s="10">
        <v>160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f>+D317/(D323+D324)/D325</f>
        <v>13.2</v>
      </c>
      <c r="E327" s="11">
        <v>0</v>
      </c>
      <c r="F327" s="11">
        <f>G327+H327</f>
        <v>14.084558823529411</v>
      </c>
      <c r="G327" s="11">
        <f>+G317/(G323+G324)/G325</f>
        <v>14.084558823529411</v>
      </c>
      <c r="H327" s="11">
        <v>0</v>
      </c>
      <c r="I327" s="11">
        <f>J327+K327</f>
        <v>14.859191176470588</v>
      </c>
      <c r="J327" s="11">
        <f>+J317/(J323+J324)/J325</f>
        <v>14.859191176470588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70.30212840946916</v>
      </c>
      <c r="D329" s="12">
        <f>+D317/51071*100</f>
        <v>70.30212840946916</v>
      </c>
      <c r="E329" s="8">
        <v>0</v>
      </c>
      <c r="F329" s="11">
        <f>G329+H329</f>
        <v>106.70120320855614</v>
      </c>
      <c r="G329" s="11">
        <f>+G317/D317*100</f>
        <v>106.70120320855614</v>
      </c>
      <c r="H329" s="8">
        <v>0</v>
      </c>
      <c r="I329" s="8">
        <f>J329+K329</f>
        <v>105.49986948577394</v>
      </c>
      <c r="J329" s="8">
        <f>J317/G317*100</f>
        <v>105.49986948577394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5360</v>
      </c>
      <c r="D330" s="6">
        <v>5360</v>
      </c>
      <c r="E330" s="6">
        <v>0</v>
      </c>
      <c r="F330" s="6">
        <f>G330+H330</f>
        <v>5719</v>
      </c>
      <c r="G330" s="6">
        <v>5719</v>
      </c>
      <c r="H330" s="6">
        <v>0</v>
      </c>
      <c r="I330" s="6">
        <f>J330+K330</f>
        <v>6033</v>
      </c>
      <c r="J330" s="6">
        <v>6033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20</v>
      </c>
      <c r="D333" s="10">
        <v>20</v>
      </c>
      <c r="E333" s="10">
        <v>0</v>
      </c>
      <c r="F333" s="10">
        <f>+G333</f>
        <v>20</v>
      </c>
      <c r="G333" s="10">
        <v>20</v>
      </c>
      <c r="H333" s="10">
        <v>0</v>
      </c>
      <c r="I333" s="10">
        <f>+J333</f>
        <v>20</v>
      </c>
      <c r="J333" s="10">
        <v>20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45</v>
      </c>
      <c r="D335" s="10">
        <v>45</v>
      </c>
      <c r="E335" s="10">
        <v>0</v>
      </c>
      <c r="F335" s="10">
        <f>+G335</f>
        <v>45</v>
      </c>
      <c r="G335" s="10">
        <v>45</v>
      </c>
      <c r="H335" s="10">
        <v>0</v>
      </c>
      <c r="I335" s="10">
        <f>+J335</f>
        <v>45</v>
      </c>
      <c r="J335" s="10">
        <v>45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85.35820895522389</v>
      </c>
      <c r="G337" s="8">
        <f>+G330/(G333+G334+G335)</f>
        <v>85.35820895522389</v>
      </c>
      <c r="H337" s="8">
        <v>0</v>
      </c>
      <c r="I337" s="8">
        <f>J337+K337</f>
        <v>90.04477611940298</v>
      </c>
      <c r="J337" s="8">
        <f>+J330/(J333+J334+J335)</f>
        <v>90.04477611940298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121.54195011337869</v>
      </c>
      <c r="D339" s="8">
        <f>+D330/4410*100</f>
        <v>121.54195011337869</v>
      </c>
      <c r="E339" s="8">
        <v>0</v>
      </c>
      <c r="F339" s="8">
        <f>+G339</f>
        <v>106.69776119402985</v>
      </c>
      <c r="G339" s="8">
        <f>+G330/D330*100</f>
        <v>106.69776119402985</v>
      </c>
      <c r="H339" s="8">
        <v>0</v>
      </c>
      <c r="I339" s="8">
        <f>+J339</f>
        <v>105.49047036195138</v>
      </c>
      <c r="J339" s="8">
        <f>+J330/G330*100</f>
        <v>105.49047036195138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60" t="s">
        <v>178</v>
      </c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47"/>
    </row>
    <row r="342" spans="1:12" ht="24.75" customHeight="1">
      <c r="A342" s="159" t="s">
        <v>144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49"/>
    </row>
    <row r="343" spans="1:12" ht="18.75" customHeight="1">
      <c r="A343" s="15" t="s">
        <v>7</v>
      </c>
      <c r="B343" s="16"/>
      <c r="C343" s="17">
        <f>D343+E343</f>
        <v>209240</v>
      </c>
      <c r="D343" s="17">
        <f>+D345+D358+D369</f>
        <v>209240</v>
      </c>
      <c r="E343" s="17">
        <f>+E345+E358+E369</f>
        <v>0</v>
      </c>
      <c r="F343" s="17">
        <f>G343+H343</f>
        <v>223258</v>
      </c>
      <c r="G343" s="17">
        <f>+G345+G358+G369</f>
        <v>223258</v>
      </c>
      <c r="H343" s="17">
        <f>+H345+H358+H369</f>
        <v>0</v>
      </c>
      <c r="I343" s="17">
        <f>J343+K343</f>
        <v>235537</v>
      </c>
      <c r="J343" s="17">
        <f>+J345+J358+J369</f>
        <v>235537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90160</v>
      </c>
      <c r="D345" s="6">
        <v>90160</v>
      </c>
      <c r="E345" s="6">
        <v>0</v>
      </c>
      <c r="F345" s="6">
        <f>G345+H345</f>
        <v>96200</v>
      </c>
      <c r="G345" s="6">
        <v>96200</v>
      </c>
      <c r="H345" s="6">
        <v>0</v>
      </c>
      <c r="I345" s="6">
        <f>J345+K345</f>
        <v>101491</v>
      </c>
      <c r="J345" s="6">
        <v>101491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45</v>
      </c>
      <c r="D348" s="24">
        <v>45</v>
      </c>
      <c r="E348" s="24">
        <v>0</v>
      </c>
      <c r="F348" s="24">
        <f>G348+H348</f>
        <v>45</v>
      </c>
      <c r="G348" s="24">
        <v>45</v>
      </c>
      <c r="H348" s="24">
        <v>0</v>
      </c>
      <c r="I348" s="24">
        <f>J348+K348</f>
        <v>45</v>
      </c>
      <c r="J348" s="24">
        <v>45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140</v>
      </c>
      <c r="D350" s="10">
        <v>140</v>
      </c>
      <c r="E350" s="10">
        <v>0</v>
      </c>
      <c r="F350" s="10">
        <f>G350+H350</f>
        <v>140</v>
      </c>
      <c r="G350" s="10">
        <v>140</v>
      </c>
      <c r="H350" s="10">
        <v>0</v>
      </c>
      <c r="I350" s="10">
        <f>J350+K350</f>
        <v>140</v>
      </c>
      <c r="J350" s="10">
        <v>140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2" t="s">
        <v>230</v>
      </c>
      <c r="J352" s="162"/>
      <c r="K352" s="162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f>+D345/(D348+D349)/D350</f>
        <v>14</v>
      </c>
      <c r="E355" s="11">
        <v>0</v>
      </c>
      <c r="F355" s="11">
        <f>G355+H355</f>
        <v>14.937888198757765</v>
      </c>
      <c r="G355" s="11">
        <f>+G345/(G348+G349)/G350</f>
        <v>14.937888198757765</v>
      </c>
      <c r="H355" s="11">
        <v>0</v>
      </c>
      <c r="I355" s="11">
        <f>J355+K355</f>
        <v>15.759472049689439</v>
      </c>
      <c r="J355" s="11">
        <f>+J345/(J348+J349)/J350</f>
        <v>15.759472049689439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91.34751773049645</v>
      </c>
      <c r="D357" s="12">
        <f>D345/98700*100</f>
        <v>91.34751773049645</v>
      </c>
      <c r="E357" s="12">
        <v>0</v>
      </c>
      <c r="F357" s="12">
        <f>G357+H357</f>
        <v>106.69920141969831</v>
      </c>
      <c r="G357" s="12">
        <f>G345/D345*100</f>
        <v>106.69920141969831</v>
      </c>
      <c r="H357" s="12">
        <v>0</v>
      </c>
      <c r="I357" s="12">
        <f>J357+K357</f>
        <v>105.5</v>
      </c>
      <c r="J357" s="12">
        <f>J345/G345*100</f>
        <v>105.5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14080</v>
      </c>
      <c r="D358" s="6">
        <v>14080</v>
      </c>
      <c r="E358" s="6">
        <v>0</v>
      </c>
      <c r="F358" s="6">
        <f>G358+H358</f>
        <v>15023</v>
      </c>
      <c r="G358" s="6">
        <v>15023</v>
      </c>
      <c r="H358" s="6">
        <v>0</v>
      </c>
      <c r="I358" s="6">
        <f>J358+K358</f>
        <v>15849</v>
      </c>
      <c r="J358" s="6">
        <v>15849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45</v>
      </c>
      <c r="D361" s="24">
        <v>45</v>
      </c>
      <c r="E361" s="24">
        <v>0</v>
      </c>
      <c r="F361" s="24">
        <f>G361+H361</f>
        <v>45</v>
      </c>
      <c r="G361" s="24">
        <v>45</v>
      </c>
      <c r="H361" s="24">
        <v>0</v>
      </c>
      <c r="I361" s="24">
        <f>J361+K361</f>
        <v>45</v>
      </c>
      <c r="J361" s="24">
        <v>45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130</v>
      </c>
      <c r="D363" s="24">
        <v>130</v>
      </c>
      <c r="E363" s="24">
        <v>0</v>
      </c>
      <c r="F363" s="24">
        <f>+G363</f>
        <v>130</v>
      </c>
      <c r="G363" s="24">
        <f>102+28</f>
        <v>130</v>
      </c>
      <c r="H363" s="24">
        <v>0</v>
      </c>
      <c r="I363" s="24">
        <f>+J363</f>
        <v>130</v>
      </c>
      <c r="J363" s="24">
        <v>130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85.35795454545455</v>
      </c>
      <c r="G365" s="12">
        <f>+G358/(G361+G362+G363)</f>
        <v>85.35795454545455</v>
      </c>
      <c r="H365" s="12">
        <v>0</v>
      </c>
      <c r="I365" s="12">
        <f>J365+K365</f>
        <v>90.05113636363636</v>
      </c>
      <c r="J365" s="12">
        <f>+J358/(J361+J362+J363)</f>
        <v>90.05113636363636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79.5031055900621</v>
      </c>
      <c r="D367" s="12">
        <f>+D358/17710*100</f>
        <v>79.5031055900621</v>
      </c>
      <c r="E367" s="12">
        <v>0</v>
      </c>
      <c r="F367" s="12">
        <f>+G367</f>
        <v>106.69744318181817</v>
      </c>
      <c r="G367" s="12">
        <f>+G358/D358*100</f>
        <v>106.69744318181817</v>
      </c>
      <c r="H367" s="12">
        <v>0</v>
      </c>
      <c r="I367" s="12">
        <f>+J367</f>
        <v>105.49823603807495</v>
      </c>
      <c r="J367" s="12">
        <f>+J358/G358*100</f>
        <v>105.49823603807495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105000</v>
      </c>
      <c r="D369" s="39">
        <v>105000</v>
      </c>
      <c r="E369" s="39">
        <v>0</v>
      </c>
      <c r="F369" s="39">
        <f>+G369</f>
        <v>112035</v>
      </c>
      <c r="G369" s="39">
        <v>112035</v>
      </c>
      <c r="H369" s="39">
        <v>0</v>
      </c>
      <c r="I369" s="39">
        <f>J369+K369</f>
        <v>118197</v>
      </c>
      <c r="J369" s="39">
        <v>118197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14</v>
      </c>
      <c r="D372" s="40">
        <v>14</v>
      </c>
      <c r="E372" s="40">
        <v>0</v>
      </c>
      <c r="F372" s="40">
        <f>G372+H372</f>
        <v>14</v>
      </c>
      <c r="G372" s="40">
        <v>14</v>
      </c>
      <c r="H372" s="40">
        <v>0</v>
      </c>
      <c r="I372" s="40">
        <f>J372+K372</f>
        <v>14</v>
      </c>
      <c r="J372" s="40">
        <v>14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7000</v>
      </c>
      <c r="D375" s="43">
        <f>+D369/(D372+D373)</f>
        <v>7000</v>
      </c>
      <c r="E375" s="43">
        <v>0</v>
      </c>
      <c r="F375" s="43">
        <f>+G375</f>
        <v>7469</v>
      </c>
      <c r="G375" s="43">
        <f>+G369/(G372+G373)</f>
        <v>7469</v>
      </c>
      <c r="H375" s="43">
        <v>0</v>
      </c>
      <c r="I375" s="43">
        <f>J375+K375</f>
        <v>7879.8</v>
      </c>
      <c r="J375" s="43">
        <f>+J369/(J372+J373)</f>
        <v>7879.8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119.31818181818181</v>
      </c>
      <c r="D377" s="44">
        <f>D369/88000*100</f>
        <v>119.31818181818181</v>
      </c>
      <c r="E377" s="44">
        <v>0</v>
      </c>
      <c r="F377" s="44">
        <f>G377+H377</f>
        <v>106.69999999999999</v>
      </c>
      <c r="G377" s="44">
        <f>G369/D369*100</f>
        <v>106.69999999999999</v>
      </c>
      <c r="H377" s="44">
        <v>0</v>
      </c>
      <c r="I377" s="44">
        <f>J377+K377</f>
        <v>105.50006694336591</v>
      </c>
      <c r="J377" s="44">
        <f>J369/G369*100</f>
        <v>105.50006694336591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222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H1:J1"/>
    <mergeCell ref="A5:K5"/>
    <mergeCell ref="G9:H9"/>
    <mergeCell ref="I7:K8"/>
    <mergeCell ref="H2:K2"/>
    <mergeCell ref="B7:B10"/>
    <mergeCell ref="A7:A10"/>
    <mergeCell ref="H3:K3"/>
    <mergeCell ref="A15:K15"/>
    <mergeCell ref="A17:A19"/>
    <mergeCell ref="A132:K132"/>
    <mergeCell ref="I36:K36"/>
    <mergeCell ref="F7:H8"/>
    <mergeCell ref="J9:K9"/>
    <mergeCell ref="C9:C10"/>
    <mergeCell ref="A16:K16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2019-08-22T11:19:33Z</cp:lastPrinted>
  <dcterms:created xsi:type="dcterms:W3CDTF">1996-10-08T23:32:33Z</dcterms:created>
  <dcterms:modified xsi:type="dcterms:W3CDTF">2019-10-17T06:44:09Z</dcterms:modified>
  <cp:category/>
  <cp:version/>
  <cp:contentType/>
  <cp:contentStatus/>
</cp:coreProperties>
</file>