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'Лист1'!$A$1:$V$464</definedName>
  </definedNames>
  <calcPr fullCalcOnLoad="1"/>
</workbook>
</file>

<file path=xl/sharedStrings.xml><?xml version="1.0" encoding="utf-8"?>
<sst xmlns="http://schemas.openxmlformats.org/spreadsheetml/2006/main" count="509" uniqueCount="214">
  <si>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</si>
  <si>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</si>
  <si>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</si>
  <si>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</si>
  <si>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</si>
  <si>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</si>
  <si>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</si>
  <si>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</si>
  <si>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</si>
  <si>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</si>
  <si>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</si>
  <si>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</si>
  <si>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</si>
  <si>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</si>
  <si>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</si>
  <si>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</si>
  <si>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</si>
  <si>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</si>
  <si>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</si>
  <si>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</si>
  <si>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</si>
  <si>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</si>
  <si>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</si>
  <si>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</si>
  <si>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</si>
  <si>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</si>
  <si>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</si>
  <si>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</si>
  <si>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</si>
  <si>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</si>
  <si>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</si>
  <si>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</si>
  <si>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</si>
  <si>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</si>
  <si>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</si>
  <si>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</si>
  <si>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</si>
  <si>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</si>
  <si>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</si>
  <si>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</si>
  <si>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</si>
  <si>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</si>
  <si>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</si>
  <si>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</si>
  <si>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</si>
  <si>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</si>
  <si>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</si>
  <si>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</si>
  <si>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</si>
  <si>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</si>
  <si>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</si>
  <si>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</si>
  <si>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</si>
  <si>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</si>
  <si>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</si>
  <si>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</si>
  <si>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</si>
  <si>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</si>
  <si>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</si>
  <si>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</si>
  <si>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</si>
  <si>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</si>
  <si>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</si>
  <si>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</si>
  <si>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</si>
  <si>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</si>
  <si>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</si>
  <si>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</si>
  <si>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</si>
  <si>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</si>
  <si>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</si>
  <si>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</si>
  <si>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</si>
  <si>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</si>
  <si>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</si>
  <si>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</si>
  <si>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</si>
  <si>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</si>
  <si>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</si>
  <si>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</si>
  <si>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</si>
  <si>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</si>
  <si>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</si>
  <si>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</si>
  <si>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</si>
  <si>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</si>
  <si>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</si>
  <si>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</si>
  <si>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</si>
  <si>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</si>
  <si>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</si>
  <si>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</si>
  <si>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</si>
  <si>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</si>
  <si>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</si>
  <si>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</si>
  <si>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</si>
  <si>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</si>
  <si>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</si>
  <si>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</si>
  <si>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</si>
  <si>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</si>
  <si>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</si>
  <si>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</si>
  <si>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</si>
  <si>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</si>
  <si>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</si>
  <si>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</si>
  <si>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</si>
  <si>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</si>
  <si>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</si>
  <si>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</si>
  <si>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</si>
  <si>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</si>
  <si>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</si>
  <si>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</si>
  <si>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</si>
  <si>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</si>
  <si>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</si>
  <si>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</si>
  <si>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</si>
  <si>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</si>
  <si>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</si>
  <si>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</si>
  <si>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</si>
  <si>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</si>
  <si>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</si>
  <si>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</si>
  <si>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</si>
  <si>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</si>
  <si>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</si>
  <si>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</si>
  <si>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</si>
  <si>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</si>
  <si>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</si>
  <si>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</si>
  <si>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</si>
  <si>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</si>
  <si>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</si>
  <si>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</si>
  <si>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</si>
  <si>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</si>
  <si>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</si>
  <si>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</si>
  <si>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</si>
  <si>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</si>
  <si>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</si>
  <si>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</si>
  <si>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</si>
  <si>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</si>
  <si>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</si>
  <si>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</si>
  <si>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</si>
  <si>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</si>
  <si>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</si>
  <si>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</si>
  <si>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</si>
  <si>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</si>
  <si>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</si>
  <si>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</si>
  <si>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</si>
  <si>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</si>
  <si>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</si>
  <si>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</si>
  <si>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відсоток виконання проекту у перший рік впровадження, %</t>
  </si>
  <si>
    <t>Заг. Фонд</t>
  </si>
  <si>
    <t>Спец.фонд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</si>
  <si>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</si>
  <si>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</si>
  <si>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</si>
  <si>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</si>
  <si>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</si>
  <si>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</si>
  <si>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</si>
  <si>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</si>
  <si>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</si>
  <si>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кількість закладів, для яких розробляються проектно-кошторисні документації, од.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</si>
  <si>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</si>
  <si>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</si>
  <si>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</si>
  <si>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</si>
  <si>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</si>
  <si>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</si>
  <si>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</si>
  <si>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</si>
  <si>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18.2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</si>
  <si>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</si>
  <si>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</si>
  <si>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</si>
  <si>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середні витрати на розробку технічного проекту для одного закладу, тис. грн./звіт</t>
  </si>
  <si>
    <t>середні витрати  на розробку проектно-кошторисної документації, тис. грн./од</t>
  </si>
  <si>
    <t>кількість закладів, в яких модернізується система електропостачання, од</t>
  </si>
  <si>
    <t>утеплення цоколю будівлі, пог.м</t>
  </si>
  <si>
    <t>Завдання 12. Модернізація електрообладнання харчоблоків</t>
  </si>
  <si>
    <t>Завдання 13. Модернізація системи вентиляції та систем електропостачання</t>
  </si>
  <si>
    <t>Завдання 11. Проведення енергоаудитів будівель</t>
  </si>
  <si>
    <t>Завдання 10. Реалізація пілотного проекту в рамках співпраці з проектом GIZ "Партнерство з модернізації: енергоефективність у лікарнях"</t>
  </si>
  <si>
    <t>кількість об'єктів, в яких проводяться вишукувальні роботи, од.</t>
  </si>
  <si>
    <t>кількість дошкільних навчальних  закладів-учасників інвестиційного проекту, од</t>
  </si>
  <si>
    <t>кількість загальноосвітніх навчальних  закладів-учасників інвестиційного проекту, од</t>
  </si>
  <si>
    <t>площа утеплених огороджуючих конструкцій старого корпусу, кв м</t>
  </si>
  <si>
    <t>площа утеплення покрівлі старого корпусу, м2</t>
  </si>
  <si>
    <t>обсяг річної економії теплової енергії від базового рівня споживання, МВтгод/рік</t>
  </si>
  <si>
    <t>кількість проведених перевірок (внутрішніх аудитів) функціонування системи енергетичного менеджменту в бюджетній сфері міста на відповідність  ISO 50001:2011, од.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</si>
  <si>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</si>
  <si>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Завдання 20. Участь у Добровільному об` єднанні органів місцевого самоврядування  Асоціації "Енергоефективні міста України"</t>
  </si>
  <si>
    <t>Завдання 22.1 Популяризація ідеї сталого енергетичного розвитку міста (проведення Днів Сталої енергії у місті Суми)</t>
  </si>
  <si>
    <t>Завдання 21. Реалізація Проекту "Впровадження Європейської Енергетичної Відзнаки в Україні"</t>
  </si>
  <si>
    <t>Завдання 22.2.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</si>
  <si>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 xml:space="preserve">                             </t>
  </si>
  <si>
    <t xml:space="preserve"> від  31 жовтня 2018 року № 4034-МР</t>
  </si>
  <si>
    <t>середні витрати на виконання проектних робіт, тис. грн/1 об'єкт</t>
  </si>
  <si>
    <t>кількість закладів, в яких проводитиметься енергоаудит, од</t>
  </si>
  <si>
    <t>2019 рік (план)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</si>
</sst>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  <numFmt numFmtId="202" formatCode="0.0000000000"/>
    <numFmt numFmtId="203" formatCode="_-* #,##0.000\ _₽_-;\-* #,##0.000\ _₽_-;_-* &quot;-&quot;??\ _₽_-;_-@_-"/>
    <numFmt numFmtId="204" formatCode="_-* #,##0.0\ _₽_-;\-* #,##0.0\ _₽_-;_-* &quot;-&quot;??\ _₽_-;_-@_-"/>
    <numFmt numFmtId="205" formatCode="0.00000000000"/>
    <numFmt numFmtId="206" formatCode="0.000000000000"/>
    <numFmt numFmtId="207" formatCode="[$-FC19]d\ mmmm\ yyyy\ &quot;г.&quot;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1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sz val="18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2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justify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6" xfId="60" applyNumberFormat="1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6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6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6" fillId="32" borderId="10" xfId="0" applyNumberFormat="1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top" wrapText="1"/>
    </xf>
    <xf numFmtId="179" fontId="16" fillId="32" borderId="10" xfId="6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left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center" vertical="center"/>
    </xf>
    <xf numFmtId="179" fontId="10" fillId="32" borderId="10" xfId="60" applyFont="1" applyFill="1" applyBorder="1" applyAlignment="1">
      <alignment horizontal="justify" vertical="center"/>
    </xf>
    <xf numFmtId="179" fontId="16" fillId="32" borderId="10" xfId="6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justify" vertical="center"/>
    </xf>
    <xf numFmtId="0" fontId="16" fillId="32" borderId="20" xfId="0" applyFont="1" applyFill="1" applyBorder="1" applyAlignment="1">
      <alignment horizontal="justify" vertical="center"/>
    </xf>
    <xf numFmtId="0" fontId="16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180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/>
    </xf>
    <xf numFmtId="0" fontId="21" fillId="32" borderId="0" xfId="0" applyFont="1" applyFill="1" applyAlignment="1">
      <alignment/>
    </xf>
    <xf numFmtId="179" fontId="10" fillId="32" borderId="20" xfId="60" applyFont="1" applyFill="1" applyBorder="1" applyAlignment="1">
      <alignment horizontal="center" vertical="center" wrapText="1"/>
    </xf>
    <xf numFmtId="179" fontId="16" fillId="32" borderId="20" xfId="6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79" fontId="16" fillId="32" borderId="0" xfId="60" applyFont="1" applyFill="1" applyAlignment="1">
      <alignment vertical="center"/>
    </xf>
    <xf numFmtId="190" fontId="16" fillId="32" borderId="10" xfId="0" applyNumberFormat="1" applyFont="1" applyFill="1" applyBorder="1" applyAlignment="1">
      <alignment horizontal="center" vertical="center" wrapText="1"/>
    </xf>
    <xf numFmtId="192" fontId="16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6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left" vertical="center" wrapText="1"/>
    </xf>
    <xf numFmtId="179" fontId="5" fillId="32" borderId="10" xfId="60" applyFont="1" applyFill="1" applyBorder="1" applyAlignment="1">
      <alignment horizontal="center" vertical="center"/>
    </xf>
    <xf numFmtId="191" fontId="16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vertical="center" wrapText="1"/>
    </xf>
    <xf numFmtId="180" fontId="16" fillId="32" borderId="10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18" fillId="32" borderId="16" xfId="0" applyFont="1" applyFill="1" applyBorder="1" applyAlignment="1">
      <alignment horizontal="center" vertical="center" wrapText="1"/>
    </xf>
    <xf numFmtId="196" fontId="10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left" vertical="center" wrapText="1"/>
    </xf>
    <xf numFmtId="191" fontId="19" fillId="32" borderId="10" xfId="60" applyNumberFormat="1" applyFont="1" applyFill="1" applyBorder="1" applyAlignment="1">
      <alignment/>
    </xf>
    <xf numFmtId="191" fontId="5" fillId="32" borderId="10" xfId="0" applyNumberFormat="1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6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6" fillId="32" borderId="10" xfId="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6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23" xfId="0" applyFont="1" applyFill="1" applyBorder="1" applyAlignment="1">
      <alignment horizontal="center" vertical="center" textRotation="180"/>
    </xf>
    <xf numFmtId="0" fontId="8" fillId="32" borderId="0" xfId="0" applyFont="1" applyFill="1" applyAlignment="1">
      <alignment vertical="center" textRotation="180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6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textRotation="90" wrapText="1"/>
    </xf>
    <xf numFmtId="179" fontId="16" fillId="32" borderId="17" xfId="6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justify" vertical="center" wrapText="1"/>
    </xf>
    <xf numFmtId="0" fontId="16" fillId="32" borderId="24" xfId="0" applyFont="1" applyFill="1" applyBorder="1" applyAlignment="1">
      <alignment horizontal="center" vertical="center" textRotation="90" wrapText="1"/>
    </xf>
    <xf numFmtId="179" fontId="16" fillId="32" borderId="24" xfId="60" applyFont="1" applyFill="1" applyBorder="1" applyAlignment="1">
      <alignment horizontal="justify" vertical="center" wrapText="1"/>
    </xf>
    <xf numFmtId="0" fontId="16" fillId="32" borderId="18" xfId="0" applyFont="1" applyFill="1" applyBorder="1" applyAlignment="1">
      <alignment vertical="center" wrapText="1"/>
    </xf>
    <xf numFmtId="0" fontId="16" fillId="32" borderId="18" xfId="0" applyFont="1" applyFill="1" applyBorder="1" applyAlignment="1">
      <alignment horizontal="justify" vertical="center" wrapText="1"/>
    </xf>
    <xf numFmtId="0" fontId="16" fillId="32" borderId="25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/>
    </xf>
    <xf numFmtId="0" fontId="16" fillId="32" borderId="26" xfId="0" applyFont="1" applyFill="1" applyBorder="1" applyAlignment="1">
      <alignment horizontal="justify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justify" vertical="center" wrapText="1"/>
    </xf>
    <xf numFmtId="0" fontId="16" fillId="32" borderId="28" xfId="0" applyFont="1" applyFill="1" applyBorder="1" applyAlignment="1">
      <alignment horizontal="justify" vertical="center" wrapText="1"/>
    </xf>
    <xf numFmtId="196" fontId="16" fillId="32" borderId="24" xfId="6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 horizontal="left" vertical="top" wrapText="1"/>
    </xf>
    <xf numFmtId="0" fontId="20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191" fontId="10" fillId="33" borderId="10" xfId="60" applyNumberFormat="1" applyFont="1" applyFill="1" applyBorder="1" applyAlignment="1">
      <alignment horizontal="center" vertical="center"/>
    </xf>
    <xf numFmtId="191" fontId="16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16" fillId="32" borderId="29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/>
    </xf>
    <xf numFmtId="0" fontId="16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26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179" fontId="62" fillId="32" borderId="10" xfId="60" applyFont="1" applyFill="1" applyBorder="1" applyAlignment="1">
      <alignment horizontal="center" vertical="center" wrapText="1"/>
    </xf>
    <xf numFmtId="179" fontId="63" fillId="32" borderId="24" xfId="60" applyFont="1" applyFill="1" applyBorder="1" applyAlignment="1">
      <alignment horizontal="justify" vertical="center" wrapText="1"/>
    </xf>
    <xf numFmtId="2" fontId="63" fillId="32" borderId="10" xfId="0" applyNumberFormat="1" applyFont="1" applyFill="1" applyBorder="1" applyAlignment="1">
      <alignment horizontal="center" vertical="center" wrapText="1"/>
    </xf>
    <xf numFmtId="1" fontId="64" fillId="32" borderId="10" xfId="0" applyNumberFormat="1" applyFont="1" applyFill="1" applyBorder="1" applyAlignment="1">
      <alignment horizontal="center" vertical="center" wrapText="1"/>
    </xf>
    <xf numFmtId="179" fontId="16" fillId="32" borderId="24" xfId="0" applyNumberFormat="1" applyFont="1" applyFill="1" applyBorder="1" applyAlignment="1">
      <alignment horizontal="justify" vertical="center" wrapText="1"/>
    </xf>
    <xf numFmtId="2" fontId="64" fillId="32" borderId="10" xfId="0" applyNumberFormat="1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vertical="center" wrapText="1"/>
    </xf>
    <xf numFmtId="2" fontId="10" fillId="32" borderId="10" xfId="6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left" vertical="center" wrapText="1"/>
    </xf>
    <xf numFmtId="0" fontId="64" fillId="32" borderId="10" xfId="0" applyFont="1" applyFill="1" applyBorder="1" applyAlignment="1">
      <alignment horizontal="center" vertical="center" wrapText="1"/>
    </xf>
    <xf numFmtId="180" fontId="10" fillId="32" borderId="10" xfId="60" applyNumberFormat="1" applyFont="1" applyFill="1" applyBorder="1" applyAlignment="1">
      <alignment horizontal="center" vertical="center" wrapText="1"/>
    </xf>
    <xf numFmtId="204" fontId="10" fillId="32" borderId="20" xfId="0" applyNumberFormat="1" applyFont="1" applyFill="1" applyBorder="1" applyAlignment="1">
      <alignment horizontal="left" vertical="center"/>
    </xf>
    <xf numFmtId="179" fontId="10" fillId="32" borderId="10" xfId="60" applyNumberFormat="1" applyFont="1" applyFill="1" applyBorder="1" applyAlignment="1">
      <alignment vertical="center" wrapText="1"/>
    </xf>
    <xf numFmtId="0" fontId="66" fillId="32" borderId="0" xfId="0" applyFont="1" applyFill="1" applyAlignment="1">
      <alignment vertical="top" wrapText="1"/>
    </xf>
    <xf numFmtId="179" fontId="64" fillId="32" borderId="10" xfId="60" applyFont="1" applyFill="1" applyBorder="1" applyAlignment="1">
      <alignment horizontal="center" vertical="center" wrapText="1"/>
    </xf>
    <xf numFmtId="1" fontId="16" fillId="32" borderId="10" xfId="60" applyNumberFormat="1" applyFont="1" applyFill="1" applyBorder="1" applyAlignment="1">
      <alignment horizontal="center" vertical="center" wrapText="1"/>
    </xf>
    <xf numFmtId="196" fontId="16" fillId="33" borderId="10" xfId="60" applyNumberFormat="1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justify" vertical="top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16" xfId="0" applyFont="1" applyFill="1" applyBorder="1" applyAlignment="1">
      <alignment horizontal="left" vertical="center"/>
    </xf>
    <xf numFmtId="0" fontId="64" fillId="32" borderId="17" xfId="0" applyFont="1" applyFill="1" applyBorder="1" applyAlignment="1">
      <alignment horizontal="left" vertical="center" wrapText="1"/>
    </xf>
    <xf numFmtId="0" fontId="64" fillId="32" borderId="15" xfId="0" applyFont="1" applyFill="1" applyBorder="1" applyAlignment="1">
      <alignment horizontal="left" vertical="center" wrapText="1"/>
    </xf>
    <xf numFmtId="0" fontId="64" fillId="32" borderId="16" xfId="0" applyFont="1" applyFill="1" applyBorder="1" applyAlignment="1">
      <alignment horizontal="left" vertical="center" wrapText="1"/>
    </xf>
    <xf numFmtId="0" fontId="66" fillId="32" borderId="0" xfId="0" applyFont="1" applyFill="1" applyAlignment="1">
      <alignment horizontal="center" vertical="top" wrapText="1"/>
    </xf>
    <xf numFmtId="0" fontId="10" fillId="32" borderId="31" xfId="0" applyFont="1" applyFill="1" applyBorder="1" applyAlignment="1">
      <alignment horizontal="justify" vertical="center"/>
    </xf>
    <xf numFmtId="0" fontId="16" fillId="32" borderId="15" xfId="0" applyFont="1" applyFill="1" applyBorder="1" applyAlignment="1">
      <alignment horizontal="justify" vertical="center"/>
    </xf>
    <xf numFmtId="0" fontId="24" fillId="32" borderId="0" xfId="0" applyFont="1" applyFill="1" applyAlignment="1">
      <alignment horizontal="center" vertical="top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0" fillId="32" borderId="32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center" vertical="top" wrapText="1"/>
    </xf>
    <xf numFmtId="0" fontId="16" fillId="32" borderId="16" xfId="0" applyFont="1" applyFill="1" applyBorder="1" applyAlignment="1">
      <alignment horizontal="center" vertical="top" wrapText="1"/>
    </xf>
    <xf numFmtId="0" fontId="10" fillId="32" borderId="33" xfId="0" applyFont="1" applyFill="1" applyBorder="1" applyAlignment="1">
      <alignment horizontal="center" vertical="center" wrapText="1"/>
    </xf>
    <xf numFmtId="0" fontId="10" fillId="32" borderId="34" xfId="0" applyFont="1" applyFill="1" applyBorder="1" applyAlignment="1">
      <alignment horizontal="center" vertical="center" wrapText="1"/>
    </xf>
    <xf numFmtId="0" fontId="10" fillId="32" borderId="35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horizontal="right"/>
    </xf>
    <xf numFmtId="0" fontId="16" fillId="32" borderId="31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30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0" fillId="32" borderId="3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center" wrapText="1"/>
    </xf>
    <xf numFmtId="14" fontId="8" fillId="32" borderId="0" xfId="0" applyNumberFormat="1" applyFont="1" applyFill="1" applyAlignment="1">
      <alignment horizontal="center" vertical="center"/>
    </xf>
    <xf numFmtId="0" fontId="25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justify" vertical="center"/>
    </xf>
    <xf numFmtId="0" fontId="10" fillId="32" borderId="31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6" fillId="32" borderId="36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justify" vertical="center" wrapText="1"/>
    </xf>
    <xf numFmtId="0" fontId="16" fillId="32" borderId="15" xfId="0" applyFont="1" applyFill="1" applyBorder="1" applyAlignment="1">
      <alignment horizontal="justify" vertical="center" wrapText="1"/>
    </xf>
    <xf numFmtId="0" fontId="10" fillId="32" borderId="37" xfId="0" applyFont="1" applyFill="1" applyBorder="1" applyAlignment="1">
      <alignment horizontal="justify" vertical="center" wrapText="1"/>
    </xf>
    <xf numFmtId="0" fontId="10" fillId="32" borderId="38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/>
    </xf>
    <xf numFmtId="0" fontId="10" fillId="32" borderId="17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10" fillId="32" borderId="17" xfId="0" applyFont="1" applyFill="1" applyBorder="1" applyAlignment="1">
      <alignment vertical="center" wrapText="1"/>
    </xf>
    <xf numFmtId="0" fontId="20" fillId="32" borderId="15" xfId="0" applyFont="1" applyFill="1" applyBorder="1" applyAlignment="1">
      <alignment vertical="center" wrapText="1"/>
    </xf>
    <xf numFmtId="0" fontId="20" fillId="32" borderId="16" xfId="0" applyFont="1" applyFill="1" applyBorder="1" applyAlignment="1">
      <alignment vertical="center" wrapText="1"/>
    </xf>
    <xf numFmtId="0" fontId="10" fillId="32" borderId="16" xfId="0" applyFont="1" applyFill="1" applyBorder="1" applyAlignment="1">
      <alignment horizontal="justify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0" fillId="32" borderId="39" xfId="0" applyFont="1" applyFill="1" applyBorder="1" applyAlignment="1">
      <alignment horizontal="justify" vertical="center" wrapText="1"/>
    </xf>
    <xf numFmtId="14" fontId="14" fillId="32" borderId="0" xfId="0" applyNumberFormat="1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4" fillId="32" borderId="0" xfId="0" applyFont="1" applyFill="1" applyAlignment="1">
      <alignment wrapText="1"/>
    </xf>
    <xf numFmtId="0" fontId="23" fillId="32" borderId="0" xfId="0" applyFont="1" applyFill="1" applyAlignment="1">
      <alignment wrapText="1"/>
    </xf>
    <xf numFmtId="0" fontId="26" fillId="32" borderId="15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wrapText="1"/>
    </xf>
    <xf numFmtId="0" fontId="16" fillId="32" borderId="15" xfId="0" applyFont="1" applyFill="1" applyBorder="1" applyAlignment="1">
      <alignment wrapText="1"/>
    </xf>
    <xf numFmtId="0" fontId="16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justify" vertical="center"/>
    </xf>
    <xf numFmtId="0" fontId="10" fillId="32" borderId="29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/>
    </xf>
    <xf numFmtId="0" fontId="10" fillId="32" borderId="17" xfId="0" applyFont="1" applyFill="1" applyBorder="1" applyAlignment="1">
      <alignment horizontal="justify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1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3"/>
  <sheetViews>
    <sheetView tabSelected="1" view="pageBreakPreview" zoomScale="57" zoomScaleNormal="55" zoomScaleSheetLayoutView="57" zoomScalePageLayoutView="0" workbookViewId="0" topLeftCell="A13">
      <selection activeCell="J2" sqref="J2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5.42187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2.003906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0.8515625" style="9" customWidth="1"/>
    <col min="22" max="22" width="6.8515625" style="181" customWidth="1"/>
    <col min="23" max="16384" width="8.8515625" style="9" customWidth="1"/>
  </cols>
  <sheetData>
    <row r="1" spans="5:22" ht="52.5" customHeight="1">
      <c r="E1" s="10"/>
      <c r="K1" s="269" t="s">
        <v>171</v>
      </c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</row>
    <row r="2" spans="4:22" ht="207.75" customHeight="1">
      <c r="D2" s="10"/>
      <c r="E2" s="10"/>
      <c r="G2" s="10"/>
      <c r="K2" s="217"/>
      <c r="L2" s="217"/>
      <c r="M2" s="256" t="s">
        <v>170</v>
      </c>
      <c r="N2" s="256"/>
      <c r="O2" s="256"/>
      <c r="P2" s="256"/>
      <c r="Q2" s="256"/>
      <c r="R2" s="256"/>
      <c r="S2" s="256"/>
      <c r="T2" s="256"/>
      <c r="U2" s="256"/>
      <c r="V2" s="256"/>
    </row>
    <row r="3" spans="4:22" ht="75" customHeight="1">
      <c r="D3" s="10"/>
      <c r="E3" s="10"/>
      <c r="G3" s="10"/>
      <c r="K3" s="249" t="s">
        <v>209</v>
      </c>
      <c r="L3" s="266" t="s">
        <v>210</v>
      </c>
      <c r="M3" s="266"/>
      <c r="N3" s="266"/>
      <c r="O3" s="266"/>
      <c r="P3" s="266"/>
      <c r="Q3" s="266"/>
      <c r="R3" s="266"/>
      <c r="S3" s="266"/>
      <c r="T3" s="266"/>
      <c r="U3" s="266"/>
      <c r="V3" s="249"/>
    </row>
    <row r="4" spans="15:22" ht="9.75" customHeight="1">
      <c r="O4" s="11"/>
      <c r="P4" s="11"/>
      <c r="Q4" s="11"/>
      <c r="R4" s="11"/>
      <c r="S4" s="11"/>
      <c r="T4" s="11"/>
      <c r="U4" s="11"/>
      <c r="V4" s="182"/>
    </row>
    <row r="5" spans="15:22" ht="6.75" customHeight="1">
      <c r="O5" s="11"/>
      <c r="P5" s="11"/>
      <c r="Q5" s="11"/>
      <c r="R5" s="11"/>
      <c r="S5" s="11"/>
      <c r="T5" s="11"/>
      <c r="U5" s="11"/>
      <c r="V5" s="182"/>
    </row>
    <row r="6" spans="1:22" s="12" customFormat="1" ht="45" customHeight="1">
      <c r="A6" s="297" t="s">
        <v>56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V6" s="183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83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83"/>
    </row>
    <row r="9" spans="3:22" s="12" customFormat="1" ht="33" customHeight="1" thickBot="1">
      <c r="C9" s="15"/>
      <c r="V9" s="184"/>
    </row>
    <row r="10" spans="1:22" s="16" customFormat="1" ht="33" customHeight="1">
      <c r="A10" s="276" t="s">
        <v>78</v>
      </c>
      <c r="B10" s="281" t="s">
        <v>0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3"/>
      <c r="V10" s="184"/>
    </row>
    <row r="11" spans="1:22" s="16" customFormat="1" ht="23.25" customHeight="1">
      <c r="A11" s="277"/>
      <c r="B11" s="298" t="s">
        <v>1</v>
      </c>
      <c r="C11" s="299"/>
      <c r="D11" s="299"/>
      <c r="E11" s="299"/>
      <c r="F11" s="299"/>
      <c r="G11" s="19"/>
      <c r="H11" s="253" t="s">
        <v>2</v>
      </c>
      <c r="I11" s="254"/>
      <c r="J11" s="254"/>
      <c r="K11" s="274"/>
      <c r="L11" s="273"/>
      <c r="M11" s="253" t="s">
        <v>213</v>
      </c>
      <c r="N11" s="254"/>
      <c r="O11" s="254"/>
      <c r="P11" s="254"/>
      <c r="Q11" s="254"/>
      <c r="R11" s="254"/>
      <c r="S11" s="254"/>
      <c r="T11" s="254"/>
      <c r="U11" s="255"/>
      <c r="V11" s="199"/>
    </row>
    <row r="12" spans="1:22" s="16" customFormat="1" ht="78" customHeight="1">
      <c r="A12" s="277"/>
      <c r="B12" s="304" t="s">
        <v>44</v>
      </c>
      <c r="C12" s="278" t="s">
        <v>3</v>
      </c>
      <c r="D12" s="272" t="s">
        <v>4</v>
      </c>
      <c r="E12" s="272"/>
      <c r="F12" s="279" t="s">
        <v>8</v>
      </c>
      <c r="G12" s="280"/>
      <c r="H12" s="278" t="s">
        <v>3</v>
      </c>
      <c r="I12" s="275" t="s">
        <v>4</v>
      </c>
      <c r="J12" s="275"/>
      <c r="K12" s="270" t="s">
        <v>8</v>
      </c>
      <c r="L12" s="273"/>
      <c r="M12" s="278" t="s">
        <v>3</v>
      </c>
      <c r="N12" s="272" t="s">
        <v>4</v>
      </c>
      <c r="O12" s="272"/>
      <c r="P12" s="272" t="s">
        <v>5</v>
      </c>
      <c r="Q12" s="272"/>
      <c r="R12" s="306" t="s">
        <v>53</v>
      </c>
      <c r="S12" s="307"/>
      <c r="T12" s="270" t="s">
        <v>8</v>
      </c>
      <c r="U12" s="271"/>
      <c r="V12" s="199"/>
    </row>
    <row r="13" spans="1:23" s="16" customFormat="1" ht="113.25" customHeight="1">
      <c r="A13" s="277"/>
      <c r="B13" s="305"/>
      <c r="C13" s="278"/>
      <c r="D13" s="20" t="s">
        <v>27</v>
      </c>
      <c r="E13" s="20" t="s">
        <v>26</v>
      </c>
      <c r="F13" s="20" t="s">
        <v>27</v>
      </c>
      <c r="G13" s="20" t="s">
        <v>26</v>
      </c>
      <c r="H13" s="278"/>
      <c r="I13" s="20" t="s">
        <v>27</v>
      </c>
      <c r="J13" s="20" t="s">
        <v>26</v>
      </c>
      <c r="K13" s="20" t="s">
        <v>27</v>
      </c>
      <c r="L13" s="21" t="s">
        <v>26</v>
      </c>
      <c r="M13" s="278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96" t="s">
        <v>25</v>
      </c>
      <c r="T13" s="21" t="s">
        <v>165</v>
      </c>
      <c r="U13" s="203" t="s">
        <v>166</v>
      </c>
      <c r="V13" s="199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95">
        <v>17</v>
      </c>
      <c r="T14" s="8">
        <v>16</v>
      </c>
      <c r="U14" s="201">
        <v>17</v>
      </c>
      <c r="V14" s="185"/>
      <c r="W14" s="23"/>
    </row>
    <row r="15" spans="1:23" s="16" customFormat="1" ht="81" customHeight="1">
      <c r="A15" s="25" t="s">
        <v>6</v>
      </c>
      <c r="B15" s="26">
        <f>C15+H15+M15</f>
        <v>274467.833</v>
      </c>
      <c r="C15" s="85">
        <f>D15+E15+G15+F15</f>
        <v>43843.85600000001</v>
      </c>
      <c r="D15" s="28">
        <f>D60+D176+D189+D198+D224+D433+D453+D420+D325+D91+D239+D211</f>
        <v>1363.65</v>
      </c>
      <c r="E15" s="28">
        <f>E75+E103+E132+E162+E176+E239+E325+E339+E369+E33+E152+E353+E117</f>
        <v>27051.713</v>
      </c>
      <c r="F15" s="28">
        <f>F75+F91+F211</f>
        <v>358.408</v>
      </c>
      <c r="G15" s="28">
        <f>G33+G75+G239+G117</f>
        <v>15070.085</v>
      </c>
      <c r="H15" s="85">
        <f>I15+J15+L15+K15</f>
        <v>64186.747</v>
      </c>
      <c r="I15" s="28">
        <f>I177+I193+I199+I284+I382+I395+I225+I434+I421+I407+I240+I21+I326+I48+I314</f>
        <v>2677.65</v>
      </c>
      <c r="J15" s="28">
        <f>J34+J76+J104+J118+J133+J255+J326+J163+J177+J240+J340+J354+J292+J304+J48+J77+J119</f>
        <v>43257.997</v>
      </c>
      <c r="K15" s="28"/>
      <c r="L15" s="28">
        <f>L34+L284+L77+L48+L21+L119</f>
        <v>18251.1</v>
      </c>
      <c r="M15" s="248">
        <f>S15+O15+N15+U15</f>
        <v>166437.22999999998</v>
      </c>
      <c r="N15" s="30">
        <f>N61+N199+N395+N407+N421+N427+N434+N48</f>
        <v>1277</v>
      </c>
      <c r="O15" s="31">
        <f>O21+O34+O48+O104+O118+O133+O163+O255+O240+O340+O354+O421+O152+O272</f>
        <v>50823.2</v>
      </c>
      <c r="P15" s="32"/>
      <c r="Q15" s="32"/>
      <c r="R15" s="32"/>
      <c r="S15" s="197"/>
      <c r="T15" s="31"/>
      <c r="U15" s="204">
        <f>U21+U272+U51</f>
        <v>114337.03</v>
      </c>
      <c r="V15" s="185"/>
      <c r="W15" s="23"/>
    </row>
    <row r="16" spans="1:23" s="16" customFormat="1" ht="50.25" customHeight="1">
      <c r="A16" s="285" t="s">
        <v>93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7"/>
      <c r="V16" s="185"/>
      <c r="W16" s="23"/>
    </row>
    <row r="17" spans="1:22" s="33" customFormat="1" ht="36.75" customHeight="1">
      <c r="A17" s="257" t="s">
        <v>33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320"/>
      <c r="V17" s="185"/>
    </row>
    <row r="18" spans="1:23" s="16" customFormat="1" ht="24" customHeight="1">
      <c r="A18" s="257" t="s">
        <v>40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320"/>
      <c r="V18" s="185"/>
      <c r="W18" s="23"/>
    </row>
    <row r="19" spans="1:23" s="16" customFormat="1" ht="22.5" customHeight="1">
      <c r="A19" s="288" t="s">
        <v>7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89"/>
      <c r="V19" s="185"/>
      <c r="W19" s="23"/>
    </row>
    <row r="20" spans="1:21" ht="15">
      <c r="A20" s="290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2"/>
    </row>
    <row r="21" spans="1:22" s="36" customFormat="1" ht="100.5" customHeight="1">
      <c r="A21" s="24" t="s">
        <v>160</v>
      </c>
      <c r="B21" s="8">
        <v>1517640</v>
      </c>
      <c r="C21" s="27"/>
      <c r="D21" s="35"/>
      <c r="E21" s="31"/>
      <c r="F21" s="31"/>
      <c r="G21" s="31"/>
      <c r="H21" s="171">
        <f>I21+L21</f>
        <v>9250</v>
      </c>
      <c r="I21" s="172">
        <v>250</v>
      </c>
      <c r="J21" s="38"/>
      <c r="K21" s="38"/>
      <c r="L21" s="193">
        <v>9000</v>
      </c>
      <c r="M21" s="27">
        <f>O21+U21</f>
        <v>72212.23</v>
      </c>
      <c r="N21" s="28"/>
      <c r="O21" s="31">
        <f>O24</f>
        <v>11118.7</v>
      </c>
      <c r="P21" s="31"/>
      <c r="Q21" s="31"/>
      <c r="R21" s="31"/>
      <c r="S21" s="197"/>
      <c r="T21" s="31"/>
      <c r="U21" s="204">
        <f>U24</f>
        <v>61093.53</v>
      </c>
      <c r="V21" s="185"/>
    </row>
    <row r="22" spans="1:22" s="36" customFormat="1" ht="46.5" customHeight="1">
      <c r="A22" s="205" t="s">
        <v>15</v>
      </c>
      <c r="B22" s="8"/>
      <c r="C22" s="27"/>
      <c r="D22" s="35"/>
      <c r="E22" s="31"/>
      <c r="F22" s="31"/>
      <c r="G22" s="31"/>
      <c r="H22" s="171"/>
      <c r="I22" s="172"/>
      <c r="J22" s="38"/>
      <c r="K22" s="38"/>
      <c r="L22" s="38"/>
      <c r="M22" s="27"/>
      <c r="N22" s="28"/>
      <c r="O22" s="31"/>
      <c r="P22" s="31"/>
      <c r="Q22" s="31"/>
      <c r="R22" s="31"/>
      <c r="S22" s="197"/>
      <c r="T22" s="31"/>
      <c r="U22" s="204"/>
      <c r="V22" s="185"/>
    </row>
    <row r="23" spans="1:22" s="36" customFormat="1" ht="24" customHeight="1">
      <c r="A23" s="25" t="s">
        <v>9</v>
      </c>
      <c r="B23" s="8"/>
      <c r="C23" s="27"/>
      <c r="D23" s="35"/>
      <c r="E23" s="31"/>
      <c r="F23" s="31"/>
      <c r="G23" s="31"/>
      <c r="H23" s="171"/>
      <c r="I23" s="172"/>
      <c r="J23" s="38"/>
      <c r="K23" s="38"/>
      <c r="L23" s="38"/>
      <c r="M23" s="27"/>
      <c r="N23" s="28"/>
      <c r="O23" s="31"/>
      <c r="P23" s="31"/>
      <c r="Q23" s="31"/>
      <c r="R23" s="31"/>
      <c r="S23" s="197"/>
      <c r="T23" s="31"/>
      <c r="U23" s="204"/>
      <c r="V23" s="185"/>
    </row>
    <row r="24" spans="1:22" s="36" customFormat="1" ht="57" customHeight="1">
      <c r="A24" s="205" t="s">
        <v>18</v>
      </c>
      <c r="B24" s="8"/>
      <c r="C24" s="27"/>
      <c r="D24" s="35"/>
      <c r="E24" s="31"/>
      <c r="F24" s="31"/>
      <c r="G24" s="31"/>
      <c r="H24" s="171">
        <f>H21</f>
        <v>9250</v>
      </c>
      <c r="I24" s="172">
        <f>I21</f>
        <v>250</v>
      </c>
      <c r="J24" s="38"/>
      <c r="K24" s="38"/>
      <c r="L24" s="193">
        <v>9000</v>
      </c>
      <c r="M24" s="27">
        <f>O24+U24</f>
        <v>72212.23</v>
      </c>
      <c r="N24" s="28"/>
      <c r="O24" s="31">
        <f>9618.7+1500</f>
        <v>11118.7</v>
      </c>
      <c r="P24" s="31"/>
      <c r="Q24" s="31"/>
      <c r="R24" s="31"/>
      <c r="S24" s="197"/>
      <c r="T24" s="31"/>
      <c r="U24" s="204">
        <f>48093.53+13000</f>
        <v>61093.53</v>
      </c>
      <c r="V24" s="185"/>
    </row>
    <row r="25" spans="1:22" s="36" customFormat="1" ht="30.75" customHeight="1">
      <c r="A25" s="25" t="s">
        <v>10</v>
      </c>
      <c r="B25" s="8"/>
      <c r="C25" s="27"/>
      <c r="D25" s="35"/>
      <c r="E25" s="31"/>
      <c r="F25" s="31"/>
      <c r="G25" s="31"/>
      <c r="H25" s="171"/>
      <c r="I25" s="172"/>
      <c r="J25" s="38"/>
      <c r="K25" s="38"/>
      <c r="L25" s="38"/>
      <c r="M25" s="27"/>
      <c r="N25" s="28"/>
      <c r="O25" s="31"/>
      <c r="P25" s="31"/>
      <c r="Q25" s="31"/>
      <c r="R25" s="31"/>
      <c r="S25" s="197"/>
      <c r="T25" s="31"/>
      <c r="U25" s="204"/>
      <c r="V25" s="185"/>
    </row>
    <row r="26" spans="1:22" s="36" customFormat="1" ht="121.5" customHeight="1">
      <c r="A26" s="205" t="s">
        <v>198</v>
      </c>
      <c r="B26" s="8"/>
      <c r="C26" s="27"/>
      <c r="D26" s="35"/>
      <c r="E26" s="31"/>
      <c r="F26" s="31"/>
      <c r="G26" s="31"/>
      <c r="H26" s="171"/>
      <c r="I26" s="172"/>
      <c r="J26" s="38"/>
      <c r="K26" s="38"/>
      <c r="L26" s="38"/>
      <c r="M26" s="251">
        <v>33</v>
      </c>
      <c r="N26" s="28"/>
      <c r="O26" s="31"/>
      <c r="P26" s="31"/>
      <c r="Q26" s="31"/>
      <c r="R26" s="31"/>
      <c r="S26" s="197"/>
      <c r="T26" s="31"/>
      <c r="U26" s="204"/>
      <c r="V26" s="185"/>
    </row>
    <row r="27" spans="1:22" s="36" customFormat="1" ht="143.25" customHeight="1">
      <c r="A27" s="205" t="s">
        <v>199</v>
      </c>
      <c r="B27" s="8"/>
      <c r="C27" s="27"/>
      <c r="D27" s="35"/>
      <c r="E27" s="31"/>
      <c r="F27" s="31"/>
      <c r="G27" s="31"/>
      <c r="H27" s="171"/>
      <c r="I27" s="172"/>
      <c r="J27" s="38"/>
      <c r="K27" s="38"/>
      <c r="L27" s="38"/>
      <c r="M27" s="251">
        <v>1</v>
      </c>
      <c r="N27" s="28"/>
      <c r="O27" s="31"/>
      <c r="P27" s="31"/>
      <c r="Q27" s="31"/>
      <c r="R27" s="31"/>
      <c r="S27" s="197"/>
      <c r="T27" s="31"/>
      <c r="U27" s="204"/>
      <c r="V27" s="185"/>
    </row>
    <row r="28" spans="1:22" s="36" customFormat="1" ht="57" customHeight="1">
      <c r="A28" s="205" t="s">
        <v>161</v>
      </c>
      <c r="B28" s="8"/>
      <c r="C28" s="27"/>
      <c r="D28" s="35"/>
      <c r="E28" s="31"/>
      <c r="F28" s="31"/>
      <c r="G28" s="31"/>
      <c r="H28" s="178">
        <v>1</v>
      </c>
      <c r="I28" s="179">
        <v>1</v>
      </c>
      <c r="J28" s="38"/>
      <c r="K28" s="38"/>
      <c r="L28" s="89">
        <v>1</v>
      </c>
      <c r="M28" s="166"/>
      <c r="N28" s="28"/>
      <c r="O28" s="31"/>
      <c r="P28" s="31"/>
      <c r="Q28" s="31"/>
      <c r="R28" s="31"/>
      <c r="S28" s="197"/>
      <c r="T28" s="31"/>
      <c r="U28" s="215"/>
      <c r="V28" s="185"/>
    </row>
    <row r="29" spans="1:22" s="36" customFormat="1" ht="75" customHeight="1">
      <c r="A29" s="205" t="s">
        <v>212</v>
      </c>
      <c r="B29" s="8"/>
      <c r="C29" s="27"/>
      <c r="D29" s="35"/>
      <c r="E29" s="31"/>
      <c r="F29" s="31"/>
      <c r="G29" s="31"/>
      <c r="H29" s="178"/>
      <c r="I29" s="179"/>
      <c r="J29" s="38"/>
      <c r="K29" s="38"/>
      <c r="L29" s="89"/>
      <c r="M29" s="252">
        <v>1</v>
      </c>
      <c r="N29" s="28"/>
      <c r="O29" s="31"/>
      <c r="P29" s="31"/>
      <c r="Q29" s="31"/>
      <c r="R29" s="31"/>
      <c r="S29" s="197"/>
      <c r="T29" s="31"/>
      <c r="U29" s="215"/>
      <c r="V29" s="185"/>
    </row>
    <row r="30" spans="1:22" s="36" customFormat="1" ht="48.75" customHeight="1">
      <c r="A30" s="25" t="s">
        <v>13</v>
      </c>
      <c r="B30" s="8"/>
      <c r="C30" s="27"/>
      <c r="D30" s="35"/>
      <c r="E30" s="31"/>
      <c r="F30" s="31"/>
      <c r="G30" s="31"/>
      <c r="H30" s="171"/>
      <c r="I30" s="172"/>
      <c r="J30" s="38"/>
      <c r="K30" s="38"/>
      <c r="L30" s="38"/>
      <c r="M30" s="27"/>
      <c r="N30" s="28"/>
      <c r="O30" s="31"/>
      <c r="P30" s="31"/>
      <c r="Q30" s="31"/>
      <c r="R30" s="31"/>
      <c r="S30" s="197"/>
      <c r="T30" s="31"/>
      <c r="U30" s="204"/>
      <c r="V30" s="185"/>
    </row>
    <row r="31" spans="1:22" s="36" customFormat="1" ht="81" customHeight="1">
      <c r="A31" s="206" t="s">
        <v>162</v>
      </c>
      <c r="B31" s="8"/>
      <c r="C31" s="27"/>
      <c r="D31" s="35"/>
      <c r="E31" s="31"/>
      <c r="F31" s="31"/>
      <c r="G31" s="31"/>
      <c r="H31" s="220">
        <f>I31+L31</f>
        <v>9250</v>
      </c>
      <c r="I31" s="221">
        <v>250</v>
      </c>
      <c r="J31" s="222"/>
      <c r="K31" s="222"/>
      <c r="L31" s="223">
        <v>9000</v>
      </c>
      <c r="M31" s="236"/>
      <c r="N31" s="28"/>
      <c r="O31" s="31"/>
      <c r="P31" s="31"/>
      <c r="Q31" s="31"/>
      <c r="R31" s="31"/>
      <c r="S31" s="197"/>
      <c r="T31" s="31"/>
      <c r="U31" s="237"/>
      <c r="V31" s="185"/>
    </row>
    <row r="32" spans="1:22" s="36" customFormat="1" ht="81" customHeight="1">
      <c r="A32" s="206" t="s">
        <v>211</v>
      </c>
      <c r="B32" s="8"/>
      <c r="C32" s="27"/>
      <c r="D32" s="35"/>
      <c r="E32" s="31"/>
      <c r="F32" s="31"/>
      <c r="G32" s="31"/>
      <c r="H32" s="220"/>
      <c r="I32" s="221"/>
      <c r="J32" s="222"/>
      <c r="K32" s="222"/>
      <c r="L32" s="223"/>
      <c r="M32" s="250">
        <f>M21/M26</f>
        <v>2188.249393939394</v>
      </c>
      <c r="N32" s="28"/>
      <c r="O32" s="31"/>
      <c r="P32" s="31"/>
      <c r="Q32" s="31"/>
      <c r="R32" s="31"/>
      <c r="S32" s="197"/>
      <c r="T32" s="31"/>
      <c r="U32" s="237"/>
      <c r="V32" s="185"/>
    </row>
    <row r="33" spans="1:24" s="38" customFormat="1" ht="81" customHeight="1">
      <c r="A33" s="24" t="s">
        <v>127</v>
      </c>
      <c r="B33" s="8">
        <v>4716310</v>
      </c>
      <c r="C33" s="27">
        <f>E33+G33</f>
        <v>6846</v>
      </c>
      <c r="D33" s="35"/>
      <c r="E33" s="31">
        <v>2500</v>
      </c>
      <c r="F33" s="31"/>
      <c r="G33" s="31">
        <v>4346</v>
      </c>
      <c r="M33" s="27"/>
      <c r="N33" s="28"/>
      <c r="O33" s="31"/>
      <c r="P33" s="31"/>
      <c r="Q33" s="31"/>
      <c r="R33" s="31"/>
      <c r="S33" s="197"/>
      <c r="T33" s="31"/>
      <c r="U33" s="204"/>
      <c r="V33" s="185"/>
      <c r="W33" s="36"/>
      <c r="X33" s="37"/>
    </row>
    <row r="34" spans="1:22" s="36" customFormat="1" ht="81" customHeight="1">
      <c r="A34" s="24" t="s">
        <v>126</v>
      </c>
      <c r="B34" s="8">
        <v>1517320</v>
      </c>
      <c r="C34" s="27"/>
      <c r="D34" s="35"/>
      <c r="E34" s="31"/>
      <c r="F34" s="31"/>
      <c r="G34" s="31"/>
      <c r="H34" s="27">
        <f>J34+L34+I34</f>
        <v>653.4</v>
      </c>
      <c r="I34" s="28"/>
      <c r="J34" s="31">
        <v>50</v>
      </c>
      <c r="K34" s="32"/>
      <c r="L34" s="31">
        <v>603.4</v>
      </c>
      <c r="M34" s="27">
        <f>O34</f>
        <v>3500</v>
      </c>
      <c r="N34" s="28"/>
      <c r="O34" s="31">
        <v>3500</v>
      </c>
      <c r="P34" s="31"/>
      <c r="Q34" s="31"/>
      <c r="R34" s="31"/>
      <c r="S34" s="197"/>
      <c r="T34" s="31"/>
      <c r="U34" s="204"/>
      <c r="V34" s="186"/>
    </row>
    <row r="35" spans="1:23" s="16" customFormat="1" ht="24.75" customHeight="1">
      <c r="A35" s="205" t="s">
        <v>15</v>
      </c>
      <c r="B35" s="34"/>
      <c r="C35" s="8"/>
      <c r="D35" s="40"/>
      <c r="E35" s="41"/>
      <c r="F35" s="41"/>
      <c r="G35" s="41"/>
      <c r="H35" s="8"/>
      <c r="I35" s="42"/>
      <c r="J35" s="41"/>
      <c r="K35" s="41"/>
      <c r="L35" s="43"/>
      <c r="M35" s="8"/>
      <c r="N35" s="42"/>
      <c r="O35" s="43"/>
      <c r="P35" s="43"/>
      <c r="Q35" s="43"/>
      <c r="R35" s="43"/>
      <c r="S35" s="198"/>
      <c r="T35" s="43"/>
      <c r="U35" s="202"/>
      <c r="V35" s="185"/>
      <c r="W35" s="23"/>
    </row>
    <row r="36" spans="1:23" s="16" customFormat="1" ht="26.25" customHeight="1">
      <c r="A36" s="25" t="s">
        <v>9</v>
      </c>
      <c r="B36" s="34"/>
      <c r="C36" s="8"/>
      <c r="D36" s="40"/>
      <c r="E36" s="41"/>
      <c r="F36" s="41"/>
      <c r="G36" s="41"/>
      <c r="H36" s="8"/>
      <c r="I36" s="42"/>
      <c r="J36" s="41"/>
      <c r="K36" s="41"/>
      <c r="L36" s="43"/>
      <c r="M36" s="8"/>
      <c r="N36" s="42"/>
      <c r="O36" s="43"/>
      <c r="P36" s="43"/>
      <c r="Q36" s="43"/>
      <c r="R36" s="43"/>
      <c r="S36" s="198"/>
      <c r="T36" s="43"/>
      <c r="U36" s="202"/>
      <c r="V36" s="187"/>
      <c r="W36" s="23"/>
    </row>
    <row r="37" spans="1:22" s="16" customFormat="1" ht="46.5" customHeight="1">
      <c r="A37" s="205" t="s">
        <v>18</v>
      </c>
      <c r="B37" s="34"/>
      <c r="C37" s="46">
        <f>C33</f>
        <v>6846</v>
      </c>
      <c r="D37" s="40"/>
      <c r="E37" s="45">
        <f>E33</f>
        <v>2500</v>
      </c>
      <c r="F37" s="43"/>
      <c r="G37" s="45">
        <f>G33</f>
        <v>4346</v>
      </c>
      <c r="H37" s="46">
        <f>H34</f>
        <v>653.4</v>
      </c>
      <c r="I37" s="44"/>
      <c r="J37" s="45">
        <f>J34</f>
        <v>50</v>
      </c>
      <c r="K37" s="41"/>
      <c r="L37" s="45">
        <f>L34</f>
        <v>603.4</v>
      </c>
      <c r="M37" s="46">
        <f>M34</f>
        <v>3500</v>
      </c>
      <c r="N37" s="42"/>
      <c r="O37" s="45">
        <f>O34</f>
        <v>3500</v>
      </c>
      <c r="P37" s="43"/>
      <c r="Q37" s="43"/>
      <c r="R37" s="43"/>
      <c r="S37" s="198"/>
      <c r="T37" s="43"/>
      <c r="U37" s="202"/>
      <c r="V37" s="185"/>
    </row>
    <row r="38" spans="1:22" s="16" customFormat="1" ht="36" customHeight="1">
      <c r="A38" s="25" t="s">
        <v>10</v>
      </c>
      <c r="B38" s="34"/>
      <c r="C38" s="46"/>
      <c r="D38" s="40"/>
      <c r="E38" s="45"/>
      <c r="F38" s="43"/>
      <c r="G38" s="45"/>
      <c r="H38" s="8"/>
      <c r="I38" s="42"/>
      <c r="J38" s="45"/>
      <c r="K38" s="41"/>
      <c r="L38" s="45"/>
      <c r="M38" s="8"/>
      <c r="N38" s="42"/>
      <c r="O38" s="43"/>
      <c r="P38" s="43"/>
      <c r="Q38" s="43"/>
      <c r="R38" s="43"/>
      <c r="S38" s="198"/>
      <c r="T38" s="43"/>
      <c r="U38" s="202"/>
      <c r="V38" s="185"/>
    </row>
    <row r="39" spans="1:22" s="16" customFormat="1" ht="100.5" customHeight="1">
      <c r="A39" s="205" t="s">
        <v>131</v>
      </c>
      <c r="B39" s="34"/>
      <c r="C39" s="42">
        <v>2</v>
      </c>
      <c r="D39" s="89"/>
      <c r="E39" s="42">
        <v>2</v>
      </c>
      <c r="F39" s="42"/>
      <c r="G39" s="42"/>
      <c r="H39" s="42">
        <v>1</v>
      </c>
      <c r="I39" s="8"/>
      <c r="J39" s="8"/>
      <c r="K39" s="8"/>
      <c r="L39" s="8">
        <v>1</v>
      </c>
      <c r="M39" s="8">
        <v>1</v>
      </c>
      <c r="N39" s="42"/>
      <c r="O39" s="43">
        <v>1</v>
      </c>
      <c r="P39" s="43"/>
      <c r="Q39" s="43"/>
      <c r="R39" s="43"/>
      <c r="S39" s="198"/>
      <c r="T39" s="43"/>
      <c r="U39" s="202"/>
      <c r="V39" s="185"/>
    </row>
    <row r="40" spans="1:22" s="16" customFormat="1" ht="100.5" customHeight="1">
      <c r="A40" s="205" t="s">
        <v>132</v>
      </c>
      <c r="B40" s="34"/>
      <c r="C40" s="42">
        <f>3013.04+5102.388</f>
        <v>8115.428</v>
      </c>
      <c r="D40" s="40"/>
      <c r="E40" s="43"/>
      <c r="F40" s="43"/>
      <c r="G40" s="43"/>
      <c r="H40" s="6">
        <v>3018</v>
      </c>
      <c r="I40" s="42"/>
      <c r="J40" s="42"/>
      <c r="K40" s="41"/>
      <c r="L40" s="43"/>
      <c r="M40" s="42">
        <v>1388</v>
      </c>
      <c r="N40" s="42"/>
      <c r="O40" s="43"/>
      <c r="P40" s="43"/>
      <c r="Q40" s="43"/>
      <c r="R40" s="43"/>
      <c r="S40" s="198"/>
      <c r="T40" s="43"/>
      <c r="U40" s="202"/>
      <c r="V40" s="185"/>
    </row>
    <row r="41" spans="1:22" s="16" customFormat="1" ht="67.5" customHeight="1">
      <c r="A41" s="205" t="s">
        <v>133</v>
      </c>
      <c r="B41" s="34"/>
      <c r="C41" s="6">
        <v>255</v>
      </c>
      <c r="D41" s="40"/>
      <c r="E41" s="43"/>
      <c r="F41" s="43"/>
      <c r="G41" s="43"/>
      <c r="H41" s="42"/>
      <c r="I41" s="42"/>
      <c r="J41" s="42"/>
      <c r="K41" s="41"/>
      <c r="L41" s="43"/>
      <c r="M41" s="8"/>
      <c r="N41" s="42"/>
      <c r="O41" s="43"/>
      <c r="P41" s="43"/>
      <c r="Q41" s="43"/>
      <c r="R41" s="43"/>
      <c r="S41" s="198"/>
      <c r="T41" s="43"/>
      <c r="U41" s="202"/>
      <c r="V41" s="185"/>
    </row>
    <row r="42" spans="1:22" s="16" customFormat="1" ht="55.5" customHeight="1">
      <c r="A42" s="25" t="s">
        <v>13</v>
      </c>
      <c r="B42" s="34"/>
      <c r="C42" s="42"/>
      <c r="D42" s="40"/>
      <c r="E42" s="43"/>
      <c r="F42" s="43"/>
      <c r="G42" s="43"/>
      <c r="H42" s="42"/>
      <c r="I42" s="42"/>
      <c r="J42" s="41"/>
      <c r="K42" s="41"/>
      <c r="L42" s="41"/>
      <c r="M42" s="8"/>
      <c r="N42" s="42"/>
      <c r="O42" s="43"/>
      <c r="P42" s="43"/>
      <c r="Q42" s="43"/>
      <c r="R42" s="43"/>
      <c r="S42" s="198"/>
      <c r="T42" s="43"/>
      <c r="U42" s="202"/>
      <c r="V42" s="185"/>
    </row>
    <row r="43" spans="1:22" s="16" customFormat="1" ht="96" customHeight="1">
      <c r="A43" s="205" t="s">
        <v>134</v>
      </c>
      <c r="B43" s="34"/>
      <c r="C43" s="42">
        <v>1.2</v>
      </c>
      <c r="D43" s="40"/>
      <c r="E43" s="43"/>
      <c r="F43" s="43"/>
      <c r="G43" s="43"/>
      <c r="H43" s="42">
        <v>1.2</v>
      </c>
      <c r="I43" s="42"/>
      <c r="J43" s="41"/>
      <c r="K43" s="41"/>
      <c r="L43" s="41"/>
      <c r="M43" s="60">
        <f>M34/M40</f>
        <v>2.521613832853026</v>
      </c>
      <c r="N43" s="42"/>
      <c r="O43" s="43"/>
      <c r="P43" s="43"/>
      <c r="Q43" s="43"/>
      <c r="R43" s="43"/>
      <c r="S43" s="198"/>
      <c r="T43" s="43"/>
      <c r="U43" s="202"/>
      <c r="V43" s="185"/>
    </row>
    <row r="44" spans="1:22" s="16" customFormat="1" ht="96" customHeight="1">
      <c r="A44" s="205" t="s">
        <v>135</v>
      </c>
      <c r="B44" s="34"/>
      <c r="C44" s="42">
        <v>2.5</v>
      </c>
      <c r="D44" s="40"/>
      <c r="E44" s="43"/>
      <c r="F44" s="43"/>
      <c r="G44" s="43"/>
      <c r="H44" s="42"/>
      <c r="I44" s="42"/>
      <c r="J44" s="41"/>
      <c r="K44" s="41"/>
      <c r="L44" s="41"/>
      <c r="M44" s="8"/>
      <c r="N44" s="42"/>
      <c r="O44" s="43"/>
      <c r="P44" s="43"/>
      <c r="Q44" s="43"/>
      <c r="R44" s="43"/>
      <c r="S44" s="198"/>
      <c r="T44" s="43"/>
      <c r="U44" s="202"/>
      <c r="V44" s="185"/>
    </row>
    <row r="45" spans="1:22" s="16" customFormat="1" ht="23.25">
      <c r="A45" s="25" t="s">
        <v>14</v>
      </c>
      <c r="B45" s="39"/>
      <c r="C45" s="8"/>
      <c r="D45" s="40"/>
      <c r="E45" s="43"/>
      <c r="F45" s="43"/>
      <c r="G45" s="43"/>
      <c r="H45" s="8"/>
      <c r="I45" s="42"/>
      <c r="J45" s="43"/>
      <c r="K45" s="43"/>
      <c r="L45" s="43"/>
      <c r="M45" s="42"/>
      <c r="N45" s="42"/>
      <c r="O45" s="43"/>
      <c r="P45" s="43"/>
      <c r="Q45" s="43"/>
      <c r="R45" s="43"/>
      <c r="S45" s="198"/>
      <c r="T45" s="43"/>
      <c r="U45" s="202"/>
      <c r="V45" s="185"/>
    </row>
    <row r="46" spans="1:22" s="16" customFormat="1" ht="140.25" customHeight="1">
      <c r="A46" s="205" t="s">
        <v>98</v>
      </c>
      <c r="B46" s="39"/>
      <c r="C46" s="142">
        <v>545</v>
      </c>
      <c r="D46" s="40"/>
      <c r="E46" s="43"/>
      <c r="F46" s="43"/>
      <c r="G46" s="43"/>
      <c r="H46" s="8" t="s">
        <v>99</v>
      </c>
      <c r="I46" s="42"/>
      <c r="J46" s="43"/>
      <c r="K46" s="43"/>
      <c r="L46" s="43"/>
      <c r="M46" s="6">
        <v>545</v>
      </c>
      <c r="N46" s="42"/>
      <c r="O46" s="43"/>
      <c r="P46" s="43"/>
      <c r="Q46" s="43"/>
      <c r="R46" s="43"/>
      <c r="S46" s="198"/>
      <c r="T46" s="43"/>
      <c r="U46" s="202"/>
      <c r="V46" s="200"/>
    </row>
    <row r="47" spans="1:22" s="16" customFormat="1" ht="46.5">
      <c r="A47" s="205" t="s">
        <v>92</v>
      </c>
      <c r="B47" s="39"/>
      <c r="C47" s="63">
        <f>C33/(C46*0.86*1282.67*0.001)</f>
        <v>11.387463659024712</v>
      </c>
      <c r="D47" s="40"/>
      <c r="E47" s="43"/>
      <c r="F47" s="43"/>
      <c r="G47" s="43"/>
      <c r="H47" s="63" t="s">
        <v>99</v>
      </c>
      <c r="I47" s="42"/>
      <c r="J47" s="43"/>
      <c r="K47" s="43"/>
      <c r="L47" s="43"/>
      <c r="M47" s="47">
        <f>M34/(M46*0.86*1758.6*0.001)</f>
        <v>4.246254518409103</v>
      </c>
      <c r="N47" s="42"/>
      <c r="O47" s="43"/>
      <c r="P47" s="43"/>
      <c r="Q47" s="43"/>
      <c r="R47" s="43"/>
      <c r="S47" s="198"/>
      <c r="T47" s="43"/>
      <c r="U47" s="202"/>
      <c r="V47" s="200"/>
    </row>
    <row r="48" spans="1:22" s="36" customFormat="1" ht="93" customHeight="1">
      <c r="A48" s="24" t="s">
        <v>160</v>
      </c>
      <c r="B48" s="8">
        <v>1517640</v>
      </c>
      <c r="C48" s="27"/>
      <c r="D48" s="35"/>
      <c r="E48" s="31"/>
      <c r="F48" s="31"/>
      <c r="G48" s="31"/>
      <c r="H48" s="27">
        <f>I48+J48+L48</f>
        <v>3527.7</v>
      </c>
      <c r="I48" s="28">
        <v>529.15</v>
      </c>
      <c r="J48" s="31">
        <f>529.15+180-180</f>
        <v>529.15</v>
      </c>
      <c r="K48" s="32"/>
      <c r="L48" s="31">
        <v>2469.4</v>
      </c>
      <c r="M48" s="27">
        <f>O48+U48+N48</f>
        <v>44205</v>
      </c>
      <c r="N48" s="28">
        <v>520</v>
      </c>
      <c r="O48" s="31">
        <f>13261.5-520</f>
        <v>12741.5</v>
      </c>
      <c r="P48" s="31"/>
      <c r="Q48" s="31"/>
      <c r="R48" s="31"/>
      <c r="S48" s="197"/>
      <c r="T48" s="31"/>
      <c r="U48" s="204">
        <v>30943.5</v>
      </c>
      <c r="V48" s="186"/>
    </row>
    <row r="49" spans="1:22" s="16" customFormat="1" ht="23.25">
      <c r="A49" s="205" t="s">
        <v>15</v>
      </c>
      <c r="B49" s="39"/>
      <c r="C49" s="63"/>
      <c r="D49" s="40"/>
      <c r="E49" s="43"/>
      <c r="F49" s="43"/>
      <c r="G49" s="43"/>
      <c r="H49" s="63"/>
      <c r="I49" s="42"/>
      <c r="J49" s="43"/>
      <c r="K49" s="43"/>
      <c r="L49" s="43"/>
      <c r="M49" s="42"/>
      <c r="N49" s="42"/>
      <c r="O49" s="43"/>
      <c r="P49" s="116"/>
      <c r="Q49" s="116"/>
      <c r="R49" s="116"/>
      <c r="S49" s="116"/>
      <c r="T49" s="43"/>
      <c r="U49" s="202"/>
      <c r="V49" s="200"/>
    </row>
    <row r="50" spans="1:22" s="16" customFormat="1" ht="33" customHeight="1">
      <c r="A50" s="25" t="s">
        <v>9</v>
      </c>
      <c r="B50" s="39"/>
      <c r="C50" s="63"/>
      <c r="D50" s="40"/>
      <c r="E50" s="43"/>
      <c r="F50" s="43"/>
      <c r="G50" s="43"/>
      <c r="H50" s="63"/>
      <c r="I50" s="42"/>
      <c r="J50" s="43"/>
      <c r="K50" s="43"/>
      <c r="L50" s="43"/>
      <c r="M50" s="42"/>
      <c r="N50" s="42"/>
      <c r="O50" s="43"/>
      <c r="P50" s="116"/>
      <c r="Q50" s="116"/>
      <c r="R50" s="116"/>
      <c r="S50" s="116"/>
      <c r="T50" s="43"/>
      <c r="U50" s="202"/>
      <c r="V50" s="200"/>
    </row>
    <row r="51" spans="1:22" s="16" customFormat="1" ht="46.5">
      <c r="A51" s="205" t="s">
        <v>18</v>
      </c>
      <c r="B51" s="39"/>
      <c r="C51" s="63"/>
      <c r="D51" s="40"/>
      <c r="E51" s="43"/>
      <c r="F51" s="43"/>
      <c r="G51" s="43"/>
      <c r="H51" s="63"/>
      <c r="I51" s="42"/>
      <c r="J51" s="43"/>
      <c r="K51" s="43"/>
      <c r="L51" s="43"/>
      <c r="M51" s="44">
        <f>M48</f>
        <v>44205</v>
      </c>
      <c r="N51" s="44">
        <f>N48</f>
        <v>520</v>
      </c>
      <c r="O51" s="45">
        <f>O48</f>
        <v>12741.5</v>
      </c>
      <c r="P51" s="116"/>
      <c r="Q51" s="116"/>
      <c r="R51" s="116"/>
      <c r="S51" s="116"/>
      <c r="T51" s="43"/>
      <c r="U51" s="240">
        <f>U48</f>
        <v>30943.5</v>
      </c>
      <c r="V51" s="200"/>
    </row>
    <row r="52" spans="1:22" s="16" customFormat="1" ht="23.25">
      <c r="A52" s="25" t="s">
        <v>10</v>
      </c>
      <c r="B52" s="39"/>
      <c r="C52" s="63"/>
      <c r="D52" s="40"/>
      <c r="E52" s="43"/>
      <c r="F52" s="43"/>
      <c r="G52" s="43"/>
      <c r="H52" s="63"/>
      <c r="I52" s="42"/>
      <c r="J52" s="43"/>
      <c r="K52" s="43"/>
      <c r="L52" s="43"/>
      <c r="M52" s="42"/>
      <c r="N52" s="42"/>
      <c r="O52" s="43"/>
      <c r="P52" s="116"/>
      <c r="Q52" s="116"/>
      <c r="R52" s="116"/>
      <c r="S52" s="116"/>
      <c r="T52" s="43"/>
      <c r="U52" s="202"/>
      <c r="V52" s="200"/>
    </row>
    <row r="53" spans="1:22" s="16" customFormat="1" ht="93">
      <c r="A53" s="205" t="s">
        <v>163</v>
      </c>
      <c r="B53" s="39"/>
      <c r="C53" s="63"/>
      <c r="D53" s="40"/>
      <c r="E53" s="43"/>
      <c r="F53" s="43"/>
      <c r="G53" s="43"/>
      <c r="H53" s="63">
        <v>3</v>
      </c>
      <c r="I53" s="42"/>
      <c r="J53" s="43"/>
      <c r="K53" s="43"/>
      <c r="L53" s="42"/>
      <c r="M53" s="42">
        <v>3</v>
      </c>
      <c r="N53" s="42"/>
      <c r="O53" s="43"/>
      <c r="P53" s="116"/>
      <c r="Q53" s="116"/>
      <c r="R53" s="116"/>
      <c r="S53" s="116"/>
      <c r="T53" s="43"/>
      <c r="U53" s="202"/>
      <c r="V53" s="200"/>
    </row>
    <row r="54" spans="1:22" s="16" customFormat="1" ht="45">
      <c r="A54" s="25" t="s">
        <v>13</v>
      </c>
      <c r="B54" s="39"/>
      <c r="C54" s="63"/>
      <c r="D54" s="40"/>
      <c r="E54" s="43"/>
      <c r="F54" s="43"/>
      <c r="G54" s="43"/>
      <c r="H54" s="63"/>
      <c r="I54" s="42"/>
      <c r="J54" s="43"/>
      <c r="K54" s="43"/>
      <c r="L54" s="43"/>
      <c r="M54" s="42"/>
      <c r="N54" s="42"/>
      <c r="O54" s="43"/>
      <c r="P54" s="116"/>
      <c r="Q54" s="116"/>
      <c r="R54" s="116"/>
      <c r="S54" s="116"/>
      <c r="T54" s="43"/>
      <c r="U54" s="202"/>
      <c r="V54" s="200"/>
    </row>
    <row r="55" spans="1:22" s="16" customFormat="1" ht="111" customHeight="1">
      <c r="A55" s="205" t="s">
        <v>189</v>
      </c>
      <c r="B55" s="39"/>
      <c r="C55" s="63"/>
      <c r="D55" s="40"/>
      <c r="E55" s="43"/>
      <c r="F55" s="43"/>
      <c r="G55" s="43"/>
      <c r="H55" s="63">
        <f>33*8.65</f>
        <v>285.45</v>
      </c>
      <c r="I55" s="42"/>
      <c r="J55" s="43"/>
      <c r="K55" s="43"/>
      <c r="L55" s="43"/>
      <c r="M55" s="42"/>
      <c r="N55" s="42"/>
      <c r="O55" s="43"/>
      <c r="P55" s="116"/>
      <c r="Q55" s="116"/>
      <c r="R55" s="116"/>
      <c r="S55" s="116"/>
      <c r="T55" s="43"/>
      <c r="U55" s="202"/>
      <c r="V55" s="200"/>
    </row>
    <row r="56" spans="1:22" s="16" customFormat="1" ht="23.25">
      <c r="A56" s="25" t="s">
        <v>14</v>
      </c>
      <c r="B56" s="39"/>
      <c r="C56" s="63"/>
      <c r="D56" s="40"/>
      <c r="E56" s="43"/>
      <c r="F56" s="43"/>
      <c r="G56" s="43"/>
      <c r="H56" s="63"/>
      <c r="I56" s="42"/>
      <c r="J56" s="43"/>
      <c r="K56" s="43"/>
      <c r="L56" s="43"/>
      <c r="M56" s="42"/>
      <c r="N56" s="42"/>
      <c r="O56" s="43"/>
      <c r="P56" s="116"/>
      <c r="Q56" s="116"/>
      <c r="R56" s="116"/>
      <c r="S56" s="116"/>
      <c r="T56" s="43"/>
      <c r="U56" s="202"/>
      <c r="V56" s="200"/>
    </row>
    <row r="57" spans="1:22" s="16" customFormat="1" ht="76.5" customHeight="1" thickBot="1">
      <c r="A57" s="207" t="s">
        <v>164</v>
      </c>
      <c r="B57" s="208"/>
      <c r="C57" s="209"/>
      <c r="D57" s="210"/>
      <c r="E57" s="211"/>
      <c r="F57" s="211"/>
      <c r="G57" s="211"/>
      <c r="H57" s="209">
        <v>6</v>
      </c>
      <c r="I57" s="212"/>
      <c r="J57" s="211"/>
      <c r="K57" s="211"/>
      <c r="L57" s="211"/>
      <c r="M57" s="212"/>
      <c r="N57" s="212"/>
      <c r="O57" s="211"/>
      <c r="P57" s="213"/>
      <c r="Q57" s="213"/>
      <c r="R57" s="213"/>
      <c r="S57" s="213"/>
      <c r="T57" s="211"/>
      <c r="U57" s="214"/>
      <c r="V57" s="200"/>
    </row>
    <row r="58" spans="1:22" s="16" customFormat="1" ht="27" customHeight="1">
      <c r="A58" s="308" t="s">
        <v>97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24"/>
      <c r="T58" s="194"/>
      <c r="U58" s="194"/>
      <c r="V58" s="180"/>
    </row>
    <row r="59" spans="1:22" s="16" customFormat="1" ht="24" customHeight="1">
      <c r="A59" s="267" t="s">
        <v>11</v>
      </c>
      <c r="B59" s="268"/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8"/>
      <c r="N59" s="268"/>
      <c r="O59" s="268"/>
      <c r="P59" s="268"/>
      <c r="Q59" s="268"/>
      <c r="R59" s="268"/>
      <c r="S59" s="300"/>
      <c r="T59" s="92"/>
      <c r="U59" s="92"/>
      <c r="V59" s="180"/>
    </row>
    <row r="60" spans="1:22" s="16" customFormat="1" ht="92.25" customHeight="1">
      <c r="A60" s="48" t="s">
        <v>123</v>
      </c>
      <c r="B60" s="17">
        <v>1017410</v>
      </c>
      <c r="C60" s="8">
        <v>413.5</v>
      </c>
      <c r="D60" s="42">
        <v>413.5</v>
      </c>
      <c r="E60" s="41"/>
      <c r="F60" s="41"/>
      <c r="G60" s="41"/>
      <c r="H60" s="8"/>
      <c r="I60" s="42"/>
      <c r="J60" s="41"/>
      <c r="K60" s="41"/>
      <c r="L60" s="41"/>
      <c r="M60" s="55"/>
      <c r="N60" s="55"/>
      <c r="O60" s="43"/>
      <c r="P60" s="43"/>
      <c r="Q60" s="43"/>
      <c r="R60" s="43"/>
      <c r="S60" s="43"/>
      <c r="T60" s="43"/>
      <c r="U60" s="43"/>
      <c r="V60" s="180"/>
    </row>
    <row r="61" spans="1:22" s="16" customFormat="1" ht="101.25" customHeight="1">
      <c r="A61" s="48" t="s">
        <v>124</v>
      </c>
      <c r="B61" s="76" t="s">
        <v>70</v>
      </c>
      <c r="C61" s="8"/>
      <c r="D61" s="42"/>
      <c r="E61" s="41"/>
      <c r="F61" s="41"/>
      <c r="G61" s="41"/>
      <c r="H61" s="8"/>
      <c r="I61" s="42"/>
      <c r="J61" s="41"/>
      <c r="K61" s="41"/>
      <c r="L61" s="41"/>
      <c r="M61" s="61">
        <f>M64</f>
        <v>272</v>
      </c>
      <c r="N61" s="50">
        <v>272</v>
      </c>
      <c r="O61" s="43"/>
      <c r="P61" s="43"/>
      <c r="Q61" s="43"/>
      <c r="R61" s="43"/>
      <c r="S61" s="43"/>
      <c r="T61" s="43"/>
      <c r="U61" s="43"/>
      <c r="V61" s="180"/>
    </row>
    <row r="62" spans="1:22" s="16" customFormat="1" ht="40.5" customHeight="1">
      <c r="A62" s="39" t="s">
        <v>15</v>
      </c>
      <c r="B62" s="49"/>
      <c r="C62" s="8"/>
      <c r="D62" s="42"/>
      <c r="E62" s="41"/>
      <c r="F62" s="41"/>
      <c r="G62" s="41"/>
      <c r="H62" s="8"/>
      <c r="I62" s="42"/>
      <c r="J62" s="41"/>
      <c r="K62" s="41"/>
      <c r="L62" s="41"/>
      <c r="M62" s="8"/>
      <c r="N62" s="42"/>
      <c r="O62" s="43"/>
      <c r="P62" s="43"/>
      <c r="Q62" s="43"/>
      <c r="R62" s="43"/>
      <c r="S62" s="43"/>
      <c r="T62" s="43"/>
      <c r="U62" s="43"/>
      <c r="V62" s="180"/>
    </row>
    <row r="63" spans="1:22" s="16" customFormat="1" ht="33" customHeight="1">
      <c r="A63" s="34" t="s">
        <v>16</v>
      </c>
      <c r="B63" s="49"/>
      <c r="C63" s="8"/>
      <c r="D63" s="42"/>
      <c r="E63" s="41"/>
      <c r="F63" s="41"/>
      <c r="G63" s="41"/>
      <c r="H63" s="8"/>
      <c r="I63" s="42"/>
      <c r="J63" s="41"/>
      <c r="K63" s="41"/>
      <c r="L63" s="41"/>
      <c r="M63" s="8"/>
      <c r="N63" s="42"/>
      <c r="O63" s="43"/>
      <c r="P63" s="43"/>
      <c r="Q63" s="43"/>
      <c r="R63" s="43"/>
      <c r="S63" s="43"/>
      <c r="T63" s="43"/>
      <c r="U63" s="43"/>
      <c r="V63" s="180"/>
    </row>
    <row r="64" spans="1:22" s="16" customFormat="1" ht="48.75" customHeight="1">
      <c r="A64" s="39" t="s">
        <v>18</v>
      </c>
      <c r="B64" s="49"/>
      <c r="C64" s="8">
        <f>D60</f>
        <v>413.5</v>
      </c>
      <c r="D64" s="42"/>
      <c r="E64" s="43"/>
      <c r="F64" s="43"/>
      <c r="G64" s="43"/>
      <c r="H64" s="42"/>
      <c r="I64" s="42"/>
      <c r="J64" s="43"/>
      <c r="K64" s="43"/>
      <c r="L64" s="43"/>
      <c r="M64" s="61">
        <f>N61</f>
        <v>272</v>
      </c>
      <c r="N64" s="42"/>
      <c r="O64" s="43"/>
      <c r="P64" s="43"/>
      <c r="Q64" s="43"/>
      <c r="R64" s="43"/>
      <c r="S64" s="43"/>
      <c r="T64" s="43"/>
      <c r="U64" s="43"/>
      <c r="V64" s="180"/>
    </row>
    <row r="65" spans="1:22" s="16" customFormat="1" ht="23.25">
      <c r="A65" s="34" t="s">
        <v>10</v>
      </c>
      <c r="B65" s="49"/>
      <c r="C65" s="8"/>
      <c r="D65" s="42"/>
      <c r="E65" s="43"/>
      <c r="F65" s="43"/>
      <c r="G65" s="43"/>
      <c r="H65" s="42"/>
      <c r="I65" s="42"/>
      <c r="J65" s="43"/>
      <c r="K65" s="43"/>
      <c r="L65" s="43"/>
      <c r="M65" s="8"/>
      <c r="N65" s="42"/>
      <c r="O65" s="43"/>
      <c r="P65" s="43"/>
      <c r="Q65" s="43"/>
      <c r="R65" s="43"/>
      <c r="S65" s="43"/>
      <c r="T65" s="43"/>
      <c r="U65" s="43"/>
      <c r="V65" s="180"/>
    </row>
    <row r="66" spans="1:22" s="16" customFormat="1" ht="80.25" customHeight="1">
      <c r="A66" s="39" t="s">
        <v>12</v>
      </c>
      <c r="B66" s="49"/>
      <c r="C66" s="8">
        <v>3181</v>
      </c>
      <c r="D66" s="42"/>
      <c r="E66" s="43"/>
      <c r="F66" s="43"/>
      <c r="G66" s="43"/>
      <c r="H66" s="42"/>
      <c r="I66" s="42"/>
      <c r="J66" s="43"/>
      <c r="K66" s="43"/>
      <c r="L66" s="43"/>
      <c r="M66" s="8">
        <v>1077</v>
      </c>
      <c r="N66" s="42"/>
      <c r="O66" s="43"/>
      <c r="P66" s="43"/>
      <c r="Q66" s="43"/>
      <c r="R66" s="43"/>
      <c r="S66" s="43"/>
      <c r="T66" s="43"/>
      <c r="U66" s="43"/>
      <c r="V66" s="180"/>
    </row>
    <row r="67" spans="1:22" s="16" customFormat="1" ht="69" customHeight="1">
      <c r="A67" s="39" t="s">
        <v>136</v>
      </c>
      <c r="B67" s="49"/>
      <c r="C67" s="8">
        <v>5</v>
      </c>
      <c r="D67" s="42"/>
      <c r="E67" s="43"/>
      <c r="F67" s="43"/>
      <c r="G67" s="43"/>
      <c r="H67" s="42"/>
      <c r="I67" s="42"/>
      <c r="J67" s="43"/>
      <c r="K67" s="43"/>
      <c r="L67" s="43"/>
      <c r="M67" s="8">
        <v>1</v>
      </c>
      <c r="N67" s="42"/>
      <c r="O67" s="43"/>
      <c r="P67" s="43"/>
      <c r="Q67" s="43"/>
      <c r="R67" s="43"/>
      <c r="S67" s="43"/>
      <c r="T67" s="43"/>
      <c r="U67" s="43"/>
      <c r="V67" s="180"/>
    </row>
    <row r="68" spans="1:22" s="16" customFormat="1" ht="45">
      <c r="A68" s="34" t="s">
        <v>13</v>
      </c>
      <c r="B68" s="49"/>
      <c r="C68" s="8"/>
      <c r="D68" s="42"/>
      <c r="E68" s="41"/>
      <c r="F68" s="41"/>
      <c r="G68" s="41"/>
      <c r="H68" s="8"/>
      <c r="I68" s="42"/>
      <c r="J68" s="41"/>
      <c r="K68" s="41"/>
      <c r="L68" s="41"/>
      <c r="M68" s="8"/>
      <c r="N68" s="42"/>
      <c r="O68" s="43"/>
      <c r="P68" s="43"/>
      <c r="Q68" s="43"/>
      <c r="R68" s="43"/>
      <c r="S68" s="43"/>
      <c r="T68" s="43"/>
      <c r="U68" s="43"/>
      <c r="V68" s="180"/>
    </row>
    <row r="69" spans="1:22" s="16" customFormat="1" ht="117" customHeight="1">
      <c r="A69" s="39" t="s">
        <v>137</v>
      </c>
      <c r="B69" s="49"/>
      <c r="C69" s="61">
        <f>C60/C66</f>
        <v>0.12999056900345804</v>
      </c>
      <c r="D69" s="42"/>
      <c r="E69" s="43"/>
      <c r="F69" s="43"/>
      <c r="G69" s="43"/>
      <c r="H69" s="50"/>
      <c r="I69" s="42"/>
      <c r="J69" s="43"/>
      <c r="K69" s="43"/>
      <c r="L69" s="43"/>
      <c r="M69" s="241">
        <f>M61/M66</f>
        <v>0.2525533890436397</v>
      </c>
      <c r="N69" s="42"/>
      <c r="O69" s="43"/>
      <c r="P69" s="43"/>
      <c r="Q69" s="43"/>
      <c r="R69" s="43"/>
      <c r="S69" s="43"/>
      <c r="T69" s="43"/>
      <c r="U69" s="43"/>
      <c r="V69" s="180"/>
    </row>
    <row r="70" spans="1:22" s="16" customFormat="1" ht="23.25">
      <c r="A70" s="34" t="s">
        <v>14</v>
      </c>
      <c r="B70" s="49"/>
      <c r="C70" s="8"/>
      <c r="D70" s="42"/>
      <c r="E70" s="43"/>
      <c r="F70" s="43"/>
      <c r="G70" s="43"/>
      <c r="H70" s="42"/>
      <c r="I70" s="42"/>
      <c r="J70" s="43"/>
      <c r="K70" s="43"/>
      <c r="L70" s="43"/>
      <c r="M70" s="8"/>
      <c r="N70" s="42"/>
      <c r="O70" s="43"/>
      <c r="P70" s="43"/>
      <c r="Q70" s="43"/>
      <c r="R70" s="43"/>
      <c r="S70" s="43"/>
      <c r="T70" s="43"/>
      <c r="U70" s="43"/>
      <c r="V70" s="180"/>
    </row>
    <row r="71" spans="1:22" s="16" customFormat="1" ht="78" customHeight="1">
      <c r="A71" s="39" t="s">
        <v>37</v>
      </c>
      <c r="B71" s="51"/>
      <c r="C71" s="60">
        <v>128</v>
      </c>
      <c r="D71" s="147"/>
      <c r="E71" s="147"/>
      <c r="F71" s="147"/>
      <c r="G71" s="147"/>
      <c r="H71" s="147"/>
      <c r="I71" s="147"/>
      <c r="J71" s="147"/>
      <c r="K71" s="147"/>
      <c r="L71" s="147"/>
      <c r="M71" s="61">
        <v>35</v>
      </c>
      <c r="N71" s="52"/>
      <c r="O71" s="53"/>
      <c r="P71" s="53"/>
      <c r="Q71" s="53"/>
      <c r="R71" s="53"/>
      <c r="S71" s="53"/>
      <c r="T71" s="43"/>
      <c r="U71" s="43"/>
      <c r="V71" s="180"/>
    </row>
    <row r="72" spans="1:23" s="55" customFormat="1" ht="43.5" customHeight="1">
      <c r="A72" s="39" t="s">
        <v>29</v>
      </c>
      <c r="B72" s="34"/>
      <c r="C72" s="60">
        <f>C60/(C71*2.44)</f>
        <v>1.3239626024590163</v>
      </c>
      <c r="D72" s="42"/>
      <c r="E72" s="43"/>
      <c r="F72" s="43"/>
      <c r="G72" s="43"/>
      <c r="H72" s="6"/>
      <c r="I72" s="42"/>
      <c r="J72" s="43"/>
      <c r="K72" s="43"/>
      <c r="L72" s="43"/>
      <c r="M72" s="60">
        <f>M61/(M71*2.8692*1.1)</f>
        <v>2.462336213904595</v>
      </c>
      <c r="N72" s="42"/>
      <c r="O72" s="43"/>
      <c r="P72" s="43"/>
      <c r="Q72" s="43"/>
      <c r="R72" s="43"/>
      <c r="S72" s="43"/>
      <c r="T72" s="43"/>
      <c r="U72" s="43"/>
      <c r="V72" s="180"/>
      <c r="W72" s="54"/>
    </row>
    <row r="73" spans="1:22" s="56" customFormat="1" ht="22.5" customHeight="1">
      <c r="A73" s="301" t="s">
        <v>186</v>
      </c>
      <c r="B73" s="310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9"/>
      <c r="T73" s="41"/>
      <c r="U73" s="41"/>
      <c r="V73" s="185"/>
    </row>
    <row r="74" spans="1:22" s="16" customFormat="1" ht="23.25">
      <c r="A74" s="267" t="s">
        <v>11</v>
      </c>
      <c r="B74" s="268"/>
      <c r="C74" s="268"/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300"/>
      <c r="T74" s="92"/>
      <c r="U74" s="92"/>
      <c r="V74" s="185"/>
    </row>
    <row r="75" spans="1:22" s="16" customFormat="1" ht="108.75" customHeight="1">
      <c r="A75" s="48" t="s">
        <v>79</v>
      </c>
      <c r="B75" s="17">
        <v>1017410</v>
      </c>
      <c r="C75" s="29">
        <f>C80</f>
        <v>11230.197999999999</v>
      </c>
      <c r="D75" s="136"/>
      <c r="E75" s="30">
        <f>1557.36+9+9+24.75+41.85+41.7+41.7+80.5+15+9.213+43.5+9+30.9+61.89+67.75</f>
        <v>2043.113</v>
      </c>
      <c r="F75" s="29"/>
      <c r="G75" s="30">
        <f>600+825+1395+1390+1390+500+307.085+1450+300+1030</f>
        <v>9187.085</v>
      </c>
      <c r="H75" s="27"/>
      <c r="I75" s="28"/>
      <c r="J75" s="32"/>
      <c r="K75" s="32"/>
      <c r="L75" s="32"/>
      <c r="M75" s="27"/>
      <c r="N75" s="28"/>
      <c r="O75" s="57"/>
      <c r="P75" s="43"/>
      <c r="Q75" s="43"/>
      <c r="R75" s="43"/>
      <c r="S75" s="43"/>
      <c r="T75" s="43"/>
      <c r="U75" s="43"/>
      <c r="V75" s="185"/>
    </row>
    <row r="76" spans="1:22" s="16" customFormat="1" ht="100.5" customHeight="1">
      <c r="A76" s="58" t="s">
        <v>68</v>
      </c>
      <c r="B76" s="76" t="s">
        <v>70</v>
      </c>
      <c r="C76" s="27"/>
      <c r="D76" s="59"/>
      <c r="E76" s="28"/>
      <c r="F76" s="32"/>
      <c r="G76" s="32"/>
      <c r="H76" s="27">
        <f>J76</f>
        <v>2255.49</v>
      </c>
      <c r="I76" s="28"/>
      <c r="J76" s="31">
        <f>643+92+537+400+300+226.4+66.89-9.8</f>
        <v>2255.49</v>
      </c>
      <c r="K76" s="32"/>
      <c r="L76" s="31"/>
      <c r="M76" s="27"/>
      <c r="N76" s="28"/>
      <c r="O76" s="45"/>
      <c r="P76" s="43"/>
      <c r="Q76" s="43"/>
      <c r="R76" s="43"/>
      <c r="S76" s="43"/>
      <c r="T76" s="43"/>
      <c r="U76" s="43"/>
      <c r="V76" s="185"/>
    </row>
    <row r="77" spans="1:22" s="16" customFormat="1" ht="207.75" customHeight="1">
      <c r="A77" s="58" t="s">
        <v>159</v>
      </c>
      <c r="B77" s="76" t="s">
        <v>158</v>
      </c>
      <c r="C77" s="27"/>
      <c r="D77" s="59"/>
      <c r="E77" s="28"/>
      <c r="F77" s="32"/>
      <c r="G77" s="32"/>
      <c r="H77" s="27">
        <f>L77+J77</f>
        <v>2992.65</v>
      </c>
      <c r="I77" s="28"/>
      <c r="J77" s="31">
        <f>9.8+86.55</f>
        <v>96.35</v>
      </c>
      <c r="K77" s="32"/>
      <c r="L77" s="31">
        <f>2.4+8.9+2885</f>
        <v>2896.3</v>
      </c>
      <c r="M77" s="27"/>
      <c r="N77" s="28"/>
      <c r="O77" s="45"/>
      <c r="P77" s="43"/>
      <c r="Q77" s="43"/>
      <c r="R77" s="43"/>
      <c r="S77" s="43"/>
      <c r="T77" s="43"/>
      <c r="U77" s="43"/>
      <c r="V77" s="185"/>
    </row>
    <row r="78" spans="1:22" s="16" customFormat="1" ht="62.25" customHeight="1">
      <c r="A78" s="39" t="s">
        <v>15</v>
      </c>
      <c r="B78" s="49"/>
      <c r="C78" s="8"/>
      <c r="D78" s="42"/>
      <c r="E78" s="41"/>
      <c r="F78" s="41"/>
      <c r="G78" s="41"/>
      <c r="H78" s="8"/>
      <c r="I78" s="42"/>
      <c r="J78" s="43"/>
      <c r="K78" s="41"/>
      <c r="L78" s="41"/>
      <c r="M78" s="8"/>
      <c r="N78" s="42"/>
      <c r="O78" s="43"/>
      <c r="P78" s="43"/>
      <c r="Q78" s="43"/>
      <c r="R78" s="43"/>
      <c r="S78" s="43"/>
      <c r="T78" s="43"/>
      <c r="U78" s="43"/>
      <c r="V78" s="185"/>
    </row>
    <row r="79" spans="1:22" s="16" customFormat="1" ht="33.75" customHeight="1">
      <c r="A79" s="34" t="s">
        <v>16</v>
      </c>
      <c r="B79" s="49"/>
      <c r="C79" s="8"/>
      <c r="D79" s="42"/>
      <c r="E79" s="41"/>
      <c r="F79" s="41"/>
      <c r="G79" s="41"/>
      <c r="H79" s="8"/>
      <c r="I79" s="42"/>
      <c r="J79" s="43"/>
      <c r="K79" s="41"/>
      <c r="L79" s="41"/>
      <c r="M79" s="8"/>
      <c r="N79" s="42"/>
      <c r="O79" s="43"/>
      <c r="P79" s="43"/>
      <c r="Q79" s="43"/>
      <c r="R79" s="43"/>
      <c r="S79" s="43"/>
      <c r="T79" s="43"/>
      <c r="U79" s="43"/>
      <c r="V79" s="185"/>
    </row>
    <row r="80" spans="1:22" s="16" customFormat="1" ht="54" customHeight="1">
      <c r="A80" s="39" t="s">
        <v>18</v>
      </c>
      <c r="B80" s="49"/>
      <c r="C80" s="27">
        <f>E80+F80+G80</f>
        <v>11230.197999999999</v>
      </c>
      <c r="D80" s="28"/>
      <c r="E80" s="31">
        <f>E75</f>
        <v>2043.113</v>
      </c>
      <c r="F80" s="31"/>
      <c r="G80" s="31">
        <f>G75</f>
        <v>9187.085</v>
      </c>
      <c r="H80" s="219">
        <f>H76+H77</f>
        <v>5248.139999999999</v>
      </c>
      <c r="I80" s="28"/>
      <c r="J80" s="28">
        <f>J76+J77</f>
        <v>2351.8399999999997</v>
      </c>
      <c r="K80" s="31"/>
      <c r="L80" s="31">
        <f>L77</f>
        <v>2896.3</v>
      </c>
      <c r="M80" s="27"/>
      <c r="N80" s="28"/>
      <c r="O80" s="31"/>
      <c r="P80" s="43"/>
      <c r="Q80" s="43"/>
      <c r="R80" s="43"/>
      <c r="S80" s="43"/>
      <c r="T80" s="43"/>
      <c r="U80" s="43"/>
      <c r="V80" s="185"/>
    </row>
    <row r="81" spans="1:22" s="16" customFormat="1" ht="23.25">
      <c r="A81" s="34" t="s">
        <v>10</v>
      </c>
      <c r="B81" s="49"/>
      <c r="C81" s="8"/>
      <c r="D81" s="42"/>
      <c r="E81" s="41"/>
      <c r="F81" s="41"/>
      <c r="G81" s="41"/>
      <c r="H81" s="8"/>
      <c r="I81" s="42"/>
      <c r="J81" s="41"/>
      <c r="K81" s="41"/>
      <c r="L81" s="41"/>
      <c r="M81" s="8"/>
      <c r="N81" s="42"/>
      <c r="O81" s="43"/>
      <c r="P81" s="43"/>
      <c r="Q81" s="43"/>
      <c r="R81" s="43"/>
      <c r="S81" s="43"/>
      <c r="T81" s="43"/>
      <c r="U81" s="43"/>
      <c r="V81" s="185"/>
    </row>
    <row r="82" spans="1:22" s="16" customFormat="1" ht="61.5" customHeight="1">
      <c r="A82" s="39" t="s">
        <v>74</v>
      </c>
      <c r="B82" s="49"/>
      <c r="C82" s="27">
        <f>1038.24+128+120+333.47+647.75+586.68+578.44+41.9+200+169.8+327.7+153.2+9.45</f>
        <v>4334.63</v>
      </c>
      <c r="D82" s="28"/>
      <c r="E82" s="31"/>
      <c r="F82" s="31"/>
      <c r="G82" s="31"/>
      <c r="H82" s="60">
        <f>214.2+30.4+178.8+133.3+100+105+333.1+439.76</f>
        <v>1534.5600000000002</v>
      </c>
      <c r="I82" s="28"/>
      <c r="J82" s="31"/>
      <c r="K82" s="31"/>
      <c r="L82" s="31"/>
      <c r="M82" s="60"/>
      <c r="N82" s="42"/>
      <c r="O82" s="43"/>
      <c r="P82" s="43"/>
      <c r="Q82" s="43"/>
      <c r="R82" s="43"/>
      <c r="S82" s="43"/>
      <c r="T82" s="43"/>
      <c r="U82" s="43"/>
      <c r="V82" s="185"/>
    </row>
    <row r="83" spans="1:22" s="16" customFormat="1" ht="61.5" customHeight="1">
      <c r="A83" s="39" t="s">
        <v>188</v>
      </c>
      <c r="B83" s="49"/>
      <c r="C83" s="27"/>
      <c r="D83" s="28"/>
      <c r="E83" s="31"/>
      <c r="F83" s="31"/>
      <c r="G83" s="31"/>
      <c r="H83" s="60">
        <f>10.93+4.6</f>
        <v>15.53</v>
      </c>
      <c r="I83" s="28"/>
      <c r="J83" s="31"/>
      <c r="K83" s="31"/>
      <c r="L83" s="31"/>
      <c r="M83" s="27"/>
      <c r="N83" s="42"/>
      <c r="O83" s="43"/>
      <c r="P83" s="43"/>
      <c r="Q83" s="43"/>
      <c r="R83" s="43"/>
      <c r="S83" s="43"/>
      <c r="T83" s="43"/>
      <c r="U83" s="43"/>
      <c r="V83" s="185"/>
    </row>
    <row r="84" spans="1:22" s="16" customFormat="1" ht="45">
      <c r="A84" s="34" t="s">
        <v>13</v>
      </c>
      <c r="B84" s="49"/>
      <c r="C84" s="8"/>
      <c r="D84" s="42"/>
      <c r="E84" s="41"/>
      <c r="F84" s="41"/>
      <c r="G84" s="41"/>
      <c r="H84" s="8"/>
      <c r="I84" s="42"/>
      <c r="J84" s="41"/>
      <c r="K84" s="41"/>
      <c r="L84" s="41"/>
      <c r="M84" s="8"/>
      <c r="N84" s="42"/>
      <c r="O84" s="43"/>
      <c r="P84" s="43"/>
      <c r="Q84" s="43"/>
      <c r="R84" s="43"/>
      <c r="S84" s="43"/>
      <c r="T84" s="43"/>
      <c r="U84" s="43"/>
      <c r="V84" s="185"/>
    </row>
    <row r="85" spans="1:22" s="16" customFormat="1" ht="82.5" customHeight="1">
      <c r="A85" s="39" t="s">
        <v>138</v>
      </c>
      <c r="B85" s="49"/>
      <c r="C85" s="60">
        <f>C75/C82</f>
        <v>2.5908089041048483</v>
      </c>
      <c r="D85" s="42"/>
      <c r="E85" s="42"/>
      <c r="F85" s="42"/>
      <c r="G85" s="42"/>
      <c r="H85" s="60">
        <f>H80/H82</f>
        <v>3.4199640287769775</v>
      </c>
      <c r="I85" s="42"/>
      <c r="J85" s="42"/>
      <c r="K85" s="42"/>
      <c r="L85" s="42"/>
      <c r="M85" s="61"/>
      <c r="N85" s="42"/>
      <c r="O85" s="43"/>
      <c r="P85" s="43"/>
      <c r="Q85" s="43"/>
      <c r="R85" s="43"/>
      <c r="S85" s="43"/>
      <c r="T85" s="43"/>
      <c r="U85" s="43"/>
      <c r="V85" s="185"/>
    </row>
    <row r="86" spans="1:22" s="16" customFormat="1" ht="25.5" customHeight="1">
      <c r="A86" s="34" t="s">
        <v>14</v>
      </c>
      <c r="B86" s="34"/>
      <c r="C86" s="8"/>
      <c r="D86" s="42"/>
      <c r="E86" s="42"/>
      <c r="F86" s="42"/>
      <c r="G86" s="42"/>
      <c r="H86" s="60"/>
      <c r="I86" s="42"/>
      <c r="J86" s="42"/>
      <c r="K86" s="42"/>
      <c r="L86" s="42"/>
      <c r="M86" s="61"/>
      <c r="N86" s="42"/>
      <c r="O86" s="43"/>
      <c r="P86" s="43"/>
      <c r="Q86" s="43"/>
      <c r="R86" s="43"/>
      <c r="S86" s="43"/>
      <c r="T86" s="43"/>
      <c r="U86" s="43"/>
      <c r="V86" s="185"/>
    </row>
    <row r="87" spans="1:22" s="16" customFormat="1" ht="75" customHeight="1">
      <c r="A87" s="39" t="s">
        <v>38</v>
      </c>
      <c r="B87" s="34"/>
      <c r="C87" s="60">
        <f>99.84+14.4+11.2+50.6+98.3+89.1+76.4+5.5+24+20.3+45.3+18.3+47.57</f>
        <v>600.8100000000001</v>
      </c>
      <c r="D87" s="143"/>
      <c r="E87" s="143"/>
      <c r="F87" s="143"/>
      <c r="G87" s="143"/>
      <c r="H87" s="60">
        <f>27+4+24+17+15+20+12.6+46.4+52.7</f>
        <v>218.7</v>
      </c>
      <c r="I87" s="143"/>
      <c r="J87" s="143"/>
      <c r="K87" s="143"/>
      <c r="L87" s="143"/>
      <c r="M87" s="60"/>
      <c r="N87" s="42"/>
      <c r="O87" s="43"/>
      <c r="P87" s="53"/>
      <c r="Q87" s="53"/>
      <c r="R87" s="53"/>
      <c r="S87" s="53"/>
      <c r="T87" s="43"/>
      <c r="U87" s="43"/>
      <c r="V87" s="185"/>
    </row>
    <row r="88" spans="1:23" s="55" customFormat="1" ht="57" customHeight="1">
      <c r="A88" s="39" t="s">
        <v>29</v>
      </c>
      <c r="B88" s="34"/>
      <c r="C88" s="63">
        <f>C75/(C87*0.86*1420.28*1.2*0.001)</f>
        <v>12.752536994905487</v>
      </c>
      <c r="D88" s="42"/>
      <c r="E88" s="42"/>
      <c r="F88" s="42"/>
      <c r="G88" s="42"/>
      <c r="H88" s="115">
        <f>H80/(H87*0.86*0.5*(1420.28+1282.67)*1.1*0.001)</f>
        <v>18.76970625458476</v>
      </c>
      <c r="I88" s="42"/>
      <c r="J88" s="42"/>
      <c r="K88" s="42"/>
      <c r="L88" s="42"/>
      <c r="M88" s="63"/>
      <c r="N88" s="42"/>
      <c r="O88" s="43"/>
      <c r="P88" s="43"/>
      <c r="Q88" s="43"/>
      <c r="R88" s="43"/>
      <c r="S88" s="43"/>
      <c r="T88" s="43"/>
      <c r="U88" s="43"/>
      <c r="V88" s="185"/>
      <c r="W88" s="54"/>
    </row>
    <row r="89" spans="1:22" s="23" customFormat="1" ht="23.25">
      <c r="A89" s="316" t="s">
        <v>57</v>
      </c>
      <c r="B89" s="317"/>
      <c r="C89" s="317"/>
      <c r="D89" s="317"/>
      <c r="E89" s="317"/>
      <c r="F89" s="317"/>
      <c r="G89" s="317"/>
      <c r="H89" s="317"/>
      <c r="I89" s="317"/>
      <c r="J89" s="317"/>
      <c r="K89" s="317"/>
      <c r="L89" s="317"/>
      <c r="M89" s="317"/>
      <c r="N89" s="317"/>
      <c r="O89" s="317"/>
      <c r="P89" s="317"/>
      <c r="Q89" s="317"/>
      <c r="R89" s="317"/>
      <c r="S89" s="318"/>
      <c r="T89" s="218"/>
      <c r="U89" s="218"/>
      <c r="V89" s="185"/>
    </row>
    <row r="90" spans="1:22" s="23" customFormat="1" ht="23.25">
      <c r="A90" s="316" t="s">
        <v>11</v>
      </c>
      <c r="B90" s="317"/>
      <c r="C90" s="317"/>
      <c r="D90" s="317"/>
      <c r="E90" s="317"/>
      <c r="F90" s="317"/>
      <c r="G90" s="317"/>
      <c r="H90" s="317"/>
      <c r="I90" s="317"/>
      <c r="J90" s="317"/>
      <c r="K90" s="317"/>
      <c r="L90" s="317"/>
      <c r="M90" s="317"/>
      <c r="N90" s="317"/>
      <c r="O90" s="317"/>
      <c r="P90" s="317"/>
      <c r="Q90" s="317"/>
      <c r="R90" s="317"/>
      <c r="S90" s="318"/>
      <c r="T90" s="218"/>
      <c r="U90" s="218"/>
      <c r="V90" s="185"/>
    </row>
    <row r="91" spans="1:22" s="23" customFormat="1" ht="102" customHeight="1">
      <c r="A91" s="8" t="s">
        <v>111</v>
      </c>
      <c r="B91" s="8">
        <v>1017410</v>
      </c>
      <c r="C91" s="64">
        <f>D91+F91</f>
        <v>513.408</v>
      </c>
      <c r="D91" s="138">
        <f>75+180</f>
        <v>255</v>
      </c>
      <c r="E91" s="71"/>
      <c r="F91" s="138">
        <f>50+50+50+98.6+9.808</f>
        <v>258.408</v>
      </c>
      <c r="G91" s="41"/>
      <c r="H91" s="63"/>
      <c r="I91" s="42"/>
      <c r="J91" s="41"/>
      <c r="K91" s="41"/>
      <c r="L91" s="41"/>
      <c r="M91" s="63"/>
      <c r="N91" s="42"/>
      <c r="O91" s="43"/>
      <c r="P91" s="43"/>
      <c r="Q91" s="43"/>
      <c r="R91" s="43"/>
      <c r="S91" s="43"/>
      <c r="T91" s="43"/>
      <c r="U91" s="43"/>
      <c r="V91" s="185"/>
    </row>
    <row r="92" spans="1:22" s="23" customFormat="1" ht="23.25">
      <c r="A92" s="39" t="s">
        <v>15</v>
      </c>
      <c r="B92" s="34"/>
      <c r="C92" s="63"/>
      <c r="D92" s="42"/>
      <c r="E92" s="41"/>
      <c r="F92" s="43"/>
      <c r="G92" s="41"/>
      <c r="H92" s="63"/>
      <c r="I92" s="42"/>
      <c r="J92" s="41"/>
      <c r="K92" s="41"/>
      <c r="L92" s="41"/>
      <c r="M92" s="63"/>
      <c r="N92" s="42"/>
      <c r="O92" s="43"/>
      <c r="P92" s="43"/>
      <c r="Q92" s="43"/>
      <c r="R92" s="43"/>
      <c r="S92" s="43"/>
      <c r="T92" s="43"/>
      <c r="U92" s="43"/>
      <c r="V92" s="185"/>
    </row>
    <row r="93" spans="1:22" s="23" customFormat="1" ht="46.5">
      <c r="A93" s="39" t="s">
        <v>18</v>
      </c>
      <c r="B93" s="34"/>
      <c r="C93" s="65">
        <f>C91</f>
        <v>513.408</v>
      </c>
      <c r="D93" s="50">
        <f>D91</f>
        <v>255</v>
      </c>
      <c r="E93" s="61"/>
      <c r="F93" s="137">
        <f>50+50+50+98.6+9.808</f>
        <v>258.408</v>
      </c>
      <c r="G93" s="41"/>
      <c r="H93" s="63"/>
      <c r="I93" s="42"/>
      <c r="J93" s="41"/>
      <c r="K93" s="41"/>
      <c r="L93" s="41"/>
      <c r="M93" s="63"/>
      <c r="N93" s="42"/>
      <c r="O93" s="43"/>
      <c r="P93" s="43"/>
      <c r="Q93" s="43"/>
      <c r="R93" s="43"/>
      <c r="S93" s="43"/>
      <c r="T93" s="43"/>
      <c r="U93" s="43"/>
      <c r="V93" s="185"/>
    </row>
    <row r="94" spans="1:22" s="23" customFormat="1" ht="23.25">
      <c r="A94" s="34" t="s">
        <v>10</v>
      </c>
      <c r="B94" s="34"/>
      <c r="C94" s="63"/>
      <c r="D94" s="42"/>
      <c r="E94" s="41"/>
      <c r="F94" s="41"/>
      <c r="G94" s="41"/>
      <c r="H94" s="63"/>
      <c r="I94" s="42"/>
      <c r="J94" s="41"/>
      <c r="K94" s="41"/>
      <c r="L94" s="41"/>
      <c r="M94" s="63"/>
      <c r="N94" s="42"/>
      <c r="O94" s="43"/>
      <c r="P94" s="43"/>
      <c r="Q94" s="43"/>
      <c r="R94" s="43"/>
      <c r="S94" s="43"/>
      <c r="T94" s="43"/>
      <c r="U94" s="43"/>
      <c r="V94" s="185"/>
    </row>
    <row r="95" spans="1:22" s="23" customFormat="1" ht="57.75" customHeight="1">
      <c r="A95" s="39" t="s">
        <v>74</v>
      </c>
      <c r="B95" s="34"/>
      <c r="C95" s="63">
        <f>30+49.5+28+28+74+5+9.45+92.5</f>
        <v>316.45</v>
      </c>
      <c r="D95" s="42"/>
      <c r="E95" s="41"/>
      <c r="F95" s="41"/>
      <c r="G95" s="41"/>
      <c r="H95" s="63"/>
      <c r="I95" s="42"/>
      <c r="J95" s="41"/>
      <c r="K95" s="41"/>
      <c r="L95" s="41"/>
      <c r="M95" s="63"/>
      <c r="N95" s="42"/>
      <c r="O95" s="43"/>
      <c r="P95" s="43"/>
      <c r="Q95" s="43"/>
      <c r="R95" s="43"/>
      <c r="S95" s="43"/>
      <c r="T95" s="43"/>
      <c r="U95" s="43"/>
      <c r="V95" s="185"/>
    </row>
    <row r="96" spans="1:22" s="23" customFormat="1" ht="45">
      <c r="A96" s="34" t="s">
        <v>13</v>
      </c>
      <c r="B96" s="34"/>
      <c r="C96" s="63"/>
      <c r="D96" s="42"/>
      <c r="E96" s="41"/>
      <c r="F96" s="41"/>
      <c r="G96" s="41"/>
      <c r="H96" s="63"/>
      <c r="I96" s="42"/>
      <c r="J96" s="41"/>
      <c r="K96" s="41"/>
      <c r="L96" s="41"/>
      <c r="M96" s="63"/>
      <c r="N96" s="42"/>
      <c r="O96" s="43"/>
      <c r="P96" s="43"/>
      <c r="Q96" s="43"/>
      <c r="R96" s="43"/>
      <c r="S96" s="43"/>
      <c r="T96" s="43"/>
      <c r="U96" s="43"/>
      <c r="V96" s="185"/>
    </row>
    <row r="97" spans="1:22" s="23" customFormat="1" ht="78.75">
      <c r="A97" s="39" t="s">
        <v>187</v>
      </c>
      <c r="B97" s="34"/>
      <c r="C97" s="60">
        <f>C91/C95</f>
        <v>1.6223984831726972</v>
      </c>
      <c r="D97" s="42"/>
      <c r="E97" s="41"/>
      <c r="F97" s="41"/>
      <c r="G97" s="41"/>
      <c r="H97" s="63"/>
      <c r="I97" s="42"/>
      <c r="J97" s="41"/>
      <c r="K97" s="41"/>
      <c r="L97" s="41"/>
      <c r="M97" s="63"/>
      <c r="N97" s="42"/>
      <c r="O97" s="43"/>
      <c r="P97" s="43"/>
      <c r="Q97" s="43"/>
      <c r="R97" s="43"/>
      <c r="S97" s="43"/>
      <c r="T97" s="43"/>
      <c r="U97" s="43"/>
      <c r="V97" s="185"/>
    </row>
    <row r="98" spans="1:22" s="23" customFormat="1" ht="23.25">
      <c r="A98" s="34" t="s">
        <v>14</v>
      </c>
      <c r="B98" s="34"/>
      <c r="C98" s="63"/>
      <c r="D98" s="42"/>
      <c r="E98" s="41"/>
      <c r="F98" s="41"/>
      <c r="G98" s="41"/>
      <c r="H98" s="63"/>
      <c r="I98" s="42"/>
      <c r="J98" s="41"/>
      <c r="K98" s="41"/>
      <c r="L98" s="41"/>
      <c r="M98" s="63"/>
      <c r="N98" s="42"/>
      <c r="O98" s="43"/>
      <c r="P98" s="43"/>
      <c r="Q98" s="43"/>
      <c r="R98" s="43"/>
      <c r="S98" s="43"/>
      <c r="T98" s="43"/>
      <c r="U98" s="43"/>
      <c r="V98" s="185"/>
    </row>
    <row r="99" spans="1:22" s="23" customFormat="1" ht="68.25" customHeight="1">
      <c r="A99" s="39" t="s">
        <v>128</v>
      </c>
      <c r="B99" s="34"/>
      <c r="C99" s="60">
        <f>9.3+3.1+3.5+5.9+1.37+10.5</f>
        <v>33.67</v>
      </c>
      <c r="D99" s="42"/>
      <c r="E99" s="41"/>
      <c r="F99" s="41"/>
      <c r="G99" s="41"/>
      <c r="H99" s="63"/>
      <c r="I99" s="42"/>
      <c r="J99" s="41"/>
      <c r="K99" s="41"/>
      <c r="L99" s="41"/>
      <c r="M99" s="63"/>
      <c r="N99" s="42"/>
      <c r="O99" s="43"/>
      <c r="P99" s="43"/>
      <c r="Q99" s="43"/>
      <c r="R99" s="43"/>
      <c r="S99" s="43"/>
      <c r="T99" s="43"/>
      <c r="U99" s="43"/>
      <c r="V99" s="185"/>
    </row>
    <row r="100" spans="1:22" s="23" customFormat="1" ht="56.25" customHeight="1">
      <c r="A100" s="39" t="s">
        <v>29</v>
      </c>
      <c r="B100" s="34"/>
      <c r="C100" s="63">
        <f>C91/((C99*1.42028*1.2*0.86))</f>
        <v>10.403173618288097</v>
      </c>
      <c r="D100" s="42"/>
      <c r="E100" s="41"/>
      <c r="F100" s="41"/>
      <c r="G100" s="41"/>
      <c r="H100" s="63"/>
      <c r="I100" s="42"/>
      <c r="J100" s="41"/>
      <c r="K100" s="41"/>
      <c r="L100" s="41"/>
      <c r="M100" s="63"/>
      <c r="N100" s="42"/>
      <c r="O100" s="43"/>
      <c r="P100" s="43"/>
      <c r="Q100" s="43"/>
      <c r="R100" s="43"/>
      <c r="S100" s="43"/>
      <c r="T100" s="43"/>
      <c r="U100" s="43"/>
      <c r="V100" s="185"/>
    </row>
    <row r="101" spans="1:22" s="16" customFormat="1" ht="23.25">
      <c r="A101" s="321" t="s">
        <v>30</v>
      </c>
      <c r="B101" s="322"/>
      <c r="C101" s="322"/>
      <c r="D101" s="322"/>
      <c r="E101" s="322"/>
      <c r="F101" s="322"/>
      <c r="G101" s="322"/>
      <c r="H101" s="322"/>
      <c r="I101" s="322"/>
      <c r="J101" s="322"/>
      <c r="K101" s="322"/>
      <c r="L101" s="322"/>
      <c r="M101" s="322"/>
      <c r="N101" s="322"/>
      <c r="O101" s="322"/>
      <c r="P101" s="322"/>
      <c r="Q101" s="322"/>
      <c r="R101" s="322"/>
      <c r="S101" s="323"/>
      <c r="T101" s="131"/>
      <c r="U101" s="131"/>
      <c r="V101" s="185"/>
    </row>
    <row r="102" spans="1:22" s="16" customFormat="1" ht="23.25">
      <c r="A102" s="18" t="s">
        <v>11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9"/>
      <c r="T102" s="131"/>
      <c r="U102" s="131"/>
      <c r="V102" s="185"/>
    </row>
    <row r="103" spans="1:22" s="16" customFormat="1" ht="96" customHeight="1">
      <c r="A103" s="8" t="s">
        <v>111</v>
      </c>
      <c r="B103" s="8">
        <v>1017410</v>
      </c>
      <c r="C103" s="27">
        <f>E103+G103</f>
        <v>983.5</v>
      </c>
      <c r="D103" s="28"/>
      <c r="E103" s="28">
        <f>970+13.5</f>
        <v>983.5</v>
      </c>
      <c r="F103" s="27"/>
      <c r="G103" s="27"/>
      <c r="H103" s="8"/>
      <c r="I103" s="42"/>
      <c r="J103" s="42"/>
      <c r="K103" s="41"/>
      <c r="L103" s="41"/>
      <c r="M103" s="8"/>
      <c r="N103" s="42"/>
      <c r="O103" s="43"/>
      <c r="P103" s="43"/>
      <c r="Q103" s="43"/>
      <c r="R103" s="43"/>
      <c r="S103" s="43"/>
      <c r="T103" s="43"/>
      <c r="U103" s="43"/>
      <c r="V103" s="185"/>
    </row>
    <row r="104" spans="1:22" s="16" customFormat="1" ht="105" customHeight="1">
      <c r="A104" s="8" t="s">
        <v>68</v>
      </c>
      <c r="B104" s="67" t="s">
        <v>70</v>
      </c>
      <c r="C104" s="27"/>
      <c r="D104" s="28"/>
      <c r="E104" s="28"/>
      <c r="F104" s="27"/>
      <c r="G104" s="27"/>
      <c r="H104" s="142">
        <f>H107</f>
        <v>3694.5069999999996</v>
      </c>
      <c r="I104" s="143"/>
      <c r="J104" s="143">
        <f>J107</f>
        <v>3694.5069999999996</v>
      </c>
      <c r="K104" s="41"/>
      <c r="L104" s="41"/>
      <c r="M104" s="8">
        <f>O104</f>
        <v>4000</v>
      </c>
      <c r="N104" s="42"/>
      <c r="O104" s="42">
        <f>1500+2500</f>
        <v>4000</v>
      </c>
      <c r="P104" s="43"/>
      <c r="Q104" s="43"/>
      <c r="R104" s="43"/>
      <c r="S104" s="43"/>
      <c r="T104" s="43"/>
      <c r="U104" s="43"/>
      <c r="V104" s="185"/>
    </row>
    <row r="105" spans="1:22" s="16" customFormat="1" ht="23.25">
      <c r="A105" s="39" t="s">
        <v>15</v>
      </c>
      <c r="B105" s="8"/>
      <c r="C105" s="8"/>
      <c r="D105" s="42"/>
      <c r="E105" s="42"/>
      <c r="F105" s="8"/>
      <c r="G105" s="8"/>
      <c r="H105" s="8"/>
      <c r="I105" s="42"/>
      <c r="J105" s="42"/>
      <c r="K105" s="41"/>
      <c r="L105" s="41"/>
      <c r="M105" s="8"/>
      <c r="N105" s="42"/>
      <c r="O105" s="42"/>
      <c r="P105" s="43"/>
      <c r="Q105" s="43"/>
      <c r="R105" s="43"/>
      <c r="S105" s="43"/>
      <c r="T105" s="43"/>
      <c r="U105" s="43"/>
      <c r="V105" s="185"/>
    </row>
    <row r="106" spans="1:22" s="16" customFormat="1" ht="23.25">
      <c r="A106" s="34" t="s">
        <v>16</v>
      </c>
      <c r="B106" s="8"/>
      <c r="C106" s="8"/>
      <c r="D106" s="42"/>
      <c r="E106" s="42"/>
      <c r="F106" s="8"/>
      <c r="G106" s="8"/>
      <c r="H106" s="8"/>
      <c r="I106" s="42"/>
      <c r="J106" s="42"/>
      <c r="K106" s="41"/>
      <c r="L106" s="41"/>
      <c r="M106" s="8"/>
      <c r="N106" s="42"/>
      <c r="O106" s="42"/>
      <c r="P106" s="43"/>
      <c r="Q106" s="43"/>
      <c r="R106" s="43"/>
      <c r="S106" s="43"/>
      <c r="T106" s="43"/>
      <c r="U106" s="43"/>
      <c r="V106" s="185"/>
    </row>
    <row r="107" spans="1:22" s="16" customFormat="1" ht="53.25" customHeight="1">
      <c r="A107" s="39" t="s">
        <v>18</v>
      </c>
      <c r="B107" s="8"/>
      <c r="C107" s="142">
        <f>E107+G107</f>
        <v>983.5</v>
      </c>
      <c r="D107" s="139"/>
      <c r="E107" s="143">
        <f>E103</f>
        <v>983.5</v>
      </c>
      <c r="F107" s="139"/>
      <c r="G107" s="139"/>
      <c r="H107" s="140">
        <f>J107</f>
        <v>3694.5069999999996</v>
      </c>
      <c r="I107" s="141"/>
      <c r="J107" s="141">
        <f>2100+205+2000+389.507-1000</f>
        <v>3694.5069999999996</v>
      </c>
      <c r="K107" s="8"/>
      <c r="L107" s="41"/>
      <c r="M107" s="8">
        <f>O107</f>
        <v>4000</v>
      </c>
      <c r="N107" s="42"/>
      <c r="O107" s="42">
        <f>O104</f>
        <v>4000</v>
      </c>
      <c r="P107" s="43"/>
      <c r="Q107" s="43"/>
      <c r="R107" s="43"/>
      <c r="S107" s="43"/>
      <c r="T107" s="43"/>
      <c r="U107" s="43"/>
      <c r="V107" s="185"/>
    </row>
    <row r="108" spans="1:22" s="16" customFormat="1" ht="46.5" customHeight="1">
      <c r="A108" s="34" t="s">
        <v>10</v>
      </c>
      <c r="B108" s="8"/>
      <c r="C108" s="8"/>
      <c r="D108" s="42"/>
      <c r="E108" s="8"/>
      <c r="F108" s="8"/>
      <c r="G108" s="8"/>
      <c r="H108" s="8"/>
      <c r="I108" s="42"/>
      <c r="J108" s="42"/>
      <c r="K108" s="8"/>
      <c r="L108" s="41"/>
      <c r="M108" s="8"/>
      <c r="N108" s="42"/>
      <c r="O108" s="42"/>
      <c r="P108" s="43"/>
      <c r="Q108" s="43"/>
      <c r="R108" s="43"/>
      <c r="S108" s="43"/>
      <c r="T108" s="43"/>
      <c r="U108" s="43"/>
      <c r="V108" s="185"/>
    </row>
    <row r="109" spans="1:22" s="16" customFormat="1" ht="51">
      <c r="A109" s="39" t="s">
        <v>75</v>
      </c>
      <c r="B109" s="8"/>
      <c r="C109" s="142">
        <f>E109+G109</f>
        <v>850</v>
      </c>
      <c r="D109" s="139"/>
      <c r="E109" s="143">
        <v>850</v>
      </c>
      <c r="F109" s="87"/>
      <c r="G109" s="87"/>
      <c r="H109" s="87">
        <f>1710+1667</f>
        <v>3377</v>
      </c>
      <c r="I109" s="139"/>
      <c r="J109" s="139">
        <v>3377</v>
      </c>
      <c r="K109" s="8"/>
      <c r="L109" s="41"/>
      <c r="M109" s="8">
        <f>O109</f>
        <v>3540</v>
      </c>
      <c r="N109" s="42"/>
      <c r="O109" s="42">
        <f>1318+2222</f>
        <v>3540</v>
      </c>
      <c r="P109" s="43"/>
      <c r="Q109" s="43"/>
      <c r="R109" s="43"/>
      <c r="S109" s="43"/>
      <c r="T109" s="43"/>
      <c r="U109" s="43"/>
      <c r="V109" s="185"/>
    </row>
    <row r="110" spans="1:22" s="16" customFormat="1" ht="45">
      <c r="A110" s="34" t="s">
        <v>13</v>
      </c>
      <c r="B110" s="34"/>
      <c r="C110" s="8"/>
      <c r="D110" s="42"/>
      <c r="E110" s="8"/>
      <c r="F110" s="8"/>
      <c r="G110" s="8"/>
      <c r="H110" s="8"/>
      <c r="I110" s="42"/>
      <c r="J110" s="8"/>
      <c r="K110" s="8"/>
      <c r="L110" s="41"/>
      <c r="M110" s="8"/>
      <c r="N110" s="42"/>
      <c r="O110" s="43"/>
      <c r="P110" s="43"/>
      <c r="Q110" s="43"/>
      <c r="R110" s="43"/>
      <c r="S110" s="43"/>
      <c r="T110" s="43"/>
      <c r="U110" s="43"/>
      <c r="V110" s="185"/>
    </row>
    <row r="111" spans="1:22" s="16" customFormat="1" ht="97.5">
      <c r="A111" s="39" t="s">
        <v>76</v>
      </c>
      <c r="B111" s="34"/>
      <c r="C111" s="60">
        <f>C107/C109</f>
        <v>1.1570588235294117</v>
      </c>
      <c r="D111" s="42"/>
      <c r="E111" s="42"/>
      <c r="F111" s="42"/>
      <c r="G111" s="42"/>
      <c r="H111" s="60">
        <f>H107/H109</f>
        <v>1.0940204323363931</v>
      </c>
      <c r="I111" s="42"/>
      <c r="J111" s="8"/>
      <c r="K111" s="8"/>
      <c r="L111" s="41"/>
      <c r="M111" s="61">
        <f>O111</f>
        <v>1.1299435028248588</v>
      </c>
      <c r="N111" s="238"/>
      <c r="O111" s="50">
        <f>O104/O109</f>
        <v>1.1299435028248588</v>
      </c>
      <c r="P111" s="43"/>
      <c r="Q111" s="43"/>
      <c r="R111" s="43"/>
      <c r="S111" s="43"/>
      <c r="T111" s="43"/>
      <c r="U111" s="43"/>
      <c r="V111" s="185"/>
    </row>
    <row r="112" spans="1:22" s="16" customFormat="1" ht="23.25">
      <c r="A112" s="34" t="s">
        <v>14</v>
      </c>
      <c r="B112" s="34"/>
      <c r="C112" s="8"/>
      <c r="D112" s="42"/>
      <c r="E112" s="42"/>
      <c r="F112" s="42"/>
      <c r="G112" s="42"/>
      <c r="H112" s="8"/>
      <c r="I112" s="42"/>
      <c r="J112" s="8"/>
      <c r="K112" s="8"/>
      <c r="L112" s="41"/>
      <c r="M112" s="8"/>
      <c r="N112" s="42"/>
      <c r="O112" s="43"/>
      <c r="P112" s="43"/>
      <c r="Q112" s="43"/>
      <c r="R112" s="43"/>
      <c r="S112" s="43"/>
      <c r="T112" s="43"/>
      <c r="U112" s="43"/>
      <c r="V112" s="185"/>
    </row>
    <row r="113" spans="1:22" s="16" customFormat="1" ht="69.75">
      <c r="A113" s="242" t="s">
        <v>36</v>
      </c>
      <c r="B113" s="34"/>
      <c r="C113" s="8">
        <f>52</f>
        <v>52</v>
      </c>
      <c r="D113" s="42"/>
      <c r="E113" s="42"/>
      <c r="F113" s="42"/>
      <c r="G113" s="42"/>
      <c r="H113" s="8">
        <f>257+82.05+73</f>
        <v>412.05</v>
      </c>
      <c r="I113" s="42"/>
      <c r="J113" s="8"/>
      <c r="K113" s="8"/>
      <c r="L113" s="41"/>
      <c r="M113" s="8">
        <f>82.05+90</f>
        <v>172.05</v>
      </c>
      <c r="N113" s="42"/>
      <c r="O113" s="50">
        <v>172.05</v>
      </c>
      <c r="P113" s="53"/>
      <c r="Q113" s="53"/>
      <c r="R113" s="53"/>
      <c r="S113" s="53"/>
      <c r="T113" s="43"/>
      <c r="U113" s="43"/>
      <c r="V113" s="185"/>
    </row>
    <row r="114" spans="1:23" s="55" customFormat="1" ht="57.75" customHeight="1">
      <c r="A114" s="39" t="s">
        <v>29</v>
      </c>
      <c r="B114" s="34"/>
      <c r="C114" s="63">
        <f>C103/(C113*0.86*1420.28*1.2*0.001)</f>
        <v>12.903791938764408</v>
      </c>
      <c r="D114" s="42"/>
      <c r="E114" s="42"/>
      <c r="F114" s="42"/>
      <c r="G114" s="42"/>
      <c r="H114" s="63">
        <f>H107/(H113*0.86*0.5*1.1*(1420.28+1282.67)*0.001)</f>
        <v>7.013057868031381</v>
      </c>
      <c r="I114" s="63"/>
      <c r="J114" s="63"/>
      <c r="K114" s="63"/>
      <c r="L114" s="63"/>
      <c r="M114" s="63">
        <f>M107/(M113*0.86*0.5*1.1*(1758.6+1205.27)*0.001)</f>
        <v>16.58383708609191</v>
      </c>
      <c r="N114" s="63"/>
      <c r="O114" s="47">
        <v>16.58383708609191</v>
      </c>
      <c r="P114" s="43"/>
      <c r="Q114" s="43"/>
      <c r="R114" s="43"/>
      <c r="S114" s="43"/>
      <c r="T114" s="43"/>
      <c r="U114" s="43"/>
      <c r="V114" s="185"/>
      <c r="W114" s="54"/>
    </row>
    <row r="115" spans="1:22" s="23" customFormat="1" ht="33.75" customHeight="1">
      <c r="A115" s="295" t="s">
        <v>108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9"/>
      <c r="V115" s="185"/>
    </row>
    <row r="116" spans="1:22" s="23" customFormat="1" ht="33.75" customHeight="1">
      <c r="A116" s="293" t="s">
        <v>11</v>
      </c>
      <c r="B116" s="294"/>
      <c r="C116" s="294"/>
      <c r="D116" s="294"/>
      <c r="E116" s="294"/>
      <c r="F116" s="294"/>
      <c r="G116" s="294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339"/>
      <c r="V116" s="185"/>
    </row>
    <row r="117" spans="1:22" s="23" customFormat="1" ht="100.5" customHeight="1">
      <c r="A117" s="8" t="s">
        <v>82</v>
      </c>
      <c r="B117" s="27">
        <v>1017410</v>
      </c>
      <c r="C117" s="27">
        <f>E117+G117</f>
        <v>337</v>
      </c>
      <c r="D117" s="27"/>
      <c r="E117" s="28">
        <v>200</v>
      </c>
      <c r="F117" s="28"/>
      <c r="G117" s="28">
        <v>137</v>
      </c>
      <c r="H117" s="144"/>
      <c r="I117" s="144"/>
      <c r="J117" s="144"/>
      <c r="K117" s="27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185"/>
    </row>
    <row r="118" spans="1:22" s="23" customFormat="1" ht="100.5" customHeight="1">
      <c r="A118" s="8" t="s">
        <v>68</v>
      </c>
      <c r="B118" s="27" t="s">
        <v>80</v>
      </c>
      <c r="C118" s="27"/>
      <c r="D118" s="27"/>
      <c r="E118" s="27"/>
      <c r="F118" s="27"/>
      <c r="G118" s="27"/>
      <c r="H118" s="27">
        <f>1021+3500-205</f>
        <v>4316</v>
      </c>
      <c r="I118" s="27"/>
      <c r="J118" s="28">
        <f>H118</f>
        <v>4316</v>
      </c>
      <c r="K118" s="28"/>
      <c r="L118" s="160"/>
      <c r="M118" s="60">
        <f>O118</f>
        <v>200</v>
      </c>
      <c r="N118" s="60"/>
      <c r="O118" s="244">
        <v>200</v>
      </c>
      <c r="P118" s="70"/>
      <c r="Q118" s="70"/>
      <c r="R118" s="70"/>
      <c r="S118" s="70"/>
      <c r="T118" s="70"/>
      <c r="U118" s="70"/>
      <c r="V118" s="185"/>
    </row>
    <row r="119" spans="1:22" s="23" customFormat="1" ht="208.5" customHeight="1">
      <c r="A119" s="8" t="s">
        <v>159</v>
      </c>
      <c r="B119" s="27"/>
      <c r="C119" s="27"/>
      <c r="D119" s="27"/>
      <c r="E119" s="27"/>
      <c r="F119" s="27"/>
      <c r="G119" s="27"/>
      <c r="H119" s="27">
        <f>J119+L119</f>
        <v>2976.7</v>
      </c>
      <c r="I119" s="27"/>
      <c r="J119" s="28">
        <f>43.35+43.35</f>
        <v>86.7</v>
      </c>
      <c r="K119" s="28"/>
      <c r="L119" s="143">
        <f>1445+1445</f>
        <v>2890</v>
      </c>
      <c r="M119" s="70"/>
      <c r="N119" s="70"/>
      <c r="O119" s="70"/>
      <c r="P119" s="70"/>
      <c r="Q119" s="70"/>
      <c r="R119" s="70"/>
      <c r="S119" s="70"/>
      <c r="T119" s="70"/>
      <c r="U119" s="70"/>
      <c r="V119" s="185"/>
    </row>
    <row r="120" spans="1:22" s="23" customFormat="1" ht="24" customHeight="1">
      <c r="A120" s="160" t="s">
        <v>15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185"/>
    </row>
    <row r="121" spans="1:22" s="23" customFormat="1" ht="33.75" customHeight="1">
      <c r="A121" s="34" t="s">
        <v>16</v>
      </c>
      <c r="B121" s="27"/>
      <c r="C121" s="27"/>
      <c r="D121" s="28"/>
      <c r="E121" s="27"/>
      <c r="F121" s="27"/>
      <c r="G121" s="27"/>
      <c r="H121" s="27"/>
      <c r="I121" s="28"/>
      <c r="J121" s="27"/>
      <c r="K121" s="27"/>
      <c r="L121" s="41"/>
      <c r="M121" s="8"/>
      <c r="N121" s="42"/>
      <c r="O121" s="43"/>
      <c r="P121" s="43"/>
      <c r="Q121" s="43"/>
      <c r="R121" s="43"/>
      <c r="S121" s="43"/>
      <c r="T121" s="43"/>
      <c r="U121" s="43"/>
      <c r="V121" s="185"/>
    </row>
    <row r="122" spans="1:22" s="23" customFormat="1" ht="48.75" customHeight="1">
      <c r="A122" s="39" t="s">
        <v>18</v>
      </c>
      <c r="B122" s="27"/>
      <c r="C122" s="27">
        <v>337</v>
      </c>
      <c r="D122" s="28"/>
      <c r="E122" s="28">
        <v>200</v>
      </c>
      <c r="F122" s="28"/>
      <c r="G122" s="28">
        <v>137</v>
      </c>
      <c r="H122" s="27">
        <f>H118+H119</f>
        <v>7292.7</v>
      </c>
      <c r="I122" s="28"/>
      <c r="J122" s="28">
        <f>J118+J119</f>
        <v>4402.7</v>
      </c>
      <c r="K122" s="28"/>
      <c r="L122" s="43">
        <f>L119</f>
        <v>2890</v>
      </c>
      <c r="M122" s="60">
        <v>200</v>
      </c>
      <c r="N122" s="6"/>
      <c r="O122" s="60">
        <v>200</v>
      </c>
      <c r="P122" s="43"/>
      <c r="Q122" s="43"/>
      <c r="R122" s="43"/>
      <c r="S122" s="43"/>
      <c r="T122" s="43"/>
      <c r="U122" s="43"/>
      <c r="V122" s="185"/>
    </row>
    <row r="123" spans="1:22" s="23" customFormat="1" ht="32.25" customHeight="1">
      <c r="A123" s="72" t="s">
        <v>10</v>
      </c>
      <c r="B123" s="27"/>
      <c r="C123" s="27"/>
      <c r="D123" s="28"/>
      <c r="E123" s="27"/>
      <c r="F123" s="27"/>
      <c r="G123" s="27"/>
      <c r="H123" s="27"/>
      <c r="I123" s="28"/>
      <c r="J123" s="27"/>
      <c r="K123" s="27"/>
      <c r="L123" s="41"/>
      <c r="M123" s="8"/>
      <c r="N123" s="42"/>
      <c r="O123" s="8"/>
      <c r="P123" s="43"/>
      <c r="Q123" s="43"/>
      <c r="R123" s="43"/>
      <c r="S123" s="43"/>
      <c r="T123" s="43"/>
      <c r="U123" s="43"/>
      <c r="V123" s="185"/>
    </row>
    <row r="124" spans="1:22" s="23" customFormat="1" ht="50.25" customHeight="1">
      <c r="A124" s="39" t="s">
        <v>83</v>
      </c>
      <c r="B124" s="27"/>
      <c r="C124" s="27">
        <v>734</v>
      </c>
      <c r="D124" s="28"/>
      <c r="E124" s="28"/>
      <c r="F124" s="28"/>
      <c r="G124" s="28"/>
      <c r="H124" s="27">
        <f>3450+983+1094+1092.2</f>
        <v>6619.2</v>
      </c>
      <c r="I124" s="28"/>
      <c r="J124" s="27"/>
      <c r="K124" s="27"/>
      <c r="L124" s="41"/>
      <c r="M124" s="60">
        <v>135</v>
      </c>
      <c r="N124" s="6"/>
      <c r="O124" s="60">
        <v>135</v>
      </c>
      <c r="P124" s="43"/>
      <c r="Q124" s="43"/>
      <c r="R124" s="43"/>
      <c r="S124" s="43"/>
      <c r="T124" s="43"/>
      <c r="U124" s="43"/>
      <c r="V124" s="185"/>
    </row>
    <row r="125" spans="1:22" s="23" customFormat="1" ht="57.75" customHeight="1">
      <c r="A125" s="34" t="s">
        <v>13</v>
      </c>
      <c r="B125" s="27"/>
      <c r="C125" s="27"/>
      <c r="D125" s="28"/>
      <c r="E125" s="28"/>
      <c r="F125" s="28"/>
      <c r="G125" s="28"/>
      <c r="H125" s="27"/>
      <c r="I125" s="28"/>
      <c r="J125" s="27"/>
      <c r="K125" s="27"/>
      <c r="L125" s="41"/>
      <c r="M125" s="8"/>
      <c r="N125" s="42"/>
      <c r="O125" s="8"/>
      <c r="P125" s="43"/>
      <c r="Q125" s="43"/>
      <c r="R125" s="43"/>
      <c r="S125" s="43"/>
      <c r="T125" s="43"/>
      <c r="U125" s="43"/>
      <c r="V125" s="185"/>
    </row>
    <row r="126" spans="1:22" s="23" customFormat="1" ht="70.5" customHeight="1">
      <c r="A126" s="39" t="s">
        <v>58</v>
      </c>
      <c r="B126" s="27"/>
      <c r="C126" s="27">
        <f>C122/C124</f>
        <v>0.4591280653950954</v>
      </c>
      <c r="D126" s="28"/>
      <c r="E126" s="28"/>
      <c r="F126" s="28"/>
      <c r="G126" s="28"/>
      <c r="H126" s="27">
        <f>H118/H124</f>
        <v>0.6520425429054871</v>
      </c>
      <c r="I126" s="28"/>
      <c r="J126" s="27"/>
      <c r="K126" s="27"/>
      <c r="L126" s="41"/>
      <c r="M126" s="60">
        <f>M122/M124</f>
        <v>1.4814814814814814</v>
      </c>
      <c r="N126" s="42"/>
      <c r="O126" s="60">
        <f>O122/O124</f>
        <v>1.4814814814814814</v>
      </c>
      <c r="P126" s="43"/>
      <c r="Q126" s="43"/>
      <c r="R126" s="43"/>
      <c r="S126" s="43"/>
      <c r="T126" s="43"/>
      <c r="U126" s="43"/>
      <c r="V126" s="185"/>
    </row>
    <row r="127" spans="1:22" s="23" customFormat="1" ht="37.5" customHeight="1">
      <c r="A127" s="34" t="s">
        <v>14</v>
      </c>
      <c r="B127" s="27"/>
      <c r="C127" s="27"/>
      <c r="D127" s="28"/>
      <c r="E127" s="28"/>
      <c r="F127" s="28"/>
      <c r="G127" s="28"/>
      <c r="H127" s="27"/>
      <c r="I127" s="28"/>
      <c r="J127" s="27"/>
      <c r="K127" s="27"/>
      <c r="L127" s="41"/>
      <c r="M127" s="8"/>
      <c r="N127" s="42"/>
      <c r="O127" s="8"/>
      <c r="P127" s="43"/>
      <c r="Q127" s="43"/>
      <c r="R127" s="43"/>
      <c r="S127" s="43"/>
      <c r="T127" s="43"/>
      <c r="U127" s="43"/>
      <c r="V127" s="185"/>
    </row>
    <row r="128" spans="1:22" s="23" customFormat="1" ht="70.5" customHeight="1">
      <c r="A128" s="39" t="s">
        <v>36</v>
      </c>
      <c r="B128" s="27"/>
      <c r="C128" s="27">
        <v>40.6</v>
      </c>
      <c r="D128" s="28"/>
      <c r="E128" s="28"/>
      <c r="F128" s="28"/>
      <c r="G128" s="28"/>
      <c r="H128" s="27">
        <f>257+73+63.2+58.8</f>
        <v>452</v>
      </c>
      <c r="I128" s="28"/>
      <c r="J128" s="27"/>
      <c r="K128" s="27"/>
      <c r="L128" s="41"/>
      <c r="M128" s="8">
        <v>73</v>
      </c>
      <c r="N128" s="42"/>
      <c r="O128" s="8">
        <v>73</v>
      </c>
      <c r="P128" s="43"/>
      <c r="Q128" s="43"/>
      <c r="R128" s="43"/>
      <c r="S128" s="43"/>
      <c r="T128" s="43"/>
      <c r="U128" s="43"/>
      <c r="V128" s="185"/>
    </row>
    <row r="129" spans="1:22" s="23" customFormat="1" ht="50.25" customHeight="1">
      <c r="A129" s="39" t="s">
        <v>29</v>
      </c>
      <c r="B129" s="27"/>
      <c r="C129" s="27">
        <f>C122/(C128*0.86*1420.28*0.001)</f>
        <v>6.795656908494818</v>
      </c>
      <c r="D129" s="28"/>
      <c r="E129" s="28"/>
      <c r="F129" s="28"/>
      <c r="G129" s="28"/>
      <c r="H129" s="27">
        <f>H122/(H128*0.86*1420.28*1.1*0.001)</f>
        <v>12.008390594123261</v>
      </c>
      <c r="I129" s="27"/>
      <c r="J129" s="27"/>
      <c r="K129" s="27"/>
      <c r="L129" s="27"/>
      <c r="M129" s="243">
        <f>M122/(M128*0.86*1758.6*1.1*0.001)</f>
        <v>1.6468306084561186</v>
      </c>
      <c r="N129" s="42"/>
      <c r="O129" s="243">
        <f>O122/(O128*0.86*1758.6*1.1*0.001)</f>
        <v>1.6468306084561186</v>
      </c>
      <c r="P129" s="43"/>
      <c r="Q129" s="43"/>
      <c r="R129" s="43"/>
      <c r="S129" s="43"/>
      <c r="T129" s="43"/>
      <c r="U129" s="43"/>
      <c r="V129" s="185"/>
    </row>
    <row r="130" spans="1:22" s="56" customFormat="1" ht="22.5" customHeight="1">
      <c r="A130" s="257" t="s">
        <v>41</v>
      </c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9"/>
      <c r="V130" s="180"/>
    </row>
    <row r="131" spans="1:22" s="16" customFormat="1" ht="23.25" customHeight="1">
      <c r="A131" s="260" t="s">
        <v>19</v>
      </c>
      <c r="B131" s="261"/>
      <c r="C131" s="261"/>
      <c r="D131" s="261"/>
      <c r="E131" s="261"/>
      <c r="F131" s="261"/>
      <c r="G131" s="261"/>
      <c r="H131" s="261"/>
      <c r="I131" s="261"/>
      <c r="J131" s="261"/>
      <c r="K131" s="261"/>
      <c r="L131" s="261"/>
      <c r="M131" s="261"/>
      <c r="N131" s="261"/>
      <c r="O131" s="261"/>
      <c r="P131" s="261"/>
      <c r="Q131" s="261"/>
      <c r="R131" s="261"/>
      <c r="S131" s="261"/>
      <c r="T131" s="261"/>
      <c r="U131" s="262"/>
      <c r="V131" s="180"/>
    </row>
    <row r="132" spans="1:22" s="16" customFormat="1" ht="90">
      <c r="A132" s="8" t="s">
        <v>112</v>
      </c>
      <c r="B132" s="73">
        <v>4717410</v>
      </c>
      <c r="C132" s="27">
        <f>16524</f>
        <v>16524</v>
      </c>
      <c r="D132" s="28"/>
      <c r="E132" s="28">
        <f>C132</f>
        <v>16524</v>
      </c>
      <c r="F132" s="32"/>
      <c r="G132" s="32"/>
      <c r="H132" s="27"/>
      <c r="I132" s="28"/>
      <c r="J132" s="32"/>
      <c r="K132" s="41"/>
      <c r="L132" s="41"/>
      <c r="M132" s="8"/>
      <c r="N132" s="42"/>
      <c r="O132" s="43"/>
      <c r="P132" s="43"/>
      <c r="Q132" s="43"/>
      <c r="R132" s="43"/>
      <c r="S132" s="43"/>
      <c r="T132" s="43"/>
      <c r="U132" s="43"/>
      <c r="V132" s="180"/>
    </row>
    <row r="133" spans="1:22" s="16" customFormat="1" ht="90">
      <c r="A133" s="8" t="s">
        <v>68</v>
      </c>
      <c r="B133" s="73">
        <v>1517640</v>
      </c>
      <c r="C133" s="27"/>
      <c r="D133" s="28"/>
      <c r="E133" s="28"/>
      <c r="F133" s="32"/>
      <c r="G133" s="32"/>
      <c r="H133" s="27">
        <f>H136</f>
        <v>17377</v>
      </c>
      <c r="I133" s="28"/>
      <c r="J133" s="31">
        <f>H136</f>
        <v>17377</v>
      </c>
      <c r="K133" s="41"/>
      <c r="L133" s="41"/>
      <c r="M133" s="60">
        <f>O133</f>
        <v>5000</v>
      </c>
      <c r="N133" s="6"/>
      <c r="O133" s="57">
        <v>5000</v>
      </c>
      <c r="P133" s="43"/>
      <c r="Q133" s="43"/>
      <c r="R133" s="43"/>
      <c r="S133" s="43"/>
      <c r="T133" s="43"/>
      <c r="U133" s="43"/>
      <c r="V133" s="188"/>
    </row>
    <row r="134" spans="1:22" s="16" customFormat="1" ht="23.25">
      <c r="A134" s="39" t="s">
        <v>15</v>
      </c>
      <c r="B134" s="73"/>
      <c r="C134" s="27"/>
      <c r="D134" s="28"/>
      <c r="E134" s="32"/>
      <c r="F134" s="32"/>
      <c r="G134" s="32"/>
      <c r="H134" s="27"/>
      <c r="I134" s="28"/>
      <c r="J134" s="31"/>
      <c r="K134" s="41"/>
      <c r="L134" s="41"/>
      <c r="M134" s="8"/>
      <c r="N134" s="42"/>
      <c r="O134" s="43"/>
      <c r="P134" s="43"/>
      <c r="Q134" s="43"/>
      <c r="R134" s="43"/>
      <c r="S134" s="43"/>
      <c r="T134" s="43"/>
      <c r="U134" s="43"/>
      <c r="V134" s="180"/>
    </row>
    <row r="135" spans="1:22" s="16" customFormat="1" ht="23.25">
      <c r="A135" s="34" t="s">
        <v>16</v>
      </c>
      <c r="B135" s="73"/>
      <c r="C135" s="28"/>
      <c r="D135" s="28"/>
      <c r="E135" s="31"/>
      <c r="F135" s="31"/>
      <c r="G135" s="31"/>
      <c r="H135" s="28"/>
      <c r="I135" s="28"/>
      <c r="J135" s="31"/>
      <c r="K135" s="41"/>
      <c r="L135" s="41"/>
      <c r="M135" s="8"/>
      <c r="N135" s="42"/>
      <c r="O135" s="43"/>
      <c r="P135" s="43"/>
      <c r="Q135" s="43"/>
      <c r="R135" s="43"/>
      <c r="S135" s="43"/>
      <c r="T135" s="43"/>
      <c r="U135" s="43"/>
      <c r="V135" s="180"/>
    </row>
    <row r="136" spans="1:22" s="16" customFormat="1" ht="46.5">
      <c r="A136" s="39" t="s">
        <v>18</v>
      </c>
      <c r="B136" s="73"/>
      <c r="C136" s="27">
        <f>C132</f>
        <v>16524</v>
      </c>
      <c r="D136" s="28"/>
      <c r="E136" s="31">
        <f>E132</f>
        <v>16524</v>
      </c>
      <c r="F136" s="31"/>
      <c r="G136" s="31"/>
      <c r="H136" s="27">
        <f>1132+8425+8000-180</f>
        <v>17377</v>
      </c>
      <c r="I136" s="28"/>
      <c r="J136" s="31">
        <f>J133</f>
        <v>17377</v>
      </c>
      <c r="K136" s="41"/>
      <c r="L136" s="41"/>
      <c r="M136" s="60">
        <f>M133</f>
        <v>5000</v>
      </c>
      <c r="N136" s="42"/>
      <c r="O136" s="57">
        <f>O133</f>
        <v>5000</v>
      </c>
      <c r="P136" s="43"/>
      <c r="Q136" s="43"/>
      <c r="R136" s="43"/>
      <c r="S136" s="43"/>
      <c r="T136" s="43"/>
      <c r="U136" s="43"/>
      <c r="V136" s="180"/>
    </row>
    <row r="137" spans="1:22" s="16" customFormat="1" ht="122.25" customHeight="1">
      <c r="A137" s="39" t="s">
        <v>42</v>
      </c>
      <c r="B137" s="74"/>
      <c r="C137" s="8">
        <v>3</v>
      </c>
      <c r="D137" s="42"/>
      <c r="E137" s="43"/>
      <c r="F137" s="43"/>
      <c r="G137" s="43"/>
      <c r="H137" s="8">
        <v>3</v>
      </c>
      <c r="I137" s="42"/>
      <c r="J137" s="41"/>
      <c r="K137" s="41"/>
      <c r="L137" s="41"/>
      <c r="M137" s="8">
        <v>1</v>
      </c>
      <c r="N137" s="42"/>
      <c r="O137" s="42">
        <v>1</v>
      </c>
      <c r="P137" s="43"/>
      <c r="Q137" s="43"/>
      <c r="R137" s="43"/>
      <c r="S137" s="43"/>
      <c r="T137" s="43"/>
      <c r="U137" s="43"/>
      <c r="V137" s="180"/>
    </row>
    <row r="138" spans="1:22" s="16" customFormat="1" ht="44.25" customHeight="1">
      <c r="A138" s="34" t="s">
        <v>10</v>
      </c>
      <c r="B138" s="74"/>
      <c r="C138" s="8"/>
      <c r="D138" s="42"/>
      <c r="E138" s="41"/>
      <c r="F138" s="41"/>
      <c r="G138" s="41"/>
      <c r="H138" s="8"/>
      <c r="I138" s="42"/>
      <c r="J138" s="41"/>
      <c r="K138" s="41"/>
      <c r="L138" s="41"/>
      <c r="M138" s="8"/>
      <c r="N138" s="42"/>
      <c r="O138" s="42"/>
      <c r="P138" s="43"/>
      <c r="Q138" s="43"/>
      <c r="R138" s="43"/>
      <c r="S138" s="198"/>
      <c r="T138" s="43"/>
      <c r="U138" s="43"/>
      <c r="V138" s="185"/>
    </row>
    <row r="139" spans="1:22" s="16" customFormat="1" ht="123.75" customHeight="1">
      <c r="A139" s="39" t="s">
        <v>85</v>
      </c>
      <c r="B139" s="74"/>
      <c r="C139" s="8">
        <v>3</v>
      </c>
      <c r="D139" s="42"/>
      <c r="E139" s="41"/>
      <c r="F139" s="41"/>
      <c r="G139" s="41"/>
      <c r="H139" s="8"/>
      <c r="I139" s="42"/>
      <c r="J139" s="41"/>
      <c r="K139" s="41"/>
      <c r="L139" s="41"/>
      <c r="M139" s="8"/>
      <c r="N139" s="42"/>
      <c r="O139" s="42"/>
      <c r="P139" s="43"/>
      <c r="Q139" s="43"/>
      <c r="R139" s="43"/>
      <c r="S139" s="198"/>
      <c r="T139" s="43"/>
      <c r="U139" s="43"/>
      <c r="V139" s="185"/>
    </row>
    <row r="140" spans="1:22" s="16" customFormat="1" ht="74.25">
      <c r="A140" s="39" t="s">
        <v>77</v>
      </c>
      <c r="B140" s="74"/>
      <c r="C140" s="27">
        <v>7834</v>
      </c>
      <c r="D140" s="28"/>
      <c r="E140" s="28"/>
      <c r="F140" s="28"/>
      <c r="G140" s="28"/>
      <c r="H140" s="27">
        <f>2935+2915+602.5+5902</f>
        <v>12354.5</v>
      </c>
      <c r="I140" s="42"/>
      <c r="J140" s="41"/>
      <c r="K140" s="41"/>
      <c r="L140" s="41"/>
      <c r="M140" s="8">
        <f>7551.5+631</f>
        <v>8182.5</v>
      </c>
      <c r="N140" s="42"/>
      <c r="O140" s="42">
        <v>8182.5</v>
      </c>
      <c r="P140" s="43"/>
      <c r="Q140" s="43"/>
      <c r="R140" s="43"/>
      <c r="S140" s="198"/>
      <c r="T140" s="43"/>
      <c r="U140" s="43"/>
      <c r="V140" s="185"/>
    </row>
    <row r="141" spans="1:22" s="16" customFormat="1" ht="51">
      <c r="A141" s="39" t="s">
        <v>74</v>
      </c>
      <c r="B141" s="74"/>
      <c r="C141" s="27">
        <v>2116</v>
      </c>
      <c r="D141" s="28"/>
      <c r="E141" s="28"/>
      <c r="F141" s="28"/>
      <c r="G141" s="28"/>
      <c r="H141" s="28"/>
      <c r="I141" s="42"/>
      <c r="J141" s="41"/>
      <c r="K141" s="41"/>
      <c r="L141" s="41"/>
      <c r="M141" s="8"/>
      <c r="N141" s="42"/>
      <c r="O141" s="42"/>
      <c r="P141" s="43"/>
      <c r="Q141" s="43"/>
      <c r="R141" s="43"/>
      <c r="S141" s="198"/>
      <c r="T141" s="43"/>
      <c r="U141" s="43"/>
      <c r="V141" s="185"/>
    </row>
    <row r="142" spans="1:22" s="16" customFormat="1" ht="57.75" customHeight="1">
      <c r="A142" s="39" t="s">
        <v>83</v>
      </c>
      <c r="B142" s="74"/>
      <c r="C142" s="28"/>
      <c r="D142" s="28"/>
      <c r="E142" s="28"/>
      <c r="F142" s="28"/>
      <c r="G142" s="28"/>
      <c r="H142" s="27">
        <v>5902</v>
      </c>
      <c r="I142" s="42"/>
      <c r="J142" s="41"/>
      <c r="K142" s="41"/>
      <c r="L142" s="41"/>
      <c r="M142" s="8">
        <v>2621</v>
      </c>
      <c r="N142" s="42"/>
      <c r="O142" s="42">
        <v>2621</v>
      </c>
      <c r="P142" s="43"/>
      <c r="Q142" s="43"/>
      <c r="R142" s="43"/>
      <c r="S142" s="198"/>
      <c r="T142" s="43"/>
      <c r="U142" s="43"/>
      <c r="V142" s="185"/>
    </row>
    <row r="143" spans="1:22" s="16" customFormat="1" ht="81" customHeight="1">
      <c r="A143" s="39" t="s">
        <v>84</v>
      </c>
      <c r="B143" s="74"/>
      <c r="C143" s="28"/>
      <c r="D143" s="28"/>
      <c r="E143" s="28"/>
      <c r="F143" s="28"/>
      <c r="G143" s="28"/>
      <c r="H143" s="27">
        <v>819</v>
      </c>
      <c r="I143" s="42"/>
      <c r="J143" s="41"/>
      <c r="K143" s="41"/>
      <c r="L143" s="41"/>
      <c r="M143" s="8"/>
      <c r="N143" s="42"/>
      <c r="O143" s="42"/>
      <c r="P143" s="43"/>
      <c r="Q143" s="43"/>
      <c r="R143" s="43"/>
      <c r="S143" s="198"/>
      <c r="T143" s="43"/>
      <c r="U143" s="43"/>
      <c r="V143" s="185"/>
    </row>
    <row r="144" spans="1:22" s="16" customFormat="1" ht="47.25" customHeight="1">
      <c r="A144" s="34" t="s">
        <v>13</v>
      </c>
      <c r="B144" s="74"/>
      <c r="C144" s="8"/>
      <c r="D144" s="42"/>
      <c r="E144" s="8"/>
      <c r="F144" s="8"/>
      <c r="G144" s="8"/>
      <c r="H144" s="8"/>
      <c r="I144" s="42"/>
      <c r="J144" s="41"/>
      <c r="K144" s="41"/>
      <c r="L144" s="41"/>
      <c r="M144" s="8"/>
      <c r="N144" s="42"/>
      <c r="O144" s="42"/>
      <c r="P144" s="43"/>
      <c r="Q144" s="43"/>
      <c r="R144" s="43"/>
      <c r="S144" s="198"/>
      <c r="T144" s="43"/>
      <c r="U144" s="43"/>
      <c r="V144" s="185"/>
    </row>
    <row r="145" spans="1:22" s="16" customFormat="1" ht="97.5">
      <c r="A145" s="39" t="s">
        <v>88</v>
      </c>
      <c r="B145" s="74"/>
      <c r="C145" s="8">
        <v>1.2</v>
      </c>
      <c r="D145" s="42"/>
      <c r="E145" s="42"/>
      <c r="F145" s="42"/>
      <c r="G145" s="42"/>
      <c r="H145" s="60">
        <v>1.2</v>
      </c>
      <c r="I145" s="42"/>
      <c r="J145" s="41"/>
      <c r="K145" s="41"/>
      <c r="L145" s="41"/>
      <c r="M145" s="8">
        <v>2</v>
      </c>
      <c r="N145" s="42"/>
      <c r="O145" s="42">
        <v>2</v>
      </c>
      <c r="P145" s="43"/>
      <c r="Q145" s="43"/>
      <c r="R145" s="43"/>
      <c r="S145" s="198"/>
      <c r="T145" s="43"/>
      <c r="U145" s="43"/>
      <c r="V145" s="185"/>
    </row>
    <row r="146" spans="1:22" s="16" customFormat="1" ht="79.5" customHeight="1">
      <c r="A146" s="39" t="s">
        <v>87</v>
      </c>
      <c r="B146" s="74"/>
      <c r="C146" s="8">
        <v>1.5</v>
      </c>
      <c r="D146" s="42"/>
      <c r="E146" s="42"/>
      <c r="F146" s="42"/>
      <c r="G146" s="42"/>
      <c r="H146" s="122"/>
      <c r="I146" s="42"/>
      <c r="J146" s="41"/>
      <c r="K146" s="41"/>
      <c r="L146" s="41"/>
      <c r="M146" s="8"/>
      <c r="N146" s="42"/>
      <c r="O146" s="42"/>
      <c r="P146" s="43"/>
      <c r="Q146" s="43"/>
      <c r="R146" s="43"/>
      <c r="S146" s="198"/>
      <c r="T146" s="43"/>
      <c r="U146" s="43"/>
      <c r="V146" s="187"/>
    </row>
    <row r="147" spans="1:22" s="16" customFormat="1" ht="79.5" customHeight="1">
      <c r="A147" s="39" t="s">
        <v>86</v>
      </c>
      <c r="B147" s="74"/>
      <c r="C147" s="8"/>
      <c r="D147" s="42"/>
      <c r="E147" s="42"/>
      <c r="F147" s="42"/>
      <c r="G147" s="42"/>
      <c r="H147" s="61">
        <v>1.01</v>
      </c>
      <c r="I147" s="42"/>
      <c r="J147" s="41"/>
      <c r="K147" s="41"/>
      <c r="L147" s="41"/>
      <c r="M147" s="8">
        <v>2</v>
      </c>
      <c r="N147" s="42"/>
      <c r="O147" s="42">
        <v>2</v>
      </c>
      <c r="P147" s="43"/>
      <c r="Q147" s="43"/>
      <c r="R147" s="43"/>
      <c r="S147" s="198"/>
      <c r="T147" s="43"/>
      <c r="U147" s="43"/>
      <c r="V147" s="185"/>
    </row>
    <row r="148" spans="1:22" s="16" customFormat="1" ht="23.25">
      <c r="A148" s="34" t="s">
        <v>14</v>
      </c>
      <c r="B148" s="74"/>
      <c r="C148" s="8"/>
      <c r="D148" s="42"/>
      <c r="E148" s="42"/>
      <c r="F148" s="42"/>
      <c r="G148" s="42"/>
      <c r="H148" s="8"/>
      <c r="I148" s="42"/>
      <c r="J148" s="41"/>
      <c r="K148" s="41"/>
      <c r="L148" s="41"/>
      <c r="M148" s="8"/>
      <c r="N148" s="42"/>
      <c r="O148" s="42"/>
      <c r="P148" s="43"/>
      <c r="Q148" s="43"/>
      <c r="R148" s="43"/>
      <c r="S148" s="198"/>
      <c r="T148" s="43"/>
      <c r="U148" s="43"/>
      <c r="V148" s="185"/>
    </row>
    <row r="149" spans="1:22" s="16" customFormat="1" ht="72" customHeight="1">
      <c r="A149" s="39" t="s">
        <v>36</v>
      </c>
      <c r="B149" s="75"/>
      <c r="C149" s="146">
        <v>861</v>
      </c>
      <c r="D149" s="145"/>
      <c r="E149" s="145"/>
      <c r="F149" s="145"/>
      <c r="G149" s="145"/>
      <c r="H149" s="63">
        <f>337+537+250+238</f>
        <v>1362</v>
      </c>
      <c r="I149" s="52"/>
      <c r="J149" s="68"/>
      <c r="K149" s="68"/>
      <c r="L149" s="68"/>
      <c r="M149" s="69">
        <v>250</v>
      </c>
      <c r="N149" s="52"/>
      <c r="O149" s="52">
        <v>250</v>
      </c>
      <c r="P149" s="53"/>
      <c r="Q149" s="53"/>
      <c r="R149" s="53"/>
      <c r="S149" s="225"/>
      <c r="T149" s="43"/>
      <c r="U149" s="43"/>
      <c r="V149" s="185"/>
    </row>
    <row r="150" spans="1:23" s="55" customFormat="1" ht="74.25" customHeight="1">
      <c r="A150" s="39" t="s">
        <v>28</v>
      </c>
      <c r="B150" s="74"/>
      <c r="C150" s="63">
        <f>C136/(C149*0.86*1420.28*0.001)</f>
        <v>15.712294554645645</v>
      </c>
      <c r="D150" s="42"/>
      <c r="E150" s="42"/>
      <c r="F150" s="42"/>
      <c r="G150" s="42"/>
      <c r="H150" s="63">
        <f>H136/(H149*0.86*1420.28*1.1*0.001)</f>
        <v>9.495822448889067</v>
      </c>
      <c r="I150" s="63"/>
      <c r="J150" s="63"/>
      <c r="K150" s="63"/>
      <c r="L150" s="63"/>
      <c r="M150" s="63">
        <f>M133/(M149*0.86*1205.27*1.1*0.001)</f>
        <v>17.541006619782948</v>
      </c>
      <c r="N150" s="42"/>
      <c r="O150" s="47">
        <v>17.541006619782948</v>
      </c>
      <c r="P150" s="43"/>
      <c r="Q150" s="43"/>
      <c r="R150" s="43"/>
      <c r="S150" s="198"/>
      <c r="T150" s="43"/>
      <c r="U150" s="43"/>
      <c r="V150" s="185"/>
      <c r="W150" s="54"/>
    </row>
    <row r="151" spans="1:22" s="16" customFormat="1" ht="22.5">
      <c r="A151" s="301" t="s">
        <v>54</v>
      </c>
      <c r="B151" s="310"/>
      <c r="C151" s="310"/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41"/>
      <c r="U151" s="41"/>
      <c r="V151" s="185"/>
    </row>
    <row r="152" spans="1:22" s="16" customFormat="1" ht="67.5">
      <c r="A152" s="8" t="s">
        <v>125</v>
      </c>
      <c r="B152" s="165">
        <v>4716310</v>
      </c>
      <c r="C152" s="60">
        <v>100</v>
      </c>
      <c r="D152" s="42"/>
      <c r="E152" s="6">
        <f>C152</f>
        <v>100</v>
      </c>
      <c r="F152" s="41"/>
      <c r="G152" s="41"/>
      <c r="H152" s="8"/>
      <c r="I152" s="42"/>
      <c r="J152" s="41"/>
      <c r="K152" s="41"/>
      <c r="L152" s="41"/>
      <c r="M152" s="8">
        <f>O152</f>
        <v>1000</v>
      </c>
      <c r="N152" s="42"/>
      <c r="O152" s="42">
        <v>1000</v>
      </c>
      <c r="P152" s="43"/>
      <c r="Q152" s="43"/>
      <c r="R152" s="43"/>
      <c r="S152" s="198"/>
      <c r="T152" s="43"/>
      <c r="U152" s="43"/>
      <c r="V152" s="185"/>
    </row>
    <row r="153" spans="1:22" s="16" customFormat="1" ht="23.25">
      <c r="A153" s="39" t="s">
        <v>15</v>
      </c>
      <c r="B153" s="73"/>
      <c r="C153" s="8"/>
      <c r="D153" s="42"/>
      <c r="E153" s="41"/>
      <c r="F153" s="41"/>
      <c r="G153" s="41"/>
      <c r="H153" s="8"/>
      <c r="I153" s="42"/>
      <c r="J153" s="41"/>
      <c r="K153" s="41"/>
      <c r="L153" s="41"/>
      <c r="M153" s="8"/>
      <c r="N153" s="42"/>
      <c r="O153" s="42"/>
      <c r="P153" s="43"/>
      <c r="Q153" s="43"/>
      <c r="R153" s="43"/>
      <c r="S153" s="198"/>
      <c r="T153" s="43"/>
      <c r="U153" s="43"/>
      <c r="V153" s="185"/>
    </row>
    <row r="154" spans="1:22" s="16" customFormat="1" ht="23.25">
      <c r="A154" s="34" t="s">
        <v>16</v>
      </c>
      <c r="B154" s="73"/>
      <c r="C154" s="8"/>
      <c r="D154" s="42"/>
      <c r="E154" s="41"/>
      <c r="F154" s="41"/>
      <c r="G154" s="41"/>
      <c r="H154" s="8"/>
      <c r="I154" s="42"/>
      <c r="J154" s="41"/>
      <c r="K154" s="41"/>
      <c r="L154" s="41"/>
      <c r="M154" s="8"/>
      <c r="N154" s="42"/>
      <c r="O154" s="42"/>
      <c r="P154" s="43"/>
      <c r="Q154" s="43"/>
      <c r="R154" s="43"/>
      <c r="S154" s="198"/>
      <c r="T154" s="43"/>
      <c r="U154" s="43"/>
      <c r="V154" s="185"/>
    </row>
    <row r="155" spans="1:22" s="16" customFormat="1" ht="46.5">
      <c r="A155" s="39" t="s">
        <v>18</v>
      </c>
      <c r="B155" s="73"/>
      <c r="C155" s="60">
        <f>C152</f>
        <v>100</v>
      </c>
      <c r="D155" s="42"/>
      <c r="E155" s="57">
        <f>E152</f>
        <v>100</v>
      </c>
      <c r="F155" s="41"/>
      <c r="G155" s="41"/>
      <c r="H155" s="8"/>
      <c r="I155" s="42"/>
      <c r="J155" s="41"/>
      <c r="K155" s="41"/>
      <c r="L155" s="41"/>
      <c r="M155" s="8">
        <f>O155</f>
        <v>1000</v>
      </c>
      <c r="N155" s="42"/>
      <c r="O155" s="42">
        <v>1000</v>
      </c>
      <c r="P155" s="43"/>
      <c r="Q155" s="43"/>
      <c r="R155" s="43"/>
      <c r="S155" s="198"/>
      <c r="T155" s="43"/>
      <c r="U155" s="43"/>
      <c r="V155" s="185"/>
    </row>
    <row r="156" spans="1:22" s="16" customFormat="1" ht="97.5" customHeight="1">
      <c r="A156" s="39" t="s">
        <v>139</v>
      </c>
      <c r="B156" s="74"/>
      <c r="C156" s="8">
        <v>2</v>
      </c>
      <c r="D156" s="42"/>
      <c r="E156" s="43"/>
      <c r="F156" s="41"/>
      <c r="G156" s="41"/>
      <c r="H156" s="8"/>
      <c r="I156" s="42"/>
      <c r="J156" s="43"/>
      <c r="K156" s="41"/>
      <c r="L156" s="41"/>
      <c r="M156" s="8">
        <v>2</v>
      </c>
      <c r="N156" s="42"/>
      <c r="O156" s="42">
        <v>2</v>
      </c>
      <c r="P156" s="43"/>
      <c r="Q156" s="43"/>
      <c r="R156" s="43"/>
      <c r="S156" s="198"/>
      <c r="T156" s="43"/>
      <c r="U156" s="43"/>
      <c r="V156" s="185"/>
    </row>
    <row r="157" spans="1:22" s="16" customFormat="1" ht="36" customHeight="1">
      <c r="A157" s="34" t="s">
        <v>10</v>
      </c>
      <c r="B157" s="74"/>
      <c r="C157" s="8"/>
      <c r="D157" s="42"/>
      <c r="E157" s="41"/>
      <c r="F157" s="41"/>
      <c r="G157" s="41"/>
      <c r="H157" s="8"/>
      <c r="I157" s="42"/>
      <c r="J157" s="41"/>
      <c r="K157" s="41"/>
      <c r="L157" s="41"/>
      <c r="M157" s="8"/>
      <c r="N157" s="42"/>
      <c r="O157" s="42"/>
      <c r="P157" s="43"/>
      <c r="Q157" s="43"/>
      <c r="R157" s="43"/>
      <c r="S157" s="198"/>
      <c r="T157" s="43"/>
      <c r="U157" s="43"/>
      <c r="V157" s="185"/>
    </row>
    <row r="158" spans="1:22" s="16" customFormat="1" ht="51" customHeight="1">
      <c r="A158" s="39" t="s">
        <v>122</v>
      </c>
      <c r="B158" s="74"/>
      <c r="C158" s="8">
        <v>1</v>
      </c>
      <c r="D158" s="42"/>
      <c r="E158" s="43"/>
      <c r="F158" s="43"/>
      <c r="G158" s="43"/>
      <c r="H158" s="8"/>
      <c r="I158" s="42"/>
      <c r="J158" s="41"/>
      <c r="K158" s="41"/>
      <c r="L158" s="41"/>
      <c r="M158" s="8">
        <v>1</v>
      </c>
      <c r="N158" s="42"/>
      <c r="O158" s="42">
        <v>1</v>
      </c>
      <c r="P158" s="43"/>
      <c r="Q158" s="43"/>
      <c r="R158" s="43"/>
      <c r="S158" s="198"/>
      <c r="T158" s="43"/>
      <c r="U158" s="43"/>
      <c r="V158" s="185"/>
    </row>
    <row r="159" spans="1:22" s="16" customFormat="1" ht="47.25" customHeight="1">
      <c r="A159" s="34" t="s">
        <v>13</v>
      </c>
      <c r="B159" s="74"/>
      <c r="C159" s="42"/>
      <c r="D159" s="42"/>
      <c r="E159" s="43"/>
      <c r="F159" s="43"/>
      <c r="G159" s="43"/>
      <c r="H159" s="8"/>
      <c r="I159" s="42"/>
      <c r="J159" s="41"/>
      <c r="K159" s="41"/>
      <c r="L159" s="41"/>
      <c r="M159" s="8"/>
      <c r="N159" s="42"/>
      <c r="O159" s="42"/>
      <c r="P159" s="43"/>
      <c r="Q159" s="43"/>
      <c r="R159" s="43"/>
      <c r="S159" s="198"/>
      <c r="T159" s="43"/>
      <c r="U159" s="43"/>
      <c r="V159" s="185"/>
    </row>
    <row r="160" spans="1:22" s="16" customFormat="1" ht="144" customHeight="1">
      <c r="A160" s="39" t="s">
        <v>140</v>
      </c>
      <c r="B160" s="74"/>
      <c r="C160" s="142">
        <v>50</v>
      </c>
      <c r="D160" s="139"/>
      <c r="E160" s="139"/>
      <c r="F160" s="139"/>
      <c r="G160" s="139"/>
      <c r="H160" s="142"/>
      <c r="I160" s="42"/>
      <c r="J160" s="41"/>
      <c r="K160" s="41"/>
      <c r="L160" s="41"/>
      <c r="M160" s="8">
        <v>500</v>
      </c>
      <c r="N160" s="42"/>
      <c r="O160" s="42">
        <v>500</v>
      </c>
      <c r="P160" s="43"/>
      <c r="Q160" s="43"/>
      <c r="R160" s="43"/>
      <c r="S160" s="198"/>
      <c r="T160" s="43"/>
      <c r="U160" s="43"/>
      <c r="V160" s="185"/>
    </row>
    <row r="161" spans="1:22" s="16" customFormat="1" ht="23.25">
      <c r="A161" s="267" t="s">
        <v>11</v>
      </c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92"/>
      <c r="U161" s="92"/>
      <c r="V161" s="185"/>
    </row>
    <row r="162" spans="1:22" s="16" customFormat="1" ht="99" customHeight="1">
      <c r="A162" s="8" t="s">
        <v>82</v>
      </c>
      <c r="B162" s="17">
        <v>1017410</v>
      </c>
      <c r="C162" s="8">
        <v>1150.1</v>
      </c>
      <c r="D162" s="42"/>
      <c r="E162" s="42">
        <f>C162</f>
        <v>1150.1</v>
      </c>
      <c r="F162" s="42"/>
      <c r="G162" s="42"/>
      <c r="H162" s="61"/>
      <c r="I162" s="50"/>
      <c r="J162" s="50"/>
      <c r="K162" s="50"/>
      <c r="L162" s="50"/>
      <c r="M162" s="149"/>
      <c r="N162" s="149"/>
      <c r="O162" s="149"/>
      <c r="P162" s="43"/>
      <c r="Q162" s="43"/>
      <c r="R162" s="43"/>
      <c r="S162" s="198"/>
      <c r="T162" s="43"/>
      <c r="U162" s="43"/>
      <c r="V162" s="185"/>
    </row>
    <row r="163" spans="1:22" s="16" customFormat="1" ht="99" customHeight="1">
      <c r="A163" s="8" t="s">
        <v>68</v>
      </c>
      <c r="B163" s="76" t="s">
        <v>70</v>
      </c>
      <c r="C163" s="8"/>
      <c r="D163" s="42"/>
      <c r="E163" s="42"/>
      <c r="F163" s="42"/>
      <c r="G163" s="42"/>
      <c r="H163" s="61">
        <f>H166</f>
        <v>2500</v>
      </c>
      <c r="I163" s="50"/>
      <c r="J163" s="50">
        <f>J166</f>
        <v>2500</v>
      </c>
      <c r="K163" s="50"/>
      <c r="L163" s="50"/>
      <c r="M163" s="61">
        <f>O163</f>
        <v>3957</v>
      </c>
      <c r="N163" s="50"/>
      <c r="O163" s="50">
        <v>3957</v>
      </c>
      <c r="P163" s="43"/>
      <c r="Q163" s="43"/>
      <c r="R163" s="43"/>
      <c r="S163" s="198"/>
      <c r="T163" s="43"/>
      <c r="U163" s="43"/>
      <c r="V163" s="185"/>
    </row>
    <row r="164" spans="1:22" s="16" customFormat="1" ht="23.25">
      <c r="A164" s="39" t="s">
        <v>15</v>
      </c>
      <c r="B164" s="8"/>
      <c r="C164" s="8"/>
      <c r="D164" s="42"/>
      <c r="E164" s="42"/>
      <c r="F164" s="42"/>
      <c r="G164" s="42"/>
      <c r="H164" s="150"/>
      <c r="I164" s="42"/>
      <c r="J164" s="42"/>
      <c r="K164" s="42"/>
      <c r="L164" s="42"/>
      <c r="M164" s="8"/>
      <c r="N164" s="42"/>
      <c r="O164" s="42"/>
      <c r="P164" s="43"/>
      <c r="Q164" s="43"/>
      <c r="R164" s="43"/>
      <c r="S164" s="198"/>
      <c r="T164" s="43"/>
      <c r="U164" s="43"/>
      <c r="V164" s="185"/>
    </row>
    <row r="165" spans="1:22" s="16" customFormat="1" ht="23.25">
      <c r="A165" s="34" t="s">
        <v>16</v>
      </c>
      <c r="B165" s="8"/>
      <c r="C165" s="8"/>
      <c r="D165" s="42"/>
      <c r="E165" s="42"/>
      <c r="F165" s="42"/>
      <c r="G165" s="42"/>
      <c r="H165" s="8"/>
      <c r="I165" s="42"/>
      <c r="J165" s="42"/>
      <c r="K165" s="42"/>
      <c r="L165" s="42"/>
      <c r="M165" s="8"/>
      <c r="N165" s="42"/>
      <c r="O165" s="42"/>
      <c r="P165" s="43"/>
      <c r="Q165" s="43"/>
      <c r="R165" s="43"/>
      <c r="S165" s="198"/>
      <c r="T165" s="43"/>
      <c r="U165" s="43"/>
      <c r="V165" s="185"/>
    </row>
    <row r="166" spans="1:22" s="16" customFormat="1" ht="45.75" customHeight="1">
      <c r="A166" s="39" t="s">
        <v>18</v>
      </c>
      <c r="B166" s="8"/>
      <c r="C166" s="8">
        <f>E162</f>
        <v>1150.1</v>
      </c>
      <c r="D166" s="42"/>
      <c r="E166" s="42"/>
      <c r="F166" s="42"/>
      <c r="G166" s="42"/>
      <c r="H166" s="87">
        <f>80+80+220+150+220+320+220+150+80+80+900</f>
        <v>2500</v>
      </c>
      <c r="I166" s="50"/>
      <c r="J166" s="50">
        <f>H166</f>
        <v>2500</v>
      </c>
      <c r="K166" s="50"/>
      <c r="L166" s="50"/>
      <c r="M166" s="61">
        <f>O163</f>
        <v>3957</v>
      </c>
      <c r="N166" s="42"/>
      <c r="O166" s="6">
        <v>3957</v>
      </c>
      <c r="P166" s="43"/>
      <c r="Q166" s="43"/>
      <c r="R166" s="43"/>
      <c r="S166" s="198"/>
      <c r="T166" s="43"/>
      <c r="U166" s="43"/>
      <c r="V166" s="185"/>
    </row>
    <row r="167" spans="1:22" s="16" customFormat="1" ht="37.5" customHeight="1">
      <c r="A167" s="34" t="s">
        <v>10</v>
      </c>
      <c r="B167" s="34"/>
      <c r="C167" s="8"/>
      <c r="D167" s="42"/>
      <c r="E167" s="42"/>
      <c r="F167" s="42"/>
      <c r="G167" s="42"/>
      <c r="H167" s="8"/>
      <c r="I167" s="42"/>
      <c r="J167" s="42"/>
      <c r="K167" s="42"/>
      <c r="L167" s="42"/>
      <c r="M167" s="8"/>
      <c r="N167" s="42"/>
      <c r="O167" s="42"/>
      <c r="P167" s="43"/>
      <c r="Q167" s="43"/>
      <c r="R167" s="43"/>
      <c r="S167" s="198"/>
      <c r="T167" s="43"/>
      <c r="U167" s="43"/>
      <c r="V167" s="185"/>
    </row>
    <row r="168" spans="1:22" s="16" customFormat="1" ht="106.5" customHeight="1">
      <c r="A168" s="39" t="s">
        <v>89</v>
      </c>
      <c r="B168" s="34"/>
      <c r="C168" s="8">
        <v>13</v>
      </c>
      <c r="D168" s="42"/>
      <c r="E168" s="42"/>
      <c r="F168" s="42"/>
      <c r="G168" s="42"/>
      <c r="H168" s="8">
        <v>10</v>
      </c>
      <c r="I168" s="42"/>
      <c r="J168" s="42"/>
      <c r="K168" s="42"/>
      <c r="L168" s="42"/>
      <c r="M168" s="8">
        <v>6</v>
      </c>
      <c r="N168" s="42"/>
      <c r="O168" s="42">
        <v>6</v>
      </c>
      <c r="P168" s="43"/>
      <c r="Q168" s="43"/>
      <c r="R168" s="43"/>
      <c r="S168" s="198"/>
      <c r="T168" s="43"/>
      <c r="U168" s="43"/>
      <c r="V168" s="185"/>
    </row>
    <row r="169" spans="1:22" s="16" customFormat="1" ht="47.25" customHeight="1">
      <c r="A169" s="34" t="s">
        <v>13</v>
      </c>
      <c r="B169" s="34"/>
      <c r="C169" s="8"/>
      <c r="D169" s="42"/>
      <c r="E169" s="42"/>
      <c r="F169" s="42"/>
      <c r="G169" s="42"/>
      <c r="H169" s="8"/>
      <c r="I169" s="42"/>
      <c r="J169" s="42"/>
      <c r="K169" s="42"/>
      <c r="L169" s="42"/>
      <c r="M169" s="8"/>
      <c r="N169" s="42"/>
      <c r="O169" s="42"/>
      <c r="P169" s="43"/>
      <c r="Q169" s="43"/>
      <c r="R169" s="43"/>
      <c r="S169" s="198"/>
      <c r="T169" s="43"/>
      <c r="U169" s="43"/>
      <c r="V169" s="185"/>
    </row>
    <row r="170" spans="1:22" s="16" customFormat="1" ht="98.25" customHeight="1">
      <c r="A170" s="39" t="s">
        <v>141</v>
      </c>
      <c r="B170" s="34"/>
      <c r="C170" s="8">
        <v>50</v>
      </c>
      <c r="D170" s="42"/>
      <c r="E170" s="42"/>
      <c r="F170" s="42"/>
      <c r="G170" s="42"/>
      <c r="H170" s="8">
        <v>80</v>
      </c>
      <c r="I170" s="42"/>
      <c r="J170" s="42"/>
      <c r="K170" s="42"/>
      <c r="L170" s="42"/>
      <c r="M170" s="245">
        <f>M163/M168</f>
        <v>659.5</v>
      </c>
      <c r="N170" s="42"/>
      <c r="O170" s="42">
        <v>659.5</v>
      </c>
      <c r="P170" s="43"/>
      <c r="Q170" s="43"/>
      <c r="R170" s="43"/>
      <c r="S170" s="198"/>
      <c r="T170" s="43"/>
      <c r="U170" s="43"/>
      <c r="V170" s="185"/>
    </row>
    <row r="171" spans="1:22" s="16" customFormat="1" ht="23.25">
      <c r="A171" s="34" t="s">
        <v>14</v>
      </c>
      <c r="B171" s="34"/>
      <c r="C171" s="8"/>
      <c r="D171" s="42"/>
      <c r="E171" s="42"/>
      <c r="F171" s="42"/>
      <c r="G171" s="42"/>
      <c r="H171" s="8"/>
      <c r="I171" s="42"/>
      <c r="J171" s="42"/>
      <c r="K171" s="42"/>
      <c r="L171" s="42"/>
      <c r="M171" s="8"/>
      <c r="N171" s="42"/>
      <c r="O171" s="42"/>
      <c r="P171" s="43"/>
      <c r="Q171" s="43"/>
      <c r="R171" s="43"/>
      <c r="S171" s="198"/>
      <c r="T171" s="43"/>
      <c r="U171" s="43"/>
      <c r="V171" s="185"/>
    </row>
    <row r="172" spans="1:22" s="16" customFormat="1" ht="69.75">
      <c r="A172" s="39" t="s">
        <v>36</v>
      </c>
      <c r="B172" s="34"/>
      <c r="C172" s="166">
        <v>844.187</v>
      </c>
      <c r="D172" s="42"/>
      <c r="E172" s="42"/>
      <c r="F172" s="42"/>
      <c r="G172" s="42"/>
      <c r="H172" s="8">
        <f>13.4+46.7+46.7+32.3+60.8+16.1+97.8+57.9+12.2+24.4</f>
        <v>408.29999999999995</v>
      </c>
      <c r="I172" s="42"/>
      <c r="J172" s="42"/>
      <c r="K172" s="42"/>
      <c r="L172" s="42"/>
      <c r="M172" s="63">
        <f>202*1.163</f>
        <v>234.92600000000002</v>
      </c>
      <c r="N172" s="42"/>
      <c r="O172" s="47">
        <v>234.92600000000002</v>
      </c>
      <c r="P172" s="43"/>
      <c r="Q172" s="43"/>
      <c r="R172" s="43"/>
      <c r="S172" s="198"/>
      <c r="T172" s="43"/>
      <c r="U172" s="43"/>
      <c r="V172" s="185"/>
    </row>
    <row r="173" spans="1:23" s="55" customFormat="1" ht="46.5">
      <c r="A173" s="39" t="s">
        <v>29</v>
      </c>
      <c r="B173" s="34"/>
      <c r="C173" s="60">
        <f>C162/(C172*0.86*1420.28*0.001)</f>
        <v>1.11538428362363</v>
      </c>
      <c r="D173" s="42"/>
      <c r="E173" s="42"/>
      <c r="F173" s="42"/>
      <c r="G173" s="42"/>
      <c r="H173" s="60">
        <f>H163/(H172*0.86*(0.5*(1420.28+1282.67)*1.1*0.001))</f>
        <v>4.789183482089262</v>
      </c>
      <c r="I173" s="42"/>
      <c r="J173" s="42"/>
      <c r="K173" s="42"/>
      <c r="L173" s="42"/>
      <c r="M173" s="60">
        <f>M166/(M172*0.86*0.001*0.5*1.1*(1420.28+1282.67))</f>
        <v>13.174550705279945</v>
      </c>
      <c r="N173" s="42"/>
      <c r="O173" s="6">
        <f>M173</f>
        <v>13.174550705279945</v>
      </c>
      <c r="P173" s="43"/>
      <c r="Q173" s="43"/>
      <c r="R173" s="43"/>
      <c r="S173" s="198"/>
      <c r="T173" s="43"/>
      <c r="U173" s="43"/>
      <c r="V173" s="185"/>
      <c r="W173" s="54"/>
    </row>
    <row r="174" spans="1:22" s="16" customFormat="1" ht="45.75" customHeight="1">
      <c r="A174" s="340" t="s">
        <v>55</v>
      </c>
      <c r="B174" s="254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341"/>
      <c r="V174" s="185"/>
    </row>
    <row r="175" spans="1:22" s="16" customFormat="1" ht="23.25">
      <c r="A175" s="267" t="s">
        <v>11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92"/>
      <c r="U175" s="92"/>
      <c r="V175" s="185"/>
    </row>
    <row r="176" spans="1:22" s="16" customFormat="1" ht="99" customHeight="1">
      <c r="A176" s="151" t="s">
        <v>113</v>
      </c>
      <c r="B176" s="152">
        <v>1017640</v>
      </c>
      <c r="C176" s="60">
        <f>D176+E176</f>
        <v>200</v>
      </c>
      <c r="D176" s="6">
        <v>83</v>
      </c>
      <c r="E176" s="6">
        <v>117</v>
      </c>
      <c r="F176" s="6"/>
      <c r="G176" s="6"/>
      <c r="H176" s="77"/>
      <c r="I176" s="77"/>
      <c r="J176" s="77"/>
      <c r="K176" s="6"/>
      <c r="L176" s="6"/>
      <c r="M176" s="55"/>
      <c r="N176" s="55"/>
      <c r="O176" s="55"/>
      <c r="P176" s="43"/>
      <c r="Q176" s="43"/>
      <c r="R176" s="43"/>
      <c r="S176" s="198"/>
      <c r="T176" s="43"/>
      <c r="U176" s="43"/>
      <c r="V176" s="187"/>
    </row>
    <row r="177" spans="1:22" s="16" customFormat="1" ht="99" customHeight="1">
      <c r="A177" s="8" t="s">
        <v>68</v>
      </c>
      <c r="B177" s="76" t="s">
        <v>70</v>
      </c>
      <c r="C177" s="60"/>
      <c r="D177" s="6"/>
      <c r="E177" s="6"/>
      <c r="F177" s="6"/>
      <c r="G177" s="6"/>
      <c r="H177" s="60">
        <f>I177+J177</f>
        <v>1076.5</v>
      </c>
      <c r="I177" s="6">
        <f>I180</f>
        <v>501.5</v>
      </c>
      <c r="J177" s="6">
        <f>J180</f>
        <v>575</v>
      </c>
      <c r="K177" s="6"/>
      <c r="L177" s="6"/>
      <c r="M177" s="60"/>
      <c r="N177" s="6"/>
      <c r="O177" s="6"/>
      <c r="P177" s="43"/>
      <c r="Q177" s="43"/>
      <c r="R177" s="43"/>
      <c r="S177" s="198"/>
      <c r="T177" s="43"/>
      <c r="U177" s="43"/>
      <c r="V177" s="185"/>
    </row>
    <row r="178" spans="1:22" s="16" customFormat="1" ht="35.25" customHeight="1">
      <c r="A178" s="39" t="s">
        <v>15</v>
      </c>
      <c r="B178" s="49"/>
      <c r="C178" s="8"/>
      <c r="D178" s="42"/>
      <c r="E178" s="42"/>
      <c r="F178" s="42"/>
      <c r="G178" s="42"/>
      <c r="H178" s="8"/>
      <c r="I178" s="42"/>
      <c r="J178" s="42"/>
      <c r="K178" s="42"/>
      <c r="L178" s="42"/>
      <c r="M178" s="8"/>
      <c r="N178" s="42"/>
      <c r="O178" s="42"/>
      <c r="P178" s="43"/>
      <c r="Q178" s="43"/>
      <c r="R178" s="43"/>
      <c r="S178" s="198"/>
      <c r="T178" s="43"/>
      <c r="U178" s="43"/>
      <c r="V178" s="185"/>
    </row>
    <row r="179" spans="1:22" s="16" customFormat="1" ht="23.25">
      <c r="A179" s="34" t="s">
        <v>16</v>
      </c>
      <c r="B179" s="49"/>
      <c r="C179" s="8"/>
      <c r="D179" s="42"/>
      <c r="E179" s="42"/>
      <c r="F179" s="42"/>
      <c r="G179" s="42"/>
      <c r="H179" s="8"/>
      <c r="I179" s="42"/>
      <c r="J179" s="42"/>
      <c r="K179" s="42"/>
      <c r="L179" s="42"/>
      <c r="M179" s="8"/>
      <c r="N179" s="42"/>
      <c r="O179" s="42"/>
      <c r="P179" s="43"/>
      <c r="Q179" s="43"/>
      <c r="R179" s="43"/>
      <c r="S179" s="198"/>
      <c r="T179" s="43"/>
      <c r="U179" s="43"/>
      <c r="V179" s="185"/>
    </row>
    <row r="180" spans="1:22" s="16" customFormat="1" ht="50.25" customHeight="1">
      <c r="A180" s="39" t="s">
        <v>18</v>
      </c>
      <c r="B180" s="49"/>
      <c r="C180" s="60">
        <v>200</v>
      </c>
      <c r="D180" s="6">
        <f>D176</f>
        <v>83</v>
      </c>
      <c r="E180" s="6">
        <f>E176</f>
        <v>117</v>
      </c>
      <c r="F180" s="6"/>
      <c r="G180" s="6"/>
      <c r="H180" s="60">
        <f>I180+J180</f>
        <v>1076.5</v>
      </c>
      <c r="I180" s="6">
        <v>501.5</v>
      </c>
      <c r="J180" s="6">
        <f>575</f>
        <v>575</v>
      </c>
      <c r="K180" s="6"/>
      <c r="L180" s="6"/>
      <c r="M180" s="60"/>
      <c r="N180" s="6"/>
      <c r="O180" s="6"/>
      <c r="P180" s="43"/>
      <c r="Q180" s="43"/>
      <c r="R180" s="43"/>
      <c r="S180" s="198"/>
      <c r="T180" s="43"/>
      <c r="U180" s="43"/>
      <c r="V180" s="185"/>
    </row>
    <row r="181" spans="1:22" s="16" customFormat="1" ht="27.75" customHeight="1">
      <c r="A181" s="34" t="s">
        <v>10</v>
      </c>
      <c r="B181" s="49"/>
      <c r="C181" s="8"/>
      <c r="D181" s="42"/>
      <c r="E181" s="42"/>
      <c r="F181" s="42"/>
      <c r="G181" s="42"/>
      <c r="H181" s="8"/>
      <c r="I181" s="42"/>
      <c r="J181" s="42"/>
      <c r="K181" s="42"/>
      <c r="L181" s="42"/>
      <c r="M181" s="8"/>
      <c r="N181" s="42"/>
      <c r="O181" s="42"/>
      <c r="P181" s="43"/>
      <c r="Q181" s="43"/>
      <c r="R181" s="43"/>
      <c r="S181" s="198"/>
      <c r="T181" s="43"/>
      <c r="U181" s="43"/>
      <c r="V181" s="185"/>
    </row>
    <row r="182" spans="1:22" s="16" customFormat="1" ht="102" customHeight="1">
      <c r="A182" s="39" t="s">
        <v>114</v>
      </c>
      <c r="B182" s="49"/>
      <c r="C182" s="8">
        <v>6</v>
      </c>
      <c r="D182" s="42"/>
      <c r="E182" s="42"/>
      <c r="F182" s="42"/>
      <c r="G182" s="42"/>
      <c r="H182" s="8">
        <v>20</v>
      </c>
      <c r="I182" s="42"/>
      <c r="J182" s="42"/>
      <c r="K182" s="42"/>
      <c r="L182" s="42"/>
      <c r="M182" s="8"/>
      <c r="N182" s="42"/>
      <c r="O182" s="42"/>
      <c r="P182" s="43"/>
      <c r="Q182" s="43"/>
      <c r="R182" s="43"/>
      <c r="S182" s="198"/>
      <c r="T182" s="43"/>
      <c r="U182" s="43"/>
      <c r="V182" s="189"/>
    </row>
    <row r="183" spans="1:22" s="16" customFormat="1" ht="44.25" customHeight="1">
      <c r="A183" s="34" t="s">
        <v>13</v>
      </c>
      <c r="B183" s="49"/>
      <c r="C183" s="8"/>
      <c r="D183" s="42"/>
      <c r="E183" s="42"/>
      <c r="F183" s="42"/>
      <c r="G183" s="42"/>
      <c r="H183" s="8"/>
      <c r="I183" s="42"/>
      <c r="J183" s="42"/>
      <c r="K183" s="42"/>
      <c r="L183" s="42"/>
      <c r="M183" s="8"/>
      <c r="N183" s="42"/>
      <c r="O183" s="42"/>
      <c r="P183" s="43"/>
      <c r="Q183" s="43"/>
      <c r="R183" s="43"/>
      <c r="S183" s="198"/>
      <c r="T183" s="43"/>
      <c r="U183" s="43"/>
      <c r="V183" s="189"/>
    </row>
    <row r="184" spans="1:22" s="16" customFormat="1" ht="150" customHeight="1">
      <c r="A184" s="39" t="s">
        <v>115</v>
      </c>
      <c r="B184" s="49"/>
      <c r="C184" s="63">
        <f>C176/C182</f>
        <v>33.333333333333336</v>
      </c>
      <c r="D184" s="42"/>
      <c r="E184" s="42"/>
      <c r="F184" s="42"/>
      <c r="G184" s="42"/>
      <c r="H184" s="63">
        <f>H180/H182</f>
        <v>53.825</v>
      </c>
      <c r="I184" s="42"/>
      <c r="J184" s="42"/>
      <c r="K184" s="42"/>
      <c r="L184" s="42"/>
      <c r="M184" s="63"/>
      <c r="N184" s="42"/>
      <c r="O184" s="42"/>
      <c r="P184" s="43"/>
      <c r="Q184" s="43"/>
      <c r="R184" s="43"/>
      <c r="S184" s="198"/>
      <c r="T184" s="43"/>
      <c r="U184" s="43"/>
      <c r="V184" s="189"/>
    </row>
    <row r="185" spans="1:22" s="16" customFormat="1" ht="23.25">
      <c r="A185" s="34" t="s">
        <v>14</v>
      </c>
      <c r="B185" s="49"/>
      <c r="C185" s="8"/>
      <c r="D185" s="42"/>
      <c r="E185" s="42"/>
      <c r="F185" s="42"/>
      <c r="G185" s="42"/>
      <c r="H185" s="8"/>
      <c r="I185" s="42"/>
      <c r="J185" s="42"/>
      <c r="K185" s="42"/>
      <c r="L185" s="42"/>
      <c r="M185" s="8"/>
      <c r="N185" s="42"/>
      <c r="O185" s="42"/>
      <c r="P185" s="43"/>
      <c r="Q185" s="43"/>
      <c r="R185" s="43"/>
      <c r="S185" s="198"/>
      <c r="T185" s="43"/>
      <c r="U185" s="43"/>
      <c r="V185" s="189"/>
    </row>
    <row r="186" spans="1:22" s="16" customFormat="1" ht="155.25" customHeight="1">
      <c r="A186" s="162" t="s">
        <v>129</v>
      </c>
      <c r="B186" s="51"/>
      <c r="C186" s="163">
        <f>11/123*100</f>
        <v>8.94308943089431</v>
      </c>
      <c r="D186" s="52"/>
      <c r="E186" s="52"/>
      <c r="F186" s="52"/>
      <c r="G186" s="52"/>
      <c r="H186" s="163">
        <f>(5+6+20)*100/123</f>
        <v>25.203252032520325</v>
      </c>
      <c r="I186" s="52"/>
      <c r="J186" s="52"/>
      <c r="K186" s="52"/>
      <c r="L186" s="52"/>
      <c r="M186" s="163"/>
      <c r="N186" s="52"/>
      <c r="O186" s="52"/>
      <c r="P186" s="43"/>
      <c r="Q186" s="43"/>
      <c r="R186" s="43"/>
      <c r="S186" s="198"/>
      <c r="T186" s="43"/>
      <c r="U186" s="43"/>
      <c r="V186" s="189"/>
    </row>
    <row r="187" spans="1:22" s="16" customFormat="1" ht="66" customHeight="1">
      <c r="A187" s="338" t="s">
        <v>173</v>
      </c>
      <c r="B187" s="310"/>
      <c r="C187" s="310"/>
      <c r="D187" s="310"/>
      <c r="E187" s="310"/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9"/>
      <c r="V187" s="189"/>
    </row>
    <row r="188" spans="1:22" s="16" customFormat="1" ht="22.5">
      <c r="A188" s="18" t="s">
        <v>11</v>
      </c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5"/>
      <c r="P188" s="134"/>
      <c r="Q188" s="134"/>
      <c r="R188" s="134"/>
      <c r="S188" s="134"/>
      <c r="T188" s="130"/>
      <c r="U188" s="130"/>
      <c r="V188" s="189"/>
    </row>
    <row r="189" spans="1:22" s="16" customFormat="1" ht="86.25" customHeight="1">
      <c r="A189" s="8" t="s">
        <v>81</v>
      </c>
      <c r="B189" s="34">
        <v>1017410</v>
      </c>
      <c r="C189" s="60">
        <v>36</v>
      </c>
      <c r="D189" s="6">
        <v>36</v>
      </c>
      <c r="E189" s="6"/>
      <c r="F189" s="6"/>
      <c r="G189" s="6"/>
      <c r="H189" s="60"/>
      <c r="I189" s="6"/>
      <c r="J189" s="6"/>
      <c r="K189" s="6"/>
      <c r="L189" s="6"/>
      <c r="M189" s="55"/>
      <c r="N189" s="55"/>
      <c r="O189" s="42"/>
      <c r="P189" s="43"/>
      <c r="Q189" s="43"/>
      <c r="R189" s="43"/>
      <c r="S189" s="198"/>
      <c r="T189" s="43"/>
      <c r="U189" s="43"/>
      <c r="V189" s="189"/>
    </row>
    <row r="190" spans="1:22" s="16" customFormat="1" ht="86.25" customHeight="1">
      <c r="A190" s="8" t="s">
        <v>64</v>
      </c>
      <c r="B190" s="67" t="s">
        <v>70</v>
      </c>
      <c r="C190" s="60"/>
      <c r="D190" s="6"/>
      <c r="E190" s="6"/>
      <c r="F190" s="6"/>
      <c r="G190" s="6"/>
      <c r="H190" s="60">
        <f>I193</f>
        <v>134</v>
      </c>
      <c r="I190" s="6">
        <v>134</v>
      </c>
      <c r="J190" s="6"/>
      <c r="K190" s="6"/>
      <c r="L190" s="6"/>
      <c r="M190" s="156"/>
      <c r="N190" s="157"/>
      <c r="O190" s="42"/>
      <c r="P190" s="43"/>
      <c r="Q190" s="43"/>
      <c r="R190" s="43"/>
      <c r="S190" s="198"/>
      <c r="T190" s="43"/>
      <c r="U190" s="43"/>
      <c r="V190" s="189"/>
    </row>
    <row r="191" spans="1:22" s="16" customFormat="1" ht="45.75" customHeight="1">
      <c r="A191" s="39" t="s">
        <v>15</v>
      </c>
      <c r="B191" s="34"/>
      <c r="C191" s="8"/>
      <c r="D191" s="42"/>
      <c r="E191" s="42"/>
      <c r="F191" s="42"/>
      <c r="G191" s="42"/>
      <c r="H191" s="8"/>
      <c r="I191" s="42"/>
      <c r="J191" s="42"/>
      <c r="K191" s="42"/>
      <c r="L191" s="42"/>
      <c r="M191" s="34"/>
      <c r="N191" s="39"/>
      <c r="O191" s="42"/>
      <c r="P191" s="43"/>
      <c r="Q191" s="43"/>
      <c r="R191" s="43"/>
      <c r="S191" s="198"/>
      <c r="T191" s="43"/>
      <c r="U191" s="43"/>
      <c r="V191" s="189"/>
    </row>
    <row r="192" spans="1:22" s="16" customFormat="1" ht="33" customHeight="1">
      <c r="A192" s="34" t="s">
        <v>16</v>
      </c>
      <c r="B192" s="34"/>
      <c r="C192" s="8"/>
      <c r="D192" s="42"/>
      <c r="E192" s="42"/>
      <c r="F192" s="42"/>
      <c r="G192" s="42"/>
      <c r="H192" s="8"/>
      <c r="I192" s="42"/>
      <c r="J192" s="42"/>
      <c r="K192" s="42"/>
      <c r="L192" s="42"/>
      <c r="M192" s="34"/>
      <c r="N192" s="39"/>
      <c r="O192" s="42"/>
      <c r="P192" s="43"/>
      <c r="Q192" s="43"/>
      <c r="R192" s="43"/>
      <c r="S192" s="198"/>
      <c r="T192" s="43"/>
      <c r="U192" s="43"/>
      <c r="V192" s="189"/>
    </row>
    <row r="193" spans="1:22" s="16" customFormat="1" ht="39" customHeight="1">
      <c r="A193" s="39" t="s">
        <v>18</v>
      </c>
      <c r="B193" s="34"/>
      <c r="C193" s="142">
        <f>C189</f>
        <v>36</v>
      </c>
      <c r="D193" s="143">
        <f>D189</f>
        <v>36</v>
      </c>
      <c r="E193" s="143"/>
      <c r="F193" s="143"/>
      <c r="G193" s="143"/>
      <c r="H193" s="142">
        <f>I193</f>
        <v>134</v>
      </c>
      <c r="I193" s="143">
        <v>134</v>
      </c>
      <c r="J193" s="143"/>
      <c r="K193" s="143"/>
      <c r="L193" s="143"/>
      <c r="M193" s="153"/>
      <c r="N193" s="161"/>
      <c r="O193" s="42"/>
      <c r="P193" s="43"/>
      <c r="Q193" s="43"/>
      <c r="R193" s="43"/>
      <c r="S193" s="198"/>
      <c r="T193" s="43"/>
      <c r="U193" s="43"/>
      <c r="V193" s="189"/>
    </row>
    <row r="194" spans="1:22" s="16" customFormat="1" ht="29.25" customHeight="1">
      <c r="A194" s="34" t="s">
        <v>10</v>
      </c>
      <c r="B194" s="34"/>
      <c r="C194" s="8"/>
      <c r="D194" s="42"/>
      <c r="E194" s="42"/>
      <c r="F194" s="42"/>
      <c r="G194" s="42"/>
      <c r="H194" s="8"/>
      <c r="I194" s="42"/>
      <c r="J194" s="42"/>
      <c r="K194" s="42"/>
      <c r="L194" s="42"/>
      <c r="M194" s="8"/>
      <c r="N194" s="42"/>
      <c r="O194" s="42"/>
      <c r="P194" s="43"/>
      <c r="Q194" s="43"/>
      <c r="R194" s="43"/>
      <c r="S194" s="198"/>
      <c r="T194" s="43"/>
      <c r="U194" s="43"/>
      <c r="V194" s="189"/>
    </row>
    <row r="195" spans="1:22" s="16" customFormat="1" ht="87.75" customHeight="1">
      <c r="A195" s="39" t="s">
        <v>121</v>
      </c>
      <c r="B195" s="34"/>
      <c r="C195" s="8">
        <v>6</v>
      </c>
      <c r="D195" s="42"/>
      <c r="E195" s="42"/>
      <c r="F195" s="42"/>
      <c r="G195" s="42"/>
      <c r="H195" s="8">
        <v>20</v>
      </c>
      <c r="I195" s="42"/>
      <c r="J195" s="42"/>
      <c r="K195" s="42"/>
      <c r="L195" s="42"/>
      <c r="M195" s="8"/>
      <c r="N195" s="42"/>
      <c r="O195" s="42"/>
      <c r="P195" s="43"/>
      <c r="Q195" s="43"/>
      <c r="R195" s="43"/>
      <c r="S195" s="198"/>
      <c r="T195" s="43"/>
      <c r="U195" s="43"/>
      <c r="V195" s="189"/>
    </row>
    <row r="196" spans="1:22" s="16" customFormat="1" ht="49.5" customHeight="1">
      <c r="A196" s="338" t="s">
        <v>31</v>
      </c>
      <c r="B196" s="310"/>
      <c r="C196" s="310"/>
      <c r="D196" s="310"/>
      <c r="E196" s="310"/>
      <c r="F196" s="310"/>
      <c r="G196" s="310"/>
      <c r="H196" s="310"/>
      <c r="I196" s="310"/>
      <c r="J196" s="310"/>
      <c r="K196" s="310"/>
      <c r="L196" s="310"/>
      <c r="M196" s="310"/>
      <c r="N196" s="310"/>
      <c r="O196" s="310"/>
      <c r="P196" s="310"/>
      <c r="Q196" s="310"/>
      <c r="R196" s="310"/>
      <c r="S196" s="310"/>
      <c r="T196" s="310"/>
      <c r="U196" s="319"/>
      <c r="V196" s="189"/>
    </row>
    <row r="197" spans="1:22" s="16" customFormat="1" ht="24.75" customHeight="1">
      <c r="A197" s="130" t="s">
        <v>11</v>
      </c>
      <c r="B197" s="131"/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227"/>
      <c r="T197" s="131"/>
      <c r="U197" s="131"/>
      <c r="V197" s="189"/>
    </row>
    <row r="198" spans="1:22" s="16" customFormat="1" ht="112.5" customHeight="1">
      <c r="A198" s="8" t="s">
        <v>82</v>
      </c>
      <c r="B198" s="49">
        <v>1017410</v>
      </c>
      <c r="C198" s="61">
        <f>D198</f>
        <v>37</v>
      </c>
      <c r="D198" s="50">
        <v>37</v>
      </c>
      <c r="E198" s="50"/>
      <c r="F198" s="50"/>
      <c r="G198" s="50"/>
      <c r="H198" s="61"/>
      <c r="I198" s="50"/>
      <c r="J198" s="66"/>
      <c r="K198" s="66"/>
      <c r="L198" s="66"/>
      <c r="M198" s="55"/>
      <c r="N198" s="55"/>
      <c r="O198" s="43"/>
      <c r="P198" s="43"/>
      <c r="Q198" s="43"/>
      <c r="R198" s="43"/>
      <c r="S198" s="198"/>
      <c r="T198" s="43"/>
      <c r="U198" s="43"/>
      <c r="V198" s="189"/>
    </row>
    <row r="199" spans="1:22" s="16" customFormat="1" ht="112.5" customHeight="1">
      <c r="A199" s="8" t="s">
        <v>68</v>
      </c>
      <c r="B199" s="76" t="s">
        <v>70</v>
      </c>
      <c r="C199" s="61"/>
      <c r="D199" s="50"/>
      <c r="E199" s="50"/>
      <c r="F199" s="50"/>
      <c r="G199" s="50"/>
      <c r="H199" s="61">
        <f>H202</f>
        <v>155</v>
      </c>
      <c r="I199" s="50">
        <f>I202</f>
        <v>155</v>
      </c>
      <c r="J199" s="66"/>
      <c r="K199" s="66"/>
      <c r="L199" s="66"/>
      <c r="M199" s="61">
        <f>N199</f>
        <v>155</v>
      </c>
      <c r="N199" s="50">
        <v>155</v>
      </c>
      <c r="O199" s="43"/>
      <c r="P199" s="43"/>
      <c r="Q199" s="43"/>
      <c r="R199" s="43"/>
      <c r="S199" s="198"/>
      <c r="T199" s="43"/>
      <c r="U199" s="43"/>
      <c r="V199" s="189"/>
    </row>
    <row r="200" spans="1:22" s="16" customFormat="1" ht="43.5" customHeight="1">
      <c r="A200" s="39" t="s">
        <v>15</v>
      </c>
      <c r="B200" s="49"/>
      <c r="C200" s="8"/>
      <c r="D200" s="42"/>
      <c r="E200" s="42"/>
      <c r="F200" s="42"/>
      <c r="G200" s="42"/>
      <c r="H200" s="8"/>
      <c r="I200" s="42"/>
      <c r="J200" s="41"/>
      <c r="K200" s="41"/>
      <c r="L200" s="41"/>
      <c r="M200" s="8"/>
      <c r="N200" s="42"/>
      <c r="O200" s="43"/>
      <c r="P200" s="43"/>
      <c r="Q200" s="43"/>
      <c r="R200" s="43"/>
      <c r="S200" s="198"/>
      <c r="T200" s="43"/>
      <c r="U200" s="43"/>
      <c r="V200" s="189"/>
    </row>
    <row r="201" spans="1:22" s="16" customFormat="1" ht="23.25">
      <c r="A201" s="34" t="s">
        <v>16</v>
      </c>
      <c r="B201" s="49"/>
      <c r="C201" s="8"/>
      <c r="D201" s="42"/>
      <c r="E201" s="42"/>
      <c r="F201" s="42"/>
      <c r="G201" s="42"/>
      <c r="H201" s="8"/>
      <c r="I201" s="42"/>
      <c r="J201" s="41"/>
      <c r="K201" s="41"/>
      <c r="L201" s="41"/>
      <c r="M201" s="8"/>
      <c r="N201" s="42"/>
      <c r="O201" s="43"/>
      <c r="P201" s="43"/>
      <c r="Q201" s="43"/>
      <c r="R201" s="43"/>
      <c r="S201" s="198"/>
      <c r="T201" s="43"/>
      <c r="U201" s="43"/>
      <c r="V201" s="189"/>
    </row>
    <row r="202" spans="1:22" s="16" customFormat="1" ht="45" customHeight="1">
      <c r="A202" s="39" t="s">
        <v>18</v>
      </c>
      <c r="B202" s="49"/>
      <c r="C202" s="60">
        <v>37</v>
      </c>
      <c r="D202" s="6">
        <v>37</v>
      </c>
      <c r="E202" s="6"/>
      <c r="F202" s="6"/>
      <c r="G202" s="6"/>
      <c r="H202" s="60">
        <f>I202</f>
        <v>155</v>
      </c>
      <c r="I202" s="6">
        <v>155</v>
      </c>
      <c r="J202" s="78"/>
      <c r="K202" s="78"/>
      <c r="L202" s="78"/>
      <c r="M202" s="60">
        <f>M199</f>
        <v>155</v>
      </c>
      <c r="N202" s="6">
        <f>N199</f>
        <v>155</v>
      </c>
      <c r="O202" s="43"/>
      <c r="P202" s="43"/>
      <c r="Q202" s="43"/>
      <c r="R202" s="43"/>
      <c r="S202" s="198"/>
      <c r="T202" s="43"/>
      <c r="U202" s="43"/>
      <c r="V202" s="189"/>
    </row>
    <row r="203" spans="1:22" s="16" customFormat="1" ht="23.25">
      <c r="A203" s="34" t="s">
        <v>10</v>
      </c>
      <c r="B203" s="49"/>
      <c r="C203" s="8"/>
      <c r="D203" s="42"/>
      <c r="E203" s="42"/>
      <c r="F203" s="42"/>
      <c r="G203" s="42"/>
      <c r="H203" s="8"/>
      <c r="I203" s="42"/>
      <c r="J203" s="41"/>
      <c r="K203" s="41"/>
      <c r="L203" s="41"/>
      <c r="M203" s="8"/>
      <c r="N203" s="42"/>
      <c r="O203" s="43"/>
      <c r="P203" s="43"/>
      <c r="Q203" s="43"/>
      <c r="R203" s="43"/>
      <c r="S203" s="198"/>
      <c r="T203" s="43"/>
      <c r="U203" s="43"/>
      <c r="V203" s="189"/>
    </row>
    <row r="204" spans="1:22" s="16" customFormat="1" ht="88.5" customHeight="1">
      <c r="A204" s="39" t="s">
        <v>43</v>
      </c>
      <c r="B204" s="49"/>
      <c r="C204" s="8">
        <v>11</v>
      </c>
      <c r="D204" s="42"/>
      <c r="E204" s="42"/>
      <c r="F204" s="42"/>
      <c r="G204" s="42"/>
      <c r="H204" s="8">
        <f>C204+20</f>
        <v>31</v>
      </c>
      <c r="I204" s="42"/>
      <c r="J204" s="41"/>
      <c r="K204" s="41"/>
      <c r="L204" s="41"/>
      <c r="M204" s="8">
        <v>31</v>
      </c>
      <c r="N204" s="8">
        <v>31</v>
      </c>
      <c r="O204" s="43"/>
      <c r="P204" s="43"/>
      <c r="Q204" s="43"/>
      <c r="R204" s="43"/>
      <c r="S204" s="198"/>
      <c r="T204" s="43"/>
      <c r="U204" s="43"/>
      <c r="V204" s="189"/>
    </row>
    <row r="205" spans="1:22" s="16" customFormat="1" ht="50.25" customHeight="1">
      <c r="A205" s="34" t="s">
        <v>13</v>
      </c>
      <c r="B205" s="49"/>
      <c r="C205" s="8"/>
      <c r="D205" s="42"/>
      <c r="E205" s="42"/>
      <c r="F205" s="42"/>
      <c r="G205" s="42"/>
      <c r="H205" s="8"/>
      <c r="I205" s="42"/>
      <c r="J205" s="41"/>
      <c r="K205" s="41"/>
      <c r="L205" s="41"/>
      <c r="M205" s="8"/>
      <c r="N205" s="8"/>
      <c r="O205" s="43"/>
      <c r="P205" s="43"/>
      <c r="Q205" s="43"/>
      <c r="R205" s="43"/>
      <c r="S205" s="198"/>
      <c r="T205" s="43"/>
      <c r="U205" s="43"/>
      <c r="V205" s="189"/>
    </row>
    <row r="206" spans="1:22" s="16" customFormat="1" ht="117.75" customHeight="1">
      <c r="A206" s="39" t="s">
        <v>120</v>
      </c>
      <c r="B206" s="49"/>
      <c r="C206" s="60">
        <f>C202/C204</f>
        <v>3.3636363636363638</v>
      </c>
      <c r="D206" s="42"/>
      <c r="E206" s="42"/>
      <c r="F206" s="42"/>
      <c r="G206" s="42"/>
      <c r="H206" s="60">
        <f>H202/H204</f>
        <v>5</v>
      </c>
      <c r="I206" s="42"/>
      <c r="J206" s="41"/>
      <c r="K206" s="41"/>
      <c r="L206" s="41"/>
      <c r="M206" s="63">
        <v>5</v>
      </c>
      <c r="N206" s="63">
        <v>5</v>
      </c>
      <c r="O206" s="43"/>
      <c r="P206" s="43"/>
      <c r="Q206" s="43"/>
      <c r="R206" s="43"/>
      <c r="S206" s="198"/>
      <c r="T206" s="43"/>
      <c r="U206" s="43"/>
      <c r="V206" s="189"/>
    </row>
    <row r="207" spans="1:22" s="16" customFormat="1" ht="23.25">
      <c r="A207" s="34" t="s">
        <v>14</v>
      </c>
      <c r="B207" s="49"/>
      <c r="C207" s="8"/>
      <c r="D207" s="42"/>
      <c r="E207" s="42"/>
      <c r="F207" s="42"/>
      <c r="G207" s="42"/>
      <c r="H207" s="8"/>
      <c r="I207" s="42"/>
      <c r="J207" s="41"/>
      <c r="K207" s="41"/>
      <c r="L207" s="41"/>
      <c r="M207" s="8"/>
      <c r="N207" s="8"/>
      <c r="O207" s="43"/>
      <c r="P207" s="43"/>
      <c r="Q207" s="43"/>
      <c r="R207" s="43"/>
      <c r="S207" s="198"/>
      <c r="T207" s="43"/>
      <c r="U207" s="43"/>
      <c r="V207" s="189"/>
    </row>
    <row r="208" spans="1:22" s="16" customFormat="1" ht="105.75" customHeight="1">
      <c r="A208" s="39" t="s">
        <v>21</v>
      </c>
      <c r="B208" s="49"/>
      <c r="C208" s="8">
        <v>9</v>
      </c>
      <c r="D208" s="42"/>
      <c r="E208" s="42"/>
      <c r="F208" s="42"/>
      <c r="G208" s="42"/>
      <c r="H208" s="63">
        <f>31*100/123</f>
        <v>25.203252032520325</v>
      </c>
      <c r="I208" s="42"/>
      <c r="J208" s="41"/>
      <c r="K208" s="41"/>
      <c r="L208" s="41"/>
      <c r="M208" s="63">
        <f>31/123*100</f>
        <v>25.203252032520325</v>
      </c>
      <c r="N208" s="63">
        <f>31/123*100</f>
        <v>25.203252032520325</v>
      </c>
      <c r="O208" s="43"/>
      <c r="P208" s="43"/>
      <c r="Q208" s="43"/>
      <c r="R208" s="43"/>
      <c r="S208" s="198"/>
      <c r="T208" s="43"/>
      <c r="U208" s="43"/>
      <c r="V208" s="185"/>
    </row>
    <row r="209" spans="1:22" s="16" customFormat="1" ht="21" customHeight="1">
      <c r="A209" s="295" t="s">
        <v>59</v>
      </c>
      <c r="B209" s="258"/>
      <c r="C209" s="258"/>
      <c r="D209" s="258"/>
      <c r="E209" s="258"/>
      <c r="F209" s="258"/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70"/>
      <c r="U209" s="70"/>
      <c r="V209" s="185"/>
    </row>
    <row r="210" spans="1:22" s="16" customFormat="1" ht="21" customHeight="1">
      <c r="A210" s="311" t="s">
        <v>60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160"/>
      <c r="U210" s="160"/>
      <c r="V210" s="185"/>
    </row>
    <row r="211" spans="1:22" s="16" customFormat="1" ht="105" customHeight="1">
      <c r="A211" s="8" t="s">
        <v>82</v>
      </c>
      <c r="B211" s="17">
        <v>1017410</v>
      </c>
      <c r="C211" s="27">
        <f>D211+F211</f>
        <v>120</v>
      </c>
      <c r="D211" s="28">
        <v>20</v>
      </c>
      <c r="E211" s="28"/>
      <c r="F211" s="28">
        <v>100</v>
      </c>
      <c r="G211" s="42"/>
      <c r="H211" s="8"/>
      <c r="I211" s="42"/>
      <c r="J211" s="41"/>
      <c r="K211" s="41"/>
      <c r="L211" s="41"/>
      <c r="M211" s="8"/>
      <c r="N211" s="42"/>
      <c r="O211" s="43"/>
      <c r="P211" s="43"/>
      <c r="Q211" s="43"/>
      <c r="R211" s="43"/>
      <c r="S211" s="198"/>
      <c r="T211" s="43"/>
      <c r="U211" s="43"/>
      <c r="V211" s="185"/>
    </row>
    <row r="212" spans="1:22" s="16" customFormat="1" ht="31.5" customHeight="1">
      <c r="A212" s="39" t="s">
        <v>15</v>
      </c>
      <c r="B212" s="49"/>
      <c r="C212" s="27"/>
      <c r="D212" s="28"/>
      <c r="E212" s="28"/>
      <c r="F212" s="28"/>
      <c r="G212" s="42"/>
      <c r="H212" s="8"/>
      <c r="I212" s="42"/>
      <c r="J212" s="41"/>
      <c r="K212" s="41"/>
      <c r="L212" s="41"/>
      <c r="M212" s="8"/>
      <c r="N212" s="42"/>
      <c r="O212" s="43"/>
      <c r="P212" s="43"/>
      <c r="Q212" s="43"/>
      <c r="R212" s="43"/>
      <c r="S212" s="198"/>
      <c r="T212" s="43"/>
      <c r="U212" s="43"/>
      <c r="V212" s="185"/>
    </row>
    <row r="213" spans="1:22" s="16" customFormat="1" ht="29.25" customHeight="1">
      <c r="A213" s="34" t="s">
        <v>16</v>
      </c>
      <c r="B213" s="49"/>
      <c r="C213" s="27"/>
      <c r="D213" s="28"/>
      <c r="E213" s="28"/>
      <c r="F213" s="28"/>
      <c r="G213" s="42"/>
      <c r="H213" s="8"/>
      <c r="I213" s="42"/>
      <c r="J213" s="41"/>
      <c r="K213" s="41"/>
      <c r="L213" s="41"/>
      <c r="M213" s="8"/>
      <c r="N213" s="42"/>
      <c r="O213" s="43"/>
      <c r="P213" s="43"/>
      <c r="Q213" s="43"/>
      <c r="R213" s="43"/>
      <c r="S213" s="198"/>
      <c r="T213" s="43"/>
      <c r="U213" s="43"/>
      <c r="V213" s="185"/>
    </row>
    <row r="214" spans="1:22" s="16" customFormat="1" ht="42" customHeight="1">
      <c r="A214" s="39" t="s">
        <v>18</v>
      </c>
      <c r="B214" s="49"/>
      <c r="C214" s="27">
        <v>120</v>
      </c>
      <c r="D214" s="28">
        <v>20</v>
      </c>
      <c r="E214" s="28"/>
      <c r="F214" s="28">
        <v>100</v>
      </c>
      <c r="G214" s="42"/>
      <c r="H214" s="8"/>
      <c r="I214" s="42"/>
      <c r="J214" s="41"/>
      <c r="K214" s="41"/>
      <c r="L214" s="41"/>
      <c r="M214" s="8"/>
      <c r="N214" s="42"/>
      <c r="O214" s="43"/>
      <c r="P214" s="43"/>
      <c r="Q214" s="43"/>
      <c r="R214" s="43"/>
      <c r="S214" s="198"/>
      <c r="T214" s="43"/>
      <c r="U214" s="43"/>
      <c r="V214" s="185"/>
    </row>
    <row r="215" spans="1:22" s="16" customFormat="1" ht="39.75" customHeight="1">
      <c r="A215" s="34" t="s">
        <v>10</v>
      </c>
      <c r="B215" s="49"/>
      <c r="C215" s="8"/>
      <c r="D215" s="42"/>
      <c r="E215" s="42"/>
      <c r="F215" s="42"/>
      <c r="G215" s="42"/>
      <c r="H215" s="8"/>
      <c r="I215" s="42"/>
      <c r="J215" s="41"/>
      <c r="K215" s="41"/>
      <c r="L215" s="41"/>
      <c r="M215" s="8"/>
      <c r="N215" s="42"/>
      <c r="O215" s="43"/>
      <c r="P215" s="43"/>
      <c r="Q215" s="43"/>
      <c r="R215" s="43"/>
      <c r="S215" s="198"/>
      <c r="T215" s="43"/>
      <c r="U215" s="43"/>
      <c r="V215" s="185"/>
    </row>
    <row r="216" spans="1:22" s="16" customFormat="1" ht="75.75" customHeight="1">
      <c r="A216" s="39" t="s">
        <v>61</v>
      </c>
      <c r="B216" s="49"/>
      <c r="C216" s="8">
        <v>14</v>
      </c>
      <c r="D216" s="42"/>
      <c r="E216" s="42"/>
      <c r="F216" s="42"/>
      <c r="G216" s="42"/>
      <c r="H216" s="8"/>
      <c r="I216" s="42"/>
      <c r="J216" s="41"/>
      <c r="K216" s="41"/>
      <c r="L216" s="41"/>
      <c r="M216" s="8"/>
      <c r="N216" s="42"/>
      <c r="O216" s="43"/>
      <c r="P216" s="43"/>
      <c r="Q216" s="43"/>
      <c r="R216" s="43"/>
      <c r="S216" s="198"/>
      <c r="T216" s="43"/>
      <c r="U216" s="43"/>
      <c r="V216" s="185"/>
    </row>
    <row r="217" spans="1:22" s="16" customFormat="1" ht="105.75" customHeight="1">
      <c r="A217" s="39" t="s">
        <v>142</v>
      </c>
      <c r="B217" s="49"/>
      <c r="C217" s="63">
        <f>C214/C216</f>
        <v>8.571428571428571</v>
      </c>
      <c r="D217" s="42"/>
      <c r="E217" s="42"/>
      <c r="F217" s="42"/>
      <c r="G217" s="42"/>
      <c r="H217" s="8"/>
      <c r="I217" s="42"/>
      <c r="J217" s="41"/>
      <c r="K217" s="41"/>
      <c r="L217" s="41"/>
      <c r="M217" s="8"/>
      <c r="N217" s="42"/>
      <c r="O217" s="43"/>
      <c r="P217" s="43"/>
      <c r="Q217" s="43"/>
      <c r="R217" s="43"/>
      <c r="S217" s="198"/>
      <c r="T217" s="43"/>
      <c r="U217" s="43"/>
      <c r="V217" s="185"/>
    </row>
    <row r="218" spans="1:22" s="16" customFormat="1" ht="33" customHeight="1">
      <c r="A218" s="34" t="s">
        <v>14</v>
      </c>
      <c r="B218" s="49"/>
      <c r="C218" s="8"/>
      <c r="D218" s="42"/>
      <c r="E218" s="42"/>
      <c r="F218" s="42"/>
      <c r="G218" s="42"/>
      <c r="H218" s="8"/>
      <c r="I218" s="42"/>
      <c r="J218" s="41"/>
      <c r="K218" s="41"/>
      <c r="L218" s="41"/>
      <c r="M218" s="8"/>
      <c r="N218" s="42"/>
      <c r="O218" s="43"/>
      <c r="P218" s="43"/>
      <c r="Q218" s="43"/>
      <c r="R218" s="43"/>
      <c r="S218" s="198"/>
      <c r="T218" s="43"/>
      <c r="U218" s="43"/>
      <c r="V218" s="185"/>
    </row>
    <row r="219" spans="1:22" s="16" customFormat="1" ht="69" customHeight="1">
      <c r="A219" s="39" t="s">
        <v>62</v>
      </c>
      <c r="B219" s="49"/>
      <c r="C219" s="142">
        <v>13</v>
      </c>
      <c r="D219" s="42"/>
      <c r="E219" s="42"/>
      <c r="F219" s="42"/>
      <c r="G219" s="42"/>
      <c r="H219" s="8"/>
      <c r="I219" s="42"/>
      <c r="J219" s="41"/>
      <c r="K219" s="41"/>
      <c r="L219" s="41"/>
      <c r="M219" s="8"/>
      <c r="N219" s="42"/>
      <c r="O219" s="43"/>
      <c r="P219" s="43"/>
      <c r="Q219" s="43"/>
      <c r="R219" s="43"/>
      <c r="S219" s="198"/>
      <c r="T219" s="43"/>
      <c r="U219" s="43"/>
      <c r="V219" s="185"/>
    </row>
    <row r="220" spans="1:22" s="16" customFormat="1" ht="57" customHeight="1">
      <c r="A220" s="39" t="s">
        <v>29</v>
      </c>
      <c r="B220" s="34"/>
      <c r="C220" s="63">
        <f>C211/(C219*0.86*1591.105*0.001)</f>
        <v>6.7459109197178755</v>
      </c>
      <c r="D220" s="42"/>
      <c r="E220" s="42"/>
      <c r="F220" s="42"/>
      <c r="G220" s="42"/>
      <c r="H220" s="8"/>
      <c r="I220" s="42"/>
      <c r="J220" s="41"/>
      <c r="K220" s="41"/>
      <c r="L220" s="41"/>
      <c r="M220" s="8"/>
      <c r="N220" s="42"/>
      <c r="O220" s="43"/>
      <c r="P220" s="43"/>
      <c r="Q220" s="43"/>
      <c r="R220" s="43"/>
      <c r="S220" s="198"/>
      <c r="T220" s="43"/>
      <c r="U220" s="43"/>
      <c r="V220" s="185"/>
    </row>
    <row r="221" spans="1:22" s="79" customFormat="1" ht="26.25" customHeight="1">
      <c r="A221" s="295" t="s">
        <v>32</v>
      </c>
      <c r="B221" s="312"/>
      <c r="C221" s="312"/>
      <c r="D221" s="312"/>
      <c r="E221" s="312"/>
      <c r="F221" s="312"/>
      <c r="G221" s="312"/>
      <c r="H221" s="312"/>
      <c r="I221" s="312"/>
      <c r="J221" s="312"/>
      <c r="K221" s="312"/>
      <c r="L221" s="312"/>
      <c r="M221" s="312"/>
      <c r="N221" s="312"/>
      <c r="O221" s="312"/>
      <c r="P221" s="312"/>
      <c r="Q221" s="312"/>
      <c r="R221" s="312"/>
      <c r="S221" s="312"/>
      <c r="T221" s="230"/>
      <c r="U221" s="230"/>
      <c r="V221" s="185"/>
    </row>
    <row r="222" spans="1:22" s="16" customFormat="1" ht="22.5">
      <c r="A222" s="301" t="s">
        <v>63</v>
      </c>
      <c r="B222" s="310"/>
      <c r="C222" s="310"/>
      <c r="D222" s="310"/>
      <c r="E222" s="310"/>
      <c r="F222" s="310"/>
      <c r="G222" s="310"/>
      <c r="H222" s="310"/>
      <c r="I222" s="310"/>
      <c r="J222" s="310"/>
      <c r="K222" s="310"/>
      <c r="L222" s="310"/>
      <c r="M222" s="310"/>
      <c r="N222" s="310"/>
      <c r="O222" s="310"/>
      <c r="P222" s="310"/>
      <c r="Q222" s="310"/>
      <c r="R222" s="310"/>
      <c r="S222" s="310"/>
      <c r="T222" s="41"/>
      <c r="U222" s="41"/>
      <c r="V222" s="185"/>
    </row>
    <row r="223" spans="1:22" s="16" customFormat="1" ht="23.25">
      <c r="A223" s="267" t="s">
        <v>109</v>
      </c>
      <c r="B223" s="268"/>
      <c r="C223" s="268"/>
      <c r="D223" s="268"/>
      <c r="E223" s="268"/>
      <c r="F223" s="268"/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92"/>
      <c r="U223" s="92"/>
      <c r="V223" s="185"/>
    </row>
    <row r="224" spans="1:22" s="16" customFormat="1" ht="104.25" customHeight="1">
      <c r="A224" s="8" t="s">
        <v>82</v>
      </c>
      <c r="B224" s="17">
        <v>1417410</v>
      </c>
      <c r="C224" s="27">
        <f>203.9-6.4</f>
        <v>197.5</v>
      </c>
      <c r="D224" s="28">
        <f>C224</f>
        <v>197.5</v>
      </c>
      <c r="E224" s="28"/>
      <c r="F224" s="28"/>
      <c r="G224" s="28"/>
      <c r="H224" s="55"/>
      <c r="I224" s="55"/>
      <c r="J224" s="32"/>
      <c r="K224" s="32"/>
      <c r="L224" s="32"/>
      <c r="M224" s="55"/>
      <c r="N224" s="55"/>
      <c r="O224" s="43"/>
      <c r="P224" s="43"/>
      <c r="Q224" s="43"/>
      <c r="R224" s="43"/>
      <c r="S224" s="198"/>
      <c r="T224" s="43"/>
      <c r="U224" s="43"/>
      <c r="V224" s="185"/>
    </row>
    <row r="225" spans="1:22" s="16" customFormat="1" ht="93.75" customHeight="1">
      <c r="A225" s="8" t="s">
        <v>116</v>
      </c>
      <c r="B225" s="76" t="s">
        <v>94</v>
      </c>
      <c r="C225" s="27"/>
      <c r="D225" s="28"/>
      <c r="E225" s="28"/>
      <c r="F225" s="28"/>
      <c r="G225" s="28"/>
      <c r="H225" s="61">
        <f>H228</f>
        <v>300</v>
      </c>
      <c r="I225" s="50">
        <f>I228</f>
        <v>300</v>
      </c>
      <c r="J225" s="32"/>
      <c r="K225" s="32"/>
      <c r="L225" s="32"/>
      <c r="M225" s="27"/>
      <c r="N225" s="28"/>
      <c r="O225" s="43"/>
      <c r="P225" s="43"/>
      <c r="Q225" s="43"/>
      <c r="R225" s="43"/>
      <c r="S225" s="198"/>
      <c r="T225" s="43"/>
      <c r="U225" s="43"/>
      <c r="V225" s="185"/>
    </row>
    <row r="226" spans="1:22" s="16" customFormat="1" ht="48.75" customHeight="1">
      <c r="A226" s="39" t="s">
        <v>15</v>
      </c>
      <c r="B226" s="49"/>
      <c r="C226" s="8"/>
      <c r="D226" s="42"/>
      <c r="E226" s="42"/>
      <c r="F226" s="42"/>
      <c r="G226" s="42"/>
      <c r="H226" s="8"/>
      <c r="I226" s="42"/>
      <c r="J226" s="41"/>
      <c r="K226" s="41"/>
      <c r="L226" s="41"/>
      <c r="M226" s="8"/>
      <c r="N226" s="42"/>
      <c r="O226" s="43"/>
      <c r="P226" s="43"/>
      <c r="Q226" s="43"/>
      <c r="R226" s="43"/>
      <c r="S226" s="198"/>
      <c r="T226" s="43"/>
      <c r="U226" s="43"/>
      <c r="V226" s="185"/>
    </row>
    <row r="227" spans="1:22" s="16" customFormat="1" ht="32.25" customHeight="1">
      <c r="A227" s="34" t="s">
        <v>16</v>
      </c>
      <c r="B227" s="49"/>
      <c r="C227" s="8"/>
      <c r="D227" s="42"/>
      <c r="E227" s="42"/>
      <c r="F227" s="42"/>
      <c r="G227" s="42"/>
      <c r="H227" s="8"/>
      <c r="I227" s="42"/>
      <c r="J227" s="41"/>
      <c r="K227" s="41"/>
      <c r="L227" s="41"/>
      <c r="M227" s="8"/>
      <c r="N227" s="42"/>
      <c r="O227" s="43"/>
      <c r="P227" s="43"/>
      <c r="Q227" s="43"/>
      <c r="R227" s="43"/>
      <c r="S227" s="198"/>
      <c r="T227" s="43"/>
      <c r="U227" s="43"/>
      <c r="V227" s="185"/>
    </row>
    <row r="228" spans="1:22" s="16" customFormat="1" ht="46.5">
      <c r="A228" s="39" t="s">
        <v>18</v>
      </c>
      <c r="B228" s="49"/>
      <c r="C228" s="27">
        <f>C224</f>
        <v>197.5</v>
      </c>
      <c r="D228" s="28">
        <f>D224</f>
        <v>197.5</v>
      </c>
      <c r="E228" s="28"/>
      <c r="F228" s="28"/>
      <c r="G228" s="28"/>
      <c r="H228" s="61">
        <f>I228</f>
        <v>300</v>
      </c>
      <c r="I228" s="50">
        <v>300</v>
      </c>
      <c r="J228" s="31"/>
      <c r="K228" s="31"/>
      <c r="L228" s="31"/>
      <c r="M228" s="27"/>
      <c r="N228" s="28"/>
      <c r="O228" s="43"/>
      <c r="P228" s="43"/>
      <c r="Q228" s="43"/>
      <c r="R228" s="43"/>
      <c r="S228" s="198"/>
      <c r="T228" s="43"/>
      <c r="U228" s="43"/>
      <c r="V228" s="185"/>
    </row>
    <row r="229" spans="1:22" s="16" customFormat="1" ht="23.25">
      <c r="A229" s="34" t="s">
        <v>10</v>
      </c>
      <c r="B229" s="49"/>
      <c r="C229" s="42"/>
      <c r="D229" s="42"/>
      <c r="E229" s="42"/>
      <c r="F229" s="42"/>
      <c r="G229" s="42"/>
      <c r="H229" s="42"/>
      <c r="I229" s="42"/>
      <c r="J229" s="43"/>
      <c r="K229" s="43"/>
      <c r="L229" s="43"/>
      <c r="M229" s="42"/>
      <c r="N229" s="42"/>
      <c r="O229" s="43"/>
      <c r="P229" s="43"/>
      <c r="Q229" s="43"/>
      <c r="R229" s="43"/>
      <c r="S229" s="198"/>
      <c r="T229" s="43"/>
      <c r="U229" s="43"/>
      <c r="V229" s="185"/>
    </row>
    <row r="230" spans="1:22" s="16" customFormat="1" ht="93">
      <c r="A230" s="39" t="s">
        <v>12</v>
      </c>
      <c r="B230" s="49"/>
      <c r="C230" s="8">
        <f>625+211+97+12+388+200+15</f>
        <v>1548</v>
      </c>
      <c r="D230" s="42"/>
      <c r="E230" s="42"/>
      <c r="F230" s="42"/>
      <c r="G230" s="42"/>
      <c r="H230" s="8">
        <f>400+1775+130</f>
        <v>2305</v>
      </c>
      <c r="I230" s="42"/>
      <c r="J230" s="43"/>
      <c r="K230" s="43"/>
      <c r="L230" s="43"/>
      <c r="M230" s="8"/>
      <c r="N230" s="42"/>
      <c r="O230" s="43"/>
      <c r="P230" s="43"/>
      <c r="Q230" s="43"/>
      <c r="R230" s="43"/>
      <c r="S230" s="198"/>
      <c r="T230" s="43"/>
      <c r="U230" s="43"/>
      <c r="V230" s="185"/>
    </row>
    <row r="231" spans="1:22" s="16" customFormat="1" ht="69.75">
      <c r="A231" s="39" t="s">
        <v>143</v>
      </c>
      <c r="B231" s="49"/>
      <c r="C231" s="8">
        <v>7</v>
      </c>
      <c r="D231" s="42"/>
      <c r="E231" s="42"/>
      <c r="F231" s="42"/>
      <c r="G231" s="42"/>
      <c r="H231" s="8">
        <v>3</v>
      </c>
      <c r="I231" s="42"/>
      <c r="J231" s="41"/>
      <c r="K231" s="41"/>
      <c r="L231" s="41"/>
      <c r="M231" s="8"/>
      <c r="N231" s="42"/>
      <c r="O231" s="43"/>
      <c r="P231" s="43"/>
      <c r="Q231" s="43"/>
      <c r="R231" s="43"/>
      <c r="S231" s="198"/>
      <c r="T231" s="43"/>
      <c r="U231" s="43"/>
      <c r="V231" s="185"/>
    </row>
    <row r="232" spans="1:22" s="16" customFormat="1" ht="48" customHeight="1">
      <c r="A232" s="34" t="s">
        <v>13</v>
      </c>
      <c r="B232" s="49"/>
      <c r="C232" s="8"/>
      <c r="D232" s="42"/>
      <c r="E232" s="42"/>
      <c r="F232" s="42"/>
      <c r="G232" s="42"/>
      <c r="H232" s="8"/>
      <c r="I232" s="42"/>
      <c r="J232" s="41"/>
      <c r="K232" s="41"/>
      <c r="L232" s="41"/>
      <c r="M232" s="8"/>
      <c r="N232" s="42"/>
      <c r="O232" s="43"/>
      <c r="P232" s="43"/>
      <c r="Q232" s="43"/>
      <c r="R232" s="43"/>
      <c r="S232" s="198"/>
      <c r="T232" s="43"/>
      <c r="U232" s="43"/>
      <c r="V232" s="185"/>
    </row>
    <row r="233" spans="1:22" s="16" customFormat="1" ht="111.75" customHeight="1">
      <c r="A233" s="39" t="s">
        <v>137</v>
      </c>
      <c r="B233" s="49"/>
      <c r="C233" s="61">
        <f>C228/C230</f>
        <v>0.12758397932816537</v>
      </c>
      <c r="D233" s="42"/>
      <c r="E233" s="42"/>
      <c r="F233" s="42"/>
      <c r="G233" s="42"/>
      <c r="H233" s="61">
        <f>H228/H230</f>
        <v>0.1301518438177874</v>
      </c>
      <c r="I233" s="42"/>
      <c r="J233" s="41"/>
      <c r="K233" s="41"/>
      <c r="L233" s="41"/>
      <c r="M233" s="61"/>
      <c r="N233" s="42"/>
      <c r="O233" s="43"/>
      <c r="P233" s="43"/>
      <c r="Q233" s="43"/>
      <c r="R233" s="43"/>
      <c r="S233" s="198"/>
      <c r="T233" s="43"/>
      <c r="U233" s="43"/>
      <c r="V233" s="185"/>
    </row>
    <row r="234" spans="1:22" s="16" customFormat="1" ht="23.25">
      <c r="A234" s="34" t="s">
        <v>14</v>
      </c>
      <c r="B234" s="49"/>
      <c r="C234" s="8"/>
      <c r="D234" s="42"/>
      <c r="E234" s="42"/>
      <c r="F234" s="42"/>
      <c r="G234" s="42"/>
      <c r="H234" s="8"/>
      <c r="I234" s="42"/>
      <c r="J234" s="41"/>
      <c r="K234" s="41"/>
      <c r="L234" s="41"/>
      <c r="M234" s="8"/>
      <c r="N234" s="42"/>
      <c r="O234" s="43"/>
      <c r="P234" s="43"/>
      <c r="Q234" s="43"/>
      <c r="R234" s="43"/>
      <c r="S234" s="198"/>
      <c r="T234" s="43"/>
      <c r="U234" s="43"/>
      <c r="V234" s="185"/>
    </row>
    <row r="235" spans="1:22" s="16" customFormat="1" ht="99.75" customHeight="1">
      <c r="A235" s="39" t="s">
        <v>39</v>
      </c>
      <c r="B235" s="62"/>
      <c r="C235" s="69">
        <f>199.19-15</f>
        <v>184.19</v>
      </c>
      <c r="D235" s="52"/>
      <c r="E235" s="52"/>
      <c r="F235" s="52"/>
      <c r="G235" s="52"/>
      <c r="H235" s="80">
        <f>32+87+13</f>
        <v>132</v>
      </c>
      <c r="I235" s="52"/>
      <c r="J235" s="68"/>
      <c r="K235" s="68"/>
      <c r="L235" s="68"/>
      <c r="M235" s="81"/>
      <c r="N235" s="52"/>
      <c r="O235" s="53"/>
      <c r="P235" s="53"/>
      <c r="Q235" s="53"/>
      <c r="R235" s="53"/>
      <c r="S235" s="225"/>
      <c r="T235" s="43"/>
      <c r="U235" s="43"/>
      <c r="V235" s="185"/>
    </row>
    <row r="236" spans="1:23" s="55" customFormat="1" ht="48.75" customHeight="1">
      <c r="A236" s="39" t="s">
        <v>29</v>
      </c>
      <c r="B236" s="34"/>
      <c r="C236" s="60">
        <f>C228/(C235*2.44)</f>
        <v>0.4394517777882604</v>
      </c>
      <c r="D236" s="42"/>
      <c r="E236" s="42"/>
      <c r="F236" s="42"/>
      <c r="G236" s="42"/>
      <c r="H236" s="82">
        <f>H225/(H235*2.44*1.1)</f>
        <v>0.8467687305243192</v>
      </c>
      <c r="I236" s="42"/>
      <c r="J236" s="41"/>
      <c r="K236" s="41"/>
      <c r="L236" s="41"/>
      <c r="M236" s="60"/>
      <c r="N236" s="42"/>
      <c r="O236" s="43"/>
      <c r="P236" s="43"/>
      <c r="Q236" s="43"/>
      <c r="R236" s="43"/>
      <c r="S236" s="198"/>
      <c r="T236" s="43"/>
      <c r="U236" s="43"/>
      <c r="V236" s="185"/>
      <c r="W236" s="54"/>
    </row>
    <row r="237" spans="1:22" s="16" customFormat="1" ht="21" customHeight="1">
      <c r="A237" s="301" t="s">
        <v>130</v>
      </c>
      <c r="B237" s="302"/>
      <c r="C237" s="302"/>
      <c r="D237" s="302"/>
      <c r="E237" s="302"/>
      <c r="F237" s="302"/>
      <c r="G237" s="302"/>
      <c r="H237" s="302"/>
      <c r="I237" s="302"/>
      <c r="J237" s="302"/>
      <c r="K237" s="302"/>
      <c r="L237" s="302"/>
      <c r="M237" s="302"/>
      <c r="N237" s="302"/>
      <c r="O237" s="303"/>
      <c r="P237" s="164"/>
      <c r="Q237" s="164"/>
      <c r="R237" s="164"/>
      <c r="S237" s="224"/>
      <c r="T237" s="231"/>
      <c r="U237" s="231"/>
      <c r="V237" s="185"/>
    </row>
    <row r="238" spans="1:22" s="16" customFormat="1" ht="23.25">
      <c r="A238" s="313" t="s">
        <v>109</v>
      </c>
      <c r="B238" s="314"/>
      <c r="C238" s="314"/>
      <c r="D238" s="314"/>
      <c r="E238" s="314"/>
      <c r="F238" s="314"/>
      <c r="G238" s="314"/>
      <c r="H238" s="314"/>
      <c r="I238" s="314"/>
      <c r="J238" s="314"/>
      <c r="K238" s="314"/>
      <c r="L238" s="314"/>
      <c r="M238" s="314"/>
      <c r="N238" s="314"/>
      <c r="O238" s="315"/>
      <c r="P238" s="133"/>
      <c r="Q238" s="133"/>
      <c r="R238" s="133"/>
      <c r="S238" s="133"/>
      <c r="T238" s="92"/>
      <c r="U238" s="92"/>
      <c r="V238" s="185"/>
    </row>
    <row r="239" spans="1:22" s="16" customFormat="1" ht="100.5" customHeight="1">
      <c r="A239" s="8" t="s">
        <v>71</v>
      </c>
      <c r="B239" s="17">
        <v>1017410</v>
      </c>
      <c r="C239" s="27">
        <f>E239+F239+G239+D239</f>
        <v>2708.65</v>
      </c>
      <c r="D239" s="28">
        <f>60.25+6.4</f>
        <v>66.65</v>
      </c>
      <c r="E239" s="28">
        <f>1200+42</f>
        <v>1242</v>
      </c>
      <c r="F239" s="28"/>
      <c r="G239" s="28">
        <v>1400</v>
      </c>
      <c r="H239" s="83"/>
      <c r="I239" s="83"/>
      <c r="J239" s="83"/>
      <c r="K239" s="32"/>
      <c r="L239" s="41"/>
      <c r="M239" s="55"/>
      <c r="N239" s="55"/>
      <c r="O239" s="55"/>
      <c r="P239" s="43"/>
      <c r="Q239" s="43"/>
      <c r="R239" s="43"/>
      <c r="S239" s="198"/>
      <c r="T239" s="43"/>
      <c r="U239" s="43"/>
      <c r="V239" s="187"/>
    </row>
    <row r="240" spans="1:22" s="16" customFormat="1" ht="96" customHeight="1">
      <c r="A240" s="8" t="s">
        <v>68</v>
      </c>
      <c r="B240" s="76" t="s">
        <v>94</v>
      </c>
      <c r="C240" s="27"/>
      <c r="D240" s="28"/>
      <c r="E240" s="28"/>
      <c r="F240" s="28"/>
      <c r="G240" s="28"/>
      <c r="H240" s="27">
        <f>J240+I240</f>
        <v>6041</v>
      </c>
      <c r="I240" s="28">
        <f>I243</f>
        <v>329</v>
      </c>
      <c r="J240" s="31">
        <f>J243</f>
        <v>5712</v>
      </c>
      <c r="K240" s="32"/>
      <c r="L240" s="41"/>
      <c r="M240" s="61">
        <f>O240</f>
        <v>200</v>
      </c>
      <c r="N240" s="50"/>
      <c r="O240" s="50">
        <v>200</v>
      </c>
      <c r="P240" s="43"/>
      <c r="Q240" s="43"/>
      <c r="R240" s="43"/>
      <c r="S240" s="198"/>
      <c r="T240" s="43"/>
      <c r="U240" s="43"/>
      <c r="V240" s="185"/>
    </row>
    <row r="241" spans="1:22" s="16" customFormat="1" ht="24.75" customHeight="1">
      <c r="A241" s="39" t="s">
        <v>15</v>
      </c>
      <c r="B241" s="34"/>
      <c r="C241" s="8"/>
      <c r="D241" s="42"/>
      <c r="E241" s="42"/>
      <c r="F241" s="42"/>
      <c r="G241" s="42"/>
      <c r="H241" s="8"/>
      <c r="I241" s="42"/>
      <c r="J241" s="43"/>
      <c r="K241" s="41"/>
      <c r="L241" s="41"/>
      <c r="M241" s="61"/>
      <c r="N241" s="50"/>
      <c r="O241" s="50"/>
      <c r="P241" s="43"/>
      <c r="Q241" s="43"/>
      <c r="R241" s="43"/>
      <c r="S241" s="198"/>
      <c r="T241" s="43"/>
      <c r="U241" s="43"/>
      <c r="V241" s="185"/>
    </row>
    <row r="242" spans="1:22" s="16" customFormat="1" ht="27.75" customHeight="1">
      <c r="A242" s="34" t="s">
        <v>16</v>
      </c>
      <c r="B242" s="34"/>
      <c r="C242" s="8"/>
      <c r="D242" s="42"/>
      <c r="E242" s="42"/>
      <c r="F242" s="42"/>
      <c r="G242" s="42"/>
      <c r="H242" s="8"/>
      <c r="I242" s="42"/>
      <c r="J242" s="43"/>
      <c r="K242" s="41"/>
      <c r="L242" s="41"/>
      <c r="M242" s="61"/>
      <c r="N242" s="50"/>
      <c r="O242" s="50"/>
      <c r="P242" s="43"/>
      <c r="Q242" s="43"/>
      <c r="R242" s="43"/>
      <c r="S242" s="198"/>
      <c r="T242" s="43"/>
      <c r="U242" s="43"/>
      <c r="V242" s="185"/>
    </row>
    <row r="243" spans="1:22" s="16" customFormat="1" ht="49.5" customHeight="1">
      <c r="A243" s="39" t="s">
        <v>18</v>
      </c>
      <c r="B243" s="34"/>
      <c r="C243" s="27">
        <f>C239</f>
        <v>2708.65</v>
      </c>
      <c r="D243" s="28"/>
      <c r="E243" s="28"/>
      <c r="F243" s="28"/>
      <c r="G243" s="28"/>
      <c r="H243" s="27">
        <f>I243+J243</f>
        <v>6041</v>
      </c>
      <c r="I243" s="28">
        <f>300+12+12+5</f>
        <v>329</v>
      </c>
      <c r="J243" s="45">
        <f>3465+392+1500-49+404</f>
        <v>5712</v>
      </c>
      <c r="K243" s="41"/>
      <c r="L243" s="41"/>
      <c r="M243" s="61">
        <f>O240</f>
        <v>200</v>
      </c>
      <c r="N243" s="50"/>
      <c r="O243" s="50">
        <f>O240</f>
        <v>200</v>
      </c>
      <c r="P243" s="43"/>
      <c r="Q243" s="43"/>
      <c r="R243" s="43"/>
      <c r="S243" s="198"/>
      <c r="T243" s="43"/>
      <c r="U243" s="43"/>
      <c r="V243" s="185"/>
    </row>
    <row r="244" spans="1:22" s="16" customFormat="1" ht="30.75" customHeight="1">
      <c r="A244" s="34" t="s">
        <v>10</v>
      </c>
      <c r="B244" s="34"/>
      <c r="C244" s="8"/>
      <c r="D244" s="42"/>
      <c r="E244" s="42"/>
      <c r="F244" s="42"/>
      <c r="G244" s="42"/>
      <c r="H244" s="8"/>
      <c r="I244" s="42"/>
      <c r="J244" s="41"/>
      <c r="K244" s="41"/>
      <c r="L244" s="41"/>
      <c r="M244" s="8"/>
      <c r="N244" s="42"/>
      <c r="O244" s="42"/>
      <c r="P244" s="43"/>
      <c r="Q244" s="43"/>
      <c r="R244" s="43"/>
      <c r="S244" s="198"/>
      <c r="T244" s="43"/>
      <c r="U244" s="43"/>
      <c r="V244" s="185"/>
    </row>
    <row r="245" spans="1:22" s="16" customFormat="1" ht="57.75" customHeight="1">
      <c r="A245" s="39" t="s">
        <v>74</v>
      </c>
      <c r="B245" s="34"/>
      <c r="C245" s="8">
        <v>1067</v>
      </c>
      <c r="D245" s="42"/>
      <c r="E245" s="42"/>
      <c r="F245" s="42"/>
      <c r="G245" s="42"/>
      <c r="H245" s="46">
        <f>1785.67+480+63.3+5.78+5.78+1.93</f>
        <v>2342.4600000000005</v>
      </c>
      <c r="I245" s="42"/>
      <c r="J245" s="41"/>
      <c r="K245" s="41"/>
      <c r="L245" s="41"/>
      <c r="M245" s="63">
        <v>51</v>
      </c>
      <c r="N245" s="42"/>
      <c r="O245" s="63">
        <v>51</v>
      </c>
      <c r="P245" s="43"/>
      <c r="Q245" s="43"/>
      <c r="R245" s="43"/>
      <c r="S245" s="198"/>
      <c r="T245" s="43"/>
      <c r="U245" s="43"/>
      <c r="V245" s="185"/>
    </row>
    <row r="246" spans="1:22" s="16" customFormat="1" ht="57.75" customHeight="1">
      <c r="A246" s="39" t="s">
        <v>100</v>
      </c>
      <c r="B246" s="34"/>
      <c r="C246" s="8">
        <v>32.4</v>
      </c>
      <c r="D246" s="42"/>
      <c r="E246" s="42"/>
      <c r="F246" s="42"/>
      <c r="G246" s="42"/>
      <c r="H246" s="44"/>
      <c r="I246" s="42"/>
      <c r="J246" s="41"/>
      <c r="K246" s="41"/>
      <c r="L246" s="41"/>
      <c r="M246" s="47"/>
      <c r="N246" s="42"/>
      <c r="O246" s="47"/>
      <c r="P246" s="43"/>
      <c r="Q246" s="43"/>
      <c r="R246" s="43"/>
      <c r="S246" s="198"/>
      <c r="T246" s="43"/>
      <c r="U246" s="43"/>
      <c r="V246" s="185"/>
    </row>
    <row r="247" spans="1:22" s="16" customFormat="1" ht="51" customHeight="1">
      <c r="A247" s="34" t="s">
        <v>13</v>
      </c>
      <c r="B247" s="34"/>
      <c r="C247" s="8"/>
      <c r="D247" s="42"/>
      <c r="E247" s="42"/>
      <c r="F247" s="42"/>
      <c r="G247" s="42"/>
      <c r="H247" s="8"/>
      <c r="I247" s="42"/>
      <c r="J247" s="41"/>
      <c r="K247" s="41"/>
      <c r="L247" s="41"/>
      <c r="M247" s="42"/>
      <c r="N247" s="42"/>
      <c r="O247" s="42"/>
      <c r="P247" s="43"/>
      <c r="Q247" s="43"/>
      <c r="R247" s="43"/>
      <c r="S247" s="198"/>
      <c r="T247" s="43"/>
      <c r="U247" s="43"/>
      <c r="V247" s="185"/>
    </row>
    <row r="248" spans="1:22" s="16" customFormat="1" ht="83.25" customHeight="1">
      <c r="A248" s="39" t="s">
        <v>144</v>
      </c>
      <c r="B248" s="34"/>
      <c r="C248" s="60">
        <f>C239/C245</f>
        <v>2.5385660731021558</v>
      </c>
      <c r="D248" s="42"/>
      <c r="E248" s="42"/>
      <c r="F248" s="42"/>
      <c r="G248" s="42"/>
      <c r="H248" s="60">
        <v>3</v>
      </c>
      <c r="I248" s="42"/>
      <c r="J248" s="41"/>
      <c r="K248" s="41"/>
      <c r="L248" s="41"/>
      <c r="M248" s="8">
        <v>3.7</v>
      </c>
      <c r="N248" s="42"/>
      <c r="O248" s="8">
        <v>3.7</v>
      </c>
      <c r="P248" s="43"/>
      <c r="Q248" s="43"/>
      <c r="R248" s="43"/>
      <c r="S248" s="198"/>
      <c r="T248" s="43"/>
      <c r="U248" s="43"/>
      <c r="V248" s="185"/>
    </row>
    <row r="249" spans="1:22" s="16" customFormat="1" ht="83.25" customHeight="1">
      <c r="A249" s="39" t="s">
        <v>145</v>
      </c>
      <c r="B249" s="34"/>
      <c r="C249" s="60"/>
      <c r="D249" s="42"/>
      <c r="E249" s="42"/>
      <c r="F249" s="42"/>
      <c r="G249" s="42"/>
      <c r="H249" s="60">
        <v>1.8</v>
      </c>
      <c r="I249" s="42"/>
      <c r="J249" s="41"/>
      <c r="K249" s="41"/>
      <c r="L249" s="41"/>
      <c r="M249" s="8"/>
      <c r="N249" s="42"/>
      <c r="O249" s="8"/>
      <c r="P249" s="43"/>
      <c r="Q249" s="43"/>
      <c r="R249" s="43"/>
      <c r="S249" s="198"/>
      <c r="T249" s="43"/>
      <c r="U249" s="43"/>
      <c r="V249" s="185"/>
    </row>
    <row r="250" spans="1:22" s="16" customFormat="1" ht="36.75" customHeight="1">
      <c r="A250" s="34" t="s">
        <v>14</v>
      </c>
      <c r="B250" s="34"/>
      <c r="C250" s="60"/>
      <c r="D250" s="42"/>
      <c r="E250" s="42"/>
      <c r="F250" s="42"/>
      <c r="G250" s="42"/>
      <c r="H250" s="8"/>
      <c r="I250" s="42"/>
      <c r="J250" s="41"/>
      <c r="K250" s="41"/>
      <c r="L250" s="41"/>
      <c r="M250" s="8"/>
      <c r="N250" s="42"/>
      <c r="O250" s="8"/>
      <c r="P250" s="43"/>
      <c r="Q250" s="43"/>
      <c r="R250" s="43"/>
      <c r="S250" s="198"/>
      <c r="T250" s="43"/>
      <c r="U250" s="43"/>
      <c r="V250" s="185"/>
    </row>
    <row r="251" spans="1:22" s="16" customFormat="1" ht="72.75" customHeight="1">
      <c r="A251" s="39" t="s">
        <v>36</v>
      </c>
      <c r="B251" s="62"/>
      <c r="C251" s="81">
        <f>25+74+43+3+0.5</f>
        <v>145.5</v>
      </c>
      <c r="D251" s="52"/>
      <c r="E251" s="52"/>
      <c r="F251" s="52"/>
      <c r="G251" s="52"/>
      <c r="H251" s="69">
        <f>177+19.9+10+85.2+9.7+0.7+0.7+0.3</f>
        <v>303.5</v>
      </c>
      <c r="I251" s="52"/>
      <c r="J251" s="68"/>
      <c r="K251" s="68"/>
      <c r="L251" s="68"/>
      <c r="M251" s="69">
        <v>8</v>
      </c>
      <c r="N251" s="52"/>
      <c r="O251" s="69">
        <v>8</v>
      </c>
      <c r="P251" s="53"/>
      <c r="Q251" s="53"/>
      <c r="R251" s="53"/>
      <c r="S251" s="225"/>
      <c r="T251" s="43"/>
      <c r="U251" s="43"/>
      <c r="V251" s="185"/>
    </row>
    <row r="252" spans="1:23" s="55" customFormat="1" ht="54" customHeight="1">
      <c r="A252" s="39" t="s">
        <v>29</v>
      </c>
      <c r="B252" s="34"/>
      <c r="C252" s="63">
        <f>C239/(C251*0.86*1420.028*0.001)</f>
        <v>15.243845505199294</v>
      </c>
      <c r="D252" s="42"/>
      <c r="E252" s="42"/>
      <c r="F252" s="42"/>
      <c r="G252" s="42"/>
      <c r="H252" s="63">
        <f>H240/(H251*0.86*0.001*1.1*1420.28)</f>
        <v>14.814432941100506</v>
      </c>
      <c r="I252" s="42"/>
      <c r="J252" s="41"/>
      <c r="K252" s="41"/>
      <c r="L252" s="41"/>
      <c r="M252" s="239">
        <f>M240/(M251*0.86*0.001*1.1*1758.6)</f>
        <v>15.027329302162086</v>
      </c>
      <c r="N252" s="42"/>
      <c r="O252" s="239">
        <f>O240/(O251*0.86*0.001*1.1*1758.6)</f>
        <v>15.027329302162086</v>
      </c>
      <c r="P252" s="43"/>
      <c r="Q252" s="43"/>
      <c r="R252" s="43"/>
      <c r="S252" s="198"/>
      <c r="T252" s="43"/>
      <c r="U252" s="43"/>
      <c r="V252" s="185"/>
      <c r="W252" s="54"/>
    </row>
    <row r="253" spans="1:22" s="23" customFormat="1" ht="33" customHeight="1">
      <c r="A253" s="295" t="s">
        <v>175</v>
      </c>
      <c r="B253" s="258"/>
      <c r="C253" s="258"/>
      <c r="D253" s="258"/>
      <c r="E253" s="258"/>
      <c r="F253" s="258"/>
      <c r="G253" s="258"/>
      <c r="H253" s="258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70"/>
      <c r="U253" s="70"/>
      <c r="V253" s="185"/>
    </row>
    <row r="254" spans="1:22" s="23" customFormat="1" ht="30" customHeight="1">
      <c r="A254" s="311" t="s">
        <v>109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160"/>
      <c r="U254" s="160"/>
      <c r="V254" s="185"/>
    </row>
    <row r="255" spans="1:22" s="23" customFormat="1" ht="106.5" customHeight="1">
      <c r="A255" s="8" t="s">
        <v>68</v>
      </c>
      <c r="B255" s="67" t="s">
        <v>94</v>
      </c>
      <c r="C255" s="63"/>
      <c r="D255" s="42"/>
      <c r="E255" s="42"/>
      <c r="F255" s="42"/>
      <c r="G255" s="42"/>
      <c r="H255" s="71">
        <f>2990+600+75-135-1300</f>
        <v>2230</v>
      </c>
      <c r="I255" s="28"/>
      <c r="J255" s="31">
        <f>H255</f>
        <v>2230</v>
      </c>
      <c r="K255" s="41"/>
      <c r="L255" s="41"/>
      <c r="M255" s="61">
        <f>1500+2200</f>
        <v>3700</v>
      </c>
      <c r="N255" s="50"/>
      <c r="O255" s="61">
        <f>M255</f>
        <v>3700</v>
      </c>
      <c r="P255" s="43"/>
      <c r="Q255" s="43"/>
      <c r="R255" s="43"/>
      <c r="S255" s="198"/>
      <c r="T255" s="43"/>
      <c r="U255" s="43"/>
      <c r="V255" s="185"/>
    </row>
    <row r="256" spans="1:22" s="23" customFormat="1" ht="39" customHeight="1">
      <c r="A256" s="39" t="s">
        <v>15</v>
      </c>
      <c r="B256" s="34"/>
      <c r="C256" s="63"/>
      <c r="D256" s="42"/>
      <c r="E256" s="42"/>
      <c r="F256" s="42"/>
      <c r="G256" s="42"/>
      <c r="H256" s="63"/>
      <c r="I256" s="42"/>
      <c r="J256" s="43"/>
      <c r="K256" s="41"/>
      <c r="L256" s="41"/>
      <c r="M256" s="61"/>
      <c r="N256" s="50"/>
      <c r="O256" s="61"/>
      <c r="P256" s="43"/>
      <c r="Q256" s="43"/>
      <c r="R256" s="43"/>
      <c r="S256" s="198"/>
      <c r="T256" s="43"/>
      <c r="U256" s="43"/>
      <c r="V256" s="186"/>
    </row>
    <row r="257" spans="1:22" s="23" customFormat="1" ht="34.5" customHeight="1">
      <c r="A257" s="34" t="s">
        <v>16</v>
      </c>
      <c r="B257" s="34"/>
      <c r="C257" s="63"/>
      <c r="D257" s="42"/>
      <c r="E257" s="42"/>
      <c r="F257" s="42"/>
      <c r="G257" s="42"/>
      <c r="H257" s="63"/>
      <c r="I257" s="42"/>
      <c r="J257" s="43"/>
      <c r="K257" s="41"/>
      <c r="L257" s="41"/>
      <c r="M257" s="61"/>
      <c r="N257" s="50"/>
      <c r="O257" s="61"/>
      <c r="P257" s="43"/>
      <c r="Q257" s="43"/>
      <c r="R257" s="43"/>
      <c r="S257" s="198"/>
      <c r="T257" s="43"/>
      <c r="U257" s="43"/>
      <c r="V257" s="185"/>
    </row>
    <row r="258" spans="1:22" s="23" customFormat="1" ht="43.5" customHeight="1">
      <c r="A258" s="39" t="s">
        <v>18</v>
      </c>
      <c r="B258" s="34"/>
      <c r="C258" s="63"/>
      <c r="D258" s="42"/>
      <c r="E258" s="42"/>
      <c r="F258" s="42"/>
      <c r="G258" s="42"/>
      <c r="H258" s="71">
        <f>H255</f>
        <v>2230</v>
      </c>
      <c r="I258" s="28"/>
      <c r="J258" s="31">
        <f>J255</f>
        <v>2230</v>
      </c>
      <c r="K258" s="41"/>
      <c r="L258" s="41"/>
      <c r="M258" s="61">
        <f>M255</f>
        <v>3700</v>
      </c>
      <c r="N258" s="50"/>
      <c r="O258" s="61">
        <f>M258</f>
        <v>3700</v>
      </c>
      <c r="P258" s="43"/>
      <c r="Q258" s="43"/>
      <c r="R258" s="43"/>
      <c r="S258" s="198"/>
      <c r="T258" s="43"/>
      <c r="U258" s="43"/>
      <c r="V258" s="185"/>
    </row>
    <row r="259" spans="1:22" s="23" customFormat="1" ht="24" customHeight="1">
      <c r="A259" s="34" t="s">
        <v>10</v>
      </c>
      <c r="B259" s="34"/>
      <c r="C259" s="63"/>
      <c r="D259" s="42"/>
      <c r="E259" s="42"/>
      <c r="F259" s="42"/>
      <c r="G259" s="42"/>
      <c r="H259" s="63"/>
      <c r="I259" s="42"/>
      <c r="J259" s="41"/>
      <c r="K259" s="41"/>
      <c r="L259" s="41"/>
      <c r="M259" s="8"/>
      <c r="N259" s="42"/>
      <c r="O259" s="43"/>
      <c r="P259" s="43"/>
      <c r="Q259" s="43"/>
      <c r="R259" s="43"/>
      <c r="S259" s="198"/>
      <c r="T259" s="43"/>
      <c r="U259" s="43"/>
      <c r="V259" s="185"/>
    </row>
    <row r="260" spans="1:22" s="23" customFormat="1" ht="51.75" customHeight="1">
      <c r="A260" s="39" t="s">
        <v>104</v>
      </c>
      <c r="B260" s="34"/>
      <c r="C260" s="63"/>
      <c r="D260" s="42"/>
      <c r="E260" s="42"/>
      <c r="F260" s="42"/>
      <c r="G260" s="42"/>
      <c r="H260" s="63">
        <v>2500</v>
      </c>
      <c r="I260" s="42"/>
      <c r="J260" s="41"/>
      <c r="K260" s="41"/>
      <c r="L260" s="41"/>
      <c r="M260" s="8">
        <f>700</f>
        <v>700</v>
      </c>
      <c r="N260" s="42"/>
      <c r="O260" s="42">
        <v>700</v>
      </c>
      <c r="P260" s="43"/>
      <c r="Q260" s="43"/>
      <c r="R260" s="43"/>
      <c r="S260" s="198"/>
      <c r="T260" s="43"/>
      <c r="U260" s="43"/>
      <c r="V260" s="185"/>
    </row>
    <row r="261" spans="1:22" s="23" customFormat="1" ht="51.75" customHeight="1">
      <c r="A261" s="39" t="s">
        <v>103</v>
      </c>
      <c r="B261" s="34"/>
      <c r="C261" s="63"/>
      <c r="D261" s="42"/>
      <c r="E261" s="42"/>
      <c r="F261" s="42"/>
      <c r="G261" s="42"/>
      <c r="H261" s="63">
        <v>576</v>
      </c>
      <c r="I261" s="42"/>
      <c r="J261" s="41"/>
      <c r="K261" s="41"/>
      <c r="L261" s="41"/>
      <c r="M261" s="8"/>
      <c r="N261" s="42"/>
      <c r="O261" s="42"/>
      <c r="P261" s="43"/>
      <c r="Q261" s="43"/>
      <c r="R261" s="43"/>
      <c r="S261" s="198"/>
      <c r="T261" s="43"/>
      <c r="U261" s="43"/>
      <c r="V261" s="185"/>
    </row>
    <row r="262" spans="1:22" s="23" customFormat="1" ht="51.75" customHeight="1">
      <c r="A262" s="39" t="s">
        <v>192</v>
      </c>
      <c r="B262" s="34"/>
      <c r="C262" s="63"/>
      <c r="D262" s="42"/>
      <c r="E262" s="42"/>
      <c r="F262" s="42"/>
      <c r="G262" s="42"/>
      <c r="H262" s="63"/>
      <c r="I262" s="42"/>
      <c r="J262" s="41"/>
      <c r="K262" s="41"/>
      <c r="L262" s="41"/>
      <c r="M262" s="8">
        <v>7529</v>
      </c>
      <c r="N262" s="42"/>
      <c r="O262" s="42">
        <v>7529</v>
      </c>
      <c r="P262" s="43"/>
      <c r="Q262" s="43"/>
      <c r="R262" s="43"/>
      <c r="S262" s="198"/>
      <c r="T262" s="43"/>
      <c r="U262" s="43"/>
      <c r="V262" s="185"/>
    </row>
    <row r="263" spans="1:22" s="23" customFormat="1" ht="102" customHeight="1">
      <c r="A263" s="39" t="s">
        <v>172</v>
      </c>
      <c r="B263" s="34"/>
      <c r="C263" s="63"/>
      <c r="D263" s="42"/>
      <c r="E263" s="42"/>
      <c r="F263" s="42"/>
      <c r="G263" s="42"/>
      <c r="H263" s="63">
        <v>2</v>
      </c>
      <c r="I263" s="42"/>
      <c r="J263" s="41"/>
      <c r="K263" s="41"/>
      <c r="L263" s="41"/>
      <c r="M263" s="8">
        <v>1</v>
      </c>
      <c r="N263" s="42"/>
      <c r="O263" s="42">
        <v>1</v>
      </c>
      <c r="P263" s="43"/>
      <c r="Q263" s="43"/>
      <c r="R263" s="43"/>
      <c r="S263" s="198"/>
      <c r="T263" s="43"/>
      <c r="U263" s="43"/>
      <c r="V263" s="185"/>
    </row>
    <row r="264" spans="1:22" s="23" customFormat="1" ht="46.5" customHeight="1">
      <c r="A264" s="34" t="s">
        <v>13</v>
      </c>
      <c r="B264" s="34"/>
      <c r="C264" s="63"/>
      <c r="D264" s="42"/>
      <c r="E264" s="42"/>
      <c r="F264" s="42"/>
      <c r="G264" s="42"/>
      <c r="H264" s="63"/>
      <c r="I264" s="42"/>
      <c r="J264" s="41"/>
      <c r="K264" s="41"/>
      <c r="L264" s="41"/>
      <c r="M264" s="8"/>
      <c r="N264" s="42"/>
      <c r="O264" s="42"/>
      <c r="P264" s="43"/>
      <c r="Q264" s="43"/>
      <c r="R264" s="43"/>
      <c r="S264" s="198"/>
      <c r="T264" s="43"/>
      <c r="U264" s="43"/>
      <c r="V264" s="185"/>
    </row>
    <row r="265" spans="1:22" s="23" customFormat="1" ht="115.5" customHeight="1">
      <c r="A265" s="39" t="s">
        <v>146</v>
      </c>
      <c r="B265" s="34"/>
      <c r="C265" s="63"/>
      <c r="D265" s="42"/>
      <c r="E265" s="42"/>
      <c r="F265" s="42"/>
      <c r="G265" s="42"/>
      <c r="H265" s="60">
        <f>H255/H260</f>
        <v>0.892</v>
      </c>
      <c r="I265" s="42"/>
      <c r="J265" s="41"/>
      <c r="K265" s="41"/>
      <c r="L265" s="41"/>
      <c r="M265" s="60">
        <f>1500/700</f>
        <v>2.142857142857143</v>
      </c>
      <c r="N265" s="42"/>
      <c r="O265" s="6">
        <v>2.142857142857143</v>
      </c>
      <c r="P265" s="43"/>
      <c r="Q265" s="43"/>
      <c r="R265" s="43"/>
      <c r="S265" s="198"/>
      <c r="T265" s="43"/>
      <c r="U265" s="43"/>
      <c r="V265" s="185"/>
    </row>
    <row r="266" spans="1:22" s="23" customFormat="1" ht="91.5" customHeight="1">
      <c r="A266" s="39" t="s">
        <v>147</v>
      </c>
      <c r="B266" s="34"/>
      <c r="C266" s="63"/>
      <c r="D266" s="42"/>
      <c r="E266" s="42"/>
      <c r="F266" s="42"/>
      <c r="G266" s="42"/>
      <c r="H266" s="60">
        <f>576/600</f>
        <v>0.96</v>
      </c>
      <c r="I266" s="42"/>
      <c r="J266" s="41"/>
      <c r="K266" s="41"/>
      <c r="L266" s="41"/>
      <c r="M266" s="8"/>
      <c r="N266" s="42"/>
      <c r="O266" s="42"/>
      <c r="P266" s="43"/>
      <c r="Q266" s="43"/>
      <c r="R266" s="43"/>
      <c r="S266" s="198"/>
      <c r="T266" s="43"/>
      <c r="U266" s="43"/>
      <c r="V266" s="185"/>
    </row>
    <row r="267" spans="1:22" s="23" customFormat="1" ht="30" customHeight="1">
      <c r="A267" s="34" t="s">
        <v>14</v>
      </c>
      <c r="B267" s="34"/>
      <c r="C267" s="63"/>
      <c r="D267" s="42"/>
      <c r="E267" s="42"/>
      <c r="F267" s="42"/>
      <c r="G267" s="42"/>
      <c r="H267" s="63"/>
      <c r="I267" s="42"/>
      <c r="J267" s="41"/>
      <c r="K267" s="41"/>
      <c r="L267" s="41"/>
      <c r="M267" s="8"/>
      <c r="N267" s="42"/>
      <c r="O267" s="42"/>
      <c r="P267" s="43"/>
      <c r="Q267" s="43"/>
      <c r="R267" s="43"/>
      <c r="S267" s="198"/>
      <c r="T267" s="43"/>
      <c r="U267" s="43"/>
      <c r="V267" s="185"/>
    </row>
    <row r="268" spans="1:22" s="23" customFormat="1" ht="78.75" customHeight="1">
      <c r="A268" s="39" t="s">
        <v>36</v>
      </c>
      <c r="B268" s="34"/>
      <c r="C268" s="63"/>
      <c r="D268" s="42"/>
      <c r="E268" s="42"/>
      <c r="F268" s="42"/>
      <c r="G268" s="42"/>
      <c r="H268" s="63">
        <f>130+16.8</f>
        <v>146.8</v>
      </c>
      <c r="I268" s="42"/>
      <c r="J268" s="41"/>
      <c r="K268" s="41"/>
      <c r="L268" s="41"/>
      <c r="M268" s="8">
        <f>130+11.6</f>
        <v>141.6</v>
      </c>
      <c r="N268" s="42"/>
      <c r="O268" s="42">
        <f>130+11.6</f>
        <v>141.6</v>
      </c>
      <c r="P268" s="43"/>
      <c r="Q268" s="43"/>
      <c r="R268" s="43"/>
      <c r="S268" s="198"/>
      <c r="T268" s="43"/>
      <c r="U268" s="43"/>
      <c r="V268" s="185"/>
    </row>
    <row r="269" spans="1:22" s="23" customFormat="1" ht="54" customHeight="1">
      <c r="A269" s="39" t="s">
        <v>29</v>
      </c>
      <c r="B269" s="34"/>
      <c r="C269" s="63"/>
      <c r="D269" s="42"/>
      <c r="E269" s="42"/>
      <c r="F269" s="42"/>
      <c r="G269" s="42"/>
      <c r="H269" s="63">
        <f>H258/(H268*0.86*1420.28*1.1*0.001)</f>
        <v>11.306122836707486</v>
      </c>
      <c r="I269" s="63"/>
      <c r="J269" s="63"/>
      <c r="K269" s="63"/>
      <c r="L269" s="63"/>
      <c r="M269" s="63">
        <f>M258/(M268*0.86*1758.6*1.1*0.001)</f>
        <v>15.706530626553592</v>
      </c>
      <c r="N269" s="42"/>
      <c r="O269" s="47">
        <v>16</v>
      </c>
      <c r="P269" s="43"/>
      <c r="Q269" s="43"/>
      <c r="R269" s="43"/>
      <c r="S269" s="198"/>
      <c r="T269" s="43"/>
      <c r="U269" s="43"/>
      <c r="V269" s="185"/>
    </row>
    <row r="270" spans="1:22" s="23" customFormat="1" ht="39.75" customHeight="1">
      <c r="A270" s="295" t="s">
        <v>196</v>
      </c>
      <c r="B270" s="258"/>
      <c r="C270" s="258"/>
      <c r="D270" s="258"/>
      <c r="E270" s="258"/>
      <c r="F270" s="258"/>
      <c r="G270" s="258"/>
      <c r="H270" s="258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258"/>
      <c r="T270" s="258"/>
      <c r="U270" s="259"/>
      <c r="V270" s="185"/>
    </row>
    <row r="271" spans="1:22" s="23" customFormat="1" ht="34.5" customHeight="1">
      <c r="A271" s="295" t="s">
        <v>109</v>
      </c>
      <c r="B271" s="258"/>
      <c r="C271" s="258"/>
      <c r="D271" s="258"/>
      <c r="E271" s="258"/>
      <c r="F271" s="258"/>
      <c r="G271" s="258"/>
      <c r="H271" s="258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258"/>
      <c r="T271" s="258"/>
      <c r="U271" s="259"/>
      <c r="V271" s="185"/>
    </row>
    <row r="272" spans="1:22" s="23" customFormat="1" ht="102.75" customHeight="1">
      <c r="A272" s="8" t="s">
        <v>68</v>
      </c>
      <c r="B272" s="34"/>
      <c r="C272" s="63"/>
      <c r="D272" s="42"/>
      <c r="E272" s="42"/>
      <c r="F272" s="42"/>
      <c r="G272" s="42"/>
      <c r="H272" s="60">
        <f>H275</f>
        <v>97.4</v>
      </c>
      <c r="I272" s="60">
        <f>I275</f>
        <v>97.4</v>
      </c>
      <c r="J272" s="63"/>
      <c r="K272" s="63"/>
      <c r="L272" s="63">
        <f>L275</f>
        <v>0</v>
      </c>
      <c r="M272" s="60">
        <f>O272+U272</f>
        <v>26700</v>
      </c>
      <c r="N272" s="6"/>
      <c r="O272" s="57">
        <v>4400</v>
      </c>
      <c r="P272" s="57"/>
      <c r="Q272" s="57"/>
      <c r="R272" s="57"/>
      <c r="S272" s="57"/>
      <c r="T272" s="57"/>
      <c r="U272" s="78">
        <f>U275</f>
        <v>22300</v>
      </c>
      <c r="V272" s="185"/>
    </row>
    <row r="273" spans="1:22" s="23" customFormat="1" ht="30.75" customHeight="1">
      <c r="A273" s="39" t="s">
        <v>15</v>
      </c>
      <c r="B273" s="34"/>
      <c r="C273" s="63"/>
      <c r="D273" s="42"/>
      <c r="E273" s="42"/>
      <c r="F273" s="42"/>
      <c r="G273" s="42"/>
      <c r="H273" s="63"/>
      <c r="I273" s="63"/>
      <c r="J273" s="63"/>
      <c r="K273" s="63"/>
      <c r="L273" s="63"/>
      <c r="M273" s="60"/>
      <c r="N273" s="6"/>
      <c r="O273" s="57"/>
      <c r="P273" s="57"/>
      <c r="Q273" s="57"/>
      <c r="R273" s="57"/>
      <c r="S273" s="57"/>
      <c r="T273" s="57"/>
      <c r="U273" s="57"/>
      <c r="V273" s="185"/>
    </row>
    <row r="274" spans="1:22" s="23" customFormat="1" ht="36" customHeight="1">
      <c r="A274" s="34" t="s">
        <v>16</v>
      </c>
      <c r="B274" s="34"/>
      <c r="C274" s="63"/>
      <c r="D274" s="42"/>
      <c r="E274" s="42"/>
      <c r="F274" s="42"/>
      <c r="G274" s="42"/>
      <c r="H274" s="63"/>
      <c r="I274" s="63"/>
      <c r="J274" s="63"/>
      <c r="K274" s="63"/>
      <c r="L274" s="63"/>
      <c r="M274" s="60"/>
      <c r="N274" s="6"/>
      <c r="O274" s="57"/>
      <c r="P274" s="57"/>
      <c r="Q274" s="57"/>
      <c r="R274" s="57"/>
      <c r="S274" s="57"/>
      <c r="T274" s="57"/>
      <c r="U274" s="57"/>
      <c r="V274" s="185"/>
    </row>
    <row r="275" spans="1:22" s="23" customFormat="1" ht="54" customHeight="1">
      <c r="A275" s="39" t="s">
        <v>18</v>
      </c>
      <c r="B275" s="34"/>
      <c r="C275" s="63"/>
      <c r="D275" s="42"/>
      <c r="E275" s="42"/>
      <c r="F275" s="42"/>
      <c r="G275" s="42"/>
      <c r="H275" s="60">
        <f>I275</f>
        <v>97.4</v>
      </c>
      <c r="I275" s="60">
        <v>97.4</v>
      </c>
      <c r="J275" s="63"/>
      <c r="K275" s="63"/>
      <c r="L275" s="63"/>
      <c r="M275" s="60">
        <f>O275+U275</f>
        <v>26700</v>
      </c>
      <c r="N275" s="6"/>
      <c r="O275" s="57">
        <v>4400</v>
      </c>
      <c r="P275" s="57"/>
      <c r="Q275" s="57"/>
      <c r="R275" s="57"/>
      <c r="S275" s="57"/>
      <c r="T275" s="57"/>
      <c r="U275" s="57">
        <f>9500+12800</f>
        <v>22300</v>
      </c>
      <c r="V275" s="185"/>
    </row>
    <row r="276" spans="1:22" s="23" customFormat="1" ht="38.25" customHeight="1">
      <c r="A276" s="34" t="s">
        <v>10</v>
      </c>
      <c r="B276" s="34"/>
      <c r="C276" s="63"/>
      <c r="D276" s="42"/>
      <c r="E276" s="42"/>
      <c r="F276" s="42"/>
      <c r="G276" s="42"/>
      <c r="H276" s="63"/>
      <c r="I276" s="63"/>
      <c r="J276" s="63"/>
      <c r="K276" s="63"/>
      <c r="L276" s="63"/>
      <c r="M276" s="63"/>
      <c r="N276" s="42"/>
      <c r="O276" s="43"/>
      <c r="P276" s="43"/>
      <c r="Q276" s="43"/>
      <c r="R276" s="43"/>
      <c r="S276" s="43"/>
      <c r="T276" s="43"/>
      <c r="U276" s="43"/>
      <c r="V276" s="185"/>
    </row>
    <row r="277" spans="1:22" s="23" customFormat="1" ht="96.75" customHeight="1">
      <c r="A277" s="39" t="s">
        <v>197</v>
      </c>
      <c r="B277" s="34"/>
      <c r="C277" s="63"/>
      <c r="D277" s="42"/>
      <c r="E277" s="42"/>
      <c r="F277" s="42"/>
      <c r="G277" s="42"/>
      <c r="H277" s="47">
        <v>1</v>
      </c>
      <c r="I277" s="47">
        <v>1</v>
      </c>
      <c r="J277" s="63"/>
      <c r="K277" s="63"/>
      <c r="L277" s="63"/>
      <c r="M277" s="63"/>
      <c r="N277" s="42"/>
      <c r="O277" s="43"/>
      <c r="P277" s="43"/>
      <c r="Q277" s="43"/>
      <c r="R277" s="43"/>
      <c r="S277" s="43"/>
      <c r="T277" s="43"/>
      <c r="U277" s="43"/>
      <c r="V277" s="185"/>
    </row>
    <row r="278" spans="1:22" s="23" customFormat="1" ht="101.25" customHeight="1">
      <c r="A278" s="39" t="s">
        <v>200</v>
      </c>
      <c r="B278" s="34"/>
      <c r="C278" s="63"/>
      <c r="D278" s="42"/>
      <c r="E278" s="42"/>
      <c r="F278" s="42"/>
      <c r="G278" s="42"/>
      <c r="H278" s="63"/>
      <c r="I278" s="63"/>
      <c r="J278" s="63"/>
      <c r="K278" s="63"/>
      <c r="L278" s="55"/>
      <c r="M278" s="63">
        <v>1857.16</v>
      </c>
      <c r="N278" s="42"/>
      <c r="O278" s="43"/>
      <c r="P278" s="43"/>
      <c r="Q278" s="43"/>
      <c r="R278" s="43"/>
      <c r="S278" s="43"/>
      <c r="T278" s="43"/>
      <c r="U278" s="43"/>
      <c r="V278" s="185"/>
    </row>
    <row r="279" spans="1:22" s="23" customFormat="1" ht="74.25" customHeight="1">
      <c r="A279" s="39" t="s">
        <v>201</v>
      </c>
      <c r="B279" s="34"/>
      <c r="C279" s="63"/>
      <c r="D279" s="42"/>
      <c r="E279" s="42"/>
      <c r="F279" s="42"/>
      <c r="G279" s="42"/>
      <c r="H279" s="63"/>
      <c r="I279" s="63"/>
      <c r="J279" s="63"/>
      <c r="K279" s="63"/>
      <c r="L279" s="55"/>
      <c r="M279" s="63">
        <v>1639</v>
      </c>
      <c r="N279" s="42"/>
      <c r="O279" s="43"/>
      <c r="P279" s="43"/>
      <c r="Q279" s="43"/>
      <c r="R279" s="43"/>
      <c r="S279" s="43"/>
      <c r="T279" s="43"/>
      <c r="U279" s="43"/>
      <c r="V279" s="185"/>
    </row>
    <row r="280" spans="1:22" s="23" customFormat="1" ht="66" customHeight="1">
      <c r="A280" s="39" t="s">
        <v>36</v>
      </c>
      <c r="B280" s="34"/>
      <c r="C280" s="63"/>
      <c r="D280" s="42"/>
      <c r="E280" s="42"/>
      <c r="F280" s="42"/>
      <c r="G280" s="42"/>
      <c r="H280" s="63"/>
      <c r="I280" s="63"/>
      <c r="J280" s="63"/>
      <c r="K280" s="63"/>
      <c r="L280" s="55"/>
      <c r="M280" s="63">
        <v>510</v>
      </c>
      <c r="N280" s="42"/>
      <c r="O280" s="43"/>
      <c r="P280" s="43"/>
      <c r="Q280" s="43"/>
      <c r="R280" s="43"/>
      <c r="S280" s="43"/>
      <c r="T280" s="43"/>
      <c r="U280" s="43"/>
      <c r="V280" s="185"/>
    </row>
    <row r="281" spans="1:22" s="23" customFormat="1" ht="47.25" customHeight="1">
      <c r="A281" s="39" t="s">
        <v>29</v>
      </c>
      <c r="B281" s="34"/>
      <c r="C281" s="63"/>
      <c r="D281" s="42"/>
      <c r="E281" s="42"/>
      <c r="F281" s="42"/>
      <c r="G281" s="42"/>
      <c r="H281" s="63"/>
      <c r="I281" s="63"/>
      <c r="J281" s="63"/>
      <c r="K281" s="63"/>
      <c r="L281" s="55"/>
      <c r="M281" s="63">
        <f>13900/(M280*0.86*1758.6*1.1*0.001)</f>
        <v>16.38273547451396</v>
      </c>
      <c r="N281" s="42"/>
      <c r="O281" s="43"/>
      <c r="P281" s="43"/>
      <c r="Q281" s="43"/>
      <c r="R281" s="43"/>
      <c r="S281" s="43"/>
      <c r="T281" s="43"/>
      <c r="U281" s="43"/>
      <c r="V281" s="185"/>
    </row>
    <row r="282" spans="1:22" s="23" customFormat="1" ht="31.5" customHeight="1">
      <c r="A282" s="295" t="s">
        <v>195</v>
      </c>
      <c r="B282" s="258"/>
      <c r="C282" s="258"/>
      <c r="D282" s="258"/>
      <c r="E282" s="258"/>
      <c r="F282" s="258"/>
      <c r="G282" s="258"/>
      <c r="H282" s="258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258"/>
      <c r="T282" s="258"/>
      <c r="U282" s="259"/>
      <c r="V282" s="185"/>
    </row>
    <row r="283" spans="1:22" s="23" customFormat="1" ht="29.25" customHeight="1">
      <c r="A283" s="293" t="s">
        <v>109</v>
      </c>
      <c r="B283" s="294"/>
      <c r="C283" s="294"/>
      <c r="D283" s="294"/>
      <c r="E283" s="294"/>
      <c r="F283" s="294"/>
      <c r="G283" s="294"/>
      <c r="H283" s="294"/>
      <c r="I283" s="294"/>
      <c r="J283" s="294"/>
      <c r="K283" s="294"/>
      <c r="L283" s="294"/>
      <c r="M283" s="294"/>
      <c r="N283" s="294"/>
      <c r="O283" s="294"/>
      <c r="P283" s="294"/>
      <c r="Q283" s="294"/>
      <c r="R283" s="294"/>
      <c r="S283" s="294"/>
      <c r="T283" s="72"/>
      <c r="U283" s="72"/>
      <c r="V283" s="185"/>
    </row>
    <row r="284" spans="1:22" s="23" customFormat="1" ht="93.75" customHeight="1">
      <c r="A284" s="8" t="s">
        <v>68</v>
      </c>
      <c r="B284" s="67" t="s">
        <v>94</v>
      </c>
      <c r="C284" s="63"/>
      <c r="D284" s="28"/>
      <c r="E284" s="28"/>
      <c r="F284" s="28"/>
      <c r="G284" s="42"/>
      <c r="H284" s="63">
        <f>H287</f>
        <v>514.3</v>
      </c>
      <c r="I284" s="42">
        <f>I287</f>
        <v>122.3</v>
      </c>
      <c r="J284" s="41"/>
      <c r="K284" s="41"/>
      <c r="L284" s="50">
        <f>L287</f>
        <v>392</v>
      </c>
      <c r="M284" s="8"/>
      <c r="N284" s="42"/>
      <c r="O284" s="43"/>
      <c r="P284" s="43"/>
      <c r="Q284" s="43"/>
      <c r="R284" s="43"/>
      <c r="S284" s="198"/>
      <c r="T284" s="43"/>
      <c r="U284" s="43"/>
      <c r="V284" s="186"/>
    </row>
    <row r="285" spans="1:22" s="23" customFormat="1" ht="30.75" customHeight="1">
      <c r="A285" s="39" t="s">
        <v>15</v>
      </c>
      <c r="B285" s="34"/>
      <c r="C285" s="63"/>
      <c r="D285" s="42"/>
      <c r="E285" s="42"/>
      <c r="F285" s="42"/>
      <c r="G285" s="42"/>
      <c r="H285" s="63"/>
      <c r="I285" s="42"/>
      <c r="J285" s="41"/>
      <c r="K285" s="41"/>
      <c r="L285" s="61"/>
      <c r="M285" s="8"/>
      <c r="N285" s="42"/>
      <c r="O285" s="43"/>
      <c r="P285" s="43"/>
      <c r="Q285" s="43"/>
      <c r="R285" s="43"/>
      <c r="S285" s="198"/>
      <c r="T285" s="43"/>
      <c r="U285" s="43"/>
      <c r="V285" s="185"/>
    </row>
    <row r="286" spans="1:22" s="23" customFormat="1" ht="32.25" customHeight="1">
      <c r="A286" s="34" t="s">
        <v>16</v>
      </c>
      <c r="B286" s="34"/>
      <c r="C286" s="63"/>
      <c r="D286" s="42"/>
      <c r="E286" s="42"/>
      <c r="F286" s="42"/>
      <c r="G286" s="42"/>
      <c r="H286" s="63"/>
      <c r="I286" s="42"/>
      <c r="J286" s="41"/>
      <c r="K286" s="41"/>
      <c r="L286" s="61"/>
      <c r="M286" s="8"/>
      <c r="N286" s="42"/>
      <c r="O286" s="43"/>
      <c r="P286" s="43"/>
      <c r="Q286" s="43"/>
      <c r="R286" s="43"/>
      <c r="S286" s="198"/>
      <c r="T286" s="43"/>
      <c r="U286" s="43"/>
      <c r="V286" s="185"/>
    </row>
    <row r="287" spans="1:22" s="23" customFormat="1" ht="51" customHeight="1">
      <c r="A287" s="39" t="s">
        <v>18</v>
      </c>
      <c r="B287" s="34"/>
      <c r="C287" s="47"/>
      <c r="D287" s="44"/>
      <c r="E287" s="42"/>
      <c r="F287" s="44"/>
      <c r="G287" s="42"/>
      <c r="H287" s="63">
        <f>I287+L287</f>
        <v>514.3</v>
      </c>
      <c r="I287" s="42">
        <f>120+48-45.7</f>
        <v>122.3</v>
      </c>
      <c r="J287" s="43"/>
      <c r="K287" s="43"/>
      <c r="L287" s="50">
        <f>280+112</f>
        <v>392</v>
      </c>
      <c r="M287" s="8"/>
      <c r="N287" s="42"/>
      <c r="O287" s="43"/>
      <c r="P287" s="43"/>
      <c r="Q287" s="43"/>
      <c r="R287" s="43"/>
      <c r="S287" s="198"/>
      <c r="T287" s="43"/>
      <c r="U287" s="43"/>
      <c r="V287" s="185"/>
    </row>
    <row r="288" spans="1:22" s="23" customFormat="1" ht="27" customHeight="1">
      <c r="A288" s="34" t="s">
        <v>10</v>
      </c>
      <c r="B288" s="34"/>
      <c r="C288" s="47"/>
      <c r="D288" s="42"/>
      <c r="E288" s="42"/>
      <c r="F288" s="42"/>
      <c r="G288" s="42"/>
      <c r="H288" s="63"/>
      <c r="I288" s="42"/>
      <c r="J288" s="43"/>
      <c r="K288" s="43"/>
      <c r="L288" s="43"/>
      <c r="M288" s="8"/>
      <c r="N288" s="42"/>
      <c r="O288" s="43"/>
      <c r="P288" s="43"/>
      <c r="Q288" s="43"/>
      <c r="R288" s="43"/>
      <c r="S288" s="198"/>
      <c r="T288" s="43"/>
      <c r="U288" s="43"/>
      <c r="V288" s="185"/>
    </row>
    <row r="289" spans="1:22" s="23" customFormat="1" ht="51.75" customHeight="1">
      <c r="A289" s="39" t="s">
        <v>148</v>
      </c>
      <c r="B289" s="34"/>
      <c r="C289" s="47"/>
      <c r="D289" s="42"/>
      <c r="E289" s="42"/>
      <c r="F289" s="42"/>
      <c r="G289" s="42"/>
      <c r="H289" s="63">
        <v>7</v>
      </c>
      <c r="I289" s="42"/>
      <c r="J289" s="43"/>
      <c r="K289" s="43"/>
      <c r="L289" s="43"/>
      <c r="M289" s="8"/>
      <c r="N289" s="42"/>
      <c r="O289" s="43"/>
      <c r="P289" s="43"/>
      <c r="Q289" s="43"/>
      <c r="R289" s="43"/>
      <c r="S289" s="198"/>
      <c r="T289" s="43"/>
      <c r="U289" s="43"/>
      <c r="V289" s="185"/>
    </row>
    <row r="290" spans="1:22" s="23" customFormat="1" ht="24.75" customHeight="1">
      <c r="A290" s="295" t="s">
        <v>193</v>
      </c>
      <c r="B290" s="286"/>
      <c r="C290" s="286"/>
      <c r="D290" s="286"/>
      <c r="E290" s="286"/>
      <c r="F290" s="286"/>
      <c r="G290" s="286"/>
      <c r="H290" s="286"/>
      <c r="I290" s="286"/>
      <c r="J290" s="286"/>
      <c r="K290" s="286"/>
      <c r="L290" s="286"/>
      <c r="M290" s="286"/>
      <c r="N290" s="286"/>
      <c r="O290" s="286"/>
      <c r="P290" s="116"/>
      <c r="Q290" s="116"/>
      <c r="R290" s="116"/>
      <c r="S290" s="116"/>
      <c r="T290" s="43"/>
      <c r="U290" s="43"/>
      <c r="V290" s="185"/>
    </row>
    <row r="291" spans="1:22" s="23" customFormat="1" ht="27.75" customHeight="1">
      <c r="A291" s="295" t="s">
        <v>109</v>
      </c>
      <c r="B291" s="258"/>
      <c r="C291" s="258"/>
      <c r="D291" s="258"/>
      <c r="E291" s="258"/>
      <c r="F291" s="258"/>
      <c r="G291" s="258"/>
      <c r="H291" s="258"/>
      <c r="I291" s="258"/>
      <c r="J291" s="258"/>
      <c r="K291" s="258"/>
      <c r="L291" s="258"/>
      <c r="M291" s="258"/>
      <c r="N291" s="258"/>
      <c r="O291" s="258"/>
      <c r="P291" s="116"/>
      <c r="Q291" s="116"/>
      <c r="R291" s="116"/>
      <c r="S291" s="116"/>
      <c r="T291" s="43"/>
      <c r="U291" s="43"/>
      <c r="V291" s="185"/>
    </row>
    <row r="292" spans="1:22" s="23" customFormat="1" ht="96.75" customHeight="1">
      <c r="A292" s="8" t="s">
        <v>68</v>
      </c>
      <c r="B292" s="67" t="s">
        <v>94</v>
      </c>
      <c r="C292" s="63"/>
      <c r="D292" s="28"/>
      <c r="E292" s="28"/>
      <c r="F292" s="28"/>
      <c r="G292" s="42"/>
      <c r="H292" s="60">
        <f>J292</f>
        <v>400</v>
      </c>
      <c r="I292" s="139"/>
      <c r="J292" s="148">
        <v>400</v>
      </c>
      <c r="K292" s="41"/>
      <c r="L292" s="43"/>
      <c r="M292" s="8"/>
      <c r="N292" s="42"/>
      <c r="O292" s="43"/>
      <c r="P292" s="116"/>
      <c r="Q292" s="116"/>
      <c r="R292" s="116"/>
      <c r="S292" s="116"/>
      <c r="T292" s="43"/>
      <c r="U292" s="43"/>
      <c r="V292" s="185"/>
    </row>
    <row r="293" spans="1:22" s="23" customFormat="1" ht="35.25" customHeight="1">
      <c r="A293" s="39" t="s">
        <v>17</v>
      </c>
      <c r="B293" s="34"/>
      <c r="C293" s="63"/>
      <c r="D293" s="42"/>
      <c r="E293" s="42"/>
      <c r="F293" s="42"/>
      <c r="G293" s="42"/>
      <c r="H293" s="246"/>
      <c r="I293" s="139"/>
      <c r="J293" s="167"/>
      <c r="K293" s="41"/>
      <c r="L293" s="41"/>
      <c r="M293" s="8"/>
      <c r="N293" s="42"/>
      <c r="O293" s="43"/>
      <c r="P293" s="116"/>
      <c r="Q293" s="116"/>
      <c r="R293" s="116"/>
      <c r="S293" s="116"/>
      <c r="T293" s="43"/>
      <c r="U293" s="43"/>
      <c r="V293" s="185"/>
    </row>
    <row r="294" spans="1:22" s="23" customFormat="1" ht="35.25" customHeight="1">
      <c r="A294" s="34" t="s">
        <v>16</v>
      </c>
      <c r="B294" s="34"/>
      <c r="C294" s="63"/>
      <c r="D294" s="42"/>
      <c r="E294" s="42"/>
      <c r="F294" s="42"/>
      <c r="G294" s="42"/>
      <c r="H294" s="246"/>
      <c r="I294" s="139"/>
      <c r="J294" s="167"/>
      <c r="K294" s="41"/>
      <c r="L294" s="41"/>
      <c r="M294" s="8"/>
      <c r="N294" s="42"/>
      <c r="O294" s="43"/>
      <c r="P294" s="116"/>
      <c r="Q294" s="116"/>
      <c r="R294" s="116"/>
      <c r="S294" s="116"/>
      <c r="T294" s="43"/>
      <c r="U294" s="43"/>
      <c r="V294" s="185"/>
    </row>
    <row r="295" spans="1:22" s="23" customFormat="1" ht="54.75" customHeight="1">
      <c r="A295" s="39" t="s">
        <v>18</v>
      </c>
      <c r="B295" s="34"/>
      <c r="C295" s="47"/>
      <c r="D295" s="44"/>
      <c r="E295" s="42"/>
      <c r="F295" s="44"/>
      <c r="G295" s="42"/>
      <c r="H295" s="60">
        <f>H292</f>
        <v>400</v>
      </c>
      <c r="I295" s="139"/>
      <c r="J295" s="148">
        <f>J292</f>
        <v>400</v>
      </c>
      <c r="K295" s="43"/>
      <c r="L295" s="43"/>
      <c r="M295" s="8"/>
      <c r="N295" s="42"/>
      <c r="O295" s="43"/>
      <c r="P295" s="116"/>
      <c r="Q295" s="116"/>
      <c r="R295" s="116"/>
      <c r="S295" s="116"/>
      <c r="T295" s="43"/>
      <c r="U295" s="43"/>
      <c r="V295" s="185"/>
    </row>
    <row r="296" spans="1:22" s="23" customFormat="1" ht="27.75" customHeight="1">
      <c r="A296" s="34" t="s">
        <v>10</v>
      </c>
      <c r="B296" s="34"/>
      <c r="C296" s="47"/>
      <c r="D296" s="42"/>
      <c r="E296" s="42"/>
      <c r="F296" s="42"/>
      <c r="G296" s="42"/>
      <c r="H296" s="87"/>
      <c r="I296" s="139"/>
      <c r="J296" s="148"/>
      <c r="K296" s="43"/>
      <c r="L296" s="43"/>
      <c r="M296" s="8"/>
      <c r="N296" s="42"/>
      <c r="O296" s="43"/>
      <c r="P296" s="116"/>
      <c r="Q296" s="116"/>
      <c r="R296" s="116"/>
      <c r="S296" s="116"/>
      <c r="T296" s="43"/>
      <c r="U296" s="43"/>
      <c r="V296" s="185"/>
    </row>
    <row r="297" spans="1:22" s="23" customFormat="1" ht="53.25" customHeight="1">
      <c r="A297" s="39" t="s">
        <v>101</v>
      </c>
      <c r="B297" s="34"/>
      <c r="C297" s="47"/>
      <c r="D297" s="42"/>
      <c r="E297" s="42"/>
      <c r="F297" s="42"/>
      <c r="G297" s="42"/>
      <c r="H297" s="63">
        <v>5</v>
      </c>
      <c r="I297" s="42"/>
      <c r="J297" s="43"/>
      <c r="K297" s="43"/>
      <c r="L297" s="43"/>
      <c r="M297" s="8"/>
      <c r="N297" s="42"/>
      <c r="O297" s="43"/>
      <c r="P297" s="116"/>
      <c r="Q297" s="116"/>
      <c r="R297" s="116"/>
      <c r="S297" s="116"/>
      <c r="T297" s="43"/>
      <c r="U297" s="43"/>
      <c r="V297" s="185"/>
    </row>
    <row r="298" spans="1:22" s="23" customFormat="1" ht="119.25" customHeight="1">
      <c r="A298" s="39" t="s">
        <v>142</v>
      </c>
      <c r="B298" s="49"/>
      <c r="C298" s="47"/>
      <c r="D298" s="42"/>
      <c r="E298" s="42"/>
      <c r="F298" s="42"/>
      <c r="G298" s="42"/>
      <c r="H298" s="8">
        <f>H295/H297</f>
        <v>80</v>
      </c>
      <c r="I298" s="42"/>
      <c r="J298" s="41"/>
      <c r="K298" s="41"/>
      <c r="L298" s="41"/>
      <c r="M298" s="8"/>
      <c r="N298" s="42"/>
      <c r="O298" s="43"/>
      <c r="P298" s="116"/>
      <c r="Q298" s="116"/>
      <c r="R298" s="116"/>
      <c r="S298" s="116"/>
      <c r="T298" s="43"/>
      <c r="U298" s="43"/>
      <c r="V298" s="185"/>
    </row>
    <row r="299" spans="1:22" s="23" customFormat="1" ht="27.75" customHeight="1">
      <c r="A299" s="34" t="s">
        <v>14</v>
      </c>
      <c r="B299" s="49"/>
      <c r="C299" s="42"/>
      <c r="D299" s="42"/>
      <c r="E299" s="42"/>
      <c r="F299" s="42"/>
      <c r="G299" s="42"/>
      <c r="H299" s="8"/>
      <c r="I299" s="42"/>
      <c r="J299" s="41"/>
      <c r="K299" s="41"/>
      <c r="L299" s="41"/>
      <c r="M299" s="8"/>
      <c r="N299" s="42"/>
      <c r="O299" s="43"/>
      <c r="P299" s="116"/>
      <c r="Q299" s="116"/>
      <c r="R299" s="116"/>
      <c r="S299" s="116"/>
      <c r="T299" s="43"/>
      <c r="U299" s="43"/>
      <c r="V299" s="185"/>
    </row>
    <row r="300" spans="1:22" s="23" customFormat="1" ht="98.25" customHeight="1">
      <c r="A300" s="39" t="s">
        <v>102</v>
      </c>
      <c r="B300" s="49"/>
      <c r="C300" s="42"/>
      <c r="D300" s="42"/>
      <c r="E300" s="42"/>
      <c r="F300" s="42"/>
      <c r="G300" s="42"/>
      <c r="H300" s="8">
        <v>30.7</v>
      </c>
      <c r="I300" s="42"/>
      <c r="J300" s="41"/>
      <c r="K300" s="41"/>
      <c r="L300" s="41"/>
      <c r="M300" s="8"/>
      <c r="N300" s="42"/>
      <c r="O300" s="43"/>
      <c r="P300" s="116"/>
      <c r="Q300" s="116"/>
      <c r="R300" s="116"/>
      <c r="S300" s="116"/>
      <c r="T300" s="43"/>
      <c r="U300" s="43"/>
      <c r="V300" s="185"/>
    </row>
    <row r="301" spans="1:22" s="23" customFormat="1" ht="53.25" customHeight="1">
      <c r="A301" s="39" t="s">
        <v>29</v>
      </c>
      <c r="B301" s="34"/>
      <c r="C301" s="47"/>
      <c r="D301" s="42"/>
      <c r="E301" s="42"/>
      <c r="F301" s="42"/>
      <c r="G301" s="42"/>
      <c r="H301" s="60">
        <v>5</v>
      </c>
      <c r="I301" s="42"/>
      <c r="J301" s="41"/>
      <c r="K301" s="41"/>
      <c r="L301" s="41"/>
      <c r="M301" s="8"/>
      <c r="N301" s="42"/>
      <c r="O301" s="43"/>
      <c r="P301" s="116"/>
      <c r="Q301" s="116"/>
      <c r="R301" s="116"/>
      <c r="S301" s="116"/>
      <c r="T301" s="43"/>
      <c r="U301" s="43"/>
      <c r="V301" s="185"/>
    </row>
    <row r="302" spans="1:22" s="23" customFormat="1" ht="27.75" customHeight="1">
      <c r="A302" s="295" t="s">
        <v>194</v>
      </c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116"/>
      <c r="Q302" s="116"/>
      <c r="R302" s="116"/>
      <c r="S302" s="116"/>
      <c r="T302" s="43"/>
      <c r="U302" s="43"/>
      <c r="V302" s="185"/>
    </row>
    <row r="303" spans="1:22" s="23" customFormat="1" ht="27.75" customHeight="1">
      <c r="A303" s="295" t="s">
        <v>109</v>
      </c>
      <c r="B303" s="258"/>
      <c r="C303" s="258"/>
      <c r="D303" s="258"/>
      <c r="E303" s="258"/>
      <c r="F303" s="258"/>
      <c r="G303" s="258"/>
      <c r="H303" s="258"/>
      <c r="I303" s="258"/>
      <c r="J303" s="258"/>
      <c r="K303" s="258"/>
      <c r="L303" s="258"/>
      <c r="M303" s="258"/>
      <c r="N303" s="258"/>
      <c r="O303" s="258"/>
      <c r="P303" s="116"/>
      <c r="Q303" s="116"/>
      <c r="R303" s="116"/>
      <c r="S303" s="116"/>
      <c r="T303" s="43"/>
      <c r="U303" s="43"/>
      <c r="V303" s="185"/>
    </row>
    <row r="304" spans="1:22" s="23" customFormat="1" ht="107.25" customHeight="1">
      <c r="A304" s="8" t="s">
        <v>68</v>
      </c>
      <c r="B304" s="76" t="s">
        <v>94</v>
      </c>
      <c r="C304" s="27"/>
      <c r="D304" s="28"/>
      <c r="E304" s="28"/>
      <c r="F304" s="28"/>
      <c r="G304" s="42"/>
      <c r="H304" s="71">
        <f>J304</f>
        <v>1370</v>
      </c>
      <c r="I304" s="117"/>
      <c r="J304" s="28">
        <f>J307</f>
        <v>1370</v>
      </c>
      <c r="K304" s="41"/>
      <c r="L304" s="41"/>
      <c r="M304" s="8"/>
      <c r="N304" s="42"/>
      <c r="O304" s="43"/>
      <c r="P304" s="116"/>
      <c r="Q304" s="116"/>
      <c r="R304" s="116"/>
      <c r="S304" s="116"/>
      <c r="T304" s="43"/>
      <c r="U304" s="43"/>
      <c r="V304" s="185"/>
    </row>
    <row r="305" spans="1:22" s="23" customFormat="1" ht="26.25" customHeight="1">
      <c r="A305" s="39" t="s">
        <v>15</v>
      </c>
      <c r="B305" s="49"/>
      <c r="C305" s="27"/>
      <c r="D305" s="28"/>
      <c r="E305" s="28"/>
      <c r="F305" s="28"/>
      <c r="G305" s="42"/>
      <c r="H305" s="27"/>
      <c r="I305" s="117"/>
      <c r="J305" s="28"/>
      <c r="K305" s="41"/>
      <c r="L305" s="41"/>
      <c r="M305" s="8"/>
      <c r="N305" s="42"/>
      <c r="O305" s="43"/>
      <c r="P305" s="116"/>
      <c r="Q305" s="116"/>
      <c r="R305" s="116"/>
      <c r="S305" s="116"/>
      <c r="T305" s="43"/>
      <c r="U305" s="43"/>
      <c r="V305" s="185"/>
    </row>
    <row r="306" spans="1:22" s="23" customFormat="1" ht="21.75" customHeight="1">
      <c r="A306" s="34" t="s">
        <v>16</v>
      </c>
      <c r="B306" s="49"/>
      <c r="C306" s="27"/>
      <c r="D306" s="28"/>
      <c r="E306" s="28"/>
      <c r="F306" s="28"/>
      <c r="G306" s="42"/>
      <c r="H306" s="27"/>
      <c r="I306" s="117"/>
      <c r="J306" s="28"/>
      <c r="K306" s="41"/>
      <c r="L306" s="41"/>
      <c r="M306" s="8"/>
      <c r="N306" s="42"/>
      <c r="O306" s="43"/>
      <c r="P306" s="116"/>
      <c r="Q306" s="116"/>
      <c r="R306" s="116"/>
      <c r="S306" s="116"/>
      <c r="T306" s="43"/>
      <c r="U306" s="43"/>
      <c r="V306" s="185"/>
    </row>
    <row r="307" spans="1:22" s="23" customFormat="1" ht="28.5" customHeight="1">
      <c r="A307" s="39" t="s">
        <v>18</v>
      </c>
      <c r="B307" s="49"/>
      <c r="C307" s="27"/>
      <c r="D307" s="28"/>
      <c r="E307" s="28"/>
      <c r="F307" s="28"/>
      <c r="G307" s="42"/>
      <c r="H307" s="71">
        <f>J307</f>
        <v>1370</v>
      </c>
      <c r="I307" s="117"/>
      <c r="J307" s="28">
        <f>500+49-479+1300</f>
        <v>1370</v>
      </c>
      <c r="K307" s="41"/>
      <c r="L307" s="41"/>
      <c r="M307" s="8"/>
      <c r="N307" s="42"/>
      <c r="O307" s="43"/>
      <c r="P307" s="116"/>
      <c r="Q307" s="116"/>
      <c r="R307" s="116"/>
      <c r="S307" s="116"/>
      <c r="T307" s="43"/>
      <c r="U307" s="43"/>
      <c r="V307" s="185"/>
    </row>
    <row r="308" spans="1:22" s="23" customFormat="1" ht="21.75" customHeight="1">
      <c r="A308" s="34" t="s">
        <v>10</v>
      </c>
      <c r="B308" s="49"/>
      <c r="C308" s="8"/>
      <c r="D308" s="42"/>
      <c r="E308" s="42"/>
      <c r="F308" s="42"/>
      <c r="G308" s="42"/>
      <c r="H308" s="8"/>
      <c r="I308" s="42"/>
      <c r="J308" s="41"/>
      <c r="K308" s="41"/>
      <c r="L308" s="41"/>
      <c r="M308" s="8"/>
      <c r="N308" s="42"/>
      <c r="O308" s="43"/>
      <c r="P308" s="116"/>
      <c r="Q308" s="116"/>
      <c r="R308" s="116"/>
      <c r="S308" s="116"/>
      <c r="T308" s="43"/>
      <c r="U308" s="43"/>
      <c r="V308" s="185"/>
    </row>
    <row r="309" spans="1:22" s="23" customFormat="1" ht="97.5" customHeight="1">
      <c r="A309" s="39" t="s">
        <v>176</v>
      </c>
      <c r="B309" s="49"/>
      <c r="C309" s="42"/>
      <c r="D309" s="42"/>
      <c r="E309" s="42"/>
      <c r="F309" s="42"/>
      <c r="G309" s="42"/>
      <c r="H309" s="8">
        <v>2</v>
      </c>
      <c r="I309" s="42"/>
      <c r="J309" s="41"/>
      <c r="K309" s="41"/>
      <c r="L309" s="41"/>
      <c r="M309" s="8"/>
      <c r="N309" s="42"/>
      <c r="O309" s="43"/>
      <c r="P309" s="116"/>
      <c r="Q309" s="116"/>
      <c r="R309" s="116"/>
      <c r="S309" s="116"/>
      <c r="T309" s="43"/>
      <c r="U309" s="43"/>
      <c r="V309" s="185"/>
    </row>
    <row r="310" spans="1:22" s="23" customFormat="1" ht="68.25" customHeight="1">
      <c r="A310" s="235" t="s">
        <v>191</v>
      </c>
      <c r="B310" s="49"/>
      <c r="C310" s="42"/>
      <c r="D310" s="42"/>
      <c r="E310" s="42"/>
      <c r="F310" s="42"/>
      <c r="G310" s="42"/>
      <c r="H310" s="8">
        <v>1</v>
      </c>
      <c r="I310" s="42"/>
      <c r="J310" s="41"/>
      <c r="K310" s="41"/>
      <c r="L310" s="41"/>
      <c r="M310" s="8"/>
      <c r="N310" s="42"/>
      <c r="O310" s="43"/>
      <c r="P310" s="116"/>
      <c r="Q310" s="116"/>
      <c r="R310" s="116"/>
      <c r="S310" s="116"/>
      <c r="T310" s="43"/>
      <c r="U310" s="43"/>
      <c r="V310" s="185"/>
    </row>
    <row r="311" spans="1:22" s="23" customFormat="1" ht="117" customHeight="1">
      <c r="A311" s="39" t="s">
        <v>190</v>
      </c>
      <c r="B311" s="49"/>
      <c r="C311" s="47"/>
      <c r="D311" s="42"/>
      <c r="E311" s="42"/>
      <c r="F311" s="42"/>
      <c r="G311" s="42"/>
      <c r="H311" s="63">
        <v>70</v>
      </c>
      <c r="I311" s="42"/>
      <c r="J311" s="41"/>
      <c r="K311" s="41"/>
      <c r="L311" s="41"/>
      <c r="M311" s="8"/>
      <c r="N311" s="42"/>
      <c r="O311" s="43"/>
      <c r="P311" s="116"/>
      <c r="Q311" s="116"/>
      <c r="R311" s="116"/>
      <c r="S311" s="116"/>
      <c r="T311" s="43"/>
      <c r="U311" s="43"/>
      <c r="V311" s="185"/>
    </row>
    <row r="312" spans="1:22" s="23" customFormat="1" ht="34.5" customHeight="1">
      <c r="A312" s="295" t="s">
        <v>174</v>
      </c>
      <c r="B312" s="258"/>
      <c r="C312" s="258"/>
      <c r="D312" s="258"/>
      <c r="E312" s="258"/>
      <c r="F312" s="258"/>
      <c r="G312" s="258"/>
      <c r="H312" s="258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258"/>
      <c r="T312" s="258"/>
      <c r="U312" s="259"/>
      <c r="V312" s="185"/>
    </row>
    <row r="313" spans="1:22" s="23" customFormat="1" ht="33.75" customHeight="1">
      <c r="A313" s="295" t="s">
        <v>109</v>
      </c>
      <c r="B313" s="258"/>
      <c r="C313" s="258"/>
      <c r="D313" s="258"/>
      <c r="E313" s="258"/>
      <c r="F313" s="258"/>
      <c r="G313" s="258"/>
      <c r="H313" s="258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258"/>
      <c r="T313" s="258"/>
      <c r="U313" s="259"/>
      <c r="V313" s="185"/>
    </row>
    <row r="314" spans="1:22" s="23" customFormat="1" ht="91.5" customHeight="1">
      <c r="A314" s="34" t="s">
        <v>68</v>
      </c>
      <c r="B314" s="34">
        <v>1017640</v>
      </c>
      <c r="C314" s="39"/>
      <c r="D314" s="39"/>
      <c r="E314" s="39"/>
      <c r="F314" s="39"/>
      <c r="G314" s="39"/>
      <c r="H314" s="34">
        <v>22.4</v>
      </c>
      <c r="I314" s="39">
        <v>22.4</v>
      </c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185"/>
    </row>
    <row r="315" spans="1:22" s="23" customFormat="1" ht="28.5" customHeight="1">
      <c r="A315" s="39" t="s">
        <v>15</v>
      </c>
      <c r="B315" s="39"/>
      <c r="C315" s="39"/>
      <c r="D315" s="39"/>
      <c r="E315" s="39"/>
      <c r="F315" s="39"/>
      <c r="G315" s="39"/>
      <c r="H315" s="34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185"/>
    </row>
    <row r="316" spans="1:22" s="23" customFormat="1" ht="32.25" customHeight="1">
      <c r="A316" s="34" t="s">
        <v>16</v>
      </c>
      <c r="B316" s="39"/>
      <c r="C316" s="39"/>
      <c r="D316" s="39"/>
      <c r="E316" s="39"/>
      <c r="F316" s="39"/>
      <c r="G316" s="39"/>
      <c r="H316" s="34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185"/>
    </row>
    <row r="317" spans="1:22" s="23" customFormat="1" ht="46.5" customHeight="1">
      <c r="A317" s="39" t="s">
        <v>18</v>
      </c>
      <c r="B317" s="39"/>
      <c r="C317" s="39"/>
      <c r="D317" s="39"/>
      <c r="E317" s="39"/>
      <c r="F317" s="39"/>
      <c r="G317" s="39"/>
      <c r="H317" s="34">
        <v>22.4</v>
      </c>
      <c r="I317" s="39">
        <v>22.4</v>
      </c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185"/>
    </row>
    <row r="318" spans="1:22" s="23" customFormat="1" ht="32.25" customHeight="1">
      <c r="A318" s="39" t="s">
        <v>10</v>
      </c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185"/>
    </row>
    <row r="319" spans="1:22" s="23" customFormat="1" ht="120" customHeight="1">
      <c r="A319" s="39" t="s">
        <v>180</v>
      </c>
      <c r="B319" s="39"/>
      <c r="C319" s="39"/>
      <c r="D319" s="39"/>
      <c r="E319" s="39"/>
      <c r="F319" s="39"/>
      <c r="G319" s="39"/>
      <c r="H319" s="34">
        <v>10</v>
      </c>
      <c r="I319" s="39">
        <v>10</v>
      </c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185"/>
    </row>
    <row r="320" spans="1:22" s="23" customFormat="1" ht="50.25" customHeight="1">
      <c r="A320" s="34" t="s">
        <v>13</v>
      </c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185"/>
    </row>
    <row r="321" spans="1:22" s="23" customFormat="1" ht="144.75" customHeight="1">
      <c r="A321" s="39" t="s">
        <v>179</v>
      </c>
      <c r="B321" s="39"/>
      <c r="C321" s="39"/>
      <c r="D321" s="39"/>
      <c r="E321" s="39"/>
      <c r="F321" s="39"/>
      <c r="G321" s="39"/>
      <c r="H321" s="34">
        <v>2.24</v>
      </c>
      <c r="I321" s="39">
        <v>2.24</v>
      </c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185"/>
    </row>
    <row r="322" spans="1:22" s="84" customFormat="1" ht="21.75" customHeight="1">
      <c r="A322" s="293" t="s">
        <v>105</v>
      </c>
      <c r="B322" s="294"/>
      <c r="C322" s="294"/>
      <c r="D322" s="294"/>
      <c r="E322" s="294"/>
      <c r="F322" s="294"/>
      <c r="G322" s="294"/>
      <c r="H322" s="294"/>
      <c r="I322" s="294"/>
      <c r="J322" s="294"/>
      <c r="K322" s="294"/>
      <c r="L322" s="294"/>
      <c r="M322" s="294"/>
      <c r="N322" s="294"/>
      <c r="O322" s="294"/>
      <c r="P322" s="294"/>
      <c r="Q322" s="294"/>
      <c r="R322" s="294"/>
      <c r="S322" s="294"/>
      <c r="T322" s="72"/>
      <c r="U322" s="72"/>
      <c r="V322" s="185"/>
    </row>
    <row r="323" spans="1:22" s="16" customFormat="1" ht="22.5">
      <c r="A323" s="308" t="s">
        <v>177</v>
      </c>
      <c r="B323" s="309"/>
      <c r="C323" s="309"/>
      <c r="D323" s="309"/>
      <c r="E323" s="309"/>
      <c r="F323" s="309"/>
      <c r="G323" s="309"/>
      <c r="H323" s="309"/>
      <c r="I323" s="309"/>
      <c r="J323" s="309"/>
      <c r="K323" s="309"/>
      <c r="L323" s="309"/>
      <c r="M323" s="309"/>
      <c r="N323" s="309"/>
      <c r="O323" s="309"/>
      <c r="P323" s="309"/>
      <c r="Q323" s="309"/>
      <c r="R323" s="309"/>
      <c r="S323" s="309"/>
      <c r="T323" s="41"/>
      <c r="U323" s="41"/>
      <c r="V323" s="185"/>
    </row>
    <row r="324" spans="1:22" s="16" customFormat="1" ht="23.25">
      <c r="A324" s="267" t="s">
        <v>22</v>
      </c>
      <c r="B324" s="268"/>
      <c r="C324" s="268"/>
      <c r="D324" s="268"/>
      <c r="E324" s="268"/>
      <c r="F324" s="268"/>
      <c r="G324" s="268"/>
      <c r="H324" s="268"/>
      <c r="I324" s="268"/>
      <c r="J324" s="268"/>
      <c r="K324" s="268"/>
      <c r="L324" s="268"/>
      <c r="M324" s="268"/>
      <c r="N324" s="268"/>
      <c r="O324" s="268"/>
      <c r="P324" s="268"/>
      <c r="Q324" s="268"/>
      <c r="R324" s="268"/>
      <c r="S324" s="268"/>
      <c r="T324" s="92"/>
      <c r="U324" s="92"/>
      <c r="V324" s="185"/>
    </row>
    <row r="325" spans="1:22" s="16" customFormat="1" ht="96.75" customHeight="1">
      <c r="A325" s="24" t="s">
        <v>82</v>
      </c>
      <c r="B325" s="17">
        <v>2417410</v>
      </c>
      <c r="C325" s="60">
        <f>C329</f>
        <v>306.5</v>
      </c>
      <c r="D325" s="6">
        <f>D329</f>
        <v>105</v>
      </c>
      <c r="E325" s="6">
        <f>E329</f>
        <v>201.5</v>
      </c>
      <c r="F325" s="42"/>
      <c r="G325" s="42"/>
      <c r="H325" s="8"/>
      <c r="I325" s="42"/>
      <c r="J325" s="42"/>
      <c r="K325" s="42"/>
      <c r="L325" s="42"/>
      <c r="M325" s="8"/>
      <c r="N325" s="42"/>
      <c r="O325" s="42"/>
      <c r="P325" s="43"/>
      <c r="Q325" s="43"/>
      <c r="R325" s="43"/>
      <c r="S325" s="198"/>
      <c r="T325" s="43"/>
      <c r="U325" s="43"/>
      <c r="V325" s="185"/>
    </row>
    <row r="326" spans="1:22" s="16" customFormat="1" ht="96.75" customHeight="1">
      <c r="A326" s="8" t="s">
        <v>68</v>
      </c>
      <c r="B326" s="17">
        <v>1017640</v>
      </c>
      <c r="C326" s="60"/>
      <c r="D326" s="6"/>
      <c r="E326" s="6"/>
      <c r="F326" s="42"/>
      <c r="G326" s="42"/>
      <c r="H326" s="85">
        <f>J326+I326</f>
        <v>560</v>
      </c>
      <c r="I326" s="86">
        <v>60</v>
      </c>
      <c r="J326" s="86">
        <f>173.4+187.2+139.4</f>
        <v>500</v>
      </c>
      <c r="K326" s="42"/>
      <c r="L326" s="42"/>
      <c r="M326" s="8"/>
      <c r="N326" s="42"/>
      <c r="O326" s="42"/>
      <c r="P326" s="43"/>
      <c r="Q326" s="43"/>
      <c r="R326" s="43"/>
      <c r="S326" s="198"/>
      <c r="T326" s="43"/>
      <c r="U326" s="43"/>
      <c r="V326" s="185"/>
    </row>
    <row r="327" spans="1:22" s="16" customFormat="1" ht="46.5" customHeight="1">
      <c r="A327" s="39" t="s">
        <v>15</v>
      </c>
      <c r="B327" s="34"/>
      <c r="C327" s="8"/>
      <c r="D327" s="42"/>
      <c r="E327" s="42"/>
      <c r="F327" s="42"/>
      <c r="G327" s="42"/>
      <c r="H327" s="85"/>
      <c r="I327" s="86"/>
      <c r="J327" s="86"/>
      <c r="K327" s="42"/>
      <c r="L327" s="42"/>
      <c r="M327" s="8"/>
      <c r="N327" s="42"/>
      <c r="O327" s="42"/>
      <c r="P327" s="43"/>
      <c r="Q327" s="43"/>
      <c r="R327" s="43"/>
      <c r="S327" s="198"/>
      <c r="T327" s="43"/>
      <c r="U327" s="43"/>
      <c r="V327" s="185"/>
    </row>
    <row r="328" spans="1:22" s="16" customFormat="1" ht="33.75" customHeight="1">
      <c r="A328" s="34" t="s">
        <v>16</v>
      </c>
      <c r="B328" s="49"/>
      <c r="C328" s="8"/>
      <c r="D328" s="42"/>
      <c r="E328" s="42"/>
      <c r="F328" s="42"/>
      <c r="G328" s="42"/>
      <c r="H328" s="85"/>
      <c r="I328" s="86"/>
      <c r="J328" s="86"/>
      <c r="K328" s="42"/>
      <c r="L328" s="42"/>
      <c r="M328" s="8"/>
      <c r="N328" s="42"/>
      <c r="O328" s="42"/>
      <c r="P328" s="43"/>
      <c r="Q328" s="43"/>
      <c r="R328" s="43"/>
      <c r="S328" s="198"/>
      <c r="T328" s="43"/>
      <c r="U328" s="43"/>
      <c r="V328" s="185"/>
    </row>
    <row r="329" spans="1:22" s="16" customFormat="1" ht="41.25" customHeight="1">
      <c r="A329" s="39" t="s">
        <v>18</v>
      </c>
      <c r="B329" s="49"/>
      <c r="C329" s="60">
        <f>D329+E329</f>
        <v>306.5</v>
      </c>
      <c r="D329" s="6">
        <v>105</v>
      </c>
      <c r="E329" s="6">
        <f>113.5+88</f>
        <v>201.5</v>
      </c>
      <c r="F329" s="42"/>
      <c r="G329" s="42"/>
      <c r="H329" s="85">
        <f>J329+I329</f>
        <v>560</v>
      </c>
      <c r="I329" s="86">
        <v>60</v>
      </c>
      <c r="J329" s="86">
        <f>J326</f>
        <v>500</v>
      </c>
      <c r="K329" s="42"/>
      <c r="L329" s="42"/>
      <c r="M329" s="8"/>
      <c r="N329" s="42"/>
      <c r="O329" s="42"/>
      <c r="P329" s="43"/>
      <c r="Q329" s="43"/>
      <c r="R329" s="43"/>
      <c r="S329" s="198"/>
      <c r="T329" s="43"/>
      <c r="U329" s="43"/>
      <c r="V329" s="185"/>
    </row>
    <row r="330" spans="1:22" s="16" customFormat="1" ht="37.5" customHeight="1">
      <c r="A330" s="34" t="s">
        <v>10</v>
      </c>
      <c r="B330" s="34"/>
      <c r="C330" s="8"/>
      <c r="D330" s="42"/>
      <c r="E330" s="42"/>
      <c r="F330" s="42"/>
      <c r="G330" s="42"/>
      <c r="H330" s="8"/>
      <c r="I330" s="42"/>
      <c r="J330" s="42"/>
      <c r="K330" s="42"/>
      <c r="L330" s="42"/>
      <c r="M330" s="8"/>
      <c r="N330" s="42"/>
      <c r="O330" s="42"/>
      <c r="P330" s="43"/>
      <c r="Q330" s="43"/>
      <c r="R330" s="43"/>
      <c r="S330" s="198"/>
      <c r="T330" s="43"/>
      <c r="U330" s="43"/>
      <c r="V330" s="185"/>
    </row>
    <row r="331" spans="1:22" s="16" customFormat="1" ht="48.75" customHeight="1">
      <c r="A331" s="39" t="s">
        <v>74</v>
      </c>
      <c r="B331" s="34"/>
      <c r="C331" s="8">
        <f>156+65</f>
        <v>221</v>
      </c>
      <c r="D331" s="42"/>
      <c r="E331" s="42"/>
      <c r="F331" s="42"/>
      <c r="G331" s="42"/>
      <c r="H331" s="8">
        <f>63.35+68.4+50.9</f>
        <v>182.65</v>
      </c>
      <c r="I331" s="42"/>
      <c r="J331" s="42"/>
      <c r="K331" s="42"/>
      <c r="L331" s="42"/>
      <c r="M331" s="8"/>
      <c r="N331" s="42"/>
      <c r="O331" s="42"/>
      <c r="P331" s="43"/>
      <c r="Q331" s="43"/>
      <c r="R331" s="43"/>
      <c r="S331" s="198"/>
      <c r="T331" s="43"/>
      <c r="U331" s="43"/>
      <c r="V331" s="185"/>
    </row>
    <row r="332" spans="1:22" s="16" customFormat="1" ht="45" customHeight="1">
      <c r="A332" s="34" t="s">
        <v>13</v>
      </c>
      <c r="B332" s="34"/>
      <c r="C332" s="8"/>
      <c r="D332" s="42"/>
      <c r="E332" s="42"/>
      <c r="F332" s="42"/>
      <c r="G332" s="42"/>
      <c r="H332" s="34"/>
      <c r="I332" s="42"/>
      <c r="J332" s="42"/>
      <c r="K332" s="42"/>
      <c r="L332" s="42"/>
      <c r="M332" s="8"/>
      <c r="N332" s="42"/>
      <c r="O332" s="42"/>
      <c r="P332" s="43"/>
      <c r="Q332" s="43"/>
      <c r="R332" s="43"/>
      <c r="S332" s="198"/>
      <c r="T332" s="43"/>
      <c r="U332" s="43"/>
      <c r="V332" s="185"/>
    </row>
    <row r="333" spans="1:22" s="16" customFormat="1" ht="84" customHeight="1">
      <c r="A333" s="39" t="s">
        <v>144</v>
      </c>
      <c r="B333" s="34"/>
      <c r="C333" s="60">
        <f>C325/C331</f>
        <v>1.3868778280542986</v>
      </c>
      <c r="D333" s="42"/>
      <c r="E333" s="42"/>
      <c r="F333" s="42"/>
      <c r="G333" s="42"/>
      <c r="H333" s="142">
        <f>H329/H331</f>
        <v>3.0659731727347386</v>
      </c>
      <c r="I333" s="42"/>
      <c r="J333" s="42"/>
      <c r="K333" s="42"/>
      <c r="L333" s="42"/>
      <c r="M333" s="8"/>
      <c r="N333" s="42"/>
      <c r="O333" s="42"/>
      <c r="P333" s="43"/>
      <c r="Q333" s="43"/>
      <c r="R333" s="43"/>
      <c r="S333" s="198"/>
      <c r="T333" s="43"/>
      <c r="U333" s="43"/>
      <c r="V333" s="185"/>
    </row>
    <row r="334" spans="1:22" s="16" customFormat="1" ht="30.75" customHeight="1">
      <c r="A334" s="34" t="s">
        <v>14</v>
      </c>
      <c r="B334" s="34"/>
      <c r="C334" s="8"/>
      <c r="D334" s="42"/>
      <c r="E334" s="42"/>
      <c r="F334" s="42"/>
      <c r="G334" s="42"/>
      <c r="H334" s="8"/>
      <c r="I334" s="42"/>
      <c r="J334" s="42"/>
      <c r="K334" s="42"/>
      <c r="L334" s="42"/>
      <c r="M334" s="8"/>
      <c r="N334" s="42"/>
      <c r="O334" s="42"/>
      <c r="P334" s="43"/>
      <c r="Q334" s="43"/>
      <c r="R334" s="43"/>
      <c r="S334" s="198"/>
      <c r="T334" s="43"/>
      <c r="U334" s="43"/>
      <c r="V334" s="185"/>
    </row>
    <row r="335" spans="1:22" s="16" customFormat="1" ht="78" customHeight="1">
      <c r="A335" s="39" t="s">
        <v>36</v>
      </c>
      <c r="B335" s="62"/>
      <c r="C335" s="69">
        <v>23.5</v>
      </c>
      <c r="D335" s="52"/>
      <c r="E335" s="52"/>
      <c r="F335" s="52"/>
      <c r="G335" s="52"/>
      <c r="H335" s="154">
        <f>8+8.6+6+12</f>
        <v>34.6</v>
      </c>
      <c r="I335" s="52"/>
      <c r="J335" s="52"/>
      <c r="K335" s="52"/>
      <c r="L335" s="52"/>
      <c r="M335" s="69"/>
      <c r="N335" s="52"/>
      <c r="O335" s="52"/>
      <c r="P335" s="53"/>
      <c r="Q335" s="53"/>
      <c r="R335" s="53"/>
      <c r="S335" s="225"/>
      <c r="T335" s="43"/>
      <c r="U335" s="43"/>
      <c r="V335" s="185"/>
    </row>
    <row r="336" spans="1:23" s="55" customFormat="1" ht="52.5" customHeight="1">
      <c r="A336" s="39" t="s">
        <v>29</v>
      </c>
      <c r="B336" s="34"/>
      <c r="C336" s="63">
        <f>C325/(C335*0.86*0.001*1414.318)</f>
        <v>10.72301952247488</v>
      </c>
      <c r="D336" s="42"/>
      <c r="E336" s="42"/>
      <c r="F336" s="42"/>
      <c r="G336" s="42"/>
      <c r="H336" s="155">
        <f>H329/(H335*0.86*0.001*1420.28*1.1)</f>
        <v>12.046109880505574</v>
      </c>
      <c r="I336" s="42"/>
      <c r="J336" s="42"/>
      <c r="K336" s="42"/>
      <c r="L336" s="42"/>
      <c r="M336" s="8"/>
      <c r="N336" s="42"/>
      <c r="O336" s="42"/>
      <c r="P336" s="43"/>
      <c r="Q336" s="43"/>
      <c r="R336" s="43"/>
      <c r="S336" s="198"/>
      <c r="T336" s="43"/>
      <c r="U336" s="43"/>
      <c r="V336" s="185"/>
      <c r="W336" s="54"/>
    </row>
    <row r="337" spans="1:22" s="16" customFormat="1" ht="22.5">
      <c r="A337" s="301" t="s">
        <v>178</v>
      </c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310"/>
      <c r="T337" s="41"/>
      <c r="U337" s="41"/>
      <c r="V337" s="185"/>
    </row>
    <row r="338" spans="1:22" s="16" customFormat="1" ht="23.25">
      <c r="A338" s="267" t="s">
        <v>22</v>
      </c>
      <c r="B338" s="268"/>
      <c r="C338" s="268"/>
      <c r="D338" s="268"/>
      <c r="E338" s="268"/>
      <c r="F338" s="268"/>
      <c r="G338" s="268"/>
      <c r="H338" s="268"/>
      <c r="I338" s="268"/>
      <c r="J338" s="268"/>
      <c r="K338" s="268"/>
      <c r="L338" s="268"/>
      <c r="M338" s="268"/>
      <c r="N338" s="268"/>
      <c r="O338" s="268"/>
      <c r="P338" s="268"/>
      <c r="Q338" s="268"/>
      <c r="R338" s="268"/>
      <c r="S338" s="268"/>
      <c r="T338" s="92"/>
      <c r="U338" s="92"/>
      <c r="V338" s="185"/>
    </row>
    <row r="339" spans="1:22" s="16" customFormat="1" ht="98.25" customHeight="1">
      <c r="A339" s="8" t="s">
        <v>82</v>
      </c>
      <c r="B339" s="102">
        <v>2417410</v>
      </c>
      <c r="C339" s="90">
        <f>781.4+544.1+250</f>
        <v>1575.5</v>
      </c>
      <c r="D339" s="91"/>
      <c r="E339" s="91">
        <f>C339</f>
        <v>1575.5</v>
      </c>
      <c r="F339" s="91"/>
      <c r="G339" s="91"/>
      <c r="H339" s="90"/>
      <c r="I339" s="91"/>
      <c r="J339" s="91"/>
      <c r="K339" s="92"/>
      <c r="L339" s="92"/>
      <c r="M339" s="92"/>
      <c r="N339" s="92"/>
      <c r="O339" s="92"/>
      <c r="P339" s="92"/>
      <c r="Q339" s="92"/>
      <c r="R339" s="92"/>
      <c r="S339" s="228"/>
      <c r="T339" s="92"/>
      <c r="U339" s="92"/>
      <c r="V339" s="185"/>
    </row>
    <row r="340" spans="1:22" s="16" customFormat="1" ht="98.25" customHeight="1">
      <c r="A340" s="8" t="s">
        <v>68</v>
      </c>
      <c r="B340" s="102">
        <v>1017640</v>
      </c>
      <c r="C340" s="91"/>
      <c r="D340" s="91"/>
      <c r="E340" s="91"/>
      <c r="F340" s="91"/>
      <c r="G340" s="91"/>
      <c r="H340" s="90">
        <f>H342</f>
        <v>1503.3999999999999</v>
      </c>
      <c r="I340" s="91"/>
      <c r="J340" s="91">
        <f>J342</f>
        <v>1503.3999999999999</v>
      </c>
      <c r="K340" s="92"/>
      <c r="L340" s="92"/>
      <c r="M340" s="90">
        <f>O340</f>
        <v>554</v>
      </c>
      <c r="N340" s="91"/>
      <c r="O340" s="91">
        <v>554</v>
      </c>
      <c r="P340" s="92"/>
      <c r="Q340" s="92"/>
      <c r="R340" s="92"/>
      <c r="S340" s="228"/>
      <c r="T340" s="92"/>
      <c r="U340" s="92"/>
      <c r="V340" s="185"/>
    </row>
    <row r="341" spans="1:22" s="16" customFormat="1" ht="23.25">
      <c r="A341" s="92" t="s">
        <v>15</v>
      </c>
      <c r="B341" s="92"/>
      <c r="C341" s="92"/>
      <c r="D341" s="92"/>
      <c r="E341" s="92"/>
      <c r="F341" s="92"/>
      <c r="G341" s="92"/>
      <c r="H341" s="92"/>
      <c r="I341" s="92"/>
      <c r="J341" s="92"/>
      <c r="K341" s="92"/>
      <c r="L341" s="92"/>
      <c r="M341" s="91"/>
      <c r="N341" s="91"/>
      <c r="O341" s="91"/>
      <c r="P341" s="92"/>
      <c r="Q341" s="92"/>
      <c r="R341" s="92"/>
      <c r="S341" s="228"/>
      <c r="T341" s="92"/>
      <c r="U341" s="92"/>
      <c r="V341" s="185"/>
    </row>
    <row r="342" spans="1:22" s="16" customFormat="1" ht="23.25">
      <c r="A342" s="88" t="s">
        <v>16</v>
      </c>
      <c r="B342" s="92"/>
      <c r="C342" s="123">
        <f>C339</f>
        <v>1575.5</v>
      </c>
      <c r="D342" s="91"/>
      <c r="E342" s="91">
        <f>E339</f>
        <v>1575.5</v>
      </c>
      <c r="F342" s="91"/>
      <c r="G342" s="91"/>
      <c r="H342" s="123">
        <f>J342</f>
        <v>1503.3999999999999</v>
      </c>
      <c r="I342" s="91"/>
      <c r="J342" s="91">
        <f>950+135.6+417.8</f>
        <v>1503.3999999999999</v>
      </c>
      <c r="K342" s="92"/>
      <c r="L342" s="92"/>
      <c r="M342" s="123">
        <f>O342</f>
        <v>554</v>
      </c>
      <c r="N342" s="91"/>
      <c r="O342" s="91">
        <f>O340</f>
        <v>554</v>
      </c>
      <c r="P342" s="92"/>
      <c r="Q342" s="92"/>
      <c r="R342" s="92"/>
      <c r="S342" s="228"/>
      <c r="T342" s="92"/>
      <c r="U342" s="92"/>
      <c r="V342" s="185"/>
    </row>
    <row r="343" spans="1:22" s="16" customFormat="1" ht="45" customHeight="1">
      <c r="A343" s="92" t="s">
        <v>18</v>
      </c>
      <c r="B343" s="92"/>
      <c r="C343" s="102"/>
      <c r="D343" s="92"/>
      <c r="E343" s="92"/>
      <c r="F343" s="92"/>
      <c r="G343" s="92"/>
      <c r="H343" s="102"/>
      <c r="I343" s="92"/>
      <c r="J343" s="92"/>
      <c r="K343" s="92"/>
      <c r="L343" s="92"/>
      <c r="M343" s="102"/>
      <c r="N343" s="92"/>
      <c r="O343" s="92"/>
      <c r="P343" s="92"/>
      <c r="Q343" s="92"/>
      <c r="R343" s="92"/>
      <c r="S343" s="228"/>
      <c r="T343" s="92"/>
      <c r="U343" s="92"/>
      <c r="V343" s="185"/>
    </row>
    <row r="344" spans="1:22" s="16" customFormat="1" ht="23.25">
      <c r="A344" s="88" t="s">
        <v>10</v>
      </c>
      <c r="B344" s="92"/>
      <c r="C344" s="102"/>
      <c r="D344" s="92"/>
      <c r="E344" s="92"/>
      <c r="F344" s="92"/>
      <c r="G344" s="92"/>
      <c r="H344" s="102"/>
      <c r="I344" s="92"/>
      <c r="J344" s="92"/>
      <c r="K344" s="92"/>
      <c r="L344" s="92"/>
      <c r="M344" s="102"/>
      <c r="N344" s="92"/>
      <c r="O344" s="92"/>
      <c r="P344" s="92"/>
      <c r="Q344" s="92"/>
      <c r="R344" s="92"/>
      <c r="S344" s="228"/>
      <c r="T344" s="92"/>
      <c r="U344" s="92"/>
      <c r="V344" s="185"/>
    </row>
    <row r="345" spans="1:22" s="16" customFormat="1" ht="51">
      <c r="A345" s="92" t="s">
        <v>75</v>
      </c>
      <c r="B345" s="92"/>
      <c r="C345" s="102">
        <f>1252.1+201.5+175</f>
        <v>1628.6</v>
      </c>
      <c r="D345" s="92"/>
      <c r="E345" s="92"/>
      <c r="F345" s="92"/>
      <c r="G345" s="92"/>
      <c r="H345" s="102">
        <v>663</v>
      </c>
      <c r="I345" s="92"/>
      <c r="J345" s="92"/>
      <c r="K345" s="92"/>
      <c r="L345" s="92"/>
      <c r="M345" s="127">
        <v>313.2</v>
      </c>
      <c r="N345" s="92"/>
      <c r="O345" s="92"/>
      <c r="P345" s="92"/>
      <c r="Q345" s="92"/>
      <c r="R345" s="92"/>
      <c r="S345" s="228"/>
      <c r="T345" s="92"/>
      <c r="U345" s="92"/>
      <c r="V345" s="185"/>
    </row>
    <row r="346" spans="1:22" s="16" customFormat="1" ht="45">
      <c r="A346" s="88" t="s">
        <v>13</v>
      </c>
      <c r="B346" s="92"/>
      <c r="C346" s="102"/>
      <c r="D346" s="92"/>
      <c r="E346" s="92"/>
      <c r="F346" s="92"/>
      <c r="G346" s="92"/>
      <c r="H346" s="102"/>
      <c r="I346" s="92"/>
      <c r="J346" s="92"/>
      <c r="K346" s="92"/>
      <c r="L346" s="92"/>
      <c r="M346" s="102"/>
      <c r="N346" s="92"/>
      <c r="O346" s="92"/>
      <c r="P346" s="92"/>
      <c r="Q346" s="92"/>
      <c r="R346" s="92"/>
      <c r="S346" s="228"/>
      <c r="T346" s="92"/>
      <c r="U346" s="92"/>
      <c r="V346" s="185"/>
    </row>
    <row r="347" spans="1:22" s="16" customFormat="1" ht="102">
      <c r="A347" s="92" t="s">
        <v>149</v>
      </c>
      <c r="B347" s="92"/>
      <c r="C347" s="124">
        <f>C339/C345</f>
        <v>0.9673953088542306</v>
      </c>
      <c r="D347" s="92"/>
      <c r="E347" s="92"/>
      <c r="F347" s="92"/>
      <c r="G347" s="92"/>
      <c r="H347" s="124">
        <f>H342/H345</f>
        <v>2.267571644042232</v>
      </c>
      <c r="I347" s="92"/>
      <c r="J347" s="92"/>
      <c r="K347" s="92"/>
      <c r="L347" s="92"/>
      <c r="M347" s="247">
        <f>M342/M345</f>
        <v>1.768837803320562</v>
      </c>
      <c r="N347" s="92"/>
      <c r="O347" s="92"/>
      <c r="P347" s="92"/>
      <c r="Q347" s="92"/>
      <c r="R347" s="92"/>
      <c r="S347" s="228"/>
      <c r="T347" s="92"/>
      <c r="U347" s="92"/>
      <c r="V347" s="185"/>
    </row>
    <row r="348" spans="1:22" s="16" customFormat="1" ht="23.25">
      <c r="A348" s="88" t="s">
        <v>14</v>
      </c>
      <c r="B348" s="92"/>
      <c r="C348" s="102"/>
      <c r="D348" s="92"/>
      <c r="E348" s="92"/>
      <c r="F348" s="92"/>
      <c r="G348" s="92"/>
      <c r="H348" s="102"/>
      <c r="I348" s="92"/>
      <c r="J348" s="92"/>
      <c r="K348" s="92"/>
      <c r="L348" s="92"/>
      <c r="M348" s="102"/>
      <c r="N348" s="92"/>
      <c r="O348" s="92"/>
      <c r="P348" s="92"/>
      <c r="Q348" s="92"/>
      <c r="R348" s="92"/>
      <c r="S348" s="228"/>
      <c r="T348" s="92"/>
      <c r="U348" s="92"/>
      <c r="V348" s="185"/>
    </row>
    <row r="349" spans="1:22" s="16" customFormat="1" ht="69.75">
      <c r="A349" s="92" t="s">
        <v>36</v>
      </c>
      <c r="B349" s="93"/>
      <c r="C349" s="125">
        <v>88.3</v>
      </c>
      <c r="D349" s="93"/>
      <c r="E349" s="93"/>
      <c r="F349" s="93"/>
      <c r="G349" s="93"/>
      <c r="H349" s="127">
        <v>45</v>
      </c>
      <c r="I349" s="93"/>
      <c r="J349" s="93"/>
      <c r="K349" s="93"/>
      <c r="L349" s="93"/>
      <c r="M349" s="127">
        <v>45</v>
      </c>
      <c r="N349" s="93"/>
      <c r="O349" s="93"/>
      <c r="P349" s="93"/>
      <c r="Q349" s="93"/>
      <c r="R349" s="93"/>
      <c r="S349" s="228"/>
      <c r="T349" s="92"/>
      <c r="U349" s="92"/>
      <c r="V349" s="185"/>
    </row>
    <row r="350" spans="1:22" s="16" customFormat="1" ht="46.5">
      <c r="A350" s="92" t="s">
        <v>29</v>
      </c>
      <c r="B350" s="92"/>
      <c r="C350" s="126">
        <f>C339/(C349*0.86*1591.105*0.001)</f>
        <v>13.039484192355761</v>
      </c>
      <c r="D350" s="92"/>
      <c r="E350" s="92"/>
      <c r="F350" s="92"/>
      <c r="G350" s="92"/>
      <c r="H350" s="126">
        <f>H340/(H349*0.86*1420.28*1.1*0.001)</f>
        <v>24.86548441129293</v>
      </c>
      <c r="I350" s="92"/>
      <c r="J350" s="92"/>
      <c r="K350" s="92"/>
      <c r="L350" s="92"/>
      <c r="M350" s="126">
        <f>M340/(M349*0.86*1420.28*1.1*0.001)</f>
        <v>9.16288304101123</v>
      </c>
      <c r="N350" s="92"/>
      <c r="O350" s="92"/>
      <c r="P350" s="92"/>
      <c r="Q350" s="92"/>
      <c r="R350" s="92"/>
      <c r="S350" s="228"/>
      <c r="T350" s="92"/>
      <c r="U350" s="92"/>
      <c r="V350" s="185"/>
    </row>
    <row r="351" spans="1:22" s="16" customFormat="1" ht="22.5">
      <c r="A351" s="313" t="s">
        <v>181</v>
      </c>
      <c r="B351" s="335"/>
      <c r="C351" s="335"/>
      <c r="D351" s="335"/>
      <c r="E351" s="335"/>
      <c r="F351" s="335"/>
      <c r="G351" s="335"/>
      <c r="H351" s="335"/>
      <c r="I351" s="335"/>
      <c r="J351" s="335"/>
      <c r="K351" s="335"/>
      <c r="L351" s="335"/>
      <c r="M351" s="335"/>
      <c r="N351" s="335"/>
      <c r="O351" s="335"/>
      <c r="P351" s="335"/>
      <c r="Q351" s="335"/>
      <c r="R351" s="335"/>
      <c r="S351" s="335"/>
      <c r="T351" s="88"/>
      <c r="U351" s="88"/>
      <c r="V351" s="185"/>
    </row>
    <row r="352" spans="1:22" s="16" customFormat="1" ht="22.5">
      <c r="A352" s="313" t="s">
        <v>22</v>
      </c>
      <c r="B352" s="335"/>
      <c r="C352" s="335"/>
      <c r="D352" s="335"/>
      <c r="E352" s="335"/>
      <c r="F352" s="335"/>
      <c r="G352" s="335"/>
      <c r="H352" s="335"/>
      <c r="I352" s="335"/>
      <c r="J352" s="335"/>
      <c r="K352" s="335"/>
      <c r="L352" s="335"/>
      <c r="M352" s="335"/>
      <c r="N352" s="335"/>
      <c r="O352" s="335"/>
      <c r="P352" s="335"/>
      <c r="Q352" s="335"/>
      <c r="R352" s="335"/>
      <c r="S352" s="335"/>
      <c r="T352" s="88"/>
      <c r="U352" s="88"/>
      <c r="V352" s="185"/>
    </row>
    <row r="353" spans="1:22" s="16" customFormat="1" ht="90" customHeight="1">
      <c r="A353" s="8" t="s">
        <v>96</v>
      </c>
      <c r="B353" s="17">
        <v>2417410</v>
      </c>
      <c r="C353" s="27">
        <v>25</v>
      </c>
      <c r="D353" s="28"/>
      <c r="E353" s="28">
        <f>C353</f>
        <v>25</v>
      </c>
      <c r="F353" s="28"/>
      <c r="G353" s="42"/>
      <c r="H353" s="77"/>
      <c r="I353" s="77"/>
      <c r="J353" s="77"/>
      <c r="K353" s="66"/>
      <c r="L353" s="66"/>
      <c r="M353" s="55"/>
      <c r="N353" s="55"/>
      <c r="O353" s="55"/>
      <c r="P353" s="43"/>
      <c r="Q353" s="43"/>
      <c r="R353" s="43"/>
      <c r="S353" s="198"/>
      <c r="T353" s="43"/>
      <c r="U353" s="43"/>
      <c r="V353" s="185"/>
    </row>
    <row r="354" spans="1:22" s="16" customFormat="1" ht="92.25" customHeight="1">
      <c r="A354" s="8" t="s">
        <v>68</v>
      </c>
      <c r="B354" s="17">
        <v>1017640</v>
      </c>
      <c r="C354" s="8"/>
      <c r="D354" s="42"/>
      <c r="E354" s="42"/>
      <c r="F354" s="42"/>
      <c r="G354" s="42"/>
      <c r="H354" s="60">
        <f>H357</f>
        <v>62.39999999999998</v>
      </c>
      <c r="I354" s="157"/>
      <c r="J354" s="157">
        <f>J357</f>
        <v>62.39999999999998</v>
      </c>
      <c r="K354" s="158"/>
      <c r="L354" s="158"/>
      <c r="M354" s="60">
        <f>O354</f>
        <v>452</v>
      </c>
      <c r="N354" s="159"/>
      <c r="O354" s="157">
        <v>452</v>
      </c>
      <c r="P354" s="43"/>
      <c r="Q354" s="43"/>
      <c r="R354" s="43"/>
      <c r="S354" s="198"/>
      <c r="T354" s="43"/>
      <c r="U354" s="43"/>
      <c r="V354" s="185"/>
    </row>
    <row r="355" spans="1:22" s="16" customFormat="1" ht="23.25">
      <c r="A355" s="39" t="s">
        <v>15</v>
      </c>
      <c r="B355" s="34"/>
      <c r="C355" s="8"/>
      <c r="D355" s="42"/>
      <c r="E355" s="42"/>
      <c r="F355" s="42"/>
      <c r="G355" s="42"/>
      <c r="H355" s="34"/>
      <c r="I355" s="39"/>
      <c r="J355" s="39"/>
      <c r="K355" s="34"/>
      <c r="L355" s="34"/>
      <c r="M355" s="34"/>
      <c r="N355" s="39"/>
      <c r="O355" s="39"/>
      <c r="P355" s="43"/>
      <c r="Q355" s="43"/>
      <c r="R355" s="43"/>
      <c r="S355" s="198"/>
      <c r="T355" s="43"/>
      <c r="U355" s="43"/>
      <c r="V355" s="185"/>
    </row>
    <row r="356" spans="1:22" s="16" customFormat="1" ht="23.25">
      <c r="A356" s="34" t="s">
        <v>16</v>
      </c>
      <c r="B356" s="34"/>
      <c r="C356" s="8"/>
      <c r="D356" s="42"/>
      <c r="E356" s="42"/>
      <c r="F356" s="42"/>
      <c r="G356" s="42"/>
      <c r="H356" s="103"/>
      <c r="I356" s="103"/>
      <c r="J356" s="103"/>
      <c r="K356" s="103"/>
      <c r="L356" s="103"/>
      <c r="M356" s="103"/>
      <c r="N356" s="39"/>
      <c r="O356" s="39"/>
      <c r="P356" s="43"/>
      <c r="Q356" s="43"/>
      <c r="R356" s="43"/>
      <c r="S356" s="198"/>
      <c r="T356" s="43"/>
      <c r="U356" s="43"/>
      <c r="V356" s="185"/>
    </row>
    <row r="357" spans="1:22" s="16" customFormat="1" ht="50.25" customHeight="1">
      <c r="A357" s="39" t="s">
        <v>18</v>
      </c>
      <c r="B357" s="34"/>
      <c r="C357" s="27">
        <f>C353</f>
        <v>25</v>
      </c>
      <c r="D357" s="28"/>
      <c r="E357" s="28">
        <f>C353</f>
        <v>25</v>
      </c>
      <c r="F357" s="28"/>
      <c r="G357" s="28"/>
      <c r="H357" s="29">
        <f>J357</f>
        <v>62.39999999999998</v>
      </c>
      <c r="I357" s="30"/>
      <c r="J357" s="30">
        <f>66*3-45.2*3</f>
        <v>62.39999999999998</v>
      </c>
      <c r="K357" s="29"/>
      <c r="L357" s="29"/>
      <c r="M357" s="29">
        <f>M354</f>
        <v>452</v>
      </c>
      <c r="N357" s="39"/>
      <c r="O357" s="39"/>
      <c r="P357" s="43"/>
      <c r="Q357" s="43"/>
      <c r="R357" s="43"/>
      <c r="S357" s="198"/>
      <c r="T357" s="43"/>
      <c r="U357" s="43"/>
      <c r="V357" s="185"/>
    </row>
    <row r="358" spans="1:22" s="16" customFormat="1" ht="23.25">
      <c r="A358" s="34" t="s">
        <v>10</v>
      </c>
      <c r="B358" s="34"/>
      <c r="C358" s="8"/>
      <c r="D358" s="42"/>
      <c r="E358" s="42"/>
      <c r="F358" s="42"/>
      <c r="G358" s="42"/>
      <c r="H358" s="8"/>
      <c r="I358" s="42"/>
      <c r="J358" s="43"/>
      <c r="K358" s="41"/>
      <c r="L358" s="41"/>
      <c r="M358" s="8"/>
      <c r="N358" s="42"/>
      <c r="O358" s="43"/>
      <c r="P358" s="43"/>
      <c r="Q358" s="43"/>
      <c r="R358" s="43"/>
      <c r="S358" s="198"/>
      <c r="T358" s="43"/>
      <c r="U358" s="43"/>
      <c r="V358" s="185"/>
    </row>
    <row r="359" spans="1:22" s="16" customFormat="1" ht="96.75" customHeight="1">
      <c r="A359" s="39" t="s">
        <v>20</v>
      </c>
      <c r="B359" s="34"/>
      <c r="C359" s="8">
        <v>1</v>
      </c>
      <c r="D359" s="42"/>
      <c r="E359" s="42">
        <v>1</v>
      </c>
      <c r="F359" s="42"/>
      <c r="G359" s="42"/>
      <c r="H359" s="8">
        <v>3</v>
      </c>
      <c r="I359" s="42"/>
      <c r="J359" s="43"/>
      <c r="K359" s="43"/>
      <c r="L359" s="43"/>
      <c r="M359" s="8">
        <v>1</v>
      </c>
      <c r="N359" s="42"/>
      <c r="O359" s="43"/>
      <c r="P359" s="43"/>
      <c r="Q359" s="43"/>
      <c r="R359" s="43"/>
      <c r="S359" s="198"/>
      <c r="T359" s="43"/>
      <c r="U359" s="43"/>
      <c r="V359" s="185"/>
    </row>
    <row r="360" spans="1:22" s="16" customFormat="1" ht="45">
      <c r="A360" s="34" t="s">
        <v>13</v>
      </c>
      <c r="B360" s="34"/>
      <c r="C360" s="8"/>
      <c r="D360" s="42"/>
      <c r="E360" s="42"/>
      <c r="F360" s="42"/>
      <c r="G360" s="42"/>
      <c r="H360" s="8"/>
      <c r="I360" s="42"/>
      <c r="J360" s="43"/>
      <c r="K360" s="43"/>
      <c r="L360" s="43"/>
      <c r="M360" s="8"/>
      <c r="N360" s="42"/>
      <c r="O360" s="43"/>
      <c r="P360" s="43"/>
      <c r="Q360" s="43"/>
      <c r="R360" s="43"/>
      <c r="S360" s="198"/>
      <c r="T360" s="43"/>
      <c r="U360" s="43"/>
      <c r="V360" s="185"/>
    </row>
    <row r="361" spans="1:22" s="16" customFormat="1" ht="143.25" customHeight="1">
      <c r="A361" s="39" t="s">
        <v>150</v>
      </c>
      <c r="B361" s="34"/>
      <c r="C361" s="8"/>
      <c r="D361" s="42"/>
      <c r="E361" s="42"/>
      <c r="F361" s="42"/>
      <c r="G361" s="42"/>
      <c r="H361" s="8">
        <f>H354/H359</f>
        <v>20.799999999999994</v>
      </c>
      <c r="I361" s="42"/>
      <c r="J361" s="43"/>
      <c r="K361" s="43"/>
      <c r="L361" s="43"/>
      <c r="M361" s="8">
        <f>M354/M359</f>
        <v>452</v>
      </c>
      <c r="N361" s="42"/>
      <c r="O361" s="43"/>
      <c r="P361" s="43"/>
      <c r="Q361" s="43"/>
      <c r="R361" s="43"/>
      <c r="S361" s="198"/>
      <c r="T361" s="43"/>
      <c r="U361" s="43"/>
      <c r="V361" s="185"/>
    </row>
    <row r="362" spans="1:22" s="16" customFormat="1" ht="23.25">
      <c r="A362" s="34" t="s">
        <v>14</v>
      </c>
      <c r="B362" s="34"/>
      <c r="C362" s="8"/>
      <c r="D362" s="42"/>
      <c r="E362" s="42"/>
      <c r="F362" s="42"/>
      <c r="G362" s="42"/>
      <c r="H362" s="8"/>
      <c r="I362" s="42"/>
      <c r="J362" s="41"/>
      <c r="K362" s="41"/>
      <c r="L362" s="41"/>
      <c r="M362" s="8"/>
      <c r="N362" s="42"/>
      <c r="O362" s="43"/>
      <c r="P362" s="43"/>
      <c r="Q362" s="43"/>
      <c r="R362" s="43"/>
      <c r="S362" s="198"/>
      <c r="T362" s="43"/>
      <c r="U362" s="43"/>
      <c r="V362" s="185"/>
    </row>
    <row r="363" spans="1:22" s="16" customFormat="1" ht="152.25" customHeight="1">
      <c r="A363" s="39" t="s">
        <v>90</v>
      </c>
      <c r="B363" s="34"/>
      <c r="C363" s="8"/>
      <c r="D363" s="42"/>
      <c r="E363" s="42"/>
      <c r="F363" s="42"/>
      <c r="G363" s="42"/>
      <c r="H363" s="63">
        <f>3*100/19</f>
        <v>15.789473684210526</v>
      </c>
      <c r="I363" s="42"/>
      <c r="J363" s="43"/>
      <c r="K363" s="43"/>
      <c r="L363" s="43"/>
      <c r="M363" s="63">
        <v>5</v>
      </c>
      <c r="N363" s="42"/>
      <c r="O363" s="43"/>
      <c r="P363" s="43"/>
      <c r="Q363" s="43"/>
      <c r="R363" s="43"/>
      <c r="S363" s="198"/>
      <c r="T363" s="43"/>
      <c r="U363" s="43"/>
      <c r="V363" s="185"/>
    </row>
    <row r="364" spans="1:22" s="16" customFormat="1" ht="116.25">
      <c r="A364" s="39" t="s">
        <v>202</v>
      </c>
      <c r="B364" s="34"/>
      <c r="C364" s="8"/>
      <c r="D364" s="42"/>
      <c r="E364" s="42"/>
      <c r="F364" s="42"/>
      <c r="G364" s="42"/>
      <c r="H364" s="63">
        <f>9.8+13.1+11.6</f>
        <v>34.5</v>
      </c>
      <c r="I364" s="42"/>
      <c r="J364" s="43"/>
      <c r="K364" s="43"/>
      <c r="L364" s="43"/>
      <c r="M364" s="60">
        <v>26</v>
      </c>
      <c r="N364" s="42"/>
      <c r="O364" s="43"/>
      <c r="P364" s="94"/>
      <c r="Q364" s="94"/>
      <c r="R364" s="94"/>
      <c r="S364" s="94"/>
      <c r="T364" s="43"/>
      <c r="U364" s="43"/>
      <c r="V364" s="185"/>
    </row>
    <row r="365" spans="1:22" s="16" customFormat="1" ht="46.5">
      <c r="A365" s="39" t="s">
        <v>29</v>
      </c>
      <c r="B365" s="34"/>
      <c r="C365" s="8"/>
      <c r="D365" s="42"/>
      <c r="E365" s="42"/>
      <c r="F365" s="42"/>
      <c r="G365" s="42"/>
      <c r="H365" s="63">
        <f>H354/(H364*0.86*1420.028*1.1*0.001)</f>
        <v>1.346410377613547</v>
      </c>
      <c r="I365" s="42"/>
      <c r="J365" s="43"/>
      <c r="K365" s="43"/>
      <c r="L365" s="43"/>
      <c r="M365" s="63">
        <f>M357/(M364*0.86*1758.6*1.1*0.001)</f>
        <v>10.44977360704194</v>
      </c>
      <c r="N365" s="42"/>
      <c r="O365" s="43"/>
      <c r="P365" s="94"/>
      <c r="Q365" s="94"/>
      <c r="R365" s="94"/>
      <c r="S365" s="94"/>
      <c r="T365" s="43"/>
      <c r="U365" s="43"/>
      <c r="V365" s="185"/>
    </row>
    <row r="366" spans="1:22" s="33" customFormat="1" ht="23.25" customHeight="1">
      <c r="A366" s="336" t="s">
        <v>106</v>
      </c>
      <c r="B366" s="337"/>
      <c r="C366" s="337"/>
      <c r="D366" s="337"/>
      <c r="E366" s="337"/>
      <c r="F366" s="337"/>
      <c r="G366" s="337"/>
      <c r="H366" s="337"/>
      <c r="I366" s="337"/>
      <c r="J366" s="337"/>
      <c r="K366" s="337"/>
      <c r="L366" s="337"/>
      <c r="M366" s="337"/>
      <c r="N366" s="337"/>
      <c r="O366" s="337"/>
      <c r="P366" s="337"/>
      <c r="Q366" s="337"/>
      <c r="R366" s="337"/>
      <c r="S366" s="337"/>
      <c r="T366" s="103"/>
      <c r="U366" s="103"/>
      <c r="V366" s="185"/>
    </row>
    <row r="367" spans="1:22" s="16" customFormat="1" ht="22.5">
      <c r="A367" s="338" t="s">
        <v>182</v>
      </c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41"/>
      <c r="U367" s="41"/>
      <c r="V367" s="185"/>
    </row>
    <row r="368" spans="1:22" s="16" customFormat="1" ht="23.25">
      <c r="A368" s="267" t="s">
        <v>23</v>
      </c>
      <c r="B368" s="268"/>
      <c r="C368" s="268"/>
      <c r="D368" s="268"/>
      <c r="E368" s="268"/>
      <c r="F368" s="268"/>
      <c r="G368" s="268"/>
      <c r="H368" s="268"/>
      <c r="I368" s="268"/>
      <c r="J368" s="268"/>
      <c r="K368" s="268"/>
      <c r="L368" s="268"/>
      <c r="M368" s="268"/>
      <c r="N368" s="268"/>
      <c r="O368" s="268"/>
      <c r="P368" s="268"/>
      <c r="Q368" s="268"/>
      <c r="R368" s="268"/>
      <c r="S368" s="268"/>
      <c r="T368" s="92"/>
      <c r="U368" s="92"/>
      <c r="V368" s="185"/>
    </row>
    <row r="369" spans="1:22" s="16" customFormat="1" ht="93" customHeight="1">
      <c r="A369" s="8" t="s">
        <v>95</v>
      </c>
      <c r="B369" s="17">
        <v>1517410</v>
      </c>
      <c r="C369" s="60">
        <f>E369</f>
        <v>390</v>
      </c>
      <c r="D369" s="6"/>
      <c r="E369" s="6">
        <v>390</v>
      </c>
      <c r="F369" s="42"/>
      <c r="G369" s="42"/>
      <c r="H369" s="8"/>
      <c r="I369" s="42"/>
      <c r="J369" s="41"/>
      <c r="K369" s="41"/>
      <c r="L369" s="41"/>
      <c r="M369" s="8"/>
      <c r="N369" s="42"/>
      <c r="O369" s="43"/>
      <c r="P369" s="43"/>
      <c r="Q369" s="43"/>
      <c r="R369" s="43"/>
      <c r="S369" s="198"/>
      <c r="T369" s="43"/>
      <c r="U369" s="43"/>
      <c r="V369" s="185"/>
    </row>
    <row r="370" spans="1:22" s="16" customFormat="1" ht="23.25">
      <c r="A370" s="39" t="s">
        <v>15</v>
      </c>
      <c r="B370" s="34"/>
      <c r="C370" s="8"/>
      <c r="D370" s="42"/>
      <c r="E370" s="42"/>
      <c r="F370" s="42"/>
      <c r="G370" s="42"/>
      <c r="H370" s="8"/>
      <c r="I370" s="42"/>
      <c r="J370" s="41"/>
      <c r="K370" s="41"/>
      <c r="L370" s="41"/>
      <c r="M370" s="8"/>
      <c r="N370" s="42"/>
      <c r="O370" s="43"/>
      <c r="P370" s="43"/>
      <c r="Q370" s="43"/>
      <c r="R370" s="43"/>
      <c r="S370" s="198"/>
      <c r="T370" s="43"/>
      <c r="U370" s="43"/>
      <c r="V370" s="185"/>
    </row>
    <row r="371" spans="1:22" s="16" customFormat="1" ht="23.25">
      <c r="A371" s="34" t="s">
        <v>16</v>
      </c>
      <c r="B371" s="34"/>
      <c r="C371" s="8"/>
      <c r="D371" s="42"/>
      <c r="E371" s="42"/>
      <c r="F371" s="42"/>
      <c r="G371" s="42"/>
      <c r="H371" s="8"/>
      <c r="I371" s="42"/>
      <c r="J371" s="41"/>
      <c r="K371" s="41"/>
      <c r="L371" s="41"/>
      <c r="M371" s="8"/>
      <c r="N371" s="42"/>
      <c r="O371" s="43"/>
      <c r="P371" s="43"/>
      <c r="Q371" s="43"/>
      <c r="R371" s="43"/>
      <c r="S371" s="198"/>
      <c r="T371" s="43"/>
      <c r="U371" s="43"/>
      <c r="V371" s="185"/>
    </row>
    <row r="372" spans="1:22" s="16" customFormat="1" ht="44.25" customHeight="1">
      <c r="A372" s="39" t="s">
        <v>18</v>
      </c>
      <c r="B372" s="34"/>
      <c r="C372" s="60">
        <f>C369</f>
        <v>390</v>
      </c>
      <c r="D372" s="6"/>
      <c r="E372" s="6">
        <f>E369</f>
        <v>390</v>
      </c>
      <c r="F372" s="42"/>
      <c r="G372" s="42"/>
      <c r="H372" s="8"/>
      <c r="I372" s="42"/>
      <c r="J372" s="41"/>
      <c r="K372" s="41"/>
      <c r="L372" s="41"/>
      <c r="M372" s="8"/>
      <c r="N372" s="42"/>
      <c r="O372" s="43"/>
      <c r="P372" s="43"/>
      <c r="Q372" s="43"/>
      <c r="R372" s="43"/>
      <c r="S372" s="198"/>
      <c r="T372" s="43"/>
      <c r="U372" s="43"/>
      <c r="V372" s="187"/>
    </row>
    <row r="373" spans="1:22" s="16" customFormat="1" ht="23.25">
      <c r="A373" s="34" t="s">
        <v>10</v>
      </c>
      <c r="B373" s="34"/>
      <c r="C373" s="8"/>
      <c r="D373" s="42"/>
      <c r="E373" s="42"/>
      <c r="F373" s="42"/>
      <c r="G373" s="42"/>
      <c r="H373" s="8"/>
      <c r="I373" s="42"/>
      <c r="J373" s="41"/>
      <c r="K373" s="41"/>
      <c r="L373" s="41"/>
      <c r="M373" s="8"/>
      <c r="N373" s="42"/>
      <c r="O373" s="43"/>
      <c r="P373" s="43"/>
      <c r="Q373" s="43"/>
      <c r="R373" s="43"/>
      <c r="S373" s="198"/>
      <c r="T373" s="43"/>
      <c r="U373" s="43"/>
      <c r="V373" s="185"/>
    </row>
    <row r="374" spans="1:22" s="16" customFormat="1" ht="51">
      <c r="A374" s="39" t="s">
        <v>75</v>
      </c>
      <c r="B374" s="34"/>
      <c r="C374" s="8">
        <v>336</v>
      </c>
      <c r="D374" s="42"/>
      <c r="E374" s="42">
        <v>336</v>
      </c>
      <c r="F374" s="42"/>
      <c r="G374" s="42"/>
      <c r="H374" s="8"/>
      <c r="I374" s="42"/>
      <c r="J374" s="41"/>
      <c r="K374" s="41"/>
      <c r="L374" s="41"/>
      <c r="M374" s="8"/>
      <c r="N374" s="42"/>
      <c r="O374" s="43"/>
      <c r="P374" s="43"/>
      <c r="Q374" s="43"/>
      <c r="R374" s="43"/>
      <c r="S374" s="198"/>
      <c r="T374" s="43"/>
      <c r="U374" s="43"/>
      <c r="V374" s="185"/>
    </row>
    <row r="375" spans="1:22" s="16" customFormat="1" ht="45">
      <c r="A375" s="34" t="s">
        <v>13</v>
      </c>
      <c r="B375" s="34"/>
      <c r="C375" s="8"/>
      <c r="D375" s="42"/>
      <c r="E375" s="42"/>
      <c r="F375" s="42"/>
      <c r="G375" s="42"/>
      <c r="H375" s="8"/>
      <c r="I375" s="42"/>
      <c r="J375" s="41"/>
      <c r="K375" s="41"/>
      <c r="L375" s="41"/>
      <c r="M375" s="8"/>
      <c r="N375" s="42"/>
      <c r="O375" s="43"/>
      <c r="P375" s="43"/>
      <c r="Q375" s="43"/>
      <c r="R375" s="43"/>
      <c r="S375" s="198"/>
      <c r="T375" s="43"/>
      <c r="U375" s="43"/>
      <c r="V375" s="185"/>
    </row>
    <row r="376" spans="1:22" s="16" customFormat="1" ht="102">
      <c r="A376" s="39" t="s">
        <v>146</v>
      </c>
      <c r="B376" s="34"/>
      <c r="C376" s="60">
        <f>C369/C374</f>
        <v>1.1607142857142858</v>
      </c>
      <c r="D376" s="42"/>
      <c r="E376" s="42"/>
      <c r="F376" s="42"/>
      <c r="G376" s="42"/>
      <c r="H376" s="8"/>
      <c r="I376" s="42"/>
      <c r="J376" s="41"/>
      <c r="K376" s="41"/>
      <c r="L376" s="41"/>
      <c r="M376" s="8"/>
      <c r="N376" s="42"/>
      <c r="O376" s="43"/>
      <c r="P376" s="43"/>
      <c r="Q376" s="43"/>
      <c r="R376" s="43"/>
      <c r="S376" s="198"/>
      <c r="T376" s="43"/>
      <c r="U376" s="43"/>
      <c r="V376" s="185"/>
    </row>
    <row r="377" spans="1:22" s="16" customFormat="1" ht="23.25">
      <c r="A377" s="34" t="s">
        <v>14</v>
      </c>
      <c r="B377" s="34"/>
      <c r="C377" s="8"/>
      <c r="D377" s="42"/>
      <c r="E377" s="42"/>
      <c r="F377" s="42"/>
      <c r="G377" s="42"/>
      <c r="H377" s="8"/>
      <c r="I377" s="42"/>
      <c r="J377" s="41"/>
      <c r="K377" s="41"/>
      <c r="L377" s="41"/>
      <c r="M377" s="8"/>
      <c r="N377" s="42"/>
      <c r="O377" s="43"/>
      <c r="P377" s="43"/>
      <c r="Q377" s="43"/>
      <c r="R377" s="43"/>
      <c r="S377" s="198"/>
      <c r="T377" s="43"/>
      <c r="U377" s="43"/>
      <c r="V377" s="186"/>
    </row>
    <row r="378" spans="1:22" s="16" customFormat="1" ht="72.75" customHeight="1">
      <c r="A378" s="39" t="s">
        <v>36</v>
      </c>
      <c r="B378" s="62"/>
      <c r="C378" s="63">
        <v>23</v>
      </c>
      <c r="D378" s="52"/>
      <c r="E378" s="52"/>
      <c r="F378" s="52"/>
      <c r="G378" s="52"/>
      <c r="H378" s="69"/>
      <c r="I378" s="52"/>
      <c r="J378" s="68"/>
      <c r="K378" s="68"/>
      <c r="L378" s="68"/>
      <c r="M378" s="69"/>
      <c r="N378" s="52"/>
      <c r="O378" s="53"/>
      <c r="P378" s="53"/>
      <c r="Q378" s="53"/>
      <c r="R378" s="53"/>
      <c r="S378" s="225"/>
      <c r="T378" s="43"/>
      <c r="U378" s="43"/>
      <c r="V378" s="186"/>
    </row>
    <row r="379" spans="1:23" s="55" customFormat="1" ht="46.5">
      <c r="A379" s="39" t="s">
        <v>29</v>
      </c>
      <c r="B379" s="34"/>
      <c r="C379" s="63">
        <f>C369/(C378*0.86*1591.105*0.001)</f>
        <v>12.391945059046964</v>
      </c>
      <c r="D379" s="42"/>
      <c r="E379" s="42"/>
      <c r="F379" s="42"/>
      <c r="G379" s="42"/>
      <c r="H379" s="8"/>
      <c r="I379" s="42"/>
      <c r="J379" s="41"/>
      <c r="K379" s="41"/>
      <c r="L379" s="41"/>
      <c r="M379" s="8"/>
      <c r="N379" s="42"/>
      <c r="O379" s="43"/>
      <c r="P379" s="43"/>
      <c r="Q379" s="43"/>
      <c r="R379" s="43"/>
      <c r="S379" s="198"/>
      <c r="T379" s="43"/>
      <c r="U379" s="43"/>
      <c r="V379" s="186"/>
      <c r="W379" s="54"/>
    </row>
    <row r="380" spans="1:22" s="23" customFormat="1" ht="23.25">
      <c r="A380" s="316" t="s">
        <v>183</v>
      </c>
      <c r="B380" s="331"/>
      <c r="C380" s="331"/>
      <c r="D380" s="331"/>
      <c r="E380" s="331"/>
      <c r="F380" s="331"/>
      <c r="G380" s="331"/>
      <c r="H380" s="331"/>
      <c r="I380" s="331"/>
      <c r="J380" s="331"/>
      <c r="K380" s="331"/>
      <c r="L380" s="331"/>
      <c r="M380" s="331"/>
      <c r="N380" s="331"/>
      <c r="O380" s="331"/>
      <c r="P380" s="331"/>
      <c r="Q380" s="331"/>
      <c r="R380" s="331"/>
      <c r="S380" s="331"/>
      <c r="T380" s="232"/>
      <c r="U380" s="232"/>
      <c r="V380" s="186"/>
    </row>
    <row r="381" spans="1:22" s="23" customFormat="1" ht="32.25" customHeight="1">
      <c r="A381" s="316" t="s">
        <v>23</v>
      </c>
      <c r="B381" s="331"/>
      <c r="C381" s="331"/>
      <c r="D381" s="331"/>
      <c r="E381" s="331"/>
      <c r="F381" s="331"/>
      <c r="G381" s="331"/>
      <c r="H381" s="331"/>
      <c r="I381" s="331"/>
      <c r="J381" s="331"/>
      <c r="K381" s="331"/>
      <c r="L381" s="331"/>
      <c r="M381" s="331"/>
      <c r="N381" s="331"/>
      <c r="O381" s="331"/>
      <c r="P381" s="331"/>
      <c r="Q381" s="331"/>
      <c r="R381" s="331"/>
      <c r="S381" s="331"/>
      <c r="T381" s="232"/>
      <c r="U381" s="232"/>
      <c r="V381" s="186"/>
    </row>
    <row r="382" spans="1:22" s="23" customFormat="1" ht="90">
      <c r="A382" s="8" t="s">
        <v>68</v>
      </c>
      <c r="B382" s="67" t="s">
        <v>72</v>
      </c>
      <c r="C382" s="63"/>
      <c r="D382" s="42"/>
      <c r="E382" s="42"/>
      <c r="F382" s="42"/>
      <c r="G382" s="42"/>
      <c r="H382" s="61">
        <f>I382</f>
        <v>29</v>
      </c>
      <c r="I382" s="50">
        <v>29</v>
      </c>
      <c r="J382" s="41"/>
      <c r="K382" s="41"/>
      <c r="L382" s="41"/>
      <c r="M382" s="8"/>
      <c r="N382" s="42"/>
      <c r="O382" s="43"/>
      <c r="P382" s="43"/>
      <c r="Q382" s="43"/>
      <c r="R382" s="43"/>
      <c r="S382" s="198"/>
      <c r="T382" s="43"/>
      <c r="U382" s="43"/>
      <c r="V382" s="186"/>
    </row>
    <row r="383" spans="1:22" s="23" customFormat="1" ht="23.25">
      <c r="A383" s="39" t="s">
        <v>15</v>
      </c>
      <c r="B383" s="34"/>
      <c r="C383" s="63"/>
      <c r="D383" s="42"/>
      <c r="E383" s="42"/>
      <c r="F383" s="42"/>
      <c r="G383" s="42"/>
      <c r="H383" s="61"/>
      <c r="I383" s="50"/>
      <c r="J383" s="41"/>
      <c r="K383" s="41"/>
      <c r="L383" s="41"/>
      <c r="M383" s="8"/>
      <c r="N383" s="42"/>
      <c r="O383" s="43"/>
      <c r="P383" s="43"/>
      <c r="Q383" s="43"/>
      <c r="R383" s="43"/>
      <c r="S383" s="198"/>
      <c r="T383" s="43"/>
      <c r="U383" s="43"/>
      <c r="V383" s="186"/>
    </row>
    <row r="384" spans="1:22" s="23" customFormat="1" ht="23.25">
      <c r="A384" s="34" t="s">
        <v>16</v>
      </c>
      <c r="B384" s="34"/>
      <c r="C384" s="63"/>
      <c r="D384" s="42"/>
      <c r="E384" s="42"/>
      <c r="F384" s="42"/>
      <c r="G384" s="42"/>
      <c r="H384" s="61"/>
      <c r="I384" s="50"/>
      <c r="J384" s="41"/>
      <c r="K384" s="41"/>
      <c r="L384" s="41"/>
      <c r="M384" s="8"/>
      <c r="N384" s="42"/>
      <c r="O384" s="43"/>
      <c r="P384" s="43"/>
      <c r="Q384" s="43"/>
      <c r="R384" s="43"/>
      <c r="S384" s="198"/>
      <c r="T384" s="43"/>
      <c r="U384" s="43"/>
      <c r="V384" s="186"/>
    </row>
    <row r="385" spans="1:22" s="23" customFormat="1" ht="36" customHeight="1">
      <c r="A385" s="39" t="s">
        <v>18</v>
      </c>
      <c r="B385" s="34"/>
      <c r="C385" s="63"/>
      <c r="D385" s="42"/>
      <c r="E385" s="42"/>
      <c r="F385" s="42"/>
      <c r="G385" s="42"/>
      <c r="H385" s="61">
        <f>I385</f>
        <v>29</v>
      </c>
      <c r="I385" s="50">
        <f>I382</f>
        <v>29</v>
      </c>
      <c r="J385" s="41"/>
      <c r="K385" s="41"/>
      <c r="L385" s="41"/>
      <c r="M385" s="8"/>
      <c r="N385" s="42"/>
      <c r="O385" s="43"/>
      <c r="P385" s="43"/>
      <c r="Q385" s="43"/>
      <c r="R385" s="43"/>
      <c r="S385" s="198"/>
      <c r="T385" s="43"/>
      <c r="U385" s="43"/>
      <c r="V385" s="186"/>
    </row>
    <row r="386" spans="1:22" s="23" customFormat="1" ht="23.25">
      <c r="A386" s="34" t="s">
        <v>10</v>
      </c>
      <c r="B386" s="34"/>
      <c r="C386" s="63"/>
      <c r="D386" s="42"/>
      <c r="E386" s="42"/>
      <c r="F386" s="42"/>
      <c r="G386" s="42"/>
      <c r="H386" s="8"/>
      <c r="I386" s="42"/>
      <c r="J386" s="41"/>
      <c r="K386" s="41"/>
      <c r="L386" s="41"/>
      <c r="M386" s="8"/>
      <c r="N386" s="42"/>
      <c r="O386" s="43"/>
      <c r="P386" s="43"/>
      <c r="Q386" s="43"/>
      <c r="R386" s="43"/>
      <c r="S386" s="198"/>
      <c r="T386" s="43"/>
      <c r="U386" s="43"/>
      <c r="V386" s="186"/>
    </row>
    <row r="387" spans="1:22" s="23" customFormat="1" ht="72" customHeight="1">
      <c r="A387" s="39" t="s">
        <v>151</v>
      </c>
      <c r="B387" s="34"/>
      <c r="C387" s="63"/>
      <c r="D387" s="42"/>
      <c r="E387" s="42"/>
      <c r="F387" s="42"/>
      <c r="G387" s="42"/>
      <c r="H387" s="8">
        <v>223</v>
      </c>
      <c r="I387" s="42"/>
      <c r="J387" s="41"/>
      <c r="K387" s="41"/>
      <c r="L387" s="41"/>
      <c r="M387" s="8"/>
      <c r="N387" s="42"/>
      <c r="O387" s="43"/>
      <c r="P387" s="43"/>
      <c r="Q387" s="43"/>
      <c r="R387" s="43"/>
      <c r="S387" s="198"/>
      <c r="T387" s="43"/>
      <c r="U387" s="43"/>
      <c r="V387" s="186"/>
    </row>
    <row r="388" spans="1:22" s="23" customFormat="1" ht="45">
      <c r="A388" s="34" t="s">
        <v>13</v>
      </c>
      <c r="B388" s="34"/>
      <c r="C388" s="63"/>
      <c r="D388" s="42"/>
      <c r="E388" s="42"/>
      <c r="F388" s="42"/>
      <c r="G388" s="42"/>
      <c r="H388" s="8"/>
      <c r="I388" s="42"/>
      <c r="J388" s="41"/>
      <c r="K388" s="41"/>
      <c r="L388" s="41"/>
      <c r="M388" s="8"/>
      <c r="N388" s="42"/>
      <c r="O388" s="43"/>
      <c r="P388" s="43"/>
      <c r="Q388" s="43"/>
      <c r="R388" s="43"/>
      <c r="S388" s="198"/>
      <c r="T388" s="43"/>
      <c r="U388" s="43"/>
      <c r="V388" s="186"/>
    </row>
    <row r="389" spans="1:22" s="23" customFormat="1" ht="93">
      <c r="A389" s="39" t="s">
        <v>65</v>
      </c>
      <c r="B389" s="34"/>
      <c r="C389" s="63"/>
      <c r="D389" s="42"/>
      <c r="E389" s="42"/>
      <c r="F389" s="42"/>
      <c r="G389" s="42"/>
      <c r="H389" s="65">
        <f>H382/H387</f>
        <v>0.13004484304932734</v>
      </c>
      <c r="I389" s="42"/>
      <c r="J389" s="41"/>
      <c r="K389" s="41"/>
      <c r="L389" s="41"/>
      <c r="M389" s="8"/>
      <c r="N389" s="42"/>
      <c r="O389" s="43"/>
      <c r="P389" s="43"/>
      <c r="Q389" s="43"/>
      <c r="R389" s="43"/>
      <c r="S389" s="198"/>
      <c r="T389" s="43"/>
      <c r="U389" s="43"/>
      <c r="V389" s="186"/>
    </row>
    <row r="390" spans="1:22" s="23" customFormat="1" ht="23.25">
      <c r="A390" s="34" t="s">
        <v>14</v>
      </c>
      <c r="B390" s="34"/>
      <c r="C390" s="63"/>
      <c r="D390" s="42"/>
      <c r="E390" s="42"/>
      <c r="F390" s="42"/>
      <c r="G390" s="42"/>
      <c r="H390" s="8"/>
      <c r="I390" s="42"/>
      <c r="J390" s="41"/>
      <c r="K390" s="41"/>
      <c r="L390" s="41"/>
      <c r="M390" s="8"/>
      <c r="N390" s="42"/>
      <c r="O390" s="43"/>
      <c r="P390" s="43"/>
      <c r="Q390" s="43"/>
      <c r="R390" s="43"/>
      <c r="S390" s="198"/>
      <c r="T390" s="43"/>
      <c r="U390" s="43"/>
      <c r="V390" s="186"/>
    </row>
    <row r="391" spans="1:22" s="23" customFormat="1" ht="69.75">
      <c r="A391" s="39" t="s">
        <v>66</v>
      </c>
      <c r="B391" s="34"/>
      <c r="C391" s="63"/>
      <c r="D391" s="42"/>
      <c r="E391" s="42"/>
      <c r="F391" s="42"/>
      <c r="G391" s="42"/>
      <c r="H391" s="8">
        <v>4.8</v>
      </c>
      <c r="I391" s="42"/>
      <c r="J391" s="41"/>
      <c r="K391" s="41"/>
      <c r="L391" s="41"/>
      <c r="M391" s="8"/>
      <c r="N391" s="42"/>
      <c r="O391" s="43"/>
      <c r="P391" s="43"/>
      <c r="Q391" s="43"/>
      <c r="R391" s="43"/>
      <c r="S391" s="198"/>
      <c r="T391" s="43"/>
      <c r="U391" s="43"/>
      <c r="V391" s="186"/>
    </row>
    <row r="392" spans="1:22" s="23" customFormat="1" ht="46.5">
      <c r="A392" s="39" t="s">
        <v>29</v>
      </c>
      <c r="B392" s="34"/>
      <c r="C392" s="63"/>
      <c r="D392" s="42"/>
      <c r="E392" s="42"/>
      <c r="F392" s="42"/>
      <c r="G392" s="42"/>
      <c r="H392" s="60">
        <f>H382/(H391*2.44*1.1)</f>
        <v>2.2509935419771483</v>
      </c>
      <c r="I392" s="42"/>
      <c r="J392" s="41"/>
      <c r="K392" s="41"/>
      <c r="L392" s="41"/>
      <c r="M392" s="8"/>
      <c r="N392" s="42"/>
      <c r="O392" s="43"/>
      <c r="P392" s="43"/>
      <c r="Q392" s="43"/>
      <c r="R392" s="43"/>
      <c r="S392" s="198"/>
      <c r="T392" s="43"/>
      <c r="U392" s="43"/>
      <c r="V392" s="186"/>
    </row>
    <row r="393" spans="1:22" s="16" customFormat="1" ht="23.25">
      <c r="A393" s="316" t="s">
        <v>184</v>
      </c>
      <c r="B393" s="331"/>
      <c r="C393" s="331"/>
      <c r="D393" s="331"/>
      <c r="E393" s="331"/>
      <c r="F393" s="331"/>
      <c r="G393" s="331"/>
      <c r="H393" s="331"/>
      <c r="I393" s="331"/>
      <c r="J393" s="331"/>
      <c r="K393" s="331"/>
      <c r="L393" s="331"/>
      <c r="M393" s="331"/>
      <c r="N393" s="331"/>
      <c r="O393" s="331"/>
      <c r="P393" s="331"/>
      <c r="Q393" s="331"/>
      <c r="R393" s="331"/>
      <c r="S393" s="331"/>
      <c r="T393" s="232"/>
      <c r="U393" s="232"/>
      <c r="V393" s="186"/>
    </row>
    <row r="394" spans="1:22" s="16" customFormat="1" ht="27" customHeight="1">
      <c r="A394" s="293" t="s">
        <v>67</v>
      </c>
      <c r="B394" s="294"/>
      <c r="C394" s="294"/>
      <c r="D394" s="294"/>
      <c r="E394" s="294"/>
      <c r="F394" s="294"/>
      <c r="G394" s="294"/>
      <c r="H394" s="294"/>
      <c r="I394" s="294"/>
      <c r="J394" s="294"/>
      <c r="K394" s="294"/>
      <c r="L394" s="294"/>
      <c r="M394" s="294"/>
      <c r="N394" s="294"/>
      <c r="O394" s="294"/>
      <c r="P394" s="294"/>
      <c r="Q394" s="294"/>
      <c r="R394" s="294"/>
      <c r="S394" s="294"/>
      <c r="T394" s="72"/>
      <c r="U394" s="72"/>
      <c r="V394" s="186"/>
    </row>
    <row r="395" spans="1:22" s="16" customFormat="1" ht="90" customHeight="1">
      <c r="A395" s="8" t="s">
        <v>68</v>
      </c>
      <c r="B395" s="8">
        <v>3717640</v>
      </c>
      <c r="C395" s="8"/>
      <c r="D395" s="42"/>
      <c r="E395" s="42"/>
      <c r="F395" s="42"/>
      <c r="G395" s="42"/>
      <c r="H395" s="27">
        <v>15</v>
      </c>
      <c r="I395" s="28">
        <v>15</v>
      </c>
      <c r="J395" s="8"/>
      <c r="K395" s="8"/>
      <c r="L395" s="8"/>
      <c r="M395" s="8">
        <f>N395</f>
        <v>20</v>
      </c>
      <c r="N395" s="42">
        <v>20</v>
      </c>
      <c r="O395" s="43"/>
      <c r="P395" s="43"/>
      <c r="Q395" s="43"/>
      <c r="R395" s="43"/>
      <c r="S395" s="198"/>
      <c r="T395" s="43"/>
      <c r="U395" s="43"/>
      <c r="V395" s="186"/>
    </row>
    <row r="396" spans="1:22" s="16" customFormat="1" ht="23.25">
      <c r="A396" s="39" t="s">
        <v>15</v>
      </c>
      <c r="B396" s="34"/>
      <c r="C396" s="8"/>
      <c r="D396" s="42"/>
      <c r="E396" s="42"/>
      <c r="F396" s="42"/>
      <c r="G396" s="42"/>
      <c r="H396" s="27"/>
      <c r="I396" s="28"/>
      <c r="J396" s="8"/>
      <c r="K396" s="8"/>
      <c r="L396" s="8"/>
      <c r="M396" s="8"/>
      <c r="N396" s="42"/>
      <c r="O396" s="43"/>
      <c r="P396" s="43"/>
      <c r="Q396" s="43"/>
      <c r="R396" s="43"/>
      <c r="S396" s="198"/>
      <c r="T396" s="43"/>
      <c r="U396" s="43"/>
      <c r="V396" s="186"/>
    </row>
    <row r="397" spans="1:22" s="16" customFormat="1" ht="23.25">
      <c r="A397" s="34" t="s">
        <v>16</v>
      </c>
      <c r="B397" s="34"/>
      <c r="C397" s="8"/>
      <c r="D397" s="42"/>
      <c r="E397" s="42"/>
      <c r="F397" s="42"/>
      <c r="G397" s="42"/>
      <c r="H397" s="27"/>
      <c r="I397" s="28"/>
      <c r="J397" s="8"/>
      <c r="K397" s="8"/>
      <c r="L397" s="8"/>
      <c r="M397" s="8"/>
      <c r="N397" s="42"/>
      <c r="O397" s="43"/>
      <c r="P397" s="43"/>
      <c r="Q397" s="43"/>
      <c r="R397" s="43"/>
      <c r="S397" s="198"/>
      <c r="T397" s="43"/>
      <c r="U397" s="43"/>
      <c r="V397" s="186"/>
    </row>
    <row r="398" spans="1:22" s="16" customFormat="1" ht="46.5">
      <c r="A398" s="39" t="s">
        <v>69</v>
      </c>
      <c r="B398" s="34"/>
      <c r="C398" s="8"/>
      <c r="D398" s="42"/>
      <c r="E398" s="42"/>
      <c r="F398" s="42"/>
      <c r="G398" s="42"/>
      <c r="H398" s="27">
        <f>H395</f>
        <v>15</v>
      </c>
      <c r="I398" s="28">
        <f>I395</f>
        <v>15</v>
      </c>
      <c r="J398" s="8"/>
      <c r="K398" s="8"/>
      <c r="L398" s="8"/>
      <c r="M398" s="8">
        <f>M395</f>
        <v>20</v>
      </c>
      <c r="N398" s="42">
        <f>N395</f>
        <v>20</v>
      </c>
      <c r="O398" s="43"/>
      <c r="P398" s="43"/>
      <c r="Q398" s="43"/>
      <c r="R398" s="43"/>
      <c r="S398" s="198"/>
      <c r="T398" s="43"/>
      <c r="U398" s="43"/>
      <c r="V398" s="186"/>
    </row>
    <row r="399" spans="1:22" s="16" customFormat="1" ht="23.25">
      <c r="A399" s="34" t="s">
        <v>10</v>
      </c>
      <c r="B399" s="34"/>
      <c r="C399" s="8"/>
      <c r="D399" s="42"/>
      <c r="E399" s="42"/>
      <c r="F399" s="42"/>
      <c r="G399" s="42"/>
      <c r="H399" s="8"/>
      <c r="I399" s="42"/>
      <c r="J399" s="8"/>
      <c r="K399" s="8"/>
      <c r="L399" s="8"/>
      <c r="M399" s="8"/>
      <c r="N399" s="42"/>
      <c r="O399" s="43"/>
      <c r="P399" s="43"/>
      <c r="Q399" s="43"/>
      <c r="R399" s="43"/>
      <c r="S399" s="198"/>
      <c r="T399" s="43"/>
      <c r="U399" s="43"/>
      <c r="V399" s="186"/>
    </row>
    <row r="400" spans="1:22" s="16" customFormat="1" ht="93">
      <c r="A400" s="39" t="s">
        <v>157</v>
      </c>
      <c r="B400" s="34"/>
      <c r="C400" s="8"/>
      <c r="D400" s="42"/>
      <c r="E400" s="42"/>
      <c r="F400" s="42"/>
      <c r="G400" s="42"/>
      <c r="H400" s="8">
        <v>2</v>
      </c>
      <c r="I400" s="42"/>
      <c r="J400" s="8"/>
      <c r="K400" s="8"/>
      <c r="L400" s="8"/>
      <c r="M400" s="8">
        <v>1</v>
      </c>
      <c r="N400" s="42"/>
      <c r="O400" s="43"/>
      <c r="P400" s="43"/>
      <c r="Q400" s="43"/>
      <c r="R400" s="43"/>
      <c r="S400" s="198"/>
      <c r="T400" s="43"/>
      <c r="U400" s="43"/>
      <c r="V400" s="187"/>
    </row>
    <row r="401" spans="1:22" s="16" customFormat="1" ht="45">
      <c r="A401" s="34" t="s">
        <v>13</v>
      </c>
      <c r="B401" s="34"/>
      <c r="C401" s="8"/>
      <c r="D401" s="42"/>
      <c r="E401" s="42"/>
      <c r="F401" s="42"/>
      <c r="G401" s="42"/>
      <c r="H401" s="8"/>
      <c r="I401" s="42"/>
      <c r="J401" s="8"/>
      <c r="K401" s="8"/>
      <c r="L401" s="8"/>
      <c r="M401" s="8"/>
      <c r="N401" s="42"/>
      <c r="O401" s="43"/>
      <c r="P401" s="43"/>
      <c r="Q401" s="43"/>
      <c r="R401" s="43"/>
      <c r="S401" s="198"/>
      <c r="T401" s="43"/>
      <c r="U401" s="43"/>
      <c r="V401" s="186"/>
    </row>
    <row r="402" spans="1:22" s="16" customFormat="1" ht="122.25" customHeight="1">
      <c r="A402" s="39" t="s">
        <v>152</v>
      </c>
      <c r="B402" s="34"/>
      <c r="C402" s="8"/>
      <c r="D402" s="42"/>
      <c r="E402" s="42"/>
      <c r="F402" s="42"/>
      <c r="G402" s="42"/>
      <c r="H402" s="168">
        <f>H398/H400</f>
        <v>7.5</v>
      </c>
      <c r="I402" s="42"/>
      <c r="J402" s="8"/>
      <c r="K402" s="8"/>
      <c r="L402" s="8"/>
      <c r="M402" s="8">
        <v>20</v>
      </c>
      <c r="N402" s="42"/>
      <c r="O402" s="43"/>
      <c r="P402" s="43"/>
      <c r="Q402" s="43"/>
      <c r="R402" s="43"/>
      <c r="S402" s="198"/>
      <c r="T402" s="43"/>
      <c r="U402" s="43"/>
      <c r="V402" s="186"/>
    </row>
    <row r="403" spans="1:22" s="16" customFormat="1" ht="36" customHeight="1">
      <c r="A403" s="34" t="s">
        <v>14</v>
      </c>
      <c r="B403" s="34"/>
      <c r="C403" s="8"/>
      <c r="D403" s="42"/>
      <c r="E403" s="42"/>
      <c r="F403" s="42"/>
      <c r="G403" s="42"/>
      <c r="H403" s="8"/>
      <c r="I403" s="42"/>
      <c r="J403" s="8"/>
      <c r="K403" s="8"/>
      <c r="L403" s="8"/>
      <c r="M403" s="8"/>
      <c r="N403" s="42"/>
      <c r="O403" s="43"/>
      <c r="P403" s="43"/>
      <c r="Q403" s="43"/>
      <c r="R403" s="43"/>
      <c r="S403" s="198"/>
      <c r="T403" s="43"/>
      <c r="U403" s="43"/>
      <c r="V403" s="186"/>
    </row>
    <row r="404" spans="1:22" s="16" customFormat="1" ht="129" customHeight="1">
      <c r="A404" s="39" t="s">
        <v>91</v>
      </c>
      <c r="B404" s="34"/>
      <c r="C404" s="8"/>
      <c r="D404" s="42"/>
      <c r="E404" s="42"/>
      <c r="F404" s="42"/>
      <c r="G404" s="42"/>
      <c r="H404" s="8">
        <v>100</v>
      </c>
      <c r="I404" s="42"/>
      <c r="J404" s="8"/>
      <c r="K404" s="8"/>
      <c r="L404" s="8"/>
      <c r="M404" s="8">
        <v>100</v>
      </c>
      <c r="N404" s="42"/>
      <c r="O404" s="43"/>
      <c r="P404" s="43"/>
      <c r="Q404" s="43"/>
      <c r="R404" s="43"/>
      <c r="S404" s="198"/>
      <c r="T404" s="43"/>
      <c r="U404" s="43"/>
      <c r="V404" s="186"/>
    </row>
    <row r="405" spans="1:22" s="16" customFormat="1" ht="30" customHeight="1">
      <c r="A405" s="295" t="s">
        <v>185</v>
      </c>
      <c r="B405" s="258"/>
      <c r="C405" s="258"/>
      <c r="D405" s="258"/>
      <c r="E405" s="258"/>
      <c r="F405" s="258"/>
      <c r="G405" s="258"/>
      <c r="H405" s="258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258"/>
      <c r="T405" s="70"/>
      <c r="U405" s="70"/>
      <c r="V405" s="186"/>
    </row>
    <row r="406" spans="1:22" s="16" customFormat="1" ht="36.75" customHeight="1">
      <c r="A406" s="295" t="s">
        <v>67</v>
      </c>
      <c r="B406" s="258"/>
      <c r="C406" s="258"/>
      <c r="D406" s="258"/>
      <c r="E406" s="258"/>
      <c r="F406" s="258"/>
      <c r="G406" s="258"/>
      <c r="H406" s="258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258"/>
      <c r="T406" s="70"/>
      <c r="U406" s="70"/>
      <c r="V406" s="186"/>
    </row>
    <row r="407" spans="1:22" s="16" customFormat="1" ht="103.5" customHeight="1">
      <c r="A407" s="8" t="s">
        <v>68</v>
      </c>
      <c r="B407" s="34"/>
      <c r="C407" s="8"/>
      <c r="D407" s="42"/>
      <c r="E407" s="42"/>
      <c r="F407" s="42"/>
      <c r="G407" s="42"/>
      <c r="H407" s="60">
        <v>60</v>
      </c>
      <c r="I407" s="6">
        <v>60</v>
      </c>
      <c r="J407" s="8"/>
      <c r="K407" s="8"/>
      <c r="L407" s="8"/>
      <c r="M407" s="60">
        <f>N407</f>
        <v>80</v>
      </c>
      <c r="N407" s="6">
        <v>80</v>
      </c>
      <c r="O407" s="43"/>
      <c r="P407" s="43"/>
      <c r="Q407" s="43"/>
      <c r="R407" s="43"/>
      <c r="S407" s="198"/>
      <c r="T407" s="43"/>
      <c r="U407" s="43"/>
      <c r="V407" s="186"/>
    </row>
    <row r="408" spans="1:22" s="16" customFormat="1" ht="38.25" customHeight="1">
      <c r="A408" s="39" t="s">
        <v>15</v>
      </c>
      <c r="B408" s="34"/>
      <c r="C408" s="8"/>
      <c r="D408" s="42"/>
      <c r="E408" s="42"/>
      <c r="F408" s="42"/>
      <c r="G408" s="42"/>
      <c r="H408" s="28"/>
      <c r="I408" s="28"/>
      <c r="J408" s="8"/>
      <c r="K408" s="8"/>
      <c r="L408" s="8"/>
      <c r="M408" s="60"/>
      <c r="N408" s="6"/>
      <c r="O408" s="43"/>
      <c r="P408" s="43"/>
      <c r="Q408" s="43"/>
      <c r="R408" s="43"/>
      <c r="S408" s="198"/>
      <c r="T408" s="43"/>
      <c r="U408" s="43"/>
      <c r="V408" s="186"/>
    </row>
    <row r="409" spans="1:22" s="16" customFormat="1" ht="42.75" customHeight="1">
      <c r="A409" s="34" t="s">
        <v>16</v>
      </c>
      <c r="B409" s="34"/>
      <c r="C409" s="8"/>
      <c r="D409" s="42"/>
      <c r="E409" s="42"/>
      <c r="F409" s="42"/>
      <c r="G409" s="42"/>
      <c r="H409" s="28"/>
      <c r="I409" s="28"/>
      <c r="J409" s="8"/>
      <c r="K409" s="8"/>
      <c r="L409" s="8"/>
      <c r="M409" s="60"/>
      <c r="N409" s="6"/>
      <c r="O409" s="43"/>
      <c r="P409" s="43"/>
      <c r="Q409" s="43"/>
      <c r="R409" s="43"/>
      <c r="S409" s="198"/>
      <c r="T409" s="43"/>
      <c r="U409" s="43"/>
      <c r="V409" s="186"/>
    </row>
    <row r="410" spans="1:22" s="16" customFormat="1" ht="51" customHeight="1">
      <c r="A410" s="39" t="s">
        <v>69</v>
      </c>
      <c r="B410" s="34"/>
      <c r="C410" s="8"/>
      <c r="D410" s="42"/>
      <c r="E410" s="42"/>
      <c r="F410" s="42"/>
      <c r="G410" s="42"/>
      <c r="H410" s="60">
        <f>H407</f>
        <v>60</v>
      </c>
      <c r="I410" s="6">
        <f>I407</f>
        <v>60</v>
      </c>
      <c r="J410" s="8"/>
      <c r="K410" s="8"/>
      <c r="L410" s="8"/>
      <c r="M410" s="60">
        <v>80</v>
      </c>
      <c r="N410" s="6">
        <v>80</v>
      </c>
      <c r="O410" s="43"/>
      <c r="P410" s="43"/>
      <c r="Q410" s="43"/>
      <c r="R410" s="43"/>
      <c r="S410" s="198"/>
      <c r="T410" s="43"/>
      <c r="U410" s="43"/>
      <c r="V410" s="186"/>
    </row>
    <row r="411" spans="1:22" s="16" customFormat="1" ht="33" customHeight="1">
      <c r="A411" s="34" t="s">
        <v>10</v>
      </c>
      <c r="B411" s="34"/>
      <c r="C411" s="8"/>
      <c r="D411" s="42"/>
      <c r="E411" s="42"/>
      <c r="F411" s="42"/>
      <c r="G411" s="42"/>
      <c r="H411" s="8"/>
      <c r="I411" s="42"/>
      <c r="J411" s="8"/>
      <c r="K411" s="8"/>
      <c r="L411" s="8"/>
      <c r="M411" s="8"/>
      <c r="N411" s="42"/>
      <c r="O411" s="43"/>
      <c r="P411" s="43"/>
      <c r="Q411" s="43"/>
      <c r="R411" s="43"/>
      <c r="S411" s="198"/>
      <c r="T411" s="43"/>
      <c r="U411" s="43"/>
      <c r="V411" s="186"/>
    </row>
    <row r="412" spans="1:22" s="16" customFormat="1" ht="210" customHeight="1">
      <c r="A412" s="39" t="s">
        <v>203</v>
      </c>
      <c r="B412" s="34"/>
      <c r="C412" s="8"/>
      <c r="D412" s="42"/>
      <c r="E412" s="42"/>
      <c r="F412" s="42"/>
      <c r="G412" s="42"/>
      <c r="H412" s="8">
        <v>1</v>
      </c>
      <c r="I412" s="42"/>
      <c r="J412" s="8"/>
      <c r="K412" s="8"/>
      <c r="L412" s="8"/>
      <c r="M412" s="8"/>
      <c r="N412" s="42"/>
      <c r="O412" s="43"/>
      <c r="P412" s="43"/>
      <c r="Q412" s="43"/>
      <c r="R412" s="43"/>
      <c r="S412" s="198"/>
      <c r="T412" s="43"/>
      <c r="U412" s="43"/>
      <c r="V412" s="186"/>
    </row>
    <row r="413" spans="1:22" s="16" customFormat="1" ht="235.5" customHeight="1">
      <c r="A413" s="39" t="s">
        <v>204</v>
      </c>
      <c r="B413" s="34"/>
      <c r="C413" s="8"/>
      <c r="D413" s="42"/>
      <c r="E413" s="42"/>
      <c r="F413" s="42"/>
      <c r="G413" s="42"/>
      <c r="H413" s="8"/>
      <c r="I413" s="42"/>
      <c r="J413" s="8"/>
      <c r="K413" s="8"/>
      <c r="L413" s="8"/>
      <c r="M413" s="8">
        <v>1</v>
      </c>
      <c r="N413" s="42"/>
      <c r="O413" s="43"/>
      <c r="P413" s="116"/>
      <c r="Q413" s="116"/>
      <c r="R413" s="116"/>
      <c r="S413" s="116"/>
      <c r="T413" s="43"/>
      <c r="U413" s="43"/>
      <c r="V413" s="186"/>
    </row>
    <row r="414" spans="1:22" s="16" customFormat="1" ht="51" customHeight="1">
      <c r="A414" s="34" t="s">
        <v>13</v>
      </c>
      <c r="B414" s="34"/>
      <c r="C414" s="8"/>
      <c r="D414" s="42"/>
      <c r="E414" s="42"/>
      <c r="F414" s="42"/>
      <c r="G414" s="42"/>
      <c r="H414" s="8"/>
      <c r="I414" s="42"/>
      <c r="J414" s="8"/>
      <c r="K414" s="8"/>
      <c r="L414" s="8"/>
      <c r="M414" s="8"/>
      <c r="N414" s="42"/>
      <c r="O414" s="43"/>
      <c r="P414" s="116"/>
      <c r="Q414" s="116"/>
      <c r="R414" s="116"/>
      <c r="S414" s="116"/>
      <c r="T414" s="43"/>
      <c r="U414" s="43"/>
      <c r="V414" s="186"/>
    </row>
    <row r="415" spans="1:22" s="16" customFormat="1" ht="74.25" customHeight="1">
      <c r="A415" s="39" t="s">
        <v>153</v>
      </c>
      <c r="B415" s="34"/>
      <c r="C415" s="8"/>
      <c r="D415" s="42"/>
      <c r="E415" s="42"/>
      <c r="F415" s="42"/>
      <c r="G415" s="42"/>
      <c r="H415" s="60">
        <v>60</v>
      </c>
      <c r="I415" s="6">
        <v>60</v>
      </c>
      <c r="J415" s="8"/>
      <c r="K415" s="8"/>
      <c r="L415" s="8"/>
      <c r="M415" s="8">
        <v>80</v>
      </c>
      <c r="N415" s="42"/>
      <c r="O415" s="43"/>
      <c r="P415" s="116"/>
      <c r="Q415" s="116"/>
      <c r="R415" s="116"/>
      <c r="S415" s="116"/>
      <c r="T415" s="43"/>
      <c r="U415" s="43"/>
      <c r="V415" s="186"/>
    </row>
    <row r="416" spans="1:22" s="16" customFormat="1" ht="32.25" customHeight="1">
      <c r="A416" s="34" t="s">
        <v>14</v>
      </c>
      <c r="B416" s="34"/>
      <c r="C416" s="8"/>
      <c r="D416" s="42"/>
      <c r="E416" s="42"/>
      <c r="F416" s="42"/>
      <c r="G416" s="42"/>
      <c r="H416" s="8"/>
      <c r="I416" s="42"/>
      <c r="J416" s="8"/>
      <c r="K416" s="8"/>
      <c r="L416" s="8"/>
      <c r="M416" s="8"/>
      <c r="N416" s="42"/>
      <c r="O416" s="43"/>
      <c r="P416" s="116"/>
      <c r="Q416" s="116"/>
      <c r="R416" s="116"/>
      <c r="S416" s="116"/>
      <c r="T416" s="43"/>
      <c r="U416" s="43"/>
      <c r="V416" s="186"/>
    </row>
    <row r="417" spans="1:22" s="16" customFormat="1" ht="100.5" customHeight="1">
      <c r="A417" s="39" t="s">
        <v>107</v>
      </c>
      <c r="B417" s="34"/>
      <c r="C417" s="8"/>
      <c r="D417" s="42"/>
      <c r="E417" s="42"/>
      <c r="F417" s="42"/>
      <c r="G417" s="42"/>
      <c r="H417" s="8">
        <v>70</v>
      </c>
      <c r="I417" s="42"/>
      <c r="J417" s="8"/>
      <c r="K417" s="8"/>
      <c r="L417" s="8"/>
      <c r="M417" s="8">
        <v>70</v>
      </c>
      <c r="N417" s="42"/>
      <c r="O417" s="43"/>
      <c r="P417" s="116"/>
      <c r="Q417" s="116"/>
      <c r="R417" s="116"/>
      <c r="S417" s="116"/>
      <c r="T417" s="43"/>
      <c r="U417" s="43"/>
      <c r="V417" s="186"/>
    </row>
    <row r="418" spans="1:22" s="16" customFormat="1" ht="23.25">
      <c r="A418" s="316" t="s">
        <v>205</v>
      </c>
      <c r="B418" s="334"/>
      <c r="C418" s="334"/>
      <c r="D418" s="334"/>
      <c r="E418" s="334"/>
      <c r="F418" s="334"/>
      <c r="G418" s="334"/>
      <c r="H418" s="334"/>
      <c r="I418" s="334"/>
      <c r="J418" s="334"/>
      <c r="K418" s="334"/>
      <c r="L418" s="334"/>
      <c r="M418" s="334"/>
      <c r="N418" s="334"/>
      <c r="O418" s="334"/>
      <c r="P418" s="334"/>
      <c r="Q418" s="334"/>
      <c r="R418" s="334"/>
      <c r="S418" s="334"/>
      <c r="T418" s="39"/>
      <c r="U418" s="39"/>
      <c r="V418" s="186"/>
    </row>
    <row r="419" spans="1:22" s="16" customFormat="1" ht="23.25">
      <c r="A419" s="316" t="s">
        <v>45</v>
      </c>
      <c r="B419" s="334"/>
      <c r="C419" s="334"/>
      <c r="D419" s="334"/>
      <c r="E419" s="334"/>
      <c r="F419" s="334"/>
      <c r="G419" s="334"/>
      <c r="H419" s="334"/>
      <c r="I419" s="334"/>
      <c r="J419" s="334"/>
      <c r="K419" s="334"/>
      <c r="L419" s="334"/>
      <c r="M419" s="334"/>
      <c r="N419" s="334"/>
      <c r="O419" s="334"/>
      <c r="P419" s="334"/>
      <c r="Q419" s="334"/>
      <c r="R419" s="334"/>
      <c r="S419" s="334"/>
      <c r="T419" s="39"/>
      <c r="U419" s="39"/>
      <c r="V419" s="186"/>
    </row>
    <row r="420" spans="1:22" s="16" customFormat="1" ht="75.75" customHeight="1">
      <c r="A420" s="8" t="s">
        <v>117</v>
      </c>
      <c r="B420" s="67" t="s">
        <v>47</v>
      </c>
      <c r="C420" s="87">
        <v>50</v>
      </c>
      <c r="D420" s="139">
        <v>50</v>
      </c>
      <c r="E420" s="139"/>
      <c r="F420" s="139"/>
      <c r="G420" s="139"/>
      <c r="H420" s="169"/>
      <c r="I420" s="169"/>
      <c r="J420" s="139"/>
      <c r="K420" s="139"/>
      <c r="L420" s="139"/>
      <c r="M420" s="170"/>
      <c r="N420" s="170"/>
      <c r="O420" s="39"/>
      <c r="P420" s="39"/>
      <c r="Q420" s="39"/>
      <c r="R420" s="39"/>
      <c r="S420" s="226"/>
      <c r="T420" s="39"/>
      <c r="U420" s="39"/>
      <c r="V420" s="186"/>
    </row>
    <row r="421" spans="1:22" s="16" customFormat="1" ht="66" customHeight="1">
      <c r="A421" s="8" t="s">
        <v>118</v>
      </c>
      <c r="B421" s="67" t="s">
        <v>110</v>
      </c>
      <c r="C421" s="139"/>
      <c r="D421" s="139"/>
      <c r="E421" s="139"/>
      <c r="F421" s="139"/>
      <c r="G421" s="139"/>
      <c r="H421" s="87">
        <v>50</v>
      </c>
      <c r="I421" s="139">
        <v>50</v>
      </c>
      <c r="J421" s="139"/>
      <c r="K421" s="139"/>
      <c r="L421" s="139"/>
      <c r="M421" s="87">
        <v>50</v>
      </c>
      <c r="N421" s="139">
        <v>50</v>
      </c>
      <c r="O421" s="39"/>
      <c r="P421" s="39"/>
      <c r="Q421" s="39"/>
      <c r="R421" s="39"/>
      <c r="S421" s="226"/>
      <c r="T421" s="39"/>
      <c r="U421" s="39"/>
      <c r="V421" s="186"/>
    </row>
    <row r="422" spans="1:22" s="16" customFormat="1" ht="23.25">
      <c r="A422" s="42" t="s">
        <v>17</v>
      </c>
      <c r="B422" s="67"/>
      <c r="C422" s="139"/>
      <c r="D422" s="139"/>
      <c r="E422" s="139"/>
      <c r="F422" s="139"/>
      <c r="G422" s="139"/>
      <c r="H422" s="87"/>
      <c r="I422" s="139"/>
      <c r="J422" s="139"/>
      <c r="K422" s="139"/>
      <c r="L422" s="139"/>
      <c r="M422" s="87"/>
      <c r="N422" s="139"/>
      <c r="O422" s="39"/>
      <c r="P422" s="39"/>
      <c r="Q422" s="39"/>
      <c r="R422" s="39"/>
      <c r="S422" s="226"/>
      <c r="T422" s="39"/>
      <c r="U422" s="39"/>
      <c r="V422" s="186"/>
    </row>
    <row r="423" spans="1:22" s="16" customFormat="1" ht="23.25">
      <c r="A423" s="34" t="s">
        <v>16</v>
      </c>
      <c r="B423" s="34"/>
      <c r="C423" s="140"/>
      <c r="D423" s="141"/>
      <c r="E423" s="141"/>
      <c r="F423" s="141"/>
      <c r="G423" s="141"/>
      <c r="H423" s="140"/>
      <c r="I423" s="141"/>
      <c r="J423" s="140"/>
      <c r="K423" s="140"/>
      <c r="L423" s="140"/>
      <c r="M423" s="140"/>
      <c r="N423" s="141"/>
      <c r="O423" s="43"/>
      <c r="P423" s="43"/>
      <c r="Q423" s="43"/>
      <c r="R423" s="43"/>
      <c r="S423" s="198"/>
      <c r="T423" s="43"/>
      <c r="U423" s="43"/>
      <c r="V423" s="186"/>
    </row>
    <row r="424" spans="1:22" s="16" customFormat="1" ht="47.25" customHeight="1">
      <c r="A424" s="39" t="s">
        <v>18</v>
      </c>
      <c r="B424" s="34"/>
      <c r="C424" s="87">
        <v>50</v>
      </c>
      <c r="D424" s="139">
        <v>50</v>
      </c>
      <c r="E424" s="139"/>
      <c r="F424" s="139"/>
      <c r="G424" s="139"/>
      <c r="H424" s="87">
        <v>50</v>
      </c>
      <c r="I424" s="139">
        <v>50</v>
      </c>
      <c r="J424" s="87"/>
      <c r="K424" s="87"/>
      <c r="L424" s="87"/>
      <c r="M424" s="87">
        <v>50</v>
      </c>
      <c r="N424" s="139">
        <v>50</v>
      </c>
      <c r="O424" s="43"/>
      <c r="P424" s="43"/>
      <c r="Q424" s="43"/>
      <c r="R424" s="43"/>
      <c r="S424" s="198"/>
      <c r="T424" s="43"/>
      <c r="U424" s="43"/>
      <c r="V424" s="186"/>
    </row>
    <row r="425" spans="1:22" s="16" customFormat="1" ht="33" customHeight="1">
      <c r="A425" s="263" t="s">
        <v>207</v>
      </c>
      <c r="B425" s="264"/>
      <c r="C425" s="264"/>
      <c r="D425" s="264"/>
      <c r="E425" s="264"/>
      <c r="F425" s="264"/>
      <c r="G425" s="264"/>
      <c r="H425" s="264"/>
      <c r="I425" s="264"/>
      <c r="J425" s="264"/>
      <c r="K425" s="264"/>
      <c r="L425" s="264"/>
      <c r="M425" s="264"/>
      <c r="N425" s="264"/>
      <c r="O425" s="264"/>
      <c r="P425" s="264"/>
      <c r="Q425" s="264"/>
      <c r="R425" s="264"/>
      <c r="S425" s="264"/>
      <c r="T425" s="264"/>
      <c r="U425" s="265"/>
      <c r="V425" s="186"/>
    </row>
    <row r="426" spans="1:22" s="16" customFormat="1" ht="33" customHeight="1">
      <c r="A426" s="263" t="s">
        <v>45</v>
      </c>
      <c r="B426" s="264"/>
      <c r="C426" s="264"/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4"/>
      <c r="P426" s="264"/>
      <c r="Q426" s="264"/>
      <c r="R426" s="264"/>
      <c r="S426" s="264"/>
      <c r="T426" s="264"/>
      <c r="U426" s="265"/>
      <c r="V426" s="186"/>
    </row>
    <row r="427" spans="1:22" s="16" customFormat="1" ht="47.25" customHeight="1">
      <c r="A427" s="39" t="s">
        <v>118</v>
      </c>
      <c r="B427" s="34"/>
      <c r="C427" s="87"/>
      <c r="D427" s="139"/>
      <c r="E427" s="139"/>
      <c r="F427" s="139"/>
      <c r="G427" s="139"/>
      <c r="H427" s="87"/>
      <c r="I427" s="139"/>
      <c r="J427" s="87"/>
      <c r="K427" s="87"/>
      <c r="L427" s="87"/>
      <c r="M427" s="87">
        <v>35</v>
      </c>
      <c r="N427" s="139">
        <v>35</v>
      </c>
      <c r="O427" s="43"/>
      <c r="P427" s="43"/>
      <c r="Q427" s="43"/>
      <c r="R427" s="43"/>
      <c r="S427" s="43"/>
      <c r="T427" s="43"/>
      <c r="U427" s="43"/>
      <c r="V427" s="186"/>
    </row>
    <row r="428" spans="1:22" s="16" customFormat="1" ht="34.5" customHeight="1">
      <c r="A428" s="39" t="s">
        <v>17</v>
      </c>
      <c r="B428" s="34"/>
      <c r="C428" s="87"/>
      <c r="D428" s="139"/>
      <c r="E428" s="139"/>
      <c r="F428" s="139"/>
      <c r="G428" s="139"/>
      <c r="H428" s="87"/>
      <c r="I428" s="139"/>
      <c r="J428" s="87"/>
      <c r="K428" s="87"/>
      <c r="L428" s="87"/>
      <c r="M428" s="87"/>
      <c r="N428" s="139"/>
      <c r="O428" s="43"/>
      <c r="P428" s="43"/>
      <c r="Q428" s="43"/>
      <c r="R428" s="43"/>
      <c r="S428" s="43"/>
      <c r="T428" s="43"/>
      <c r="U428" s="43"/>
      <c r="V428" s="186"/>
    </row>
    <row r="429" spans="1:22" s="16" customFormat="1" ht="29.25" customHeight="1">
      <c r="A429" s="39" t="s">
        <v>16</v>
      </c>
      <c r="B429" s="34"/>
      <c r="C429" s="87"/>
      <c r="D429" s="139"/>
      <c r="E429" s="139"/>
      <c r="F429" s="139"/>
      <c r="G429" s="139"/>
      <c r="H429" s="87"/>
      <c r="I429" s="139"/>
      <c r="J429" s="87"/>
      <c r="K429" s="87"/>
      <c r="L429" s="87"/>
      <c r="M429" s="87"/>
      <c r="N429" s="139"/>
      <c r="O429" s="43"/>
      <c r="P429" s="43"/>
      <c r="Q429" s="43"/>
      <c r="R429" s="43"/>
      <c r="S429" s="43"/>
      <c r="T429" s="43"/>
      <c r="U429" s="43"/>
      <c r="V429" s="186"/>
    </row>
    <row r="430" spans="1:22" s="16" customFormat="1" ht="47.25" customHeight="1">
      <c r="A430" s="39" t="s">
        <v>18</v>
      </c>
      <c r="B430" s="34"/>
      <c r="C430" s="87"/>
      <c r="D430" s="139"/>
      <c r="E430" s="139"/>
      <c r="F430" s="139"/>
      <c r="G430" s="139"/>
      <c r="H430" s="87"/>
      <c r="I430" s="139"/>
      <c r="J430" s="87"/>
      <c r="K430" s="87"/>
      <c r="L430" s="87"/>
      <c r="M430" s="87">
        <v>35</v>
      </c>
      <c r="N430" s="139">
        <v>35</v>
      </c>
      <c r="O430" s="43"/>
      <c r="P430" s="43"/>
      <c r="Q430" s="43"/>
      <c r="R430" s="43"/>
      <c r="S430" s="43"/>
      <c r="T430" s="43"/>
      <c r="U430" s="43"/>
      <c r="V430" s="186"/>
    </row>
    <row r="431" spans="1:22" s="16" customFormat="1" ht="22.5">
      <c r="A431" s="301" t="s">
        <v>206</v>
      </c>
      <c r="B431" s="310"/>
      <c r="C431" s="310"/>
      <c r="D431" s="310"/>
      <c r="E431" s="310"/>
      <c r="F431" s="310"/>
      <c r="G431" s="310"/>
      <c r="H431" s="310"/>
      <c r="I431" s="310"/>
      <c r="J431" s="310"/>
      <c r="K431" s="310"/>
      <c r="L431" s="310"/>
      <c r="M431" s="310"/>
      <c r="N431" s="310"/>
      <c r="O431" s="310"/>
      <c r="P431" s="310"/>
      <c r="Q431" s="310"/>
      <c r="R431" s="310"/>
      <c r="S431" s="310"/>
      <c r="T431" s="41"/>
      <c r="U431" s="41"/>
      <c r="V431" s="229"/>
    </row>
    <row r="432" spans="1:22" s="16" customFormat="1" ht="30.75" customHeight="1">
      <c r="A432" s="267" t="s">
        <v>34</v>
      </c>
      <c r="B432" s="268"/>
      <c r="C432" s="268"/>
      <c r="D432" s="268"/>
      <c r="E432" s="268"/>
      <c r="F432" s="268"/>
      <c r="G432" s="268"/>
      <c r="H432" s="268"/>
      <c r="I432" s="268"/>
      <c r="J432" s="268"/>
      <c r="K432" s="268"/>
      <c r="L432" s="268"/>
      <c r="M432" s="268"/>
      <c r="N432" s="268"/>
      <c r="O432" s="268"/>
      <c r="P432" s="268"/>
      <c r="Q432" s="268"/>
      <c r="R432" s="268"/>
      <c r="S432" s="268"/>
      <c r="T432" s="92"/>
      <c r="U432" s="92"/>
      <c r="V432" s="187"/>
    </row>
    <row r="433" spans="1:22" s="16" customFormat="1" ht="72" customHeight="1">
      <c r="A433" s="8" t="s">
        <v>119</v>
      </c>
      <c r="B433" s="76" t="s">
        <v>47</v>
      </c>
      <c r="C433" s="60">
        <v>50</v>
      </c>
      <c r="D433" s="6">
        <v>50</v>
      </c>
      <c r="E433" s="42"/>
      <c r="F433" s="42"/>
      <c r="G433" s="42"/>
      <c r="H433" s="8"/>
      <c r="I433" s="42"/>
      <c r="J433" s="41"/>
      <c r="K433" s="41"/>
      <c r="L433" s="41"/>
      <c r="M433" s="55"/>
      <c r="N433" s="55"/>
      <c r="O433" s="43"/>
      <c r="P433" s="53"/>
      <c r="Q433" s="53"/>
      <c r="R433" s="53"/>
      <c r="S433" s="225"/>
      <c r="T433" s="43"/>
      <c r="U433" s="43"/>
      <c r="V433" s="187"/>
    </row>
    <row r="434" spans="1:22" s="16" customFormat="1" ht="99" customHeight="1">
      <c r="A434" s="8" t="s">
        <v>68</v>
      </c>
      <c r="B434" s="76" t="s">
        <v>73</v>
      </c>
      <c r="C434" s="8"/>
      <c r="D434" s="42"/>
      <c r="E434" s="42"/>
      <c r="F434" s="42"/>
      <c r="G434" s="42"/>
      <c r="H434" s="60">
        <f>H437</f>
        <v>120.3</v>
      </c>
      <c r="I434" s="139">
        <f>H434</f>
        <v>120.3</v>
      </c>
      <c r="J434" s="41"/>
      <c r="K434" s="41"/>
      <c r="L434" s="41"/>
      <c r="M434" s="113">
        <f>N434</f>
        <v>145</v>
      </c>
      <c r="N434" s="114">
        <v>145</v>
      </c>
      <c r="O434" s="43"/>
      <c r="P434" s="53"/>
      <c r="Q434" s="53"/>
      <c r="R434" s="53"/>
      <c r="S434" s="225"/>
      <c r="T434" s="43"/>
      <c r="U434" s="43"/>
      <c r="V434" s="186"/>
    </row>
    <row r="435" spans="1:22" s="16" customFormat="1" ht="46.5" customHeight="1">
      <c r="A435" s="39" t="s">
        <v>15</v>
      </c>
      <c r="B435" s="34"/>
      <c r="C435" s="8"/>
      <c r="D435" s="42"/>
      <c r="E435" s="42"/>
      <c r="F435" s="42"/>
      <c r="G435" s="42"/>
      <c r="H435" s="60"/>
      <c r="I435" s="42"/>
      <c r="J435" s="41"/>
      <c r="K435" s="41"/>
      <c r="L435" s="41"/>
      <c r="M435" s="8"/>
      <c r="N435" s="42"/>
      <c r="O435" s="43"/>
      <c r="P435" s="43"/>
      <c r="Q435" s="43"/>
      <c r="R435" s="43"/>
      <c r="S435" s="198"/>
      <c r="T435" s="43"/>
      <c r="U435" s="43"/>
      <c r="V435" s="186"/>
    </row>
    <row r="436" spans="1:22" s="16" customFormat="1" ht="28.5" customHeight="1">
      <c r="A436" s="34" t="s">
        <v>16</v>
      </c>
      <c r="B436" s="34"/>
      <c r="C436" s="8"/>
      <c r="D436" s="42"/>
      <c r="E436" s="42"/>
      <c r="F436" s="42"/>
      <c r="G436" s="42"/>
      <c r="H436" s="60"/>
      <c r="I436" s="42"/>
      <c r="J436" s="41"/>
      <c r="K436" s="41"/>
      <c r="L436" s="41"/>
      <c r="M436" s="8"/>
      <c r="N436" s="42"/>
      <c r="O436" s="43"/>
      <c r="P436" s="43"/>
      <c r="Q436" s="43"/>
      <c r="R436" s="43"/>
      <c r="S436" s="198"/>
      <c r="T436" s="43"/>
      <c r="U436" s="43"/>
      <c r="V436" s="186"/>
    </row>
    <row r="437" spans="1:22" s="16" customFormat="1" ht="50.25" customHeight="1">
      <c r="A437" s="39" t="s">
        <v>18</v>
      </c>
      <c r="B437" s="34"/>
      <c r="C437" s="60">
        <f>C433</f>
        <v>50</v>
      </c>
      <c r="D437" s="139"/>
      <c r="E437" s="139"/>
      <c r="F437" s="139"/>
      <c r="G437" s="139"/>
      <c r="H437" s="60">
        <f>H441</f>
        <v>120.3</v>
      </c>
      <c r="I437" s="139"/>
      <c r="J437" s="148"/>
      <c r="K437" s="148"/>
      <c r="L437" s="148"/>
      <c r="M437" s="87">
        <f>M434</f>
        <v>145</v>
      </c>
      <c r="N437" s="42"/>
      <c r="O437" s="43"/>
      <c r="P437" s="43"/>
      <c r="Q437" s="43"/>
      <c r="R437" s="43"/>
      <c r="S437" s="198"/>
      <c r="T437" s="43"/>
      <c r="U437" s="43"/>
      <c r="V437" s="186"/>
    </row>
    <row r="438" spans="1:22" s="16" customFormat="1" ht="41.25" customHeight="1">
      <c r="A438" s="34" t="s">
        <v>10</v>
      </c>
      <c r="B438" s="34"/>
      <c r="C438" s="87"/>
      <c r="D438" s="139"/>
      <c r="E438" s="139"/>
      <c r="F438" s="139"/>
      <c r="G438" s="139"/>
      <c r="H438" s="87"/>
      <c r="I438" s="139"/>
      <c r="J438" s="148"/>
      <c r="K438" s="148"/>
      <c r="L438" s="148"/>
      <c r="M438" s="87"/>
      <c r="N438" s="42"/>
      <c r="O438" s="43"/>
      <c r="P438" s="43"/>
      <c r="Q438" s="43"/>
      <c r="R438" s="43"/>
      <c r="S438" s="198"/>
      <c r="T438" s="43"/>
      <c r="U438" s="43"/>
      <c r="V438" s="186"/>
    </row>
    <row r="439" spans="1:22" s="16" customFormat="1" ht="120.75" customHeight="1">
      <c r="A439" s="39" t="s">
        <v>154</v>
      </c>
      <c r="B439" s="34"/>
      <c r="C439" s="8">
        <v>1</v>
      </c>
      <c r="D439" s="42"/>
      <c r="E439" s="42"/>
      <c r="F439" s="42"/>
      <c r="G439" s="42"/>
      <c r="H439" s="8">
        <v>1</v>
      </c>
      <c r="I439" s="42"/>
      <c r="J439" s="43"/>
      <c r="K439" s="43"/>
      <c r="L439" s="43"/>
      <c r="M439" s="8">
        <v>1</v>
      </c>
      <c r="N439" s="42"/>
      <c r="O439" s="43"/>
      <c r="P439" s="43"/>
      <c r="Q439" s="43"/>
      <c r="R439" s="43"/>
      <c r="S439" s="198"/>
      <c r="T439" s="43"/>
      <c r="U439" s="43"/>
      <c r="V439" s="186"/>
    </row>
    <row r="440" spans="1:22" s="16" customFormat="1" ht="51" customHeight="1">
      <c r="A440" s="34" t="s">
        <v>13</v>
      </c>
      <c r="B440" s="34"/>
      <c r="C440" s="8"/>
      <c r="D440" s="42"/>
      <c r="E440" s="42"/>
      <c r="F440" s="42"/>
      <c r="G440" s="42"/>
      <c r="H440" s="8"/>
      <c r="I440" s="42"/>
      <c r="J440" s="43"/>
      <c r="K440" s="43"/>
      <c r="L440" s="43"/>
      <c r="M440" s="42"/>
      <c r="N440" s="42"/>
      <c r="O440" s="43"/>
      <c r="P440" s="43"/>
      <c r="Q440" s="43"/>
      <c r="R440" s="43"/>
      <c r="S440" s="198"/>
      <c r="T440" s="43"/>
      <c r="U440" s="43"/>
      <c r="V440" s="186"/>
    </row>
    <row r="441" spans="1:22" s="16" customFormat="1" ht="120" customHeight="1">
      <c r="A441" s="39" t="s">
        <v>152</v>
      </c>
      <c r="B441" s="34"/>
      <c r="C441" s="60">
        <v>50</v>
      </c>
      <c r="D441" s="139"/>
      <c r="E441" s="139"/>
      <c r="F441" s="139"/>
      <c r="G441" s="139"/>
      <c r="H441" s="60">
        <v>120.3</v>
      </c>
      <c r="I441" s="42"/>
      <c r="J441" s="43"/>
      <c r="K441" s="43"/>
      <c r="L441" s="43"/>
      <c r="M441" s="42"/>
      <c r="N441" s="42"/>
      <c r="O441" s="43"/>
      <c r="P441" s="43"/>
      <c r="Q441" s="43"/>
      <c r="R441" s="43"/>
      <c r="S441" s="198"/>
      <c r="T441" s="43"/>
      <c r="U441" s="43"/>
      <c r="V441" s="189"/>
    </row>
    <row r="442" spans="1:22" s="16" customFormat="1" ht="30.75" customHeight="1">
      <c r="A442" s="34" t="s">
        <v>14</v>
      </c>
      <c r="B442" s="34"/>
      <c r="C442" s="42"/>
      <c r="D442" s="42"/>
      <c r="E442" s="42"/>
      <c r="F442" s="42"/>
      <c r="G442" s="42"/>
      <c r="H442" s="42"/>
      <c r="I442" s="42"/>
      <c r="J442" s="43"/>
      <c r="K442" s="43"/>
      <c r="L442" s="43"/>
      <c r="M442" s="42"/>
      <c r="N442" s="42"/>
      <c r="O442" s="43"/>
      <c r="P442" s="43"/>
      <c r="Q442" s="43"/>
      <c r="R442" s="43"/>
      <c r="S442" s="198"/>
      <c r="T442" s="43"/>
      <c r="U442" s="43"/>
      <c r="V442" s="189"/>
    </row>
    <row r="443" spans="1:22" s="16" customFormat="1" ht="85.5" customHeight="1">
      <c r="A443" s="39" t="s">
        <v>46</v>
      </c>
      <c r="B443" s="34"/>
      <c r="C443" s="8">
        <v>20</v>
      </c>
      <c r="D443" s="42"/>
      <c r="E443" s="42"/>
      <c r="F443" s="42"/>
      <c r="G443" s="42"/>
      <c r="H443" s="8">
        <v>30</v>
      </c>
      <c r="I443" s="42"/>
      <c r="J443" s="43"/>
      <c r="K443" s="43"/>
      <c r="L443" s="43"/>
      <c r="M443" s="8">
        <v>40</v>
      </c>
      <c r="N443" s="42"/>
      <c r="O443" s="43"/>
      <c r="P443" s="43"/>
      <c r="Q443" s="43"/>
      <c r="R443" s="43"/>
      <c r="S443" s="198"/>
      <c r="T443" s="43"/>
      <c r="U443" s="43"/>
      <c r="V443" s="189"/>
    </row>
    <row r="444" spans="1:22" s="99" customFormat="1" ht="85.5" customHeight="1" hidden="1">
      <c r="A444" s="95" t="s">
        <v>35</v>
      </c>
      <c r="B444" s="96"/>
      <c r="C444" s="97">
        <f>C46+C87+C99+C113+C149+C172+C251+C335+C349+C378+C219+C128-12</f>
        <v>3258.567</v>
      </c>
      <c r="D444" s="96"/>
      <c r="E444" s="96"/>
      <c r="F444" s="96"/>
      <c r="G444" s="96"/>
      <c r="H444" s="97">
        <f>H113+H149+H128+H268+H335+H87+H172+H349+H364-257+H251</f>
        <v>3160.45</v>
      </c>
      <c r="I444" s="96"/>
      <c r="J444" s="96"/>
      <c r="K444" s="96"/>
      <c r="L444" s="96"/>
      <c r="M444" s="98">
        <f>M46+M113+M128+M149+M172+M251+M268+M280+M349+M364</f>
        <v>2005.5759999999998</v>
      </c>
      <c r="N444" s="96"/>
      <c r="O444" s="96"/>
      <c r="P444" s="96"/>
      <c r="Q444" s="96"/>
      <c r="R444" s="96"/>
      <c r="S444" s="96"/>
      <c r="T444" s="233"/>
      <c r="U444" s="233"/>
      <c r="V444" s="189"/>
    </row>
    <row r="445" spans="1:22" s="99" customFormat="1" ht="85.5" customHeight="1" hidden="1">
      <c r="A445" s="95" t="s">
        <v>24</v>
      </c>
      <c r="B445" s="96"/>
      <c r="C445" s="96">
        <f>C71+C235</f>
        <v>312.19</v>
      </c>
      <c r="D445" s="96"/>
      <c r="E445" s="96"/>
      <c r="F445" s="96"/>
      <c r="G445" s="96"/>
      <c r="H445" s="97">
        <f>H235+H391+H300</f>
        <v>167.5</v>
      </c>
      <c r="I445" s="96"/>
      <c r="J445" s="96"/>
      <c r="K445" s="96"/>
      <c r="L445" s="96"/>
      <c r="M445" s="97">
        <f>M71+M235</f>
        <v>35</v>
      </c>
      <c r="N445" s="96"/>
      <c r="O445" s="96"/>
      <c r="P445" s="96"/>
      <c r="Q445" s="96"/>
      <c r="R445" s="96"/>
      <c r="S445" s="96"/>
      <c r="T445" s="233"/>
      <c r="U445" s="233"/>
      <c r="V445" s="189"/>
    </row>
    <row r="446" spans="1:22" s="99" customFormat="1" ht="85.5" customHeight="1" hidden="1">
      <c r="A446" s="96"/>
      <c r="B446" s="96"/>
      <c r="C446" s="96">
        <f>C444*0.86*(1420.28+1282.67)*0.5</f>
        <v>3787329.7792395</v>
      </c>
      <c r="D446" s="96"/>
      <c r="E446" s="96"/>
      <c r="F446" s="96"/>
      <c r="G446" s="96"/>
      <c r="H446" s="96">
        <f>H444*0.86*(1420.28+1282.67)*0.5*1.1</f>
        <v>4040620.6289074994</v>
      </c>
      <c r="I446" s="96"/>
      <c r="J446" s="96"/>
      <c r="K446" s="96"/>
      <c r="L446" s="96"/>
      <c r="M446" s="96">
        <f>M444*0.86*(1758.6+1205.27)*0.5*1.1</f>
        <v>2811638.07300376</v>
      </c>
      <c r="N446" s="96"/>
      <c r="O446" s="96"/>
      <c r="P446" s="96"/>
      <c r="Q446" s="96"/>
      <c r="R446" s="96"/>
      <c r="S446" s="96"/>
      <c r="T446" s="233"/>
      <c r="U446" s="233"/>
      <c r="V446" s="189"/>
    </row>
    <row r="447" spans="1:22" s="99" customFormat="1" ht="85.5" customHeight="1" hidden="1">
      <c r="A447" s="96"/>
      <c r="B447" s="96"/>
      <c r="C447" s="96">
        <f>C445*1000*2.44</f>
        <v>761743.6</v>
      </c>
      <c r="D447" s="96"/>
      <c r="E447" s="96"/>
      <c r="F447" s="96"/>
      <c r="G447" s="96"/>
      <c r="H447" s="96">
        <f>H445*1000*2.44*1.1</f>
        <v>449570.00000000006</v>
      </c>
      <c r="I447" s="96"/>
      <c r="J447" s="96"/>
      <c r="K447" s="96"/>
      <c r="L447" s="96"/>
      <c r="M447" s="96">
        <f>M445*1000*2.8692*1.2*1.1</f>
        <v>132557.04</v>
      </c>
      <c r="N447" s="96"/>
      <c r="O447" s="96"/>
      <c r="P447" s="96"/>
      <c r="Q447" s="96"/>
      <c r="R447" s="96"/>
      <c r="S447" s="96"/>
      <c r="T447" s="233"/>
      <c r="U447" s="233"/>
      <c r="V447" s="189"/>
    </row>
    <row r="448" spans="1:22" s="99" customFormat="1" ht="22.5" customHeight="1">
      <c r="A448" s="332" t="s">
        <v>208</v>
      </c>
      <c r="B448" s="333"/>
      <c r="C448" s="333"/>
      <c r="D448" s="333"/>
      <c r="E448" s="333"/>
      <c r="F448" s="333"/>
      <c r="G448" s="333"/>
      <c r="H448" s="333"/>
      <c r="I448" s="333"/>
      <c r="J448" s="333"/>
      <c r="K448" s="333"/>
      <c r="L448" s="333"/>
      <c r="M448" s="333"/>
      <c r="N448" s="333"/>
      <c r="O448" s="333"/>
      <c r="P448" s="333"/>
      <c r="Q448" s="333"/>
      <c r="R448" s="333"/>
      <c r="S448" s="333"/>
      <c r="T448" s="105"/>
      <c r="U448" s="105"/>
      <c r="V448" s="189"/>
    </row>
    <row r="449" spans="1:23" s="101" customFormat="1" ht="20.25" customHeight="1">
      <c r="A449" s="327" t="s">
        <v>34</v>
      </c>
      <c r="B449" s="328"/>
      <c r="C449" s="328"/>
      <c r="D449" s="328"/>
      <c r="E449" s="328"/>
      <c r="F449" s="328"/>
      <c r="G449" s="328"/>
      <c r="H449" s="328"/>
      <c r="I449" s="328"/>
      <c r="J449" s="328"/>
      <c r="K449" s="328"/>
      <c r="L449" s="328"/>
      <c r="M449" s="328"/>
      <c r="N449" s="328"/>
      <c r="O449" s="328"/>
      <c r="P449" s="328"/>
      <c r="Q449" s="328"/>
      <c r="R449" s="328"/>
      <c r="S449" s="328"/>
      <c r="T449" s="234"/>
      <c r="U449" s="234"/>
      <c r="V449" s="189"/>
      <c r="W449" s="100"/>
    </row>
    <row r="450" spans="1:23" s="101" customFormat="1" ht="69.75" customHeight="1">
      <c r="A450" s="8" t="s">
        <v>117</v>
      </c>
      <c r="B450" s="132" t="s">
        <v>47</v>
      </c>
      <c r="C450" s="171">
        <v>50</v>
      </c>
      <c r="D450" s="172">
        <v>50</v>
      </c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18"/>
      <c r="T450" s="103"/>
      <c r="U450" s="103"/>
      <c r="V450" s="186"/>
      <c r="W450" s="100"/>
    </row>
    <row r="451" spans="1:23" s="101" customFormat="1" ht="36.75" customHeight="1">
      <c r="A451" s="160" t="s">
        <v>15</v>
      </c>
      <c r="B451" s="132"/>
      <c r="C451" s="173"/>
      <c r="D451" s="174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18"/>
      <c r="T451" s="103"/>
      <c r="U451" s="103"/>
      <c r="V451" s="186"/>
      <c r="W451" s="100"/>
    </row>
    <row r="452" spans="1:23" s="101" customFormat="1" ht="35.25" customHeight="1">
      <c r="A452" s="104" t="s">
        <v>16</v>
      </c>
      <c r="B452" s="40"/>
      <c r="C452" s="175"/>
      <c r="D452" s="176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119"/>
      <c r="T452" s="40"/>
      <c r="U452" s="40"/>
      <c r="V452" s="185"/>
      <c r="W452" s="100"/>
    </row>
    <row r="453" spans="1:23" s="101" customFormat="1" ht="45" customHeight="1">
      <c r="A453" s="105" t="s">
        <v>18</v>
      </c>
      <c r="C453" s="171">
        <v>50</v>
      </c>
      <c r="D453" s="177">
        <v>50</v>
      </c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119"/>
      <c r="T453" s="40"/>
      <c r="U453" s="40"/>
      <c r="V453" s="185"/>
      <c r="W453" s="100"/>
    </row>
    <row r="454" spans="1:23" s="101" customFormat="1" ht="34.5" customHeight="1">
      <c r="A454" s="104" t="s">
        <v>10</v>
      </c>
      <c r="B454" s="40"/>
      <c r="C454" s="10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119"/>
      <c r="T454" s="40"/>
      <c r="U454" s="40"/>
      <c r="V454" s="185"/>
      <c r="W454" s="100"/>
    </row>
    <row r="455" spans="1:23" s="101" customFormat="1" ht="72.75" customHeight="1">
      <c r="A455" s="105" t="s">
        <v>156</v>
      </c>
      <c r="B455" s="40"/>
      <c r="C455" s="128">
        <v>300</v>
      </c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119"/>
      <c r="T455" s="40"/>
      <c r="U455" s="40"/>
      <c r="V455" s="185"/>
      <c r="W455" s="100"/>
    </row>
    <row r="456" spans="1:23" s="101" customFormat="1" ht="63" customHeight="1">
      <c r="A456" s="70" t="s">
        <v>13</v>
      </c>
      <c r="B456" s="40"/>
      <c r="C456" s="129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119"/>
      <c r="T456" s="40"/>
      <c r="U456" s="40"/>
      <c r="V456" s="189"/>
      <c r="W456" s="100"/>
    </row>
    <row r="457" spans="1:23" s="101" customFormat="1" ht="92.25" customHeight="1">
      <c r="A457" s="105" t="s">
        <v>155</v>
      </c>
      <c r="B457" s="40"/>
      <c r="C457" s="129">
        <f>C453/C455</f>
        <v>0.16666666666666666</v>
      </c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119"/>
      <c r="T457" s="40"/>
      <c r="U457" s="40"/>
      <c r="V457" s="189"/>
      <c r="W457" s="100"/>
    </row>
    <row r="458" spans="1:22" s="120" customFormat="1" ht="30" customHeight="1">
      <c r="A458" s="190"/>
      <c r="B458" s="191"/>
      <c r="C458" s="192"/>
      <c r="D458" s="191"/>
      <c r="E458" s="191"/>
      <c r="F458" s="191"/>
      <c r="G458" s="191"/>
      <c r="H458" s="191"/>
      <c r="I458" s="191"/>
      <c r="J458" s="191"/>
      <c r="K458" s="191"/>
      <c r="L458" s="191"/>
      <c r="M458" s="191"/>
      <c r="N458" s="191"/>
      <c r="O458" s="191"/>
      <c r="P458" s="191"/>
      <c r="Q458" s="191"/>
      <c r="R458" s="191"/>
      <c r="S458" s="191"/>
      <c r="T458" s="191"/>
      <c r="U458" s="191"/>
      <c r="V458" s="189"/>
    </row>
    <row r="459" spans="1:22" s="120" customFormat="1" ht="31.5" customHeight="1">
      <c r="A459" s="190"/>
      <c r="B459" s="191"/>
      <c r="C459" s="192"/>
      <c r="D459" s="191"/>
      <c r="E459" s="191"/>
      <c r="F459" s="191"/>
      <c r="G459" s="191"/>
      <c r="H459" s="191"/>
      <c r="I459" s="191"/>
      <c r="J459" s="191"/>
      <c r="K459" s="191"/>
      <c r="L459" s="191"/>
      <c r="M459" s="191"/>
      <c r="N459" s="191"/>
      <c r="O459" s="191"/>
      <c r="P459" s="191"/>
      <c r="Q459" s="191"/>
      <c r="R459" s="191"/>
      <c r="S459" s="191"/>
      <c r="T459" s="191"/>
      <c r="U459" s="191"/>
      <c r="V459" s="189"/>
    </row>
    <row r="460" spans="1:22" s="106" customFormat="1" ht="25.5" customHeight="1">
      <c r="A460" s="329" t="s">
        <v>167</v>
      </c>
      <c r="B460" s="330"/>
      <c r="C460" s="330"/>
      <c r="D460" s="330"/>
      <c r="E460" s="330"/>
      <c r="F460" s="107"/>
      <c r="G460" s="107"/>
      <c r="H460" s="107"/>
      <c r="I460" s="107"/>
      <c r="J460" s="107"/>
      <c r="K460" s="107"/>
      <c r="L460" s="107"/>
      <c r="M460" s="108"/>
      <c r="N460" s="109"/>
      <c r="O460" s="109"/>
      <c r="P460" s="109"/>
      <c r="Q460" s="109"/>
      <c r="R460" s="109"/>
      <c r="S460" s="110"/>
      <c r="T460" s="110"/>
      <c r="U460" s="110"/>
      <c r="V460" s="187"/>
    </row>
    <row r="461" spans="1:22" s="121" customFormat="1" ht="31.5" customHeight="1">
      <c r="A461" s="330"/>
      <c r="B461" s="330"/>
      <c r="C461" s="330"/>
      <c r="D461" s="330"/>
      <c r="E461" s="330"/>
      <c r="M461" s="284" t="s">
        <v>168</v>
      </c>
      <c r="N461" s="284"/>
      <c r="O461" s="284"/>
      <c r="P461" s="284"/>
      <c r="Q461" s="284"/>
      <c r="R461" s="284"/>
      <c r="S461" s="284"/>
      <c r="T461" s="284"/>
      <c r="U461" s="284"/>
      <c r="V461" s="216"/>
    </row>
    <row r="462" spans="1:22" s="99" customFormat="1" ht="27">
      <c r="A462" s="112"/>
      <c r="O462" s="112"/>
      <c r="V462" s="181"/>
    </row>
    <row r="463" spans="1:22" s="111" customFormat="1" ht="28.5">
      <c r="A463" s="325" t="s">
        <v>169</v>
      </c>
      <c r="B463" s="326"/>
      <c r="V463" s="181"/>
    </row>
    <row r="464" spans="1:22" s="99" customFormat="1" ht="26.25">
      <c r="A464" s="296"/>
      <c r="B464" s="296"/>
      <c r="V464" s="181"/>
    </row>
    <row r="465" s="99" customFormat="1" ht="17.25">
      <c r="V465" s="187"/>
    </row>
    <row r="466" s="99" customFormat="1" ht="17.25">
      <c r="V466" s="187"/>
    </row>
    <row r="467" s="99" customFormat="1" ht="17.25">
      <c r="V467" s="187"/>
    </row>
    <row r="468" s="99" customFormat="1" ht="17.25">
      <c r="V468" s="187"/>
    </row>
    <row r="469" s="99" customFormat="1" ht="17.25">
      <c r="V469" s="187"/>
    </row>
    <row r="470" s="99" customFormat="1" ht="17.25">
      <c r="V470" s="187"/>
    </row>
    <row r="471" s="99" customFormat="1" ht="17.25">
      <c r="V471" s="187"/>
    </row>
    <row r="472" s="99" customFormat="1" ht="17.25">
      <c r="V472" s="187"/>
    </row>
    <row r="473" s="99" customFormat="1" ht="17.25">
      <c r="V473" s="187"/>
    </row>
    <row r="474" s="99" customFormat="1" ht="17.25">
      <c r="V474" s="187"/>
    </row>
    <row r="475" s="99" customFormat="1" ht="17.25">
      <c r="V475" s="187"/>
    </row>
    <row r="476" s="99" customFormat="1" ht="17.25">
      <c r="V476" s="187"/>
    </row>
    <row r="477" s="99" customFormat="1" ht="17.25">
      <c r="V477" s="187"/>
    </row>
    <row r="478" s="99" customFormat="1" ht="17.25">
      <c r="V478" s="187"/>
    </row>
    <row r="479" s="99" customFormat="1" ht="17.25">
      <c r="V479" s="187"/>
    </row>
    <row r="480" s="99" customFormat="1" ht="17.25">
      <c r="V480" s="187"/>
    </row>
    <row r="481" s="99" customFormat="1" ht="17.25">
      <c r="V481" s="187"/>
    </row>
    <row r="482" s="99" customFormat="1" ht="17.25">
      <c r="V482" s="187"/>
    </row>
    <row r="483" s="99" customFormat="1" ht="17.25">
      <c r="V483" s="187"/>
    </row>
    <row r="484" s="99" customFormat="1" ht="17.25">
      <c r="V484" s="187"/>
    </row>
    <row r="485" s="99" customFormat="1" ht="17.25">
      <c r="V485" s="187"/>
    </row>
    <row r="486" s="99" customFormat="1" ht="17.25">
      <c r="V486" s="187"/>
    </row>
    <row r="487" s="99" customFormat="1" ht="17.25">
      <c r="V487" s="187"/>
    </row>
    <row r="488" s="99" customFormat="1" ht="17.25">
      <c r="V488" s="187"/>
    </row>
    <row r="489" s="99" customFormat="1" ht="17.25">
      <c r="V489" s="187"/>
    </row>
    <row r="490" s="99" customFormat="1" ht="17.25">
      <c r="V490" s="187"/>
    </row>
    <row r="491" s="99" customFormat="1" ht="17.25">
      <c r="V491" s="187"/>
    </row>
    <row r="492" s="99" customFormat="1" ht="17.25">
      <c r="V492" s="187"/>
    </row>
    <row r="493" s="99" customFormat="1" ht="17.25">
      <c r="V493" s="187"/>
    </row>
    <row r="494" s="99" customFormat="1" ht="17.25">
      <c r="V494" s="187"/>
    </row>
    <row r="495" s="99" customFormat="1" ht="17.25">
      <c r="V495" s="187"/>
    </row>
    <row r="496" s="99" customFormat="1" ht="17.25">
      <c r="V496" s="187"/>
    </row>
    <row r="497" s="99" customFormat="1" ht="17.25">
      <c r="V497" s="187"/>
    </row>
    <row r="498" s="99" customFormat="1" ht="17.25">
      <c r="V498" s="187"/>
    </row>
    <row r="499" s="99" customFormat="1" ht="17.25">
      <c r="V499" s="187"/>
    </row>
    <row r="500" s="99" customFormat="1" ht="17.25">
      <c r="V500" s="187"/>
    </row>
    <row r="501" s="99" customFormat="1" ht="17.25">
      <c r="V501" s="187"/>
    </row>
    <row r="502" s="99" customFormat="1" ht="17.25">
      <c r="V502" s="187"/>
    </row>
    <row r="503" s="99" customFormat="1" ht="17.25">
      <c r="V503" s="187"/>
    </row>
    <row r="504" s="99" customFormat="1" ht="17.25">
      <c r="V504" s="187"/>
    </row>
    <row r="505" s="99" customFormat="1" ht="17.25">
      <c r="V505" s="187"/>
    </row>
    <row r="506" s="99" customFormat="1" ht="17.25">
      <c r="V506" s="187"/>
    </row>
    <row r="507" s="99" customFormat="1" ht="17.25">
      <c r="V507" s="187"/>
    </row>
    <row r="508" s="99" customFormat="1" ht="17.25">
      <c r="V508" s="187"/>
    </row>
    <row r="509" s="99" customFormat="1" ht="17.25">
      <c r="V509" s="187"/>
    </row>
    <row r="510" s="99" customFormat="1" ht="17.25">
      <c r="V510" s="187"/>
    </row>
    <row r="511" s="99" customFormat="1" ht="17.25">
      <c r="V511" s="187"/>
    </row>
    <row r="512" s="99" customFormat="1" ht="17.25">
      <c r="V512" s="187"/>
    </row>
    <row r="513" s="99" customFormat="1" ht="17.25">
      <c r="V513" s="187"/>
    </row>
    <row r="514" s="99" customFormat="1" ht="17.25">
      <c r="V514" s="187"/>
    </row>
    <row r="515" s="99" customFormat="1" ht="17.25">
      <c r="V515" s="187"/>
    </row>
    <row r="516" s="99" customFormat="1" ht="17.25">
      <c r="V516" s="187"/>
    </row>
    <row r="517" s="99" customFormat="1" ht="17.25">
      <c r="V517" s="187"/>
    </row>
    <row r="518" s="99" customFormat="1" ht="17.25">
      <c r="V518" s="187"/>
    </row>
    <row r="519" s="99" customFormat="1" ht="17.25">
      <c r="V519" s="187"/>
    </row>
    <row r="520" s="99" customFormat="1" ht="17.25">
      <c r="V520" s="187"/>
    </row>
    <row r="521" s="99" customFormat="1" ht="17.25">
      <c r="V521" s="187"/>
    </row>
    <row r="522" s="99" customFormat="1" ht="17.25">
      <c r="V522" s="187"/>
    </row>
    <row r="523" s="99" customFormat="1" ht="17.25">
      <c r="V523" s="187"/>
    </row>
    <row r="524" s="99" customFormat="1" ht="17.25">
      <c r="V524" s="187"/>
    </row>
    <row r="525" s="99" customFormat="1" ht="17.25">
      <c r="V525" s="187"/>
    </row>
    <row r="526" s="99" customFormat="1" ht="17.25">
      <c r="V526" s="187"/>
    </row>
    <row r="527" s="99" customFormat="1" ht="17.25">
      <c r="V527" s="187"/>
    </row>
    <row r="528" s="99" customFormat="1" ht="17.25">
      <c r="V528" s="187"/>
    </row>
    <row r="529" s="99" customFormat="1" ht="17.25">
      <c r="V529" s="187"/>
    </row>
    <row r="530" s="99" customFormat="1" ht="17.25">
      <c r="V530" s="187"/>
    </row>
    <row r="531" s="99" customFormat="1" ht="17.25">
      <c r="V531" s="187"/>
    </row>
    <row r="532" s="99" customFormat="1" ht="17.25">
      <c r="V532" s="187"/>
    </row>
    <row r="533" s="99" customFormat="1" ht="17.25">
      <c r="V533" s="187"/>
    </row>
    <row r="534" s="99" customFormat="1" ht="17.25">
      <c r="V534" s="187"/>
    </row>
    <row r="535" s="99" customFormat="1" ht="17.25">
      <c r="V535" s="187"/>
    </row>
    <row r="536" s="99" customFormat="1" ht="17.25">
      <c r="V536" s="187"/>
    </row>
    <row r="537" s="99" customFormat="1" ht="17.25">
      <c r="V537" s="187"/>
    </row>
    <row r="538" s="99" customFormat="1" ht="17.25">
      <c r="V538" s="187"/>
    </row>
    <row r="539" s="99" customFormat="1" ht="17.25">
      <c r="V539" s="187"/>
    </row>
    <row r="540" s="99" customFormat="1" ht="17.25">
      <c r="V540" s="187"/>
    </row>
    <row r="541" s="99" customFormat="1" ht="17.25">
      <c r="V541" s="187"/>
    </row>
    <row r="542" s="99" customFormat="1" ht="17.25">
      <c r="V542" s="187"/>
    </row>
    <row r="543" s="99" customFormat="1" ht="17.25">
      <c r="V543" s="187"/>
    </row>
  </sheetData>
  <sheetProtection/>
  <mergeCells count="90">
    <mergeCell ref="A196:U196"/>
    <mergeCell ref="A270:U270"/>
    <mergeCell ref="A271:U271"/>
    <mergeCell ref="A282:U282"/>
    <mergeCell ref="A115:U115"/>
    <mergeCell ref="A116:U116"/>
    <mergeCell ref="A174:U174"/>
    <mergeCell ref="A187:U187"/>
    <mergeCell ref="A419:S419"/>
    <mergeCell ref="A338:S338"/>
    <mergeCell ref="A351:S351"/>
    <mergeCell ref="A418:S418"/>
    <mergeCell ref="A352:S352"/>
    <mergeCell ref="A405:S405"/>
    <mergeCell ref="A406:S406"/>
    <mergeCell ref="A393:S393"/>
    <mergeCell ref="A366:S366"/>
    <mergeCell ref="A367:S367"/>
    <mergeCell ref="A463:B463"/>
    <mergeCell ref="A449:S449"/>
    <mergeCell ref="A368:S368"/>
    <mergeCell ref="A432:S432"/>
    <mergeCell ref="A431:S431"/>
    <mergeCell ref="A460:E461"/>
    <mergeCell ref="A381:S381"/>
    <mergeCell ref="A394:S394"/>
    <mergeCell ref="A380:S380"/>
    <mergeCell ref="A448:S448"/>
    <mergeCell ref="A90:S90"/>
    <mergeCell ref="A73:S73"/>
    <mergeCell ref="A89:S89"/>
    <mergeCell ref="A17:U17"/>
    <mergeCell ref="A18:U18"/>
    <mergeCell ref="A101:S101"/>
    <mergeCell ref="A59:S59"/>
    <mergeCell ref="A58:S58"/>
    <mergeCell ref="A221:S221"/>
    <mergeCell ref="A291:O291"/>
    <mergeCell ref="A238:O238"/>
    <mergeCell ref="A222:S222"/>
    <mergeCell ref="A290:O290"/>
    <mergeCell ref="A312:U312"/>
    <mergeCell ref="A323:S323"/>
    <mergeCell ref="A337:S337"/>
    <mergeCell ref="A151:S151"/>
    <mergeCell ref="A253:S253"/>
    <mergeCell ref="A254:S254"/>
    <mergeCell ref="H12:H13"/>
    <mergeCell ref="A210:S210"/>
    <mergeCell ref="A322:S322"/>
    <mergeCell ref="A302:O302"/>
    <mergeCell ref="A303:O303"/>
    <mergeCell ref="A464:B464"/>
    <mergeCell ref="A6:R6"/>
    <mergeCell ref="B11:F11"/>
    <mergeCell ref="A74:S74"/>
    <mergeCell ref="A175:S175"/>
    <mergeCell ref="A237:O237"/>
    <mergeCell ref="A223:S223"/>
    <mergeCell ref="M12:M13"/>
    <mergeCell ref="D12:E12"/>
    <mergeCell ref="A313:U313"/>
    <mergeCell ref="C12:C13"/>
    <mergeCell ref="F12:G12"/>
    <mergeCell ref="B10:U10"/>
    <mergeCell ref="M461:U461"/>
    <mergeCell ref="A16:U16"/>
    <mergeCell ref="A19:U19"/>
    <mergeCell ref="A20:U20"/>
    <mergeCell ref="A283:S283"/>
    <mergeCell ref="A209:S209"/>
    <mergeCell ref="B12:B13"/>
    <mergeCell ref="K1:V1"/>
    <mergeCell ref="T12:U12"/>
    <mergeCell ref="N12:O12"/>
    <mergeCell ref="P12:Q12"/>
    <mergeCell ref="K12:L12"/>
    <mergeCell ref="H11:L11"/>
    <mergeCell ref="I12:J12"/>
    <mergeCell ref="R12:S12"/>
    <mergeCell ref="L3:U3"/>
    <mergeCell ref="M11:U11"/>
    <mergeCell ref="M2:V2"/>
    <mergeCell ref="A130:U130"/>
    <mergeCell ref="A131:U131"/>
    <mergeCell ref="A425:U425"/>
    <mergeCell ref="A426:U426"/>
    <mergeCell ref="A324:S324"/>
    <mergeCell ref="A161:S161"/>
    <mergeCell ref="A10:A13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4" r:id="rId1"/>
  <headerFooter differentFirst="1">
    <oddFooter xml:space="preserve">&amp;R </oddFooter>
  </headerFooter>
  <rowBreaks count="23" manualBreakCount="23">
    <brk id="26" max="21" man="1"/>
    <brk id="42" max="21" man="1"/>
    <brk id="60" max="21" man="1"/>
    <brk id="77" max="21" man="1"/>
    <brk id="99" max="21" man="1"/>
    <brk id="117" max="21" man="1"/>
    <brk id="150" max="21" man="1"/>
    <brk id="169" max="21" man="1"/>
    <brk id="184" max="21" man="1"/>
    <brk id="202" max="21" man="1"/>
    <brk id="220" max="21" man="1"/>
    <brk id="236" max="21" man="1"/>
    <brk id="252" max="21" man="1"/>
    <brk id="272" max="21" man="1"/>
    <brk id="295" max="21" man="1"/>
    <brk id="315" max="21" man="1"/>
    <brk id="332" max="21" man="1"/>
    <brk id="354" max="21" man="1"/>
    <brk id="374" max="21" man="1"/>
    <brk id="392" max="21" man="1"/>
    <brk id="410" max="21" man="1"/>
    <brk id="424" max="21" man="1"/>
    <brk id="44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48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49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52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50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51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2018-11-02T11:48:04Z</dcterms:modified>
  <cp:category/>
  <cp:version/>
  <cp:contentType/>
  <cp:contentStatus/>
</cp:coreProperties>
</file>