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65" windowWidth="12390" windowHeight="8475" tabRatio="246" activeTab="0"/>
  </bookViews>
  <sheets>
    <sheet name="додаток 2 (смр) " sheetId="1" r:id="rId1"/>
  </sheets>
  <definedNames>
    <definedName name="_xlfn.AGGREGATE" hidden="1">#NAME?</definedName>
    <definedName name="_xlnm.Print_Titles" localSheetId="0">'додаток 2 (смр) '!$17:$17</definedName>
    <definedName name="_xlnm.Print_Area" localSheetId="0">'додаток 2 (смр) '!$A$1:$N$344</definedName>
  </definedNames>
  <calcPr fullCalcOnLoad="1"/>
</workbook>
</file>

<file path=xl/sharedStrings.xml><?xml version="1.0" encoding="utf-8"?>
<sst xmlns="http://schemas.openxmlformats.org/spreadsheetml/2006/main" count="792" uniqueCount="495">
  <si>
    <t>1410160</t>
  </si>
  <si>
    <t>7640</t>
  </si>
  <si>
    <t>7670</t>
  </si>
  <si>
    <t>Забезпечення діяльності бібліотек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</si>
  <si>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</si>
  <si>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4080</t>
  </si>
  <si>
    <t>Утримання та навчально-тренувальна робота комунальних дитячо-юнацьких спортивних шкіл</t>
  </si>
  <si>
    <t>Управління  освіти і науки Сумської міської ради</t>
  </si>
  <si>
    <t xml:space="preserve">Відділ охорони здоров’я Сумської міської ради  </t>
  </si>
  <si>
    <t>Багатопрофільна стаціонарна медична допомога населенню</t>
  </si>
  <si>
    <t>1510000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</si>
  <si>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</si>
  <si>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Відділ культури та туризму Сумської міської ради</t>
  </si>
  <si>
    <t>Департамент інфраструктури міста Сумської міської ради</t>
  </si>
  <si>
    <t>Заходи з енергозбереження</t>
  </si>
  <si>
    <t>Управління капітального будівництва та дорожнього господарства Сумської міської ради</t>
  </si>
  <si>
    <t>Управління «Інспекція з благоустрою міста Суми» Сумської міської ради</t>
  </si>
  <si>
    <t>Виконавчий комітет Сумської міської ради</t>
  </si>
  <si>
    <t xml:space="preserve">Департамент соціального захисту населення Сумської міської ради </t>
  </si>
  <si>
    <t>Департамент забезпечення ресурсних платежів Сумської міської ради</t>
  </si>
  <si>
    <t>Департамент фінансів, економіки та інвестицій Сумської міської ради</t>
  </si>
  <si>
    <t>Управління державного архітектурно-будівельного контролю Сумської міської ради</t>
  </si>
  <si>
    <t>0180</t>
  </si>
  <si>
    <t>0111</t>
  </si>
  <si>
    <t>Код функціональної класифікації видатків та кредитування бюджету</t>
  </si>
  <si>
    <t>1010</t>
  </si>
  <si>
    <t>0910</t>
  </si>
  <si>
    <t>1020</t>
  </si>
  <si>
    <t>0921</t>
  </si>
  <si>
    <t>1070</t>
  </si>
  <si>
    <t>0922</t>
  </si>
  <si>
    <t>1090</t>
  </si>
  <si>
    <t>0960</t>
  </si>
  <si>
    <t>1100</t>
  </si>
  <si>
    <t>0990</t>
  </si>
  <si>
    <t>2010</t>
  </si>
  <si>
    <t>0731</t>
  </si>
  <si>
    <t>6010</t>
  </si>
  <si>
    <t>0620</t>
  </si>
  <si>
    <t>4030</t>
  </si>
  <si>
    <t>0824</t>
  </si>
  <si>
    <t>0829</t>
  </si>
  <si>
    <t>0810</t>
  </si>
  <si>
    <t>5060</t>
  </si>
  <si>
    <t>0490</t>
  </si>
  <si>
    <t>0470</t>
  </si>
  <si>
    <t>1040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</si>
  <si>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</si>
  <si>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 (КТПКВКМБ)</t>
  </si>
  <si>
    <t>0443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</si>
  <si>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</si>
  <si>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</si>
  <si>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5030</t>
  </si>
  <si>
    <t>5031</t>
  </si>
  <si>
    <t>1410000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</si>
  <si>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</si>
  <si>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</si>
  <si>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</si>
  <si>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Надання інших пільг окремим категоріям громадян відповідно до законодавства</t>
  </si>
  <si>
    <t>3120</t>
  </si>
  <si>
    <t>3121</t>
  </si>
  <si>
    <t>Утримання та забезпечення діяльності центрів соціальних служб для сім’ї, дітей та молоді</t>
  </si>
  <si>
    <t>6011</t>
  </si>
  <si>
    <t>Експлуатація та технічне обслуговування житлового фонду</t>
  </si>
  <si>
    <t>6030</t>
  </si>
  <si>
    <t>Організація благоустрою населених пунктів</t>
  </si>
  <si>
    <t>7340</t>
  </si>
  <si>
    <t>1010160</t>
  </si>
  <si>
    <t>Надання дошкільної освіти</t>
  </si>
  <si>
    <t>Надання загальної середньої освіти загальноосвітніми навчальними закладами (в т. ч. школою-дитячим садком, інтернатом при школі), спеціалізованими школами, ліцеями, гімназіями, колегіумами</t>
  </si>
  <si>
    <t xml:space="preserve">Надання позашкільної освіти позашкільними закладами освіти, заходи із позашкільної роботи з дітьми </t>
  </si>
  <si>
    <t>1017640</t>
  </si>
  <si>
    <t>1517640</t>
  </si>
  <si>
    <t>0210000</t>
  </si>
  <si>
    <t>0210160</t>
  </si>
  <si>
    <t>0213120</t>
  </si>
  <si>
    <t>0213121</t>
  </si>
  <si>
    <t>0214080</t>
  </si>
  <si>
    <t>0215030</t>
  </si>
  <si>
    <t>0215031</t>
  </si>
  <si>
    <t>0215060</t>
  </si>
  <si>
    <t>0215061</t>
  </si>
  <si>
    <t>0217670</t>
  </si>
  <si>
    <t>0610000</t>
  </si>
  <si>
    <t>0610160</t>
  </si>
  <si>
    <t>0611010</t>
  </si>
  <si>
    <t>0611020</t>
  </si>
  <si>
    <t>0615030</t>
  </si>
  <si>
    <t>0615031</t>
  </si>
  <si>
    <t>0617640</t>
  </si>
  <si>
    <t>0710000</t>
  </si>
  <si>
    <t>0712010</t>
  </si>
  <si>
    <t>0717640</t>
  </si>
  <si>
    <t>0810000</t>
  </si>
  <si>
    <t>0810160</t>
  </si>
  <si>
    <t>0813030</t>
  </si>
  <si>
    <t>0813031</t>
  </si>
  <si>
    <t>0813100</t>
  </si>
  <si>
    <t>0813104</t>
  </si>
  <si>
    <t>1010000</t>
  </si>
  <si>
    <t>1014030</t>
  </si>
  <si>
    <t>1014080</t>
  </si>
  <si>
    <t>1210000</t>
  </si>
  <si>
    <t>1210160</t>
  </si>
  <si>
    <t>1216010</t>
  </si>
  <si>
    <t>1216011</t>
  </si>
  <si>
    <t>1216030</t>
  </si>
  <si>
    <t>1217340</t>
  </si>
  <si>
    <t>1219770</t>
  </si>
  <si>
    <t>1516030</t>
  </si>
  <si>
    <t>1710000</t>
  </si>
  <si>
    <t>1710160</t>
  </si>
  <si>
    <t>3110000</t>
  </si>
  <si>
    <t>3110160</t>
  </si>
  <si>
    <t>3710000</t>
  </si>
  <si>
    <t>3710160</t>
  </si>
  <si>
    <t>1011100</t>
  </si>
  <si>
    <t>0611070</t>
  </si>
  <si>
    <t>0611090</t>
  </si>
  <si>
    <t>0611160</t>
  </si>
  <si>
    <t>1160</t>
  </si>
  <si>
    <t>1216015</t>
  </si>
  <si>
    <t>6015</t>
  </si>
  <si>
    <t>Забезпечення надійної та безперебійної експлуатації ліфтів</t>
  </si>
  <si>
    <t>3117650</t>
  </si>
  <si>
    <t>7650</t>
  </si>
  <si>
    <t>3117660</t>
  </si>
  <si>
    <t>7660</t>
  </si>
  <si>
    <t>Проведення експертної  грошової  оцінки  земельної ділянки чи права на неї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</si>
  <si>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</si>
  <si>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1217310</t>
  </si>
  <si>
    <t>7310</t>
  </si>
  <si>
    <t>1217330</t>
  </si>
  <si>
    <t>7330</t>
  </si>
  <si>
    <t>7320</t>
  </si>
  <si>
    <t>7321</t>
  </si>
  <si>
    <t>7322</t>
  </si>
  <si>
    <t>7325</t>
  </si>
  <si>
    <t>1. Будівництво</t>
  </si>
  <si>
    <t>Будівництво інженерних мереж селища Ганнівка (2 черга)</t>
  </si>
  <si>
    <t>Будівництво каналізації по вул. Молодіжній</t>
  </si>
  <si>
    <t xml:space="preserve">2. Реконструкція інших об’єктів   </t>
  </si>
  <si>
    <t>Реконструкція дороги по вул. Ковпака</t>
  </si>
  <si>
    <t xml:space="preserve">Реконструкція лінії освітлення в районі житлових будинків №36, 42 по вул. Прокоф'єва </t>
  </si>
  <si>
    <t xml:space="preserve">Реконструкція лінії освітлення по вул.Партизанська </t>
  </si>
  <si>
    <t>Реконструкція лінії освітлення в районі житлових будинків №13, 15, 17 по вул. Заливна</t>
  </si>
  <si>
    <t xml:space="preserve">Реконструкція лінії освітлення по пер. Чугуївський </t>
  </si>
  <si>
    <t>Будівництво дитячого садка у 12 МР</t>
  </si>
  <si>
    <t>Будівництво дитячого майданчика на території ДНЗ №38 по вул. Серпнева, 1</t>
  </si>
  <si>
    <t>Реконструкція будівлі ССШ №29 по вул. Заливній, 25</t>
  </si>
  <si>
    <t>Реконструкція інженерних мереж (електрозабезпечення) КУ Піщанська ЗОШ І-ІІ ступенів по вул. Шкільна, 26</t>
  </si>
  <si>
    <t>Реконструкція будівлі міжшкільного навчально-виробничого комбінату з влаштуванням туалету по вул. М. Раскової, 72</t>
  </si>
  <si>
    <t>Реконструкція спортивного майданчика з влаштуванням штучного покриття на території КУ «Сумська СШ №9» по вул. Даргомижського, 3</t>
  </si>
  <si>
    <t>Реконструкція неврологічного відділення КУ  «СМКЛ №4» по вул. Металургів, 38</t>
  </si>
  <si>
    <t xml:space="preserve">Реконструкція лорвідділення  КУ  «Сумська міська дитяча лікарня Святої Зінаїди» </t>
  </si>
  <si>
    <t>Реконструкція грального поля по вул. Якіра</t>
  </si>
  <si>
    <t>Реконструкція стадіону «Авангард»</t>
  </si>
  <si>
    <t>Будівництво кладовища в районі 40-ї підстанції</t>
  </si>
  <si>
    <t>Будівництво тролейбусної лінії по вул. Набережна р. Сумки</t>
  </si>
  <si>
    <t>Реконструкція приміщення по вул. Шишкіна, 12</t>
  </si>
  <si>
    <t>Будівля Реального училища (школа №4), м. Суми - реконструкція</t>
  </si>
  <si>
    <t xml:space="preserve">Реконструкція будівлі молодіжного центру «Романтика» </t>
  </si>
  <si>
    <t>Реконструкція Театральної площі</t>
  </si>
  <si>
    <t>Реконструкція спортивного майданчика з влаштуванням штучного покриття в районі житлового будинку №13 по вул. Заливна</t>
  </si>
  <si>
    <t>Реконструкція спортивного майданчика з влаштуванням штучного покриття в районі житлового будинку №51 В по вул. Іллінська</t>
  </si>
  <si>
    <t>Реконструкція спортивного майданчика з влаштуванням штучного покриття в районі житлового будинку №27 по вул. Заливна</t>
  </si>
  <si>
    <t>Реконструкція спортивного майданчика з влаштуванням штучного покриття по пров. Чугуївський</t>
  </si>
  <si>
    <t>Назва об’єктів відповідно  до проектно- кошторисної документації тощо</t>
  </si>
  <si>
    <t xml:space="preserve">Загальний обсяг фінансування будівництва </t>
  </si>
  <si>
    <t>Відсоток завершеності будівництва об’єктів на майбутні роки</t>
  </si>
  <si>
    <t>Всього видатків на завершення будівництва об’єктів на майбутні роки</t>
  </si>
  <si>
    <t>Разом видатків на поточний рік</t>
  </si>
  <si>
    <t>Реставрація споруди «Альтанка» в м.Суми</t>
  </si>
  <si>
    <t>Реконструкція операційного блоку КУ  «СМКЛ №5»</t>
  </si>
  <si>
    <t>Реконструкція ортопедичного відділення та сходових клітин КУ «Сумська міська клінічна лікарня №1» по вул. 20 років Перемоги, 13</t>
  </si>
  <si>
    <t>Реконструкція приміщень «Муніципальний спортивний клуб з хокею на траві «Сумчанка»</t>
  </si>
  <si>
    <t>Реконструкція теплиць КП  «Зелене будівництво»  Сумської міської ради по вул. Пролетарська,77</t>
  </si>
  <si>
    <t xml:space="preserve">Реконструкція фонтану в дитячому парку  «Казка» </t>
  </si>
  <si>
    <t xml:space="preserve">Реконструкція (санація) самотічного каналізаційного колектора Д 400-600 мм від вул. Харківська, 30/1 по вул. Прокоф'єва до КНС-6 </t>
  </si>
  <si>
    <t>КП Сумської міської ради «Електроавтотранс»</t>
  </si>
  <si>
    <t>2. Реконструкція об'єктів житлового фонду</t>
  </si>
  <si>
    <t>Влаштування пандусів до житлового будинку      № 65/Б по вул. Інтернаціоналістів</t>
  </si>
  <si>
    <t>Влаштування пандусів до житлового будинку      № 2/6 по вул. Котляревського</t>
  </si>
  <si>
    <t>Влаштування пандусів до житлового будинку      № 10 по вул. СКД</t>
  </si>
  <si>
    <t>Влаштування пандусів до житлового будинку      № 25 по вул. Інтернаціоналістів</t>
  </si>
  <si>
    <t>Влаштування пандусів до житлового будинку      № 1/1 по вул. Харківська</t>
  </si>
  <si>
    <t>Влаштування пандусів до житлового будинку      № 144/2 по вул. Герасима Кондратьєва</t>
  </si>
  <si>
    <t>Влаштування пандусів до житлового будинку      № 8 по вул. Інтернаціоналістів</t>
  </si>
  <si>
    <t>Влаштування пандусів до житлового будинку      № 33 по вул. Івана Сірка</t>
  </si>
  <si>
    <t>Реставрація покрівлі та фасаду житлового будинку по вул.Соборна, 32 в м. Суми</t>
  </si>
  <si>
    <t>0214081</t>
  </si>
  <si>
    <t>4081</t>
  </si>
  <si>
    <t xml:space="preserve">Забезпечення діяльності інших закладів в галузі культури і мистецтва </t>
  </si>
  <si>
    <t>0611161</t>
  </si>
  <si>
    <t>1161</t>
  </si>
  <si>
    <t>Забезпечення діяльності інших закладів у сфері освіти</t>
  </si>
  <si>
    <t>0813241</t>
  </si>
  <si>
    <t>Забезпечення діяльності інших закладів у сфері соціального захисту і соціального забезпечення</t>
  </si>
  <si>
    <t>0813242</t>
  </si>
  <si>
    <t>Інші заходи у сфері соціального захисту і соціального забезпечення</t>
  </si>
  <si>
    <t>1014081</t>
  </si>
  <si>
    <t>0217530</t>
  </si>
  <si>
    <t>7530</t>
  </si>
  <si>
    <t>Інші заходи у сфері зв'язку, телекомунікації та інформатики</t>
  </si>
  <si>
    <t>0460</t>
  </si>
  <si>
    <t>0813240</t>
  </si>
  <si>
    <t>Інші субвенції з місцевого бюджету</t>
  </si>
  <si>
    <t>3719770</t>
  </si>
  <si>
    <t>9770</t>
  </si>
  <si>
    <t xml:space="preserve">Інші субвенції з місцевого бюджету </t>
  </si>
  <si>
    <t>Будівництво міського пляжу в парку                                   ім. І.М. Кожедуба</t>
  </si>
  <si>
    <t xml:space="preserve">Реконструкція полігону для складування твердих побутових відходів на території В.Бобрицької сільської ради Краснопільського району Сумської області </t>
  </si>
  <si>
    <t>Реконструкція дитячого парку «Казка»</t>
  </si>
  <si>
    <t>Будівництво скейт-парку в міському парку                         ім. І.М. Кожедуба</t>
  </si>
  <si>
    <t xml:space="preserve">3. Реконструкція інших об’єктів   </t>
  </si>
  <si>
    <t>Внесено змін +, -</t>
  </si>
  <si>
    <t>Всього видатків з урахуванням змін</t>
  </si>
  <si>
    <t>0215010</t>
  </si>
  <si>
    <t>0215011</t>
  </si>
  <si>
    <t>5010</t>
  </si>
  <si>
    <t>5011</t>
  </si>
  <si>
    <t>Проведення навчально-тренувальних зборів і змагань з олімпійських видів спорту</t>
  </si>
  <si>
    <t>Міні - скейтпарк на Роменській</t>
  </si>
  <si>
    <t>Інклюзивний спортивно-ігровий майданчик у парку ім. І.Кожедуба</t>
  </si>
  <si>
    <t>Спортивний майданчик на Ковпака</t>
  </si>
  <si>
    <t>Мрії збуваються (дитячий майданчик та зона відпочинку – вулиця Холодногірська, будинки 49 та 51)</t>
  </si>
  <si>
    <t>Спортивний майданчик з вуличними тренажерами для дітей та дорослих</t>
  </si>
  <si>
    <t>Спортивний центр «Єдність нації»</t>
  </si>
  <si>
    <t>Будівництво волейбольного майданчика по вул. Ковпака, 77Б - 81Б  в м. Суми</t>
  </si>
  <si>
    <t xml:space="preserve">«Доріжка здоров’я» в селищі Ганнівка, м.Суми </t>
  </si>
  <si>
    <t>Будівництво спортивного майданчика з тренажерами</t>
  </si>
  <si>
    <t xml:space="preserve">Будівництво дитячого майданчика в районі житлового будинку № 4 по вул. Героїв Крут </t>
  </si>
  <si>
    <t>1517340</t>
  </si>
  <si>
    <t xml:space="preserve">Реконструкція спортивного майданчика з влаштуванням штучного покриття на території ДНЗ № 3 «Калинка» по вул. Герасима Кондратьєва, 124 </t>
  </si>
  <si>
    <t>Реконструкція приміщення за адресою: м.Суми, вул. Петропавлівська, 70</t>
  </si>
  <si>
    <t>Забезпечення діяльності палаців i будинків культури, клубів, центрів дозвілля та iнших клубних закладів</t>
  </si>
  <si>
    <t>0828</t>
  </si>
  <si>
    <t>0214060</t>
  </si>
  <si>
    <t>4060</t>
  </si>
  <si>
    <t xml:space="preserve">Будівництво дитячого майданчика на розі вулиць 2-га Північна та пров. Веретинівський </t>
  </si>
  <si>
    <t>Нове будівництво амбулаторії по вул. Шишкіна, 12 м. Суми</t>
  </si>
  <si>
    <t>Реставрація будівлі по вул. Петропавлівська, 91</t>
  </si>
  <si>
    <t>0217610</t>
  </si>
  <si>
    <t>7610</t>
  </si>
  <si>
    <t>Сприяння розвитку малого та середнього підприємництва</t>
  </si>
  <si>
    <t>0411</t>
  </si>
  <si>
    <t>0218110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</si>
  <si>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</si>
  <si>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</si>
  <si>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</si>
  <si>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1216013</t>
  </si>
  <si>
    <t>6013</t>
  </si>
  <si>
    <t>Забезпечення діяльності водопровідно-каналізаційного господарства</t>
  </si>
  <si>
    <t>1216016</t>
  </si>
  <si>
    <t>6016</t>
  </si>
  <si>
    <t>Впровадження засобів обліку витрат та регулювання споживання води та теплової енергії</t>
  </si>
  <si>
    <t>3119800</t>
  </si>
  <si>
    <t>9800</t>
  </si>
  <si>
    <t>Реконструкція другого поверху  адмінбудівлі по вул.Першотравнева,21</t>
  </si>
  <si>
    <t>0617363</t>
  </si>
  <si>
    <t>Виконання інвестиційних проектів в рамках здійснення заходів щодо соціально-економічного розвитку окремих територій</t>
  </si>
  <si>
    <t>0617360</t>
  </si>
  <si>
    <t>7360</t>
  </si>
  <si>
    <t>1217363</t>
  </si>
  <si>
    <t>1217360</t>
  </si>
  <si>
    <t>1517360</t>
  </si>
  <si>
    <t>1517363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</si>
  <si>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</si>
  <si>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0219800</t>
  </si>
  <si>
    <t>7363</t>
  </si>
  <si>
    <t>Реконструкція  відповідних технологічних  вузлів  та обладнання  міських очисних  споруд: решіток  у грабельній. Адреса об'єкта:вул.Гамалія,40,м.Суми</t>
  </si>
  <si>
    <t>1217361</t>
  </si>
  <si>
    <t>7361</t>
  </si>
  <si>
    <t>Будівництво ліній освітлення ХІІ МР</t>
  </si>
  <si>
    <t>Реконструкція лінії освітлення по вул. Виноградна</t>
  </si>
  <si>
    <t>Реконструкція лінії освітлення по вул. Осіння</t>
  </si>
  <si>
    <t>Реконструкція лінії освітлення по вул. Сонячна</t>
  </si>
  <si>
    <t>Реконструкція водоводу від Тополянського водозабору до пожежного депо в м. Суми</t>
  </si>
  <si>
    <t>Реконструкція водопроводу Д500 мм від Тополянського водозабору до пр. Курський</t>
  </si>
  <si>
    <t>Реконструкція ДНЗ №22 «Джерельце»</t>
  </si>
  <si>
    <t>Реконструкція будівлі ДНЗ №2 по вул. Інтернаціоналістів,39</t>
  </si>
  <si>
    <t>Реконструкція інженерних мереж КУ Піщанська ЗОШ І-ІІ ступенів</t>
  </si>
  <si>
    <t>Будівництво дитячого майданчика в районі житлового будинку № 23 по вул. Охтирська</t>
  </si>
  <si>
    <t>Будівництво дитячого майданчика в районі житлового будинку № 26 по вул. Римського - Корсакова</t>
  </si>
  <si>
    <t>Будівництво спортивного майданчика                         по вул. Роменській, 88</t>
  </si>
  <si>
    <t>Будівництво спортивного майданчика по                            вул. Роменській, 100А</t>
  </si>
  <si>
    <t>0717360</t>
  </si>
  <si>
    <t>0717363</t>
  </si>
  <si>
    <t>1516080</t>
  </si>
  <si>
    <t>1516082</t>
  </si>
  <si>
    <t>Придбання житла для окремих категорій населення відповідно до законодавства</t>
  </si>
  <si>
    <t>0610</t>
  </si>
  <si>
    <t>6082</t>
  </si>
  <si>
    <t>6080</t>
  </si>
  <si>
    <t>0619800</t>
  </si>
  <si>
    <t>Будівництво кабельної лінії електроживлення (резервний кабель) каналізаційно – насосної станції по вул. Привокзальна, 4/13</t>
  </si>
  <si>
    <t>Реконструкція системи електрозабезпечення 48-квартирного будинку по вулиці Холодногірська, 30/1 м. Суми</t>
  </si>
  <si>
    <t>Будівництво  зливної каналізації по                            вул. Косівщинській, вул. Кавалерідзе,                               вул. Нахімова, вул. Дарвіна, вул. Жуковського,                                       вул. Макаренка</t>
  </si>
  <si>
    <t>0218120</t>
  </si>
  <si>
    <t>Реконструкція приміщення по вул. Г.Кондратьєва, 165/71 під розміщення КУ «Центр надання соціально - медичних, психологічних послуг учасникам антитерористичної операції та членам їх сімей»</t>
  </si>
  <si>
    <t>Заходи з організації рятування на водах</t>
  </si>
  <si>
    <t>8120</t>
  </si>
  <si>
    <t>Будівництво дитячо-спортивного майданчика в районі житлових будинків № 49, 53, по вул.Романа Атаманюка</t>
  </si>
  <si>
    <t>Будівництво дитячого майданчика в районі житлових будинків № 13-15 по вул.Романа Атаманюка</t>
  </si>
  <si>
    <t>Будівництво дитячого майданчика за адресою: м. Суми, вул. Г.Кондратьєва, 52</t>
  </si>
  <si>
    <t xml:space="preserve">Реконструкція (санація) самотічного каналізаційного колектора Д 500 мм по вул. Замостянській від перехрестя вул. Харківська та вул. Сумсько-Київських дивізій до перехрестя вул. Черкаська та вул. Лінійна в м. Суми </t>
  </si>
  <si>
    <t>Реконструкція (санація) самотічного каналізаційного колектора Д 600-800 мм від вул. Харківська, 32 по вул. Сумсько-Київських дивізій до КНС-6</t>
  </si>
  <si>
    <t xml:space="preserve">Реконструкція (санація) самотічного каналізаційного колектора Д 400-500 мм від вул. Романа Атаманюка по вул. Генерала Чибісова, Новорічній до вул. Київської </t>
  </si>
  <si>
    <t xml:space="preserve">Реконструкція системи водопостачання та водовідведення в приміщенні по вул. Г.Кондратьєва, 165/71 </t>
  </si>
  <si>
    <t>Управління архітектури та містобудування Сумської міської ради</t>
  </si>
  <si>
    <t>1610000</t>
  </si>
  <si>
    <t>1617350</t>
  </si>
  <si>
    <t>7350</t>
  </si>
  <si>
    <t>Розроблення схем планування та забудови територій (містобудівної документації)</t>
  </si>
  <si>
    <t>Реконструкція хлорного господарства на очисних спорудах м. Суми з переведенням на гіпохлорит натрію</t>
  </si>
  <si>
    <t>Влаштування пандуса до житлового будинку      № 20 по вул. Пушкіна</t>
  </si>
  <si>
    <t>Влаштування пандуса до житлового будинку      № 29 по вул. М.Лушпи</t>
  </si>
  <si>
    <t>Влаштування пандуса до житлового будинку      № 31 по вул. Холодногірська</t>
  </si>
  <si>
    <t>0219770</t>
  </si>
  <si>
    <t xml:space="preserve">Будівництво дитячого майданчика на території ДНЗ № 25 «Білосніжка» по вул. Лесі Українки, 2/1 </t>
  </si>
  <si>
    <t>Будівництво свердловини №15 на нижню крейду з розширеним контуром на Лепехівському водозаборі м.Суми</t>
  </si>
  <si>
    <t>Будівництво виробничого комплексу з переробки рослинних відходів та виробництва паливних брикетів і органічних добрив на площах майданчику для складування рослинних відходів по вул. М. Лукаша, м. Суми</t>
  </si>
  <si>
    <t>Реконструкція каналізаційного залізобетонного самотічного колектора Д=600 мм, який проходить по вул. Сеченова від залізничної дороги (вул. Київська) до перехрестя  вул. Слобідської та вул. Вигонопоселенській</t>
  </si>
  <si>
    <t xml:space="preserve">Реконструкція волейбольного майданчику в парку культури та відпочинку  імені І.М. Кожедуба, м. Суми </t>
  </si>
  <si>
    <t xml:space="preserve">Реконструкція баскетбольного майданчика в парку культури і відпочинку  ім. І.М. Кожедуба </t>
  </si>
  <si>
    <t>0712030</t>
  </si>
  <si>
    <t>2030</t>
  </si>
  <si>
    <t>Лікарсько-акушерська допомога вагітним, породіллям та новонародженим</t>
  </si>
  <si>
    <t>0733</t>
  </si>
  <si>
    <t>0712110</t>
  </si>
  <si>
    <t>2110</t>
  </si>
  <si>
    <t>0712111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</si>
  <si>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</si>
  <si>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</si>
  <si>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0726</t>
  </si>
  <si>
    <t>0611110</t>
  </si>
  <si>
    <t>1110</t>
  </si>
  <si>
    <t>Підготовка кадрів професійно-технічними закладами та іншими закладами освіти</t>
  </si>
  <si>
    <t>0930</t>
  </si>
  <si>
    <t>Будівництво скверу по вул. Петропавлівська, 94</t>
  </si>
  <si>
    <t xml:space="preserve">Добудова шляхопроводу по вул. 20 років Перемоги з реконструкцією дороги від вул. Прокоф'єва до  вул. Роменської </t>
  </si>
  <si>
    <t>Реконструкція будівлі по вул. Герасима Кондратьєва, 159</t>
  </si>
  <si>
    <t>Реконструкція нежитлового приміщення по вул. Г. Кондратьєва, 159</t>
  </si>
  <si>
    <t>Реконструкція фасаду будівлі по вул. Герасима Кондратьєва, 79</t>
  </si>
  <si>
    <t>Реконструкція аварійного самотічного  колектора Д-400 по вул. Білопільський шлях від КНС-4 до району Тепличного</t>
  </si>
  <si>
    <t>Будівництво спортивного майданчика по                               вул. Роменській, 81</t>
  </si>
  <si>
    <t>Будівництво дитячого майданчика за адресою: вул.Реміснича, 35</t>
  </si>
  <si>
    <t>Будівництво дитячого майданчика за адресою: вул.Горького, 5А</t>
  </si>
  <si>
    <t>Реконструкція підпірної стінки на території Сумської гімназії № 1</t>
  </si>
  <si>
    <t>0712150</t>
  </si>
  <si>
    <t>2150</t>
  </si>
  <si>
    <t>2152</t>
  </si>
  <si>
    <t>0712152</t>
  </si>
  <si>
    <t>Інші програми та заходи у сфері охорони здоров’я</t>
  </si>
  <si>
    <t>0763</t>
  </si>
  <si>
    <t>Будівництво дитячого майданчика в районі ЖК «Зарічний»</t>
  </si>
  <si>
    <t>Будівництво напірного каналізаційного колектору від КНС-9 до пр. Михайла Лушпи в м. Суми з переврізкою в збудований напірний колектор</t>
  </si>
  <si>
    <t>Будівництво напірного каналізаційного колектору від КНС-6 до вул. Прокоф’єва в м. Суми з переврізкою в збудований напірний колектор</t>
  </si>
  <si>
    <t>Реконструкція житлового будинку з влаштуванням пандусу по вул. Харківська, 1/1 (4-й під'їзд)</t>
  </si>
  <si>
    <t>Будівництво дитячого майданчика в районі житлового будинку № 18 по вул. СКД</t>
  </si>
  <si>
    <t xml:space="preserve">Будівництво дитячого майданчика в районі  житлового будинку № 51 А по вул. Інтернаціоналістів </t>
  </si>
  <si>
    <t xml:space="preserve">Методичне забезпечення діяльності навчальних закладів </t>
  </si>
  <si>
    <t>0611150</t>
  </si>
  <si>
    <t>1150</t>
  </si>
  <si>
    <t>Реконструкція каналізаційного залізобетонного самотічного колектора Д-600-1000 мм, який проходить по вул. Пушкіна, Садова, Засумська та Ярослава Мудрого (Пролетарська) до КНС-2 від вул. Степана Бандери (Баумана)  до вул. Лугової (коригування)</t>
  </si>
  <si>
    <t>Будівництво дитячого майданчика в районі житлового будинку № 35 Д по вул. Інтернаціоналістів</t>
  </si>
  <si>
    <t>Будівництво спортивного майданчика по                               вул. Металургів, 17</t>
  </si>
  <si>
    <t>0215032</t>
  </si>
  <si>
    <t>5032</t>
  </si>
  <si>
    <t>Фінансова підтримка дитячо-юнацьких спортивних шкіл фізкультурно-спортивних товариств</t>
  </si>
  <si>
    <t xml:space="preserve">Реконструкція 1-го поверху КУ «Сумська спеціалізована школа І ступеня № 30 «Унікум» </t>
  </si>
  <si>
    <t xml:space="preserve">Реконструкція цокольного поверху адмінбудівлі по вул. Першотравнева, 21 </t>
  </si>
  <si>
    <t>Влаштування пандусів до житлового будинку      № 15 по вул. Івана Сірка</t>
  </si>
  <si>
    <t>Будівництво спортивного майданчика за адресою: вул. Герасима Кондратьєва, 127</t>
  </si>
  <si>
    <t xml:space="preserve">Реконструкція каналізаційного самопливного колектору Д – 1000 мм по вул.1-ша Набережна р. Стрілка </t>
  </si>
  <si>
    <t>Будівництво каналізації фекальної по                         вул. Нижньолепехівській, вул. Лепехівській,           вул. Ново-Лепехівській, вул. Андрія Шептицького, вул. Жуковського,                                          вул. Косівщинській,  вул. Нахімова, вул. Дарвіна</t>
  </si>
  <si>
    <t>Реконструкція каналізаційного залізобетонного самотічного колектора Д=1000 мм, який проходить по яру між   пров. Степана Тимошенка (пров. Урицького) та вул. Панфілова</t>
  </si>
  <si>
    <t>0813220</t>
  </si>
  <si>
    <t>0813221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</si>
  <si>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</si>
  <si>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Реставраційний ремонт будівлі по вул. Покровська, 9</t>
  </si>
  <si>
    <t xml:space="preserve">Реконструкція будівлі КУ Сумський НВК № 16 з облаштуванням ліфту </t>
  </si>
  <si>
    <t>Реконструкція стадіону «Авангард» з влаштуванням штучного покриття грального поля</t>
  </si>
  <si>
    <t>Реконструкція стадіону «Авангард» з влаштуванням штучного покриття бігових доріжок</t>
  </si>
  <si>
    <t>Будівництво дитячого майданчика в районі житлового будинку № 33 по вул. Прокоф'єва</t>
  </si>
  <si>
    <t>Будівництво дитячого майданчика в районі житлового будинку № 92 по вул. Робітнича</t>
  </si>
  <si>
    <t>Будівництво дитячого майданчика за адресою: вул. Іллінська, 52/2</t>
  </si>
  <si>
    <t>Будівництво дитячо - спортивного майданчика за адресою: вул. Металургів, 3</t>
  </si>
  <si>
    <t>1017360</t>
  </si>
  <si>
    <t>1017363</t>
  </si>
  <si>
    <t>0215062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</si>
  <si>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</si>
  <si>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</si>
  <si>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0813223</t>
  </si>
  <si>
    <t>Капітальні видатки</t>
  </si>
  <si>
    <t>Реконструкція багатофункціонального спортивного майданчика по вул. Новомістенській, 4, м.Суми</t>
  </si>
  <si>
    <t>Реконструкція дитячого та спортивного майданчику по вул. Рибалко, 4 у м. Суми</t>
  </si>
  <si>
    <t>Будівництво огорожі для Комунальної установи Сумська загальноосвітня школа I—III ступенів № 22 імені Ігоря Гольченко Сумської міської ради, вул. Ковпака, 57</t>
  </si>
  <si>
    <t xml:space="preserve">Реконструкція волейбольного майданчику в парку культури та відпочинку імені І.М. Кожедуба, м.Суми </t>
  </si>
  <si>
    <t>Реконструкція спортивного майданчика в районі житлового будинку № 12 по вул. Шишкіна в м. Суми Сумська міська рада</t>
  </si>
  <si>
    <t>Грошова компенсація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І-ІІ групи з числа учасників бойових дій на території інших держав, які стали інвалідами внаслідок поранення, контузії, каліцтва або захворювання, пов’язаних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</si>
  <si>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Будівництво дитячого майданчика за адресою: м.Суми, вул. Богуна, 16</t>
  </si>
  <si>
    <t>Будівництво дитячого майданчика за адресою: м.Суми, вул. І. Сірка, 2</t>
  </si>
  <si>
    <t>Будівництво дитячого майданчика за адресою: м.Суми, пров. Інститутський, 3</t>
  </si>
  <si>
    <t>Будівництво дитячого майданчика по вул. Котляревського, 2/7</t>
  </si>
  <si>
    <t>Реконструкція шкільного стадіону КУ «ССШ І-ІІІ ступенів № 25» по вул. Декабристів, 80</t>
  </si>
  <si>
    <t>Реконструкція 1-го поверху КУ «ССШ № 3» по вул. 20 років Перемоги, 9</t>
  </si>
  <si>
    <t>Будівництво дитячого майданчика по просп. М.Лушпи, буд. 22</t>
  </si>
  <si>
    <t>Будівництво ліфта в Комунальній установі Сумський навчально-виховний комплекс № 16 імені Олексія Братушки «Загальноосвітня школа І-ІІІ ступенів – дошкільний навчальний заклад» Сумської міської ради</t>
  </si>
  <si>
    <t>0813222</t>
  </si>
  <si>
    <t>3222</t>
  </si>
  <si>
    <t>1060</t>
  </si>
  <si>
    <t>0916080</t>
  </si>
  <si>
    <t>Служба у справах  дітей  Сумської міської ради</t>
  </si>
  <si>
    <t>0916083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</si>
  <si>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</si>
  <si>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0910000</t>
  </si>
  <si>
    <t>Будівництво дитячого майданчика за адресою: м. Суми, вул. Інтернаціоналістів,4</t>
  </si>
  <si>
    <t>Здійснення соціальної роботи з вразливими категоріями населення, в т.ч.:</t>
  </si>
  <si>
    <t>Iншi заклади та заходи в галузі культури і мистецтва, в т.ч.:</t>
  </si>
  <si>
    <t>Проведення спортивної роботи в регіоні, в т.ч.:</t>
  </si>
  <si>
    <t>Розвиток дитячо-юнацького та резервного спорту, в т.ч.:</t>
  </si>
  <si>
    <t>Інші заходи з розвитку фізичної культури та спорту, в т.ч.:</t>
  </si>
  <si>
    <t>Внески до статутного капіталу суб’єктів господарювання, в т.ч.:</t>
  </si>
  <si>
    <t>Інші програми, заклади та заходи у сфері освіти, в т.ч.:</t>
  </si>
  <si>
    <t>Виконання інвестиційних проектів , в т.ч.:</t>
  </si>
  <si>
    <t>Первинна медична допомога населенню, в т.ч.:</t>
  </si>
  <si>
    <t>Інші програми, заклади та заходи у сфері охорони здоров’я, в т.ч.:</t>
  </si>
  <si>
    <t xml:space="preserve">Виконання інвестиційних проектів, в т.ч.: 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</si>
  <si>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громадян, в т.ч.: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</si>
  <si>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обслуговування, в т.ч.:</t>
  </si>
  <si>
    <t>Грошова компенсація за належні для отримання жилі приміщення для окремих категорій населення відповідно до законодавства, в т.ч.:</t>
  </si>
  <si>
    <t xml:space="preserve">Інші заклади та заходи, в т.ч.: </t>
  </si>
  <si>
    <t xml:space="preserve">Реалізація державних та місцевих житлових програм, в т.ч.: 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</si>
  <si>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та визнані особами з інвалідністю в наслідок війни ІІІ групи відповідно до пунктів 11-14 частини другої статті 7 або учасниками бойових дій відповідно до пунктів 19-20 частини першої статті 6 Закону України «Про статус ветеранів війни, гарантії їх соціального захисту», та які потребують поліпшення житлових умов</t>
  </si>
  <si>
    <t>Утримання та ефективна експлуатація об’єктів житлово-комунального господарства, в т.ч.:</t>
  </si>
  <si>
    <t>Будівництво  зливної каналізації по вул. Косівщинській, вул. Кавалерідзе, вул. Нахімова, вул. Дарвіна, вул. Жуковського, вул. Макаренка</t>
  </si>
  <si>
    <t>Будівництво каналізації фекальної по вул. Нижньолепехівській, вул. Лепехівській, вул. Ново-Лепехівській, вул. Андрія Шептицького, вул. Жуковського, вул. Косівщинській,  вул. Нахімова, вул. Дарвіна</t>
  </si>
  <si>
    <t>Влаштування пандусів до житлового будинку № 8 по вул. Інтернаціоналістів</t>
  </si>
  <si>
    <t>Влаштування пандусів до житлового будинку № 25 по вул. Інтернаціоналістів</t>
  </si>
  <si>
    <t>Влаштування пандусів до житлового будинку № 65/Б по вул. Інтернаціоналістів</t>
  </si>
  <si>
    <t>Влаштування пандусів до житлового будинку № 10 по вул. СКД</t>
  </si>
  <si>
    <t>Влаштування пандусів до житлового будинку № 2/6 по вул. Котляревського</t>
  </si>
  <si>
    <t>Влаштування пандуса до житлового будинку № 20 по вул. Пушкіна</t>
  </si>
  <si>
    <t>Будівництво об'єктів житлово-комунального господарства, в т.ч.:</t>
  </si>
  <si>
    <t>Будівництво інших об'єктів соціальної та виробничої інфраструктури комунальної власності, в т.ч.:</t>
  </si>
  <si>
    <t>Будівництво міського пляжу в парку ім. І.М. Кожедуба</t>
  </si>
  <si>
    <t>Будівництво скейт-парку в міському парку ім. І.М. Кожедуба</t>
  </si>
  <si>
    <t>Проектування, реставрація та охорона пам'яток архітектури, в т.ч.:</t>
  </si>
  <si>
    <t>Будівництво об'єктів соціально-культурного призначення, в т.ч.:</t>
  </si>
  <si>
    <t>Будівництво освітніх установ та закладів, в т.ч.:</t>
  </si>
  <si>
    <t>Будівництво медичних установ та закладів, в т.ч.:</t>
  </si>
  <si>
    <t>Будівництво споруд, установ та закладів фізичної культури і спорту, в т.ч.:</t>
  </si>
  <si>
    <t>Будівництво спортивного майданчика по вул. Металургів, 17</t>
  </si>
  <si>
    <t>Будівництво спортивного майданчика по вул. Роменській, 81</t>
  </si>
  <si>
    <t>Будівництво спортивного майданчика по вул. Роменській, 88</t>
  </si>
  <si>
    <t>Будівництво спортивного майданчика по вул. Роменській, 100А</t>
  </si>
  <si>
    <t>Всього за рахунок коштів бюджету розвитку міського бюджету:</t>
  </si>
  <si>
    <t>Видатки, передбачені на проведення природоохоронних заходів:</t>
  </si>
  <si>
    <t>Утримання та розвиток транспортної інфраструктури, в т.ч.:</t>
  </si>
  <si>
    <t>тис. грн.</t>
  </si>
  <si>
    <t>Найменування головного розпорядника, відповідального виконавця, бюджетної програми або напряму видатків згідно з типовою відомчою / типовою програмною класифікацією видатків та кредитування місцевого бюджету (ТПКВКМБ)/Назва об’єктів відповідно  до проектно- кошторисної документації тощо</t>
  </si>
  <si>
    <t>Перелік об'єктів, видатки на які у 2018 році</t>
  </si>
  <si>
    <t>будуть проводитися за рахунок коштів бюджету розвитку та інших коштів міського бюджету</t>
  </si>
  <si>
    <t xml:space="preserve">Реконструкція І та ІІ черг полігону для складування твердих побутових відходів на території В.Бобрицької сільської ради Краснопільського району Сумської області </t>
  </si>
  <si>
    <t>Реконструкція  об'єктів  житлово-комунального господарства: влаштування пандусів до житлового будинку за адресою: вул. І. Сірка,15 м. Суми</t>
  </si>
  <si>
    <t>Реконструкція  об'єктів  житлово-комунального господарства: влаштування пандусів до житлового будинку за адресою: вул. Івана Сірка №33 м. Суми</t>
  </si>
  <si>
    <t>Реконструкція  об'єктів  житлово- комунального господарства: влаштування пандусів до житлового будинку за адресою: вул. Харківська №1/1 м. Суми</t>
  </si>
  <si>
    <t>Реконструкція  об'єктів  житлово-комунального господарства: влаштування пандусів до житлового будинку за адресою: просп. М.Лушпи № 29 м. Суми</t>
  </si>
  <si>
    <t>Реконструкція  об'єктів  житлово-комунального господарства: влаштування пандусу до житлового будинку за адресою: вул. Холодногірська № 31 м. Суми</t>
  </si>
  <si>
    <t>у т.ч. за рахунок субвенції з держбюджету</t>
  </si>
  <si>
    <t>Реконструкція  об'єктів  житлово-комунального господарства: влаштування пандусів до житлового будинку за адресою: вул. Г. Кондратьєва  № 144/2  м.Суми</t>
  </si>
  <si>
    <t>1517361</t>
  </si>
  <si>
    <t>Будівництво дитячого майданчика на території КУ Сумський НВК № 16 СМР по вул. Шишкіна, 12</t>
  </si>
  <si>
    <t>Реконструкція грального поля на території КУ Сумський НВК № 16 СМР по вул. Шишкіна, 12</t>
  </si>
  <si>
    <t xml:space="preserve">Реконструкція спортивного майданчика на території КУ Сумська ЗОШ № 20 м. Суми по вул. Металургів, 71 </t>
  </si>
  <si>
    <t>1516083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</si>
  <si>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</si>
  <si>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числа, в т.ч.:</t>
  </si>
  <si>
    <t xml:space="preserve">Будівництво малого групового будинку в м. Суми </t>
  </si>
  <si>
    <t xml:space="preserve">4. Капітальні трансферти підприємствам (установам, організаціям) </t>
  </si>
  <si>
    <t>0719770</t>
  </si>
  <si>
    <t>Будівництво дитячого майданчика в районі житлових будинків № 30, 32 по вул. Римського - Корсакова</t>
  </si>
  <si>
    <t xml:space="preserve">до рішення  Сумської міської ради «Про внесення змін  до  </t>
  </si>
  <si>
    <t xml:space="preserve">рішення  Сумської  міської   ради  від 21 грудня 2017 року </t>
  </si>
  <si>
    <t xml:space="preserve">№ 2910-МР «Про  Програму   економічного і  соціального </t>
  </si>
  <si>
    <t xml:space="preserve">розвитку   м.  Суми  на  2018 рік   та   основних напрямів </t>
  </si>
  <si>
    <t>розвитку на 2019-2020 роки» (зі змінами)»</t>
  </si>
  <si>
    <t>від 29 серпня 2018 року  № 3780 - МР</t>
  </si>
  <si>
    <t xml:space="preserve">                                 Додаток  2</t>
  </si>
  <si>
    <t>Сумський міський голова</t>
  </si>
  <si>
    <t>Виконавець: Липова С.А.</t>
  </si>
  <si>
    <t>_________</t>
  </si>
  <si>
    <t>Співфінансування інвестиційних проектів, що реалізуються за рахунок коштів державного фонду регіонального розвитку</t>
  </si>
  <si>
    <t>О.М. Лисенко</t>
  </si>
</sst>
</file>

<file path=xl/styles.xml><?xml version="1.0" encoding="utf-8"?>
<styleSheet xmlns="http://schemas.openxmlformats.org/spreadsheetml/2006/main">
  <numFmts count="6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* #,##0;* \-#,##0;* &quot;-&quot;;@"/>
    <numFmt numFmtId="197" formatCode="* #,##0.00;* \-#,##0.00;* &quot;-&quot;??;@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#,##0.0"/>
    <numFmt numFmtId="201" formatCode="#,##0_ ;[Red]\-#,##0\ "/>
    <numFmt numFmtId="202" formatCode="#,##0.0_ ;[Red]\-#,##0.0\ "/>
    <numFmt numFmtId="203" formatCode="0.0"/>
    <numFmt numFmtId="204" formatCode="0.0000"/>
    <numFmt numFmtId="205" formatCode="#,##0.0000"/>
    <numFmt numFmtId="206" formatCode="00000000000"/>
    <numFmt numFmtId="207" formatCode="&quot;Так&quot;;&quot;Так&quot;;&quot;Ні&quot;"/>
    <numFmt numFmtId="208" formatCode="&quot;Істина&quot;;&quot;Істина&quot;;&quot;Хибність&quot;"/>
    <numFmt numFmtId="209" formatCode="&quot;Увімк&quot;;&quot;Увімк&quot;;&quot;Вимк&quot;"/>
    <numFmt numFmtId="210" formatCode="[$-FC19]d\ mmmm\ yyyy\ &quot;г.&quot;"/>
    <numFmt numFmtId="211" formatCode="&quot;True&quot;;&quot;True&quot;;&quot;False&quot;"/>
    <numFmt numFmtId="212" formatCode="[$¥€-2]\ ###,000_);[Red]\([$€-2]\ ###,000\)"/>
    <numFmt numFmtId="213" formatCode="#,##0.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[$-FC19]d\ mmmm\ yyyy\ \г\."/>
    <numFmt numFmtId="219" formatCode="#,##0.00000"/>
    <numFmt numFmtId="220" formatCode="#,##0.000000"/>
  </numFmts>
  <fonts count="56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sz val="16"/>
      <name val="Times New Roman"/>
      <family val="1"/>
    </font>
    <font>
      <i/>
      <sz val="16"/>
      <name val="Times New Roman"/>
      <family val="1"/>
    </font>
    <font>
      <b/>
      <i/>
      <sz val="16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14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20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40" fillId="38" borderId="0" applyNumberFormat="0" applyBorder="0" applyAlignment="0" applyProtection="0"/>
    <xf numFmtId="0" fontId="40" fillId="39" borderId="0" applyNumberFormat="0" applyBorder="0" applyAlignment="0" applyProtection="0"/>
    <xf numFmtId="0" fontId="40" fillId="40" borderId="0" applyNumberFormat="0" applyBorder="0" applyAlignment="0" applyProtection="0"/>
    <xf numFmtId="0" fontId="40" fillId="41" borderId="0" applyNumberFormat="0" applyBorder="0" applyAlignment="0" applyProtection="0"/>
    <xf numFmtId="0" fontId="40" fillId="42" borderId="0" applyNumberFormat="0" applyBorder="0" applyAlignment="0" applyProtection="0"/>
    <xf numFmtId="0" fontId="40" fillId="43" borderId="0" applyNumberFormat="0" applyBorder="0" applyAlignment="0" applyProtection="0"/>
    <xf numFmtId="0" fontId="41" fillId="44" borderId="1" applyNumberFormat="0" applyAlignment="0" applyProtection="0"/>
    <xf numFmtId="0" fontId="7" fillId="7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1" fillId="0" borderId="0" applyNumberForma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42" fillId="46" borderId="0" applyNumberFormat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 vertical="top"/>
      <protection/>
    </xf>
    <xf numFmtId="0" fontId="46" fillId="0" borderId="7" applyNumberFormat="0" applyFill="0" applyAlignment="0" applyProtection="0"/>
    <xf numFmtId="0" fontId="12" fillId="0" borderId="8" applyNumberFormat="0" applyFill="0" applyAlignment="0" applyProtection="0"/>
    <xf numFmtId="0" fontId="47" fillId="47" borderId="9" applyNumberFormat="0" applyAlignment="0" applyProtection="0"/>
    <xf numFmtId="0" fontId="10" fillId="48" borderId="10" applyNumberFormat="0" applyAlignment="0" applyProtection="0"/>
    <xf numFmtId="0" fontId="4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49" fillId="50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50" fillId="0" borderId="11" applyNumberFormat="0" applyFill="0" applyAlignment="0" applyProtection="0"/>
    <xf numFmtId="0" fontId="6" fillId="3" borderId="0" applyNumberFormat="0" applyBorder="0" applyAlignment="0" applyProtection="0"/>
    <xf numFmtId="0" fontId="51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199" fontId="1" fillId="0" borderId="0" applyFont="0" applyFill="0" applyBorder="0" applyAlignment="0" applyProtection="0"/>
    <xf numFmtId="0" fontId="52" fillId="50" borderId="14" applyNumberFormat="0" applyAlignment="0" applyProtection="0"/>
    <xf numFmtId="0" fontId="18" fillId="0" borderId="15" applyNumberFormat="0" applyFill="0" applyAlignment="0" applyProtection="0"/>
    <xf numFmtId="0" fontId="53" fillId="54" borderId="0" applyNumberFormat="0" applyBorder="0" applyAlignment="0" applyProtection="0"/>
    <xf numFmtId="0" fontId="19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60">
    <xf numFmtId="0" fontId="0" fillId="0" borderId="0" xfId="0" applyAlignment="1">
      <alignment/>
    </xf>
    <xf numFmtId="49" fontId="25" fillId="0" borderId="0" xfId="0" applyNumberFormat="1" applyFont="1" applyFill="1" applyAlignment="1" applyProtection="1">
      <alignment horizontal="center"/>
      <protection/>
    </xf>
    <xf numFmtId="0" fontId="25" fillId="0" borderId="0" xfId="0" applyNumberFormat="1" applyFont="1" applyFill="1" applyAlignment="1" applyProtection="1">
      <alignment horizontal="center"/>
      <protection/>
    </xf>
    <xf numFmtId="0" fontId="25" fillId="0" borderId="0" xfId="0" applyNumberFormat="1" applyFont="1" applyFill="1" applyAlignment="1" applyProtection="1">
      <alignment/>
      <protection/>
    </xf>
    <xf numFmtId="0" fontId="26" fillId="0" borderId="0" xfId="0" applyNumberFormat="1" applyFont="1" applyFill="1" applyAlignment="1" applyProtection="1">
      <alignment horizontal="left"/>
      <protection/>
    </xf>
    <xf numFmtId="0" fontId="25" fillId="0" borderId="0" xfId="0" applyFont="1" applyFill="1" applyAlignment="1">
      <alignment/>
    </xf>
    <xf numFmtId="0" fontId="25" fillId="0" borderId="0" xfId="0" applyNumberFormat="1" applyFont="1" applyFill="1" applyAlignment="1" applyProtection="1">
      <alignment vertical="top"/>
      <protection/>
    </xf>
    <xf numFmtId="0" fontId="25" fillId="0" borderId="0" xfId="0" applyNumberFormat="1" applyFont="1" applyFill="1" applyAlignment="1" applyProtection="1">
      <alignment horizontal="left"/>
      <protection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0" fontId="27" fillId="0" borderId="16" xfId="0" applyFont="1" applyFill="1" applyBorder="1" applyAlignment="1">
      <alignment horizontal="center" vertical="center" wrapText="1"/>
    </xf>
    <xf numFmtId="49" fontId="27" fillId="0" borderId="16" xfId="0" applyNumberFormat="1" applyFont="1" applyFill="1" applyBorder="1" applyAlignment="1" applyProtection="1">
      <alignment horizontal="center" vertical="center"/>
      <protection/>
    </xf>
    <xf numFmtId="4" fontId="27" fillId="0" borderId="16" xfId="0" applyNumberFormat="1" applyFont="1" applyFill="1" applyBorder="1" applyAlignment="1">
      <alignment horizontal="right" vertical="center"/>
    </xf>
    <xf numFmtId="0" fontId="27" fillId="0" borderId="0" xfId="0" applyFont="1" applyFill="1" applyAlignment="1">
      <alignment vertical="center"/>
    </xf>
    <xf numFmtId="49" fontId="25" fillId="0" borderId="16" xfId="0" applyNumberFormat="1" applyFont="1" applyFill="1" applyBorder="1" applyAlignment="1" applyProtection="1">
      <alignment horizontal="center" vertical="center"/>
      <protection/>
    </xf>
    <xf numFmtId="0" fontId="25" fillId="0" borderId="16" xfId="0" applyFont="1" applyFill="1" applyBorder="1" applyAlignment="1">
      <alignment horizontal="left" vertical="center" wrapText="1"/>
    </xf>
    <xf numFmtId="4" fontId="25" fillId="0" borderId="16" xfId="0" applyNumberFormat="1" applyFont="1" applyFill="1" applyBorder="1" applyAlignment="1">
      <alignment horizontal="right" vertical="center"/>
    </xf>
    <xf numFmtId="0" fontId="25" fillId="0" borderId="0" xfId="0" applyFont="1" applyFill="1" applyAlignment="1">
      <alignment vertical="center"/>
    </xf>
    <xf numFmtId="49" fontId="28" fillId="0" borderId="16" xfId="0" applyNumberFormat="1" applyFont="1" applyFill="1" applyBorder="1" applyAlignment="1" applyProtection="1">
      <alignment horizontal="center" vertical="center"/>
      <protection/>
    </xf>
    <xf numFmtId="0" fontId="28" fillId="0" borderId="16" xfId="0" applyFont="1" applyFill="1" applyBorder="1" applyAlignment="1">
      <alignment horizontal="left" vertical="center" wrapText="1"/>
    </xf>
    <xf numFmtId="0" fontId="28" fillId="0" borderId="16" xfId="0" applyFont="1" applyFill="1" applyBorder="1" applyAlignment="1">
      <alignment horizontal="right" vertical="center" wrapText="1"/>
    </xf>
    <xf numFmtId="4" fontId="28" fillId="0" borderId="16" xfId="0" applyNumberFormat="1" applyFont="1" applyFill="1" applyBorder="1" applyAlignment="1">
      <alignment horizontal="right" vertical="center"/>
    </xf>
    <xf numFmtId="0" fontId="28" fillId="0" borderId="0" xfId="0" applyFont="1" applyFill="1" applyAlignment="1">
      <alignment horizontal="right" vertical="center"/>
    </xf>
    <xf numFmtId="0" fontId="25" fillId="0" borderId="16" xfId="0" applyFont="1" applyFill="1" applyBorder="1" applyAlignment="1">
      <alignment horizontal="right" vertical="center" wrapText="1"/>
    </xf>
    <xf numFmtId="0" fontId="25" fillId="0" borderId="0" xfId="0" applyFont="1" applyFill="1" applyAlignment="1">
      <alignment horizontal="right" vertical="center"/>
    </xf>
    <xf numFmtId="0" fontId="28" fillId="0" borderId="0" xfId="0" applyFont="1" applyFill="1" applyAlignment="1">
      <alignment vertical="center"/>
    </xf>
    <xf numFmtId="49" fontId="25" fillId="0" borderId="16" xfId="0" applyNumberFormat="1" applyFont="1" applyFill="1" applyBorder="1" applyAlignment="1">
      <alignment horizontal="center" vertical="center"/>
    </xf>
    <xf numFmtId="49" fontId="28" fillId="0" borderId="16" xfId="0" applyNumberFormat="1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vertical="center" wrapText="1"/>
    </xf>
    <xf numFmtId="49" fontId="27" fillId="0" borderId="16" xfId="0" applyNumberFormat="1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left" vertical="center" wrapText="1"/>
    </xf>
    <xf numFmtId="0" fontId="29" fillId="0" borderId="16" xfId="0" applyFont="1" applyFill="1" applyBorder="1" applyAlignment="1">
      <alignment horizontal="left" vertical="center" wrapText="1"/>
    </xf>
    <xf numFmtId="4" fontId="29" fillId="0" borderId="16" xfId="0" applyNumberFormat="1" applyFont="1" applyFill="1" applyBorder="1" applyAlignment="1">
      <alignment horizontal="right" vertical="center"/>
    </xf>
    <xf numFmtId="0" fontId="29" fillId="0" borderId="0" xfId="0" applyFont="1" applyFill="1" applyAlignment="1">
      <alignment vertical="center"/>
    </xf>
    <xf numFmtId="49" fontId="29" fillId="0" borderId="16" xfId="0" applyNumberFormat="1" applyFont="1" applyFill="1" applyBorder="1" applyAlignment="1" applyProtection="1">
      <alignment horizontal="center" vertical="center"/>
      <protection/>
    </xf>
    <xf numFmtId="0" fontId="28" fillId="0" borderId="16" xfId="0" applyFont="1" applyFill="1" applyBorder="1" applyAlignment="1">
      <alignment vertical="center" wrapText="1"/>
    </xf>
    <xf numFmtId="0" fontId="25" fillId="0" borderId="16" xfId="0" applyFont="1" applyFill="1" applyBorder="1" applyAlignment="1">
      <alignment horizontal="justify" vertical="center"/>
    </xf>
    <xf numFmtId="4" fontId="25" fillId="0" borderId="16" xfId="0" applyNumberFormat="1" applyFont="1" applyFill="1" applyBorder="1" applyAlignment="1">
      <alignment horizontal="center" vertical="center"/>
    </xf>
    <xf numFmtId="4" fontId="28" fillId="0" borderId="16" xfId="0" applyNumberFormat="1" applyFont="1" applyFill="1" applyBorder="1" applyAlignment="1">
      <alignment horizontal="center" vertical="center"/>
    </xf>
    <xf numFmtId="0" fontId="25" fillId="0" borderId="16" xfId="0" applyNumberFormat="1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16" xfId="0" applyNumberFormat="1" applyFont="1" applyFill="1" applyBorder="1" applyAlignment="1" applyProtection="1">
      <alignment horizontal="center" vertical="center"/>
      <protection/>
    </xf>
    <xf numFmtId="0" fontId="29" fillId="0" borderId="16" xfId="0" applyNumberFormat="1" applyFont="1" applyFill="1" applyBorder="1" applyAlignment="1" applyProtection="1">
      <alignment horizontal="center" vertical="center"/>
      <protection/>
    </xf>
    <xf numFmtId="0" fontId="25" fillId="0" borderId="16" xfId="0" applyFont="1" applyFill="1" applyBorder="1" applyAlignment="1">
      <alignment wrapText="1"/>
    </xf>
    <xf numFmtId="0" fontId="28" fillId="0" borderId="16" xfId="0" applyFont="1" applyFill="1" applyBorder="1" applyAlignment="1">
      <alignment wrapText="1"/>
    </xf>
    <xf numFmtId="0" fontId="27" fillId="0" borderId="16" xfId="0" applyNumberFormat="1" applyFont="1" applyFill="1" applyBorder="1" applyAlignment="1" applyProtection="1">
      <alignment horizontal="center" vertical="center"/>
      <protection/>
    </xf>
    <xf numFmtId="4" fontId="27" fillId="0" borderId="16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25" fillId="0" borderId="16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wrapText="1"/>
    </xf>
    <xf numFmtId="3" fontId="25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/>
    </xf>
    <xf numFmtId="0" fontId="25" fillId="0" borderId="16" xfId="0" applyFont="1" applyFill="1" applyBorder="1" applyAlignment="1">
      <alignment horizontal="justify" vertical="center" wrapText="1"/>
    </xf>
    <xf numFmtId="200" fontId="25" fillId="0" borderId="16" xfId="0" applyNumberFormat="1" applyFont="1" applyFill="1" applyBorder="1" applyAlignment="1">
      <alignment horizontal="center" vertical="center" wrapText="1"/>
    </xf>
    <xf numFmtId="3" fontId="27" fillId="0" borderId="16" xfId="0" applyNumberFormat="1" applyFont="1" applyFill="1" applyBorder="1" applyAlignment="1">
      <alignment horizontal="center" vertical="center"/>
    </xf>
    <xf numFmtId="3" fontId="25" fillId="0" borderId="16" xfId="0" applyNumberFormat="1" applyFont="1" applyFill="1" applyBorder="1" applyAlignment="1">
      <alignment horizontal="center"/>
    </xf>
    <xf numFmtId="0" fontId="29" fillId="0" borderId="16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vertical="center" wrapText="1"/>
    </xf>
    <xf numFmtId="0" fontId="29" fillId="0" borderId="16" xfId="0" applyFont="1" applyFill="1" applyBorder="1" applyAlignment="1">
      <alignment/>
    </xf>
    <xf numFmtId="3" fontId="29" fillId="0" borderId="16" xfId="0" applyNumberFormat="1" applyFont="1" applyFill="1" applyBorder="1" applyAlignment="1">
      <alignment horizontal="right" vertical="center"/>
    </xf>
    <xf numFmtId="0" fontId="29" fillId="0" borderId="0" xfId="0" applyFont="1" applyFill="1" applyBorder="1" applyAlignment="1">
      <alignment horizontal="right" vertical="center"/>
    </xf>
    <xf numFmtId="0" fontId="27" fillId="0" borderId="16" xfId="0" applyFont="1" applyFill="1" applyBorder="1" applyAlignment="1">
      <alignment horizontal="left" vertical="center"/>
    </xf>
    <xf numFmtId="3" fontId="25" fillId="0" borderId="16" xfId="0" applyNumberFormat="1" applyFont="1" applyFill="1" applyBorder="1" applyAlignment="1">
      <alignment horizontal="center" vertical="center" wrapText="1"/>
    </xf>
    <xf numFmtId="200" fontId="25" fillId="0" borderId="16" xfId="0" applyNumberFormat="1" applyFont="1" applyFill="1" applyBorder="1" applyAlignment="1">
      <alignment horizontal="center" vertical="center"/>
    </xf>
    <xf numFmtId="3" fontId="28" fillId="0" borderId="16" xfId="0" applyNumberFormat="1" applyFont="1" applyFill="1" applyBorder="1" applyAlignment="1">
      <alignment horizontal="center" vertical="center"/>
    </xf>
    <xf numFmtId="200" fontId="28" fillId="0" borderId="16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/>
    </xf>
    <xf numFmtId="3" fontId="25" fillId="0" borderId="16" xfId="95" applyNumberFormat="1" applyFont="1" applyFill="1" applyBorder="1" applyAlignment="1">
      <alignment horizontal="center" vertical="center"/>
      <protection/>
    </xf>
    <xf numFmtId="200" fontId="25" fillId="0" borderId="16" xfId="95" applyNumberFormat="1" applyFont="1" applyFill="1" applyBorder="1" applyAlignment="1">
      <alignment horizontal="center" vertical="center"/>
      <protection/>
    </xf>
    <xf numFmtId="4" fontId="25" fillId="0" borderId="16" xfId="95" applyNumberFormat="1" applyFont="1" applyFill="1" applyBorder="1" applyAlignment="1">
      <alignment horizontal="center" vertical="center"/>
      <protection/>
    </xf>
    <xf numFmtId="3" fontId="28" fillId="0" borderId="16" xfId="0" applyNumberFormat="1" applyFont="1" applyFill="1" applyBorder="1" applyAlignment="1">
      <alignment horizontal="center"/>
    </xf>
    <xf numFmtId="0" fontId="27" fillId="0" borderId="16" xfId="0" applyFont="1" applyFill="1" applyBorder="1" applyAlignment="1">
      <alignment vertical="center" wrapText="1"/>
    </xf>
    <xf numFmtId="0" fontId="27" fillId="0" borderId="0" xfId="0" applyFont="1" applyFill="1" applyAlignment="1">
      <alignment wrapText="1"/>
    </xf>
    <xf numFmtId="0" fontId="25" fillId="0" borderId="16" xfId="0" applyFont="1" applyFill="1" applyBorder="1" applyAlignment="1">
      <alignment horizontal="center" wrapText="1"/>
    </xf>
    <xf numFmtId="3" fontId="27" fillId="0" borderId="16" xfId="0" applyNumberFormat="1" applyFont="1" applyFill="1" applyBorder="1" applyAlignment="1">
      <alignment horizontal="right" vertical="center"/>
    </xf>
    <xf numFmtId="203" fontId="25" fillId="0" borderId="16" xfId="0" applyNumberFormat="1" applyFont="1" applyFill="1" applyBorder="1" applyAlignment="1">
      <alignment horizontal="center" vertical="center" wrapText="1"/>
    </xf>
    <xf numFmtId="3" fontId="27" fillId="0" borderId="16" xfId="0" applyNumberFormat="1" applyFont="1" applyFill="1" applyBorder="1" applyAlignment="1">
      <alignment horizontal="center" vertical="center" wrapText="1"/>
    </xf>
    <xf numFmtId="4" fontId="27" fillId="0" borderId="16" xfId="0" applyNumberFormat="1" applyFont="1" applyFill="1" applyBorder="1" applyAlignment="1">
      <alignment horizontal="right" vertical="center" wrapText="1"/>
    </xf>
    <xf numFmtId="4" fontId="25" fillId="0" borderId="16" xfId="0" applyNumberFormat="1" applyFont="1" applyFill="1" applyBorder="1" applyAlignment="1">
      <alignment horizontal="right" vertical="center" wrapText="1"/>
    </xf>
    <xf numFmtId="2" fontId="25" fillId="0" borderId="16" xfId="0" applyNumberFormat="1" applyFont="1" applyFill="1" applyBorder="1" applyAlignment="1">
      <alignment horizontal="center" vertical="center" wrapText="1"/>
    </xf>
    <xf numFmtId="3" fontId="25" fillId="0" borderId="16" xfId="0" applyNumberFormat="1" applyFont="1" applyFill="1" applyBorder="1" applyAlignment="1">
      <alignment horizontal="left" vertical="center" wrapText="1"/>
    </xf>
    <xf numFmtId="4" fontId="25" fillId="0" borderId="16" xfId="0" applyNumberFormat="1" applyFont="1" applyFill="1" applyBorder="1" applyAlignment="1">
      <alignment vertical="center"/>
    </xf>
    <xf numFmtId="3" fontId="28" fillId="0" borderId="16" xfId="0" applyNumberFormat="1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right"/>
    </xf>
    <xf numFmtId="4" fontId="25" fillId="0" borderId="0" xfId="0" applyNumberFormat="1" applyFont="1" applyFill="1" applyAlignment="1" applyProtection="1">
      <alignment/>
      <protection/>
    </xf>
    <xf numFmtId="0" fontId="25" fillId="0" borderId="0" xfId="0" applyFont="1" applyFill="1" applyAlignment="1">
      <alignment vertical="top"/>
    </xf>
    <xf numFmtId="1" fontId="27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 textRotation="180"/>
    </xf>
    <xf numFmtId="0" fontId="27" fillId="0" borderId="16" xfId="0" applyFont="1" applyFill="1" applyBorder="1" applyAlignment="1">
      <alignment wrapText="1"/>
    </xf>
    <xf numFmtId="3" fontId="27" fillId="0" borderId="16" xfId="0" applyNumberFormat="1" applyFont="1" applyFill="1" applyBorder="1" applyAlignment="1">
      <alignment horizontal="center"/>
    </xf>
    <xf numFmtId="200" fontId="27" fillId="0" borderId="16" xfId="0" applyNumberFormat="1" applyFont="1" applyFill="1" applyBorder="1" applyAlignment="1">
      <alignment horizontal="center" vertical="center" wrapText="1"/>
    </xf>
    <xf numFmtId="2" fontId="27" fillId="0" borderId="16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/>
    </xf>
    <xf numFmtId="3" fontId="27" fillId="0" borderId="16" xfId="0" applyNumberFormat="1" applyFont="1" applyFill="1" applyBorder="1" applyAlignment="1">
      <alignment horizontal="left" vertical="center" wrapText="1"/>
    </xf>
    <xf numFmtId="4" fontId="27" fillId="0" borderId="16" xfId="0" applyNumberFormat="1" applyFont="1" applyFill="1" applyBorder="1" applyAlignment="1">
      <alignment vertical="center"/>
    </xf>
    <xf numFmtId="0" fontId="27" fillId="0" borderId="16" xfId="0" applyNumberFormat="1" applyFont="1" applyFill="1" applyBorder="1" applyAlignment="1" applyProtection="1">
      <alignment/>
      <protection/>
    </xf>
    <xf numFmtId="0" fontId="28" fillId="0" borderId="16" xfId="0" applyNumberFormat="1" applyFont="1" applyFill="1" applyBorder="1" applyAlignment="1" applyProtection="1">
      <alignment/>
      <protection/>
    </xf>
    <xf numFmtId="49" fontId="25" fillId="0" borderId="16" xfId="0" applyNumberFormat="1" applyFont="1" applyFill="1" applyBorder="1" applyAlignment="1" applyProtection="1">
      <alignment horizontal="center"/>
      <protection/>
    </xf>
    <xf numFmtId="0" fontId="25" fillId="0" borderId="16" xfId="0" applyNumberFormat="1" applyFont="1" applyFill="1" applyBorder="1" applyAlignment="1" applyProtection="1">
      <alignment horizontal="center"/>
      <protection/>
    </xf>
    <xf numFmtId="0" fontId="25" fillId="0" borderId="16" xfId="0" applyNumberFormat="1" applyFont="1" applyFill="1" applyBorder="1" applyAlignment="1" applyProtection="1">
      <alignment/>
      <protection/>
    </xf>
    <xf numFmtId="0" fontId="25" fillId="0" borderId="16" xfId="0" applyFont="1" applyFill="1" applyBorder="1" applyAlignment="1">
      <alignment horizontal="right"/>
    </xf>
    <xf numFmtId="0" fontId="25" fillId="0" borderId="16" xfId="0" applyFont="1" applyFill="1" applyBorder="1" applyAlignment="1">
      <alignment/>
    </xf>
    <xf numFmtId="0" fontId="27" fillId="0" borderId="0" xfId="0" applyFont="1" applyFill="1" applyAlignment="1">
      <alignment/>
    </xf>
    <xf numFmtId="0" fontId="25" fillId="0" borderId="16" xfId="0" applyFont="1" applyFill="1" applyBorder="1" applyAlignment="1">
      <alignment vertical="center"/>
    </xf>
    <xf numFmtId="0" fontId="28" fillId="0" borderId="16" xfId="0" applyFont="1" applyFill="1" applyBorder="1" applyAlignment="1">
      <alignment vertical="center"/>
    </xf>
    <xf numFmtId="200" fontId="27" fillId="0" borderId="16" xfId="0" applyNumberFormat="1" applyFont="1" applyFill="1" applyBorder="1" applyAlignment="1">
      <alignment horizontal="right" vertical="center"/>
    </xf>
    <xf numFmtId="200" fontId="25" fillId="0" borderId="16" xfId="0" applyNumberFormat="1" applyFont="1" applyFill="1" applyBorder="1" applyAlignment="1">
      <alignment horizontal="right" vertical="center"/>
    </xf>
    <xf numFmtId="200" fontId="28" fillId="0" borderId="16" xfId="0" applyNumberFormat="1" applyFont="1" applyFill="1" applyBorder="1" applyAlignment="1">
      <alignment vertical="center"/>
    </xf>
    <xf numFmtId="200" fontId="25" fillId="0" borderId="16" xfId="0" applyNumberFormat="1" applyFont="1" applyFill="1" applyBorder="1" applyAlignment="1">
      <alignment vertical="center"/>
    </xf>
    <xf numFmtId="200" fontId="28" fillId="0" borderId="16" xfId="0" applyNumberFormat="1" applyFont="1" applyFill="1" applyBorder="1" applyAlignment="1">
      <alignment/>
    </xf>
    <xf numFmtId="200" fontId="29" fillId="0" borderId="16" xfId="0" applyNumberFormat="1" applyFont="1" applyFill="1" applyBorder="1" applyAlignment="1">
      <alignment horizontal="right" vertical="center"/>
    </xf>
    <xf numFmtId="200" fontId="27" fillId="0" borderId="16" xfId="0" applyNumberFormat="1" applyFont="1" applyFill="1" applyBorder="1" applyAlignment="1">
      <alignment vertical="center"/>
    </xf>
    <xf numFmtId="200" fontId="27" fillId="0" borderId="16" xfId="0" applyNumberFormat="1" applyFont="1" applyFill="1" applyBorder="1" applyAlignment="1">
      <alignment horizontal="right" vertical="center" wrapText="1"/>
    </xf>
    <xf numFmtId="2" fontId="28" fillId="0" borderId="16" xfId="0" applyNumberFormat="1" applyFont="1" applyFill="1" applyBorder="1" applyAlignment="1">
      <alignment horizontal="center" vertical="center" wrapText="1"/>
    </xf>
    <xf numFmtId="200" fontId="27" fillId="0" borderId="16" xfId="0" applyNumberFormat="1" applyFont="1" applyFill="1" applyBorder="1" applyAlignment="1">
      <alignment/>
    </xf>
    <xf numFmtId="200" fontId="27" fillId="0" borderId="0" xfId="0" applyNumberFormat="1" applyFont="1" applyFill="1" applyAlignment="1">
      <alignment vertical="center"/>
    </xf>
    <xf numFmtId="0" fontId="27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right"/>
    </xf>
    <xf numFmtId="203" fontId="28" fillId="0" borderId="0" xfId="0" applyNumberFormat="1" applyFont="1" applyFill="1" applyAlignment="1">
      <alignment horizontal="right" vertical="center"/>
    </xf>
    <xf numFmtId="203" fontId="25" fillId="0" borderId="0" xfId="0" applyNumberFormat="1" applyFont="1" applyFill="1" applyAlignment="1">
      <alignment vertical="center"/>
    </xf>
    <xf numFmtId="203" fontId="28" fillId="0" borderId="0" xfId="0" applyNumberFormat="1" applyFont="1" applyFill="1" applyAlignment="1">
      <alignment vertical="center"/>
    </xf>
    <xf numFmtId="203" fontId="27" fillId="0" borderId="0" xfId="0" applyNumberFormat="1" applyFont="1" applyFill="1" applyAlignment="1">
      <alignment vertical="center"/>
    </xf>
    <xf numFmtId="203" fontId="29" fillId="0" borderId="0" xfId="0" applyNumberFormat="1" applyFont="1" applyFill="1" applyAlignment="1">
      <alignment vertical="center"/>
    </xf>
    <xf numFmtId="203" fontId="28" fillId="0" borderId="0" xfId="0" applyNumberFormat="1" applyFont="1" applyFill="1" applyBorder="1" applyAlignment="1">
      <alignment vertical="center"/>
    </xf>
    <xf numFmtId="203" fontId="25" fillId="0" borderId="0" xfId="0" applyNumberFormat="1" applyFont="1" applyFill="1" applyBorder="1" applyAlignment="1">
      <alignment vertical="center"/>
    </xf>
    <xf numFmtId="203" fontId="25" fillId="0" borderId="0" xfId="0" applyNumberFormat="1" applyFont="1" applyFill="1" applyBorder="1" applyAlignment="1">
      <alignment/>
    </xf>
    <xf numFmtId="203" fontId="27" fillId="0" borderId="0" xfId="0" applyNumberFormat="1" applyFont="1" applyFill="1" applyBorder="1" applyAlignment="1">
      <alignment vertical="center"/>
    </xf>
    <xf numFmtId="203" fontId="29" fillId="0" borderId="0" xfId="0" applyNumberFormat="1" applyFont="1" applyFill="1" applyBorder="1" applyAlignment="1">
      <alignment horizontal="right" vertical="center"/>
    </xf>
    <xf numFmtId="203" fontId="28" fillId="0" borderId="0" xfId="0" applyNumberFormat="1" applyFont="1" applyFill="1" applyBorder="1" applyAlignment="1">
      <alignment/>
    </xf>
    <xf numFmtId="203" fontId="27" fillId="0" borderId="0" xfId="0" applyNumberFormat="1" applyFont="1" applyFill="1" applyBorder="1" applyAlignment="1">
      <alignment/>
    </xf>
    <xf numFmtId="203" fontId="25" fillId="0" borderId="0" xfId="0" applyNumberFormat="1" applyFont="1" applyFill="1" applyAlignment="1">
      <alignment/>
    </xf>
    <xf numFmtId="0" fontId="28" fillId="0" borderId="16" xfId="0" applyFont="1" applyFill="1" applyBorder="1" applyAlignment="1">
      <alignment horizontal="justify" vertical="center"/>
    </xf>
    <xf numFmtId="0" fontId="29" fillId="0" borderId="16" xfId="0" applyFont="1" applyFill="1" applyBorder="1" applyAlignment="1">
      <alignment wrapText="1"/>
    </xf>
    <xf numFmtId="0" fontId="27" fillId="0" borderId="0" xfId="0" applyNumberFormat="1" applyFont="1" applyFill="1" applyBorder="1" applyAlignment="1" applyProtection="1">
      <alignment vertical="center" wrapText="1"/>
      <protection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49" fontId="32" fillId="0" borderId="16" xfId="0" applyNumberFormat="1" applyFont="1" applyFill="1" applyBorder="1" applyAlignment="1" applyProtection="1">
      <alignment horizontal="center" vertical="center" wrapText="1"/>
      <protection/>
    </xf>
    <xf numFmtId="0" fontId="32" fillId="0" borderId="16" xfId="0" applyNumberFormat="1" applyFont="1" applyFill="1" applyBorder="1" applyAlignment="1" applyProtection="1">
      <alignment horizontal="center" vertical="center" wrapText="1"/>
      <protection/>
    </xf>
    <xf numFmtId="0" fontId="32" fillId="0" borderId="16" xfId="0" applyFont="1" applyFill="1" applyBorder="1" applyAlignment="1">
      <alignment horizontal="center"/>
    </xf>
    <xf numFmtId="0" fontId="32" fillId="0" borderId="0" xfId="0" applyFont="1" applyFill="1" applyAlignment="1">
      <alignment/>
    </xf>
    <xf numFmtId="0" fontId="29" fillId="0" borderId="0" xfId="0" applyFont="1" applyFill="1" applyAlignment="1">
      <alignment horizontal="right" vertical="center"/>
    </xf>
    <xf numFmtId="0" fontId="28" fillId="0" borderId="0" xfId="0" applyFont="1" applyFill="1" applyAlignment="1">
      <alignment/>
    </xf>
    <xf numFmtId="200" fontId="28" fillId="0" borderId="0" xfId="0" applyNumberFormat="1" applyFont="1" applyFill="1" applyAlignment="1">
      <alignment vertical="center"/>
    </xf>
    <xf numFmtId="0" fontId="30" fillId="0" borderId="0" xfId="0" applyNumberFormat="1" applyFont="1" applyFill="1" applyAlignment="1" applyProtection="1">
      <alignment/>
      <protection/>
    </xf>
    <xf numFmtId="0" fontId="30" fillId="0" borderId="0" xfId="0" applyNumberFormat="1" applyFont="1" applyFill="1" applyAlignment="1" applyProtection="1">
      <alignment horizontal="center"/>
      <protection/>
    </xf>
    <xf numFmtId="0" fontId="30" fillId="0" borderId="0" xfId="0" applyNumberFormat="1" applyFont="1" applyFill="1" applyAlignment="1" applyProtection="1">
      <alignment horizontal="left"/>
      <protection/>
    </xf>
    <xf numFmtId="49" fontId="30" fillId="0" borderId="0" xfId="0" applyNumberFormat="1" applyFont="1" applyFill="1" applyAlignment="1" applyProtection="1">
      <alignment horizontal="center"/>
      <protection/>
    </xf>
    <xf numFmtId="0" fontId="30" fillId="0" borderId="0" xfId="0" applyFont="1" applyFill="1" applyAlignment="1">
      <alignment horizontal="left"/>
    </xf>
    <xf numFmtId="0" fontId="30" fillId="0" borderId="0" xfId="0" applyFont="1" applyFill="1" applyBorder="1" applyAlignment="1">
      <alignment horizontal="right"/>
    </xf>
    <xf numFmtId="0" fontId="30" fillId="0" borderId="0" xfId="0" applyFont="1" applyFill="1" applyAlignment="1">
      <alignment/>
    </xf>
    <xf numFmtId="200" fontId="31" fillId="0" borderId="0" xfId="0" applyNumberFormat="1" applyFont="1" applyFill="1" applyAlignment="1">
      <alignment vertical="center"/>
    </xf>
    <xf numFmtId="0" fontId="30" fillId="0" borderId="0" xfId="0" applyNumberFormat="1" applyFont="1" applyFill="1" applyAlignment="1" applyProtection="1">
      <alignment horizontal="left"/>
      <protection/>
    </xf>
    <xf numFmtId="0" fontId="27" fillId="0" borderId="16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Alignment="1">
      <alignment horizontal="center" wrapText="1"/>
    </xf>
    <xf numFmtId="0" fontId="26" fillId="0" borderId="0" xfId="0" applyNumberFormat="1" applyFont="1" applyFill="1" applyAlignment="1" applyProtection="1">
      <alignment horizontal="left"/>
      <protection/>
    </xf>
    <xf numFmtId="0" fontId="27" fillId="0" borderId="16" xfId="0" applyFont="1" applyFill="1" applyBorder="1" applyAlignment="1">
      <alignment horizontal="center" vertical="center" wrapText="1"/>
    </xf>
    <xf numFmtId="0" fontId="31" fillId="0" borderId="0" xfId="0" applyNumberFormat="1" applyFont="1" applyFill="1" applyBorder="1" applyAlignment="1" applyProtection="1">
      <alignment horizontal="center" vertical="center" wrapText="1"/>
      <protection/>
    </xf>
    <xf numFmtId="49" fontId="27" fillId="0" borderId="16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>
      <alignment horizontal="left" vertical="distributed" wrapText="1"/>
    </xf>
    <xf numFmtId="0" fontId="25" fillId="0" borderId="0" xfId="0" applyNumberFormat="1" applyFont="1" applyFill="1" applyAlignment="1" applyProtection="1">
      <alignment horizontal="left"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W348"/>
  <sheetViews>
    <sheetView showGridLines="0" showZeros="0" tabSelected="1" view="pageBreakPreview" zoomScale="60" zoomScaleNormal="70" zoomScalePageLayoutView="0" workbookViewId="0" topLeftCell="D327">
      <selection activeCell="D10" sqref="A10:IV10"/>
    </sheetView>
  </sheetViews>
  <sheetFormatPr defaultColWidth="9.16015625" defaultRowHeight="12.75"/>
  <cols>
    <col min="1" max="1" width="17.16015625" style="1" hidden="1" customWidth="1"/>
    <col min="2" max="2" width="10.83203125" style="2" hidden="1" customWidth="1"/>
    <col min="3" max="3" width="10.5" style="2" hidden="1" customWidth="1"/>
    <col min="4" max="4" width="158.66015625" style="3" customWidth="1"/>
    <col min="5" max="5" width="113.83203125" style="3" hidden="1" customWidth="1"/>
    <col min="6" max="6" width="14.5" style="3" hidden="1" customWidth="1"/>
    <col min="7" max="7" width="33" style="3" customWidth="1"/>
    <col min="8" max="8" width="32.5" style="3" customWidth="1"/>
    <col min="9" max="9" width="19.5" style="3" hidden="1" customWidth="1"/>
    <col min="10" max="10" width="33.16015625" style="3" customWidth="1"/>
    <col min="11" max="11" width="27.16015625" style="84" hidden="1" customWidth="1"/>
    <col min="12" max="12" width="24.66015625" style="5" hidden="1" customWidth="1"/>
    <col min="13" max="13" width="25.83203125" style="5" hidden="1" customWidth="1"/>
    <col min="14" max="14" width="36.83203125" style="5" customWidth="1"/>
    <col min="15" max="15" width="36.66015625" style="5" customWidth="1"/>
    <col min="16" max="16" width="23.66015625" style="5" customWidth="1"/>
    <col min="17" max="17" width="17.83203125" style="5" customWidth="1"/>
    <col min="18" max="18" width="17.5" style="5" customWidth="1"/>
    <col min="19" max="19" width="22.16015625" style="5" customWidth="1"/>
    <col min="20" max="16384" width="9.16015625" style="5" customWidth="1"/>
  </cols>
  <sheetData>
    <row r="1" spans="7:14" ht="46.5" customHeight="1">
      <c r="G1" s="151" t="s">
        <v>489</v>
      </c>
      <c r="H1" s="151"/>
      <c r="I1" s="151"/>
      <c r="J1" s="151"/>
      <c r="K1" s="151"/>
      <c r="L1" s="151"/>
      <c r="M1" s="151"/>
      <c r="N1" s="151"/>
    </row>
    <row r="2" spans="7:14" ht="30" customHeight="1">
      <c r="G2" s="151" t="s">
        <v>483</v>
      </c>
      <c r="H2" s="151"/>
      <c r="I2" s="151"/>
      <c r="J2" s="151"/>
      <c r="K2" s="151"/>
      <c r="L2" s="151"/>
      <c r="M2" s="151"/>
      <c r="N2" s="151"/>
    </row>
    <row r="3" spans="7:14" ht="30" customHeight="1">
      <c r="G3" s="151" t="s">
        <v>484</v>
      </c>
      <c r="H3" s="151"/>
      <c r="I3" s="151"/>
      <c r="J3" s="151"/>
      <c r="K3" s="151"/>
      <c r="L3" s="151"/>
      <c r="M3" s="151"/>
      <c r="N3" s="151"/>
    </row>
    <row r="4" spans="7:14" ht="30" customHeight="1">
      <c r="G4" s="151" t="s">
        <v>485</v>
      </c>
      <c r="H4" s="151"/>
      <c r="I4" s="151"/>
      <c r="J4" s="151"/>
      <c r="K4" s="151"/>
      <c r="L4" s="151"/>
      <c r="M4" s="151"/>
      <c r="N4" s="151"/>
    </row>
    <row r="5" spans="7:14" ht="30" customHeight="1">
      <c r="G5" s="151" t="s">
        <v>486</v>
      </c>
      <c r="H5" s="151"/>
      <c r="I5" s="151"/>
      <c r="J5" s="151"/>
      <c r="K5" s="151"/>
      <c r="L5" s="151"/>
      <c r="M5" s="151"/>
      <c r="N5" s="151"/>
    </row>
    <row r="6" spans="7:14" ht="30" customHeight="1">
      <c r="G6" s="151" t="s">
        <v>487</v>
      </c>
      <c r="H6" s="151"/>
      <c r="I6" s="151"/>
      <c r="J6" s="151"/>
      <c r="K6" s="151"/>
      <c r="L6" s="151"/>
      <c r="M6" s="151"/>
      <c r="N6" s="151"/>
    </row>
    <row r="7" spans="7:14" ht="30" customHeight="1">
      <c r="G7" s="151" t="s">
        <v>488</v>
      </c>
      <c r="H7" s="151"/>
      <c r="I7" s="151"/>
      <c r="J7" s="151"/>
      <c r="K7" s="151"/>
      <c r="L7" s="151"/>
      <c r="M7" s="151"/>
      <c r="N7" s="151"/>
    </row>
    <row r="8" spans="9:13" ht="32.25" customHeight="1">
      <c r="I8" s="154"/>
      <c r="J8" s="154"/>
      <c r="K8" s="154"/>
      <c r="L8" s="154"/>
      <c r="M8" s="154"/>
    </row>
    <row r="9" spans="9:13" ht="32.25" customHeight="1">
      <c r="I9" s="4"/>
      <c r="J9" s="4"/>
      <c r="K9" s="4"/>
      <c r="L9" s="4"/>
      <c r="M9" s="4"/>
    </row>
    <row r="10" spans="4:13" ht="41.25" customHeight="1">
      <c r="D10" s="6"/>
      <c r="E10" s="6"/>
      <c r="F10" s="6"/>
      <c r="G10" s="6"/>
      <c r="H10" s="7"/>
      <c r="I10" s="4"/>
      <c r="J10" s="4"/>
      <c r="K10" s="4"/>
      <c r="L10" s="4"/>
      <c r="M10" s="4"/>
    </row>
    <row r="11" spans="1:14" ht="39.75" customHeight="1">
      <c r="A11" s="134"/>
      <c r="B11" s="134"/>
      <c r="C11" s="134"/>
      <c r="D11" s="156" t="s">
        <v>462</v>
      </c>
      <c r="E11" s="156"/>
      <c r="F11" s="156"/>
      <c r="G11" s="156"/>
      <c r="H11" s="156"/>
      <c r="I11" s="156"/>
      <c r="J11" s="156"/>
      <c r="K11" s="156"/>
      <c r="L11" s="156"/>
      <c r="M11" s="156"/>
      <c r="N11" s="156"/>
    </row>
    <row r="12" spans="1:14" ht="37.5" customHeight="1">
      <c r="A12" s="135"/>
      <c r="B12" s="135"/>
      <c r="C12" s="135"/>
      <c r="D12" s="156" t="s">
        <v>463</v>
      </c>
      <c r="E12" s="156"/>
      <c r="F12" s="156"/>
      <c r="G12" s="156"/>
      <c r="H12" s="156"/>
      <c r="I12" s="156"/>
      <c r="J12" s="156"/>
      <c r="K12" s="156"/>
      <c r="L12" s="156"/>
      <c r="M12" s="156"/>
      <c r="N12" s="156"/>
    </row>
    <row r="13" spans="4:14" ht="20.25">
      <c r="D13" s="8"/>
      <c r="E13" s="8"/>
      <c r="F13" s="8"/>
      <c r="G13" s="8"/>
      <c r="H13" s="8"/>
      <c r="I13" s="8"/>
      <c r="J13" s="8"/>
      <c r="K13" s="8"/>
      <c r="M13" s="9"/>
      <c r="N13" s="118" t="s">
        <v>460</v>
      </c>
    </row>
    <row r="14" spans="1:17" s="103" customFormat="1" ht="20.25">
      <c r="A14" s="157" t="s">
        <v>47</v>
      </c>
      <c r="B14" s="152" t="s">
        <v>48</v>
      </c>
      <c r="C14" s="152" t="s">
        <v>24</v>
      </c>
      <c r="D14" s="152" t="s">
        <v>461</v>
      </c>
      <c r="E14" s="155" t="s">
        <v>167</v>
      </c>
      <c r="F14" s="152" t="s">
        <v>168</v>
      </c>
      <c r="G14" s="152" t="s">
        <v>168</v>
      </c>
      <c r="H14" s="152" t="s">
        <v>169</v>
      </c>
      <c r="I14" s="152" t="s">
        <v>170</v>
      </c>
      <c r="J14" s="152" t="s">
        <v>170</v>
      </c>
      <c r="K14" s="152" t="s">
        <v>171</v>
      </c>
      <c r="L14" s="155" t="s">
        <v>215</v>
      </c>
      <c r="M14" s="155" t="s">
        <v>216</v>
      </c>
      <c r="N14" s="152" t="s">
        <v>171</v>
      </c>
      <c r="P14" s="153"/>
      <c r="Q14" s="117"/>
    </row>
    <row r="15" spans="1:17" s="103" customFormat="1" ht="42" customHeight="1">
      <c r="A15" s="157"/>
      <c r="B15" s="152"/>
      <c r="C15" s="152"/>
      <c r="D15" s="152"/>
      <c r="E15" s="155"/>
      <c r="F15" s="152"/>
      <c r="G15" s="152"/>
      <c r="H15" s="152"/>
      <c r="I15" s="152"/>
      <c r="J15" s="152"/>
      <c r="K15" s="152"/>
      <c r="L15" s="155"/>
      <c r="M15" s="155"/>
      <c r="N15" s="152"/>
      <c r="O15" s="73"/>
      <c r="P15" s="153"/>
      <c r="Q15" s="117"/>
    </row>
    <row r="16" spans="1:17" s="103" customFormat="1" ht="53.25" customHeight="1">
      <c r="A16" s="157"/>
      <c r="B16" s="152"/>
      <c r="C16" s="152"/>
      <c r="D16" s="152"/>
      <c r="E16" s="155"/>
      <c r="F16" s="152"/>
      <c r="G16" s="152"/>
      <c r="H16" s="152"/>
      <c r="I16" s="152"/>
      <c r="J16" s="152"/>
      <c r="K16" s="152"/>
      <c r="L16" s="155"/>
      <c r="M16" s="155"/>
      <c r="N16" s="152"/>
      <c r="P16" s="153"/>
      <c r="Q16" s="117"/>
    </row>
    <row r="17" spans="1:14" s="139" customFormat="1" ht="19.5" customHeight="1">
      <c r="A17" s="136"/>
      <c r="B17" s="137"/>
      <c r="C17" s="137"/>
      <c r="D17" s="137">
        <v>1</v>
      </c>
      <c r="E17" s="137"/>
      <c r="F17" s="137"/>
      <c r="G17" s="137">
        <v>2</v>
      </c>
      <c r="H17" s="137">
        <v>3</v>
      </c>
      <c r="I17" s="137"/>
      <c r="J17" s="137">
        <v>4</v>
      </c>
      <c r="K17" s="137"/>
      <c r="L17" s="138"/>
      <c r="M17" s="138"/>
      <c r="N17" s="137">
        <v>5</v>
      </c>
    </row>
    <row r="18" spans="1:19" s="13" customFormat="1" ht="34.5" customHeight="1">
      <c r="A18" s="11" t="s">
        <v>73</v>
      </c>
      <c r="B18" s="11"/>
      <c r="C18" s="11"/>
      <c r="D18" s="72" t="s">
        <v>17</v>
      </c>
      <c r="E18" s="72"/>
      <c r="F18" s="72"/>
      <c r="G18" s="54">
        <f>ROUND(F18/1000,1)</f>
        <v>0</v>
      </c>
      <c r="H18" s="72"/>
      <c r="I18" s="72"/>
      <c r="J18" s="54">
        <f>ROUND(I18/1000,1)</f>
        <v>0</v>
      </c>
      <c r="K18" s="12" t="e">
        <f>K19+K20+K23+K27+K30+#REF!+K35+K33+K25+K22+K34+K37+K40+K38+K39</f>
        <v>#REF!</v>
      </c>
      <c r="L18" s="12" t="e">
        <f>L19+L20+L23+L27+L30+#REF!+L35+L33+L25+L22+L34+L37+L40+L38+L39</f>
        <v>#REF!</v>
      </c>
      <c r="M18" s="12" t="e">
        <f>M19+M20+M23+M27+M30+#REF!+M35+M33+M25+M22+M34+M37+M40+M38+M39</f>
        <v>#REF!</v>
      </c>
      <c r="N18" s="106">
        <f>N19+N20+N23+N27+N30+N35+N33+N25+N22+N34+N37+N40+N38+N39</f>
        <v>49680.70000000001</v>
      </c>
      <c r="O18" s="17"/>
      <c r="P18" s="116"/>
      <c r="R18" s="120"/>
      <c r="S18" s="116"/>
    </row>
    <row r="19" spans="1:19" s="17" customFormat="1" ht="56.25" customHeight="1">
      <c r="A19" s="14" t="s">
        <v>74</v>
      </c>
      <c r="B19" s="14" t="s">
        <v>55</v>
      </c>
      <c r="C19" s="14" t="s">
        <v>23</v>
      </c>
      <c r="D19" s="15" t="s">
        <v>56</v>
      </c>
      <c r="E19" s="15"/>
      <c r="F19" s="15"/>
      <c r="G19" s="54">
        <f aca="true" t="shared" si="0" ref="G19:G80">ROUND(F19/1000,1)</f>
        <v>0</v>
      </c>
      <c r="H19" s="15"/>
      <c r="I19" s="15"/>
      <c r="J19" s="54">
        <f aca="true" t="shared" si="1" ref="J19:J80">ROUND(I19/1000,1)</f>
        <v>0</v>
      </c>
      <c r="K19" s="16">
        <f>4000000-1295000+302014+31200</f>
        <v>3038214</v>
      </c>
      <c r="L19" s="16">
        <v>180000</v>
      </c>
      <c r="M19" s="16">
        <f>L19+K19</f>
        <v>3218214</v>
      </c>
      <c r="N19" s="104">
        <f aca="true" t="shared" si="2" ref="N19:N73">ROUND(M19/1000,1)</f>
        <v>3218.2</v>
      </c>
      <c r="P19" s="116"/>
      <c r="Q19" s="13"/>
      <c r="R19" s="121"/>
      <c r="S19" s="116"/>
    </row>
    <row r="20" spans="1:19" s="17" customFormat="1" ht="45" customHeight="1">
      <c r="A20" s="14" t="s">
        <v>75</v>
      </c>
      <c r="B20" s="14" t="s">
        <v>59</v>
      </c>
      <c r="C20" s="14"/>
      <c r="D20" s="15" t="s">
        <v>418</v>
      </c>
      <c r="E20" s="15"/>
      <c r="F20" s="15"/>
      <c r="G20" s="54">
        <f t="shared" si="0"/>
        <v>0</v>
      </c>
      <c r="H20" s="15"/>
      <c r="I20" s="15"/>
      <c r="J20" s="54">
        <f t="shared" si="1"/>
        <v>0</v>
      </c>
      <c r="K20" s="16">
        <f>K21</f>
        <v>705500</v>
      </c>
      <c r="L20" s="16">
        <f>L21</f>
        <v>0</v>
      </c>
      <c r="M20" s="16">
        <f>M21</f>
        <v>705500</v>
      </c>
      <c r="N20" s="107">
        <f>N21</f>
        <v>790.5</v>
      </c>
      <c r="O20" s="22"/>
      <c r="P20" s="116"/>
      <c r="Q20" s="13"/>
      <c r="R20" s="120"/>
      <c r="S20" s="116"/>
    </row>
    <row r="21" spans="1:19" s="22" customFormat="1" ht="33.75" customHeight="1">
      <c r="A21" s="18" t="s">
        <v>76</v>
      </c>
      <c r="B21" s="18" t="s">
        <v>60</v>
      </c>
      <c r="C21" s="18" t="s">
        <v>46</v>
      </c>
      <c r="D21" s="19" t="s">
        <v>61</v>
      </c>
      <c r="E21" s="20"/>
      <c r="F21" s="20"/>
      <c r="G21" s="66">
        <f t="shared" si="0"/>
        <v>0</v>
      </c>
      <c r="H21" s="20"/>
      <c r="I21" s="20"/>
      <c r="J21" s="66">
        <f t="shared" si="1"/>
        <v>0</v>
      </c>
      <c r="K21" s="21">
        <f>20500+385000+300000</f>
        <v>705500</v>
      </c>
      <c r="L21" s="21"/>
      <c r="M21" s="21">
        <f>L21+K21</f>
        <v>705500</v>
      </c>
      <c r="N21" s="105">
        <f>ROUND(M21/1000,1)+85</f>
        <v>790.5</v>
      </c>
      <c r="O21" s="24"/>
      <c r="P21" s="116"/>
      <c r="Q21" s="13"/>
      <c r="R21" s="121"/>
      <c r="S21" s="116"/>
    </row>
    <row r="22" spans="1:19" s="24" customFormat="1" ht="63" customHeight="1">
      <c r="A22" s="14" t="s">
        <v>237</v>
      </c>
      <c r="B22" s="14" t="s">
        <v>238</v>
      </c>
      <c r="C22" s="14" t="s">
        <v>236</v>
      </c>
      <c r="D22" s="15" t="s">
        <v>235</v>
      </c>
      <c r="E22" s="23"/>
      <c r="F22" s="23"/>
      <c r="G22" s="54">
        <f t="shared" si="0"/>
        <v>0</v>
      </c>
      <c r="H22" s="23"/>
      <c r="I22" s="23"/>
      <c r="J22" s="54">
        <f t="shared" si="1"/>
        <v>0</v>
      </c>
      <c r="K22" s="16">
        <v>28500</v>
      </c>
      <c r="L22" s="16"/>
      <c r="M22" s="16">
        <f>L22+K22</f>
        <v>28500</v>
      </c>
      <c r="N22" s="104">
        <f t="shared" si="2"/>
        <v>28.5</v>
      </c>
      <c r="O22" s="17"/>
      <c r="P22" s="116"/>
      <c r="Q22" s="13"/>
      <c r="R22" s="120"/>
      <c r="S22" s="116"/>
    </row>
    <row r="23" spans="1:19" s="17" customFormat="1" ht="42.75" customHeight="1">
      <c r="A23" s="14" t="s">
        <v>77</v>
      </c>
      <c r="B23" s="14" t="s">
        <v>5</v>
      </c>
      <c r="C23" s="14"/>
      <c r="D23" s="15" t="s">
        <v>419</v>
      </c>
      <c r="E23" s="15"/>
      <c r="F23" s="15"/>
      <c r="G23" s="54">
        <f t="shared" si="0"/>
        <v>0</v>
      </c>
      <c r="H23" s="15"/>
      <c r="I23" s="15"/>
      <c r="J23" s="54">
        <f t="shared" si="1"/>
        <v>0</v>
      </c>
      <c r="K23" s="16">
        <f>K24</f>
        <v>20500</v>
      </c>
      <c r="L23" s="16">
        <f>L24</f>
        <v>0</v>
      </c>
      <c r="M23" s="16">
        <f>M24</f>
        <v>20500</v>
      </c>
      <c r="N23" s="107">
        <f>N24</f>
        <v>20.5</v>
      </c>
      <c r="O23" s="25"/>
      <c r="P23" s="116"/>
      <c r="Q23" s="13"/>
      <c r="R23" s="119"/>
      <c r="S23" s="116"/>
    </row>
    <row r="24" spans="1:19" s="25" customFormat="1" ht="33.75" customHeight="1">
      <c r="A24" s="18" t="s">
        <v>190</v>
      </c>
      <c r="B24" s="18" t="s">
        <v>191</v>
      </c>
      <c r="C24" s="18" t="s">
        <v>41</v>
      </c>
      <c r="D24" s="19" t="s">
        <v>192</v>
      </c>
      <c r="E24" s="19"/>
      <c r="F24" s="19"/>
      <c r="G24" s="66">
        <f t="shared" si="0"/>
        <v>0</v>
      </c>
      <c r="H24" s="19"/>
      <c r="I24" s="19"/>
      <c r="J24" s="66">
        <f t="shared" si="1"/>
        <v>0</v>
      </c>
      <c r="K24" s="21">
        <f>49000-28500</f>
        <v>20500</v>
      </c>
      <c r="L24" s="21"/>
      <c r="M24" s="21">
        <f>L24+K24</f>
        <v>20500</v>
      </c>
      <c r="N24" s="105">
        <f t="shared" si="2"/>
        <v>20.5</v>
      </c>
      <c r="O24" s="17"/>
      <c r="P24" s="116"/>
      <c r="Q24" s="13"/>
      <c r="R24" s="119"/>
      <c r="S24" s="116"/>
    </row>
    <row r="25" spans="1:19" s="17" customFormat="1" ht="28.5" customHeight="1">
      <c r="A25" s="14" t="s">
        <v>217</v>
      </c>
      <c r="B25" s="14" t="s">
        <v>219</v>
      </c>
      <c r="C25" s="14"/>
      <c r="D25" s="15" t="s">
        <v>420</v>
      </c>
      <c r="E25" s="15"/>
      <c r="F25" s="15"/>
      <c r="G25" s="54">
        <f t="shared" si="0"/>
        <v>0</v>
      </c>
      <c r="H25" s="15"/>
      <c r="I25" s="15"/>
      <c r="J25" s="54">
        <f t="shared" si="1"/>
        <v>0</v>
      </c>
      <c r="K25" s="16">
        <f>K26</f>
        <v>177000</v>
      </c>
      <c r="L25" s="16">
        <f>L26</f>
        <v>0</v>
      </c>
      <c r="M25" s="16">
        <f>M26</f>
        <v>177000</v>
      </c>
      <c r="N25" s="107">
        <f>N26</f>
        <v>177</v>
      </c>
      <c r="O25" s="25"/>
      <c r="P25" s="116"/>
      <c r="Q25" s="13"/>
      <c r="R25" s="121"/>
      <c r="S25" s="116"/>
    </row>
    <row r="26" spans="1:19" s="25" customFormat="1" ht="50.25" customHeight="1">
      <c r="A26" s="18" t="s">
        <v>218</v>
      </c>
      <c r="B26" s="18" t="s">
        <v>220</v>
      </c>
      <c r="C26" s="18" t="s">
        <v>42</v>
      </c>
      <c r="D26" s="19" t="s">
        <v>221</v>
      </c>
      <c r="E26" s="19"/>
      <c r="F26" s="19"/>
      <c r="G26" s="66">
        <f t="shared" si="0"/>
        <v>0</v>
      </c>
      <c r="H26" s="19"/>
      <c r="I26" s="19"/>
      <c r="J26" s="66">
        <f t="shared" si="1"/>
        <v>0</v>
      </c>
      <c r="K26" s="21">
        <v>177000</v>
      </c>
      <c r="L26" s="21"/>
      <c r="M26" s="21">
        <f>L26+K26</f>
        <v>177000</v>
      </c>
      <c r="N26" s="108">
        <f t="shared" si="2"/>
        <v>177</v>
      </c>
      <c r="O26" s="17"/>
      <c r="P26" s="116"/>
      <c r="Q26" s="13"/>
      <c r="R26" s="121"/>
      <c r="S26" s="116"/>
    </row>
    <row r="27" spans="1:19" s="17" customFormat="1" ht="40.5" customHeight="1">
      <c r="A27" s="26" t="s">
        <v>78</v>
      </c>
      <c r="B27" s="26" t="s">
        <v>52</v>
      </c>
      <c r="C27" s="26"/>
      <c r="D27" s="15" t="s">
        <v>421</v>
      </c>
      <c r="E27" s="15"/>
      <c r="F27" s="15"/>
      <c r="G27" s="54">
        <f t="shared" si="0"/>
        <v>0</v>
      </c>
      <c r="H27" s="15"/>
      <c r="I27" s="15"/>
      <c r="J27" s="54">
        <f t="shared" si="1"/>
        <v>0</v>
      </c>
      <c r="K27" s="16">
        <f>K28+K29</f>
        <v>235000</v>
      </c>
      <c r="L27" s="16">
        <f>L28+L29</f>
        <v>0</v>
      </c>
      <c r="M27" s="16">
        <f>M28+M29</f>
        <v>235000</v>
      </c>
      <c r="N27" s="107">
        <f>N28+N29</f>
        <v>355.6</v>
      </c>
      <c r="O27" s="22"/>
      <c r="P27" s="116"/>
      <c r="Q27" s="13"/>
      <c r="R27" s="121"/>
      <c r="S27" s="116"/>
    </row>
    <row r="28" spans="1:19" s="22" customFormat="1" ht="35.25" customHeight="1">
      <c r="A28" s="27" t="s">
        <v>79</v>
      </c>
      <c r="B28" s="27" t="s">
        <v>53</v>
      </c>
      <c r="C28" s="27" t="s">
        <v>42</v>
      </c>
      <c r="D28" s="19" t="s">
        <v>6</v>
      </c>
      <c r="E28" s="20"/>
      <c r="F28" s="20"/>
      <c r="G28" s="66">
        <f t="shared" si="0"/>
        <v>0</v>
      </c>
      <c r="H28" s="20"/>
      <c r="I28" s="20"/>
      <c r="J28" s="66">
        <f t="shared" si="1"/>
        <v>0</v>
      </c>
      <c r="K28" s="21">
        <f>200000+25000</f>
        <v>225000</v>
      </c>
      <c r="L28" s="21"/>
      <c r="M28" s="21">
        <f>L28+K28</f>
        <v>225000</v>
      </c>
      <c r="N28" s="108">
        <f>ROUND(M28/1000,1)+75</f>
        <v>300</v>
      </c>
      <c r="P28" s="116"/>
      <c r="Q28" s="13"/>
      <c r="R28" s="120"/>
      <c r="S28" s="116"/>
    </row>
    <row r="29" spans="1:19" s="22" customFormat="1" ht="38.25" customHeight="1">
      <c r="A29" s="27" t="s">
        <v>367</v>
      </c>
      <c r="B29" s="27" t="s">
        <v>368</v>
      </c>
      <c r="C29" s="27" t="s">
        <v>42</v>
      </c>
      <c r="D29" s="19" t="s">
        <v>369</v>
      </c>
      <c r="E29" s="20"/>
      <c r="F29" s="20"/>
      <c r="G29" s="66">
        <f t="shared" si="0"/>
        <v>0</v>
      </c>
      <c r="H29" s="20"/>
      <c r="I29" s="20"/>
      <c r="J29" s="66">
        <f t="shared" si="1"/>
        <v>0</v>
      </c>
      <c r="K29" s="21">
        <v>10000</v>
      </c>
      <c r="L29" s="21"/>
      <c r="M29" s="21">
        <f>L29+K29</f>
        <v>10000</v>
      </c>
      <c r="N29" s="108">
        <f>ROUND(M29/1000,1)+45.6</f>
        <v>55.6</v>
      </c>
      <c r="O29" s="25"/>
      <c r="P29" s="116"/>
      <c r="Q29" s="13"/>
      <c r="R29" s="121"/>
      <c r="S29" s="116"/>
    </row>
    <row r="30" spans="1:19" s="25" customFormat="1" ht="35.25" customHeight="1">
      <c r="A30" s="26" t="s">
        <v>80</v>
      </c>
      <c r="B30" s="26" t="s">
        <v>43</v>
      </c>
      <c r="C30" s="26"/>
      <c r="D30" s="15" t="s">
        <v>422</v>
      </c>
      <c r="E30" s="15"/>
      <c r="F30" s="15"/>
      <c r="G30" s="54">
        <f t="shared" si="0"/>
        <v>0</v>
      </c>
      <c r="H30" s="15"/>
      <c r="I30" s="15"/>
      <c r="J30" s="54">
        <f t="shared" si="1"/>
        <v>0</v>
      </c>
      <c r="K30" s="16">
        <f>K31+K32</f>
        <v>2940000</v>
      </c>
      <c r="L30" s="16">
        <f>L31+L32</f>
        <v>0</v>
      </c>
      <c r="M30" s="16">
        <f>M31+M32</f>
        <v>2940000</v>
      </c>
      <c r="N30" s="107">
        <f>N31+N32</f>
        <v>2940</v>
      </c>
      <c r="P30" s="116"/>
      <c r="Q30" s="13"/>
      <c r="R30" s="120"/>
      <c r="S30" s="116"/>
    </row>
    <row r="31" spans="1:19" s="25" customFormat="1" ht="48" customHeight="1">
      <c r="A31" s="27" t="s">
        <v>81</v>
      </c>
      <c r="B31" s="27" t="s">
        <v>50</v>
      </c>
      <c r="C31" s="27" t="s">
        <v>42</v>
      </c>
      <c r="D31" s="19" t="s">
        <v>51</v>
      </c>
      <c r="E31" s="19"/>
      <c r="F31" s="19"/>
      <c r="G31" s="54">
        <f t="shared" si="0"/>
        <v>0</v>
      </c>
      <c r="H31" s="19"/>
      <c r="I31" s="19"/>
      <c r="J31" s="54">
        <f t="shared" si="1"/>
        <v>0</v>
      </c>
      <c r="K31" s="21">
        <f>20000+2900000</f>
        <v>2920000</v>
      </c>
      <c r="L31" s="21"/>
      <c r="M31" s="21">
        <f>L31+K31</f>
        <v>2920000</v>
      </c>
      <c r="N31" s="108">
        <f t="shared" si="2"/>
        <v>2920</v>
      </c>
      <c r="P31" s="116"/>
      <c r="Q31" s="13"/>
      <c r="R31" s="120"/>
      <c r="S31" s="116"/>
    </row>
    <row r="32" spans="1:19" s="25" customFormat="1" ht="54" customHeight="1">
      <c r="A32" s="27" t="s">
        <v>390</v>
      </c>
      <c r="B32" s="27" t="s">
        <v>391</v>
      </c>
      <c r="C32" s="27" t="s">
        <v>42</v>
      </c>
      <c r="D32" s="19" t="s">
        <v>392</v>
      </c>
      <c r="E32" s="19"/>
      <c r="F32" s="19"/>
      <c r="G32" s="54">
        <f t="shared" si="0"/>
        <v>0</v>
      </c>
      <c r="H32" s="19"/>
      <c r="I32" s="19"/>
      <c r="J32" s="54">
        <f t="shared" si="1"/>
        <v>0</v>
      </c>
      <c r="K32" s="21">
        <v>20000</v>
      </c>
      <c r="L32" s="21"/>
      <c r="M32" s="21">
        <f>L32+K32</f>
        <v>20000</v>
      </c>
      <c r="N32" s="108">
        <f t="shared" si="2"/>
        <v>20</v>
      </c>
      <c r="O32" s="17"/>
      <c r="P32" s="116"/>
      <c r="Q32" s="13"/>
      <c r="R32" s="121"/>
      <c r="S32" s="116"/>
    </row>
    <row r="33" spans="1:19" s="17" customFormat="1" ht="27.75" customHeight="1">
      <c r="A33" s="26" t="s">
        <v>201</v>
      </c>
      <c r="B33" s="26" t="s">
        <v>202</v>
      </c>
      <c r="C33" s="26" t="s">
        <v>204</v>
      </c>
      <c r="D33" s="15" t="s">
        <v>203</v>
      </c>
      <c r="E33" s="15"/>
      <c r="F33" s="15"/>
      <c r="G33" s="54">
        <f t="shared" si="0"/>
        <v>0</v>
      </c>
      <c r="H33" s="15"/>
      <c r="I33" s="15"/>
      <c r="J33" s="54">
        <f t="shared" si="1"/>
        <v>0</v>
      </c>
      <c r="K33" s="16">
        <f>4897000+3385000-900000</f>
        <v>7382000</v>
      </c>
      <c r="L33" s="16">
        <v>729000</v>
      </c>
      <c r="M33" s="16">
        <f aca="true" t="shared" si="3" ref="M33:M40">L33+K33</f>
        <v>8111000</v>
      </c>
      <c r="N33" s="109">
        <f t="shared" si="2"/>
        <v>8111</v>
      </c>
      <c r="O33" s="25"/>
      <c r="P33" s="116"/>
      <c r="Q33" s="13"/>
      <c r="R33" s="121"/>
      <c r="S33" s="116"/>
    </row>
    <row r="34" spans="1:19" s="17" customFormat="1" ht="29.25" customHeight="1">
      <c r="A34" s="26" t="s">
        <v>242</v>
      </c>
      <c r="B34" s="26" t="s">
        <v>243</v>
      </c>
      <c r="C34" s="26" t="s">
        <v>245</v>
      </c>
      <c r="D34" s="28" t="s">
        <v>244</v>
      </c>
      <c r="E34" s="15"/>
      <c r="F34" s="15"/>
      <c r="G34" s="54">
        <f t="shared" si="0"/>
        <v>0</v>
      </c>
      <c r="H34" s="15"/>
      <c r="I34" s="15"/>
      <c r="J34" s="54">
        <f t="shared" si="1"/>
        <v>0</v>
      </c>
      <c r="K34" s="16">
        <v>16800</v>
      </c>
      <c r="L34" s="16"/>
      <c r="M34" s="16">
        <f t="shared" si="3"/>
        <v>16800</v>
      </c>
      <c r="N34" s="109">
        <f t="shared" si="2"/>
        <v>16.8</v>
      </c>
      <c r="O34" s="25"/>
      <c r="P34" s="116"/>
      <c r="Q34" s="13"/>
      <c r="R34" s="121"/>
      <c r="S34" s="116"/>
    </row>
    <row r="35" spans="1:19" s="25" customFormat="1" ht="27.75" customHeight="1">
      <c r="A35" s="26" t="s">
        <v>82</v>
      </c>
      <c r="B35" s="26" t="s">
        <v>2</v>
      </c>
      <c r="C35" s="26" t="s">
        <v>44</v>
      </c>
      <c r="D35" s="15" t="s">
        <v>423</v>
      </c>
      <c r="E35" s="15" t="s">
        <v>179</v>
      </c>
      <c r="F35" s="15"/>
      <c r="G35" s="54">
        <f t="shared" si="0"/>
        <v>0</v>
      </c>
      <c r="H35" s="15"/>
      <c r="I35" s="15"/>
      <c r="J35" s="54">
        <f t="shared" si="1"/>
        <v>0</v>
      </c>
      <c r="K35" s="16">
        <f>4220000+24220000+800000</f>
        <v>29240000</v>
      </c>
      <c r="L35" s="16">
        <f>L36</f>
        <v>-380000</v>
      </c>
      <c r="M35" s="16">
        <f t="shared" si="3"/>
        <v>28860000</v>
      </c>
      <c r="N35" s="109">
        <f>N36</f>
        <v>28860</v>
      </c>
      <c r="P35" s="116"/>
      <c r="Q35" s="13"/>
      <c r="R35" s="121"/>
      <c r="S35" s="116"/>
    </row>
    <row r="36" spans="1:19" s="25" customFormat="1" ht="33" customHeight="1">
      <c r="A36" s="27"/>
      <c r="B36" s="27"/>
      <c r="C36" s="27"/>
      <c r="D36" s="19" t="s">
        <v>179</v>
      </c>
      <c r="E36" s="19"/>
      <c r="F36" s="19"/>
      <c r="G36" s="66">
        <f t="shared" si="0"/>
        <v>0</v>
      </c>
      <c r="H36" s="19"/>
      <c r="I36" s="19"/>
      <c r="J36" s="66">
        <f t="shared" si="1"/>
        <v>0</v>
      </c>
      <c r="K36" s="21">
        <v>29240000</v>
      </c>
      <c r="L36" s="21">
        <v>-380000</v>
      </c>
      <c r="M36" s="21">
        <f>K36+L36</f>
        <v>28860000</v>
      </c>
      <c r="N36" s="108">
        <f t="shared" si="2"/>
        <v>28860</v>
      </c>
      <c r="P36" s="116"/>
      <c r="Q36" s="13"/>
      <c r="R36" s="121"/>
      <c r="S36" s="116"/>
    </row>
    <row r="37" spans="1:19" s="25" customFormat="1" ht="37.5" customHeight="1">
      <c r="A37" s="26" t="s">
        <v>246</v>
      </c>
      <c r="B37" s="26" t="s">
        <v>247</v>
      </c>
      <c r="C37" s="26" t="s">
        <v>248</v>
      </c>
      <c r="D37" s="28" t="s">
        <v>249</v>
      </c>
      <c r="E37" s="15"/>
      <c r="F37" s="15"/>
      <c r="G37" s="54">
        <f t="shared" si="0"/>
        <v>0</v>
      </c>
      <c r="H37" s="15"/>
      <c r="I37" s="15"/>
      <c r="J37" s="54">
        <f t="shared" si="1"/>
        <v>0</v>
      </c>
      <c r="K37" s="16">
        <v>55900</v>
      </c>
      <c r="L37" s="16"/>
      <c r="M37" s="16">
        <f t="shared" si="3"/>
        <v>55900</v>
      </c>
      <c r="N37" s="109">
        <f t="shared" si="2"/>
        <v>55.9</v>
      </c>
      <c r="P37" s="116"/>
      <c r="Q37" s="13"/>
      <c r="R37" s="121"/>
      <c r="S37" s="116"/>
    </row>
    <row r="38" spans="1:19" s="25" customFormat="1" ht="24.75" customHeight="1">
      <c r="A38" s="26" t="s">
        <v>298</v>
      </c>
      <c r="B38" s="26" t="s">
        <v>301</v>
      </c>
      <c r="C38" s="26" t="s">
        <v>248</v>
      </c>
      <c r="D38" s="15" t="s">
        <v>300</v>
      </c>
      <c r="E38" s="15"/>
      <c r="F38" s="15"/>
      <c r="G38" s="54">
        <f t="shared" si="0"/>
        <v>0</v>
      </c>
      <c r="H38" s="15"/>
      <c r="I38" s="15"/>
      <c r="J38" s="54">
        <f t="shared" si="1"/>
        <v>0</v>
      </c>
      <c r="K38" s="16">
        <v>57900</v>
      </c>
      <c r="L38" s="16"/>
      <c r="M38" s="16">
        <f t="shared" si="3"/>
        <v>57900</v>
      </c>
      <c r="N38" s="109">
        <f t="shared" si="2"/>
        <v>57.9</v>
      </c>
      <c r="P38" s="116"/>
      <c r="Q38" s="13"/>
      <c r="R38" s="121"/>
      <c r="S38" s="116"/>
    </row>
    <row r="39" spans="1:19" s="25" customFormat="1" ht="27" customHeight="1">
      <c r="A39" s="26" t="s">
        <v>318</v>
      </c>
      <c r="B39" s="26" t="s">
        <v>208</v>
      </c>
      <c r="C39" s="26" t="s">
        <v>22</v>
      </c>
      <c r="D39" s="15" t="s">
        <v>206</v>
      </c>
      <c r="E39" s="15"/>
      <c r="F39" s="15"/>
      <c r="G39" s="54">
        <f t="shared" si="0"/>
        <v>0</v>
      </c>
      <c r="H39" s="15"/>
      <c r="I39" s="15"/>
      <c r="J39" s="54">
        <f t="shared" si="1"/>
        <v>0</v>
      </c>
      <c r="K39" s="16">
        <v>344000</v>
      </c>
      <c r="L39" s="16"/>
      <c r="M39" s="16">
        <f t="shared" si="3"/>
        <v>344000</v>
      </c>
      <c r="N39" s="109">
        <f t="shared" si="2"/>
        <v>344</v>
      </c>
      <c r="O39" s="13"/>
      <c r="P39" s="116"/>
      <c r="Q39" s="13"/>
      <c r="R39" s="121"/>
      <c r="S39" s="116"/>
    </row>
    <row r="40" spans="1:19" s="25" customFormat="1" ht="42" customHeight="1">
      <c r="A40" s="26" t="s">
        <v>268</v>
      </c>
      <c r="B40" s="26" t="s">
        <v>257</v>
      </c>
      <c r="C40" s="26" t="s">
        <v>22</v>
      </c>
      <c r="D40" s="28" t="s">
        <v>267</v>
      </c>
      <c r="E40" s="15"/>
      <c r="F40" s="15"/>
      <c r="G40" s="54">
        <f t="shared" si="0"/>
        <v>0</v>
      </c>
      <c r="H40" s="15"/>
      <c r="I40" s="15"/>
      <c r="J40" s="54">
        <f t="shared" si="1"/>
        <v>0</v>
      </c>
      <c r="K40" s="16">
        <f>2563780+1000000+51000+900000</f>
        <v>4514780</v>
      </c>
      <c r="L40" s="16"/>
      <c r="M40" s="16">
        <f t="shared" si="3"/>
        <v>4514780</v>
      </c>
      <c r="N40" s="109">
        <f>ROUND(M40/1000,1)+190</f>
        <v>4704.8</v>
      </c>
      <c r="O40" s="33"/>
      <c r="P40" s="116"/>
      <c r="Q40" s="13"/>
      <c r="R40" s="122"/>
      <c r="S40" s="116"/>
    </row>
    <row r="41" spans="1:19" s="13" customFormat="1" ht="32.25" customHeight="1">
      <c r="A41" s="29" t="s">
        <v>83</v>
      </c>
      <c r="B41" s="29"/>
      <c r="C41" s="29"/>
      <c r="D41" s="30" t="s">
        <v>7</v>
      </c>
      <c r="E41" s="30"/>
      <c r="F41" s="30"/>
      <c r="G41" s="54">
        <f t="shared" si="0"/>
        <v>0</v>
      </c>
      <c r="H41" s="30"/>
      <c r="I41" s="30"/>
      <c r="J41" s="54">
        <f t="shared" si="1"/>
        <v>0</v>
      </c>
      <c r="K41" s="12">
        <f>K43+K44+K45+K47+K48+K52+K55+K60+K57+K61+K49+K51</f>
        <v>55357231.42</v>
      </c>
      <c r="L41" s="12">
        <f>L43+L44+L45+L47+L48+L52+L55+L60+L57+L61+L49+L51</f>
        <v>962847</v>
      </c>
      <c r="M41" s="12">
        <f>M43+M44+M45+M47+M48+M52+M55+M60+M57+M61+M49+M51</f>
        <v>56320078.42</v>
      </c>
      <c r="N41" s="106">
        <f>N43+N44+N45+N47+N48+N52+N55+N60+N57+N61+N49+N51</f>
        <v>56261.09999999999</v>
      </c>
      <c r="O41" s="17"/>
      <c r="P41" s="116"/>
      <c r="R41" s="121"/>
      <c r="S41" s="116"/>
    </row>
    <row r="42" spans="1:19" s="33" customFormat="1" ht="24.75" customHeight="1">
      <c r="A42" s="34"/>
      <c r="B42" s="34"/>
      <c r="C42" s="34"/>
      <c r="D42" s="31" t="s">
        <v>470</v>
      </c>
      <c r="E42" s="31"/>
      <c r="F42" s="31"/>
      <c r="G42" s="54">
        <f t="shared" si="0"/>
        <v>0</v>
      </c>
      <c r="H42" s="31"/>
      <c r="I42" s="31"/>
      <c r="J42" s="54">
        <f t="shared" si="1"/>
        <v>0</v>
      </c>
      <c r="K42" s="32">
        <f>K46+K50+K54+K59</f>
        <v>18165095.78</v>
      </c>
      <c r="L42" s="32">
        <f>L46+L50+L54+L59</f>
        <v>0</v>
      </c>
      <c r="M42" s="32">
        <f>M46+M50+M54+M59</f>
        <v>18165095.78</v>
      </c>
      <c r="N42" s="111">
        <f>N46+N50+N54+N59</f>
        <v>18165.1</v>
      </c>
      <c r="O42" s="17"/>
      <c r="P42" s="116"/>
      <c r="Q42" s="13"/>
      <c r="R42" s="120"/>
      <c r="S42" s="116"/>
    </row>
    <row r="43" spans="1:19" s="17" customFormat="1" ht="40.5">
      <c r="A43" s="14" t="s">
        <v>84</v>
      </c>
      <c r="B43" s="14" t="s">
        <v>55</v>
      </c>
      <c r="C43" s="14" t="s">
        <v>23</v>
      </c>
      <c r="D43" s="15" t="s">
        <v>56</v>
      </c>
      <c r="E43" s="15"/>
      <c r="F43" s="15"/>
      <c r="G43" s="54">
        <f t="shared" si="0"/>
        <v>0</v>
      </c>
      <c r="H43" s="15"/>
      <c r="I43" s="15"/>
      <c r="J43" s="54">
        <f t="shared" si="1"/>
        <v>0</v>
      </c>
      <c r="K43" s="16">
        <v>16000</v>
      </c>
      <c r="L43" s="16"/>
      <c r="M43" s="16">
        <f aca="true" t="shared" si="4" ref="M43:M51">L43+K43</f>
        <v>16000</v>
      </c>
      <c r="N43" s="109">
        <f t="shared" si="2"/>
        <v>16</v>
      </c>
      <c r="O43" s="25"/>
      <c r="P43" s="116"/>
      <c r="Q43" s="13"/>
      <c r="R43" s="120"/>
      <c r="S43" s="116"/>
    </row>
    <row r="44" spans="1:19" s="17" customFormat="1" ht="28.5" customHeight="1">
      <c r="A44" s="14" t="s">
        <v>85</v>
      </c>
      <c r="B44" s="14" t="s">
        <v>25</v>
      </c>
      <c r="C44" s="14" t="s">
        <v>26</v>
      </c>
      <c r="D44" s="15" t="s">
        <v>68</v>
      </c>
      <c r="E44" s="15"/>
      <c r="F44" s="15"/>
      <c r="G44" s="54">
        <f t="shared" si="0"/>
        <v>0</v>
      </c>
      <c r="H44" s="15"/>
      <c r="I44" s="15"/>
      <c r="J44" s="54">
        <f t="shared" si="1"/>
        <v>0</v>
      </c>
      <c r="K44" s="16">
        <f>3500000+40000+300269+455116.65+15000+8000+60000</f>
        <v>4378385.65</v>
      </c>
      <c r="L44" s="16">
        <v>670000</v>
      </c>
      <c r="M44" s="16">
        <f t="shared" si="4"/>
        <v>5048385.65</v>
      </c>
      <c r="N44" s="109">
        <f t="shared" si="2"/>
        <v>5048.4</v>
      </c>
      <c r="P44" s="116"/>
      <c r="Q44" s="13"/>
      <c r="R44" s="120"/>
      <c r="S44" s="116"/>
    </row>
    <row r="45" spans="1:19" s="17" customFormat="1" ht="75.75" customHeight="1">
      <c r="A45" s="14" t="s">
        <v>86</v>
      </c>
      <c r="B45" s="14" t="s">
        <v>27</v>
      </c>
      <c r="C45" s="14" t="s">
        <v>28</v>
      </c>
      <c r="D45" s="15" t="s">
        <v>69</v>
      </c>
      <c r="E45" s="15"/>
      <c r="F45" s="15"/>
      <c r="G45" s="54">
        <f t="shared" si="0"/>
        <v>0</v>
      </c>
      <c r="H45" s="15"/>
      <c r="I45" s="15"/>
      <c r="J45" s="54">
        <f t="shared" si="1"/>
        <v>0</v>
      </c>
      <c r="K45" s="16">
        <v>17926422</v>
      </c>
      <c r="L45" s="16">
        <f>200000+16000+32647+24200</f>
        <v>272847</v>
      </c>
      <c r="M45" s="16">
        <f t="shared" si="4"/>
        <v>18199269</v>
      </c>
      <c r="N45" s="109">
        <f t="shared" si="2"/>
        <v>18199.3</v>
      </c>
      <c r="P45" s="116"/>
      <c r="Q45" s="13"/>
      <c r="R45" s="121"/>
      <c r="S45" s="116"/>
    </row>
    <row r="46" spans="1:19" s="25" customFormat="1" ht="20.25">
      <c r="A46" s="18"/>
      <c r="B46" s="18"/>
      <c r="C46" s="18"/>
      <c r="D46" s="19" t="s">
        <v>470</v>
      </c>
      <c r="E46" s="19"/>
      <c r="F46" s="19"/>
      <c r="G46" s="54">
        <f t="shared" si="0"/>
        <v>0</v>
      </c>
      <c r="H46" s="19"/>
      <c r="I46" s="19"/>
      <c r="J46" s="54">
        <f t="shared" si="1"/>
        <v>0</v>
      </c>
      <c r="K46" s="21">
        <v>1416542</v>
      </c>
      <c r="L46" s="21"/>
      <c r="M46" s="21">
        <f>L46+K46</f>
        <v>1416542</v>
      </c>
      <c r="N46" s="108">
        <f t="shared" si="2"/>
        <v>1416.5</v>
      </c>
      <c r="O46" s="17"/>
      <c r="P46" s="116"/>
      <c r="Q46" s="13"/>
      <c r="R46" s="120"/>
      <c r="S46" s="116"/>
    </row>
    <row r="47" spans="1:19" s="17" customFormat="1" ht="78" customHeight="1">
      <c r="A47" s="14" t="s">
        <v>117</v>
      </c>
      <c r="B47" s="14" t="s">
        <v>29</v>
      </c>
      <c r="C47" s="14" t="s">
        <v>30</v>
      </c>
      <c r="D47" s="15" t="s">
        <v>57</v>
      </c>
      <c r="E47" s="15"/>
      <c r="F47" s="15"/>
      <c r="G47" s="54">
        <f t="shared" si="0"/>
        <v>0</v>
      </c>
      <c r="H47" s="15"/>
      <c r="I47" s="15"/>
      <c r="J47" s="54">
        <f t="shared" si="1"/>
        <v>0</v>
      </c>
      <c r="K47" s="16">
        <v>103611</v>
      </c>
      <c r="L47" s="16"/>
      <c r="M47" s="16">
        <f t="shared" si="4"/>
        <v>103611</v>
      </c>
      <c r="N47" s="109">
        <f t="shared" si="2"/>
        <v>103.6</v>
      </c>
      <c r="O47" s="25"/>
      <c r="P47" s="116"/>
      <c r="Q47" s="13"/>
      <c r="R47" s="120"/>
      <c r="S47" s="116"/>
    </row>
    <row r="48" spans="1:19" s="17" customFormat="1" ht="40.5">
      <c r="A48" s="14" t="s">
        <v>118</v>
      </c>
      <c r="B48" s="14" t="s">
        <v>31</v>
      </c>
      <c r="C48" s="14" t="s">
        <v>32</v>
      </c>
      <c r="D48" s="15" t="s">
        <v>70</v>
      </c>
      <c r="E48" s="15"/>
      <c r="F48" s="15"/>
      <c r="G48" s="54">
        <f t="shared" si="0"/>
        <v>0</v>
      </c>
      <c r="H48" s="15"/>
      <c r="I48" s="15"/>
      <c r="J48" s="54">
        <f t="shared" si="1"/>
        <v>0</v>
      </c>
      <c r="K48" s="16">
        <v>433709</v>
      </c>
      <c r="L48" s="16">
        <f>-11411+20000</f>
        <v>8589</v>
      </c>
      <c r="M48" s="16">
        <f t="shared" si="4"/>
        <v>442298</v>
      </c>
      <c r="N48" s="109">
        <f>ROUND(M48/1000,1)-59</f>
        <v>383.3</v>
      </c>
      <c r="P48" s="116"/>
      <c r="Q48" s="13"/>
      <c r="R48" s="121"/>
      <c r="S48" s="116"/>
    </row>
    <row r="49" spans="1:19" s="17" customFormat="1" ht="35.25" customHeight="1">
      <c r="A49" s="14" t="s">
        <v>335</v>
      </c>
      <c r="B49" s="14" t="s">
        <v>336</v>
      </c>
      <c r="C49" s="14" t="s">
        <v>338</v>
      </c>
      <c r="D49" s="15" t="s">
        <v>337</v>
      </c>
      <c r="E49" s="15"/>
      <c r="F49" s="15"/>
      <c r="G49" s="54">
        <f t="shared" si="0"/>
        <v>0</v>
      </c>
      <c r="H49" s="15"/>
      <c r="I49" s="15"/>
      <c r="J49" s="54">
        <f t="shared" si="1"/>
        <v>0</v>
      </c>
      <c r="K49" s="16">
        <f>2300000+2700000-370000</f>
        <v>4630000</v>
      </c>
      <c r="L49" s="16"/>
      <c r="M49" s="16">
        <f t="shared" si="4"/>
        <v>4630000</v>
      </c>
      <c r="N49" s="109">
        <f t="shared" si="2"/>
        <v>4630</v>
      </c>
      <c r="P49" s="116"/>
      <c r="Q49" s="13"/>
      <c r="R49" s="121"/>
      <c r="S49" s="116"/>
    </row>
    <row r="50" spans="1:19" s="25" customFormat="1" ht="20.25">
      <c r="A50" s="18"/>
      <c r="B50" s="18"/>
      <c r="C50" s="18"/>
      <c r="D50" s="19" t="s">
        <v>470</v>
      </c>
      <c r="E50" s="19"/>
      <c r="F50" s="19"/>
      <c r="G50" s="54">
        <f t="shared" si="0"/>
        <v>0</v>
      </c>
      <c r="H50" s="19"/>
      <c r="I50" s="19"/>
      <c r="J50" s="54">
        <f t="shared" si="1"/>
        <v>0</v>
      </c>
      <c r="K50" s="21">
        <v>4630000</v>
      </c>
      <c r="L50" s="21"/>
      <c r="M50" s="21">
        <f>L50+K50</f>
        <v>4630000</v>
      </c>
      <c r="N50" s="108">
        <f t="shared" si="2"/>
        <v>4630</v>
      </c>
      <c r="P50" s="116"/>
      <c r="Q50" s="13"/>
      <c r="R50" s="120"/>
      <c r="S50" s="116"/>
    </row>
    <row r="51" spans="1:19" s="17" customFormat="1" ht="36.75" customHeight="1">
      <c r="A51" s="14" t="s">
        <v>362</v>
      </c>
      <c r="B51" s="14" t="s">
        <v>363</v>
      </c>
      <c r="C51" s="14" t="s">
        <v>34</v>
      </c>
      <c r="D51" s="28" t="s">
        <v>361</v>
      </c>
      <c r="E51" s="15"/>
      <c r="F51" s="15"/>
      <c r="G51" s="54">
        <f t="shared" si="0"/>
        <v>0</v>
      </c>
      <c r="H51" s="15"/>
      <c r="I51" s="15"/>
      <c r="J51" s="54">
        <f t="shared" si="1"/>
        <v>0</v>
      </c>
      <c r="K51" s="16">
        <v>13000</v>
      </c>
      <c r="L51" s="16"/>
      <c r="M51" s="16">
        <f t="shared" si="4"/>
        <v>13000</v>
      </c>
      <c r="N51" s="109">
        <f t="shared" si="2"/>
        <v>13</v>
      </c>
      <c r="O51" s="25"/>
      <c r="P51" s="116"/>
      <c r="Q51" s="13"/>
      <c r="R51" s="121"/>
      <c r="S51" s="116"/>
    </row>
    <row r="52" spans="1:19" s="17" customFormat="1" ht="29.25" customHeight="1">
      <c r="A52" s="14" t="s">
        <v>119</v>
      </c>
      <c r="B52" s="14" t="s">
        <v>120</v>
      </c>
      <c r="C52" s="14"/>
      <c r="D52" s="15" t="s">
        <v>424</v>
      </c>
      <c r="E52" s="15"/>
      <c r="F52" s="15"/>
      <c r="G52" s="54">
        <f t="shared" si="0"/>
        <v>0</v>
      </c>
      <c r="H52" s="15"/>
      <c r="I52" s="15"/>
      <c r="J52" s="54">
        <f t="shared" si="1"/>
        <v>0</v>
      </c>
      <c r="K52" s="16">
        <f>K53</f>
        <v>337950</v>
      </c>
      <c r="L52" s="16">
        <f>L53</f>
        <v>11411</v>
      </c>
      <c r="M52" s="16">
        <f>M53</f>
        <v>349361</v>
      </c>
      <c r="N52" s="107">
        <f>N53</f>
        <v>349.4</v>
      </c>
      <c r="P52" s="116"/>
      <c r="Q52" s="13"/>
      <c r="R52" s="121"/>
      <c r="S52" s="116"/>
    </row>
    <row r="53" spans="1:19" s="25" customFormat="1" ht="39" customHeight="1">
      <c r="A53" s="18" t="s">
        <v>193</v>
      </c>
      <c r="B53" s="18" t="s">
        <v>194</v>
      </c>
      <c r="C53" s="18" t="s">
        <v>34</v>
      </c>
      <c r="D53" s="35" t="s">
        <v>195</v>
      </c>
      <c r="E53" s="19"/>
      <c r="F53" s="19"/>
      <c r="G53" s="54">
        <f t="shared" si="0"/>
        <v>0</v>
      </c>
      <c r="H53" s="19"/>
      <c r="I53" s="19"/>
      <c r="J53" s="54">
        <f t="shared" si="1"/>
        <v>0</v>
      </c>
      <c r="K53" s="21">
        <f>180000+107950+50000</f>
        <v>337950</v>
      </c>
      <c r="L53" s="21">
        <v>11411</v>
      </c>
      <c r="M53" s="21">
        <f>L53+K53</f>
        <v>349361</v>
      </c>
      <c r="N53" s="108">
        <f t="shared" si="2"/>
        <v>349.4</v>
      </c>
      <c r="P53" s="116"/>
      <c r="Q53" s="13"/>
      <c r="R53" s="121"/>
      <c r="S53" s="116"/>
    </row>
    <row r="54" spans="1:19" s="25" customFormat="1" ht="20.25">
      <c r="A54" s="18"/>
      <c r="B54" s="18"/>
      <c r="C54" s="18"/>
      <c r="D54" s="19" t="s">
        <v>470</v>
      </c>
      <c r="E54" s="19"/>
      <c r="F54" s="19"/>
      <c r="G54" s="54">
        <f t="shared" si="0"/>
        <v>0</v>
      </c>
      <c r="H54" s="19"/>
      <c r="I54" s="19"/>
      <c r="J54" s="54">
        <f t="shared" si="1"/>
        <v>0</v>
      </c>
      <c r="K54" s="21">
        <v>107950</v>
      </c>
      <c r="L54" s="21"/>
      <c r="M54" s="21">
        <f>L54+K54</f>
        <v>107950</v>
      </c>
      <c r="N54" s="108">
        <f t="shared" si="2"/>
        <v>108</v>
      </c>
      <c r="P54" s="116"/>
      <c r="Q54" s="13"/>
      <c r="R54" s="121"/>
      <c r="S54" s="116"/>
    </row>
    <row r="55" spans="1:19" s="17" customFormat="1" ht="28.5" customHeight="1">
      <c r="A55" s="14" t="s">
        <v>87</v>
      </c>
      <c r="B55" s="14" t="s">
        <v>52</v>
      </c>
      <c r="C55" s="14"/>
      <c r="D55" s="28" t="s">
        <v>421</v>
      </c>
      <c r="E55" s="28"/>
      <c r="F55" s="28"/>
      <c r="G55" s="54">
        <f t="shared" si="0"/>
        <v>0</v>
      </c>
      <c r="H55" s="28"/>
      <c r="I55" s="28"/>
      <c r="J55" s="54">
        <f t="shared" si="1"/>
        <v>0</v>
      </c>
      <c r="K55" s="16">
        <f>K56</f>
        <v>100000</v>
      </c>
      <c r="L55" s="16">
        <f>L56</f>
        <v>0</v>
      </c>
      <c r="M55" s="16">
        <f>M56</f>
        <v>100000</v>
      </c>
      <c r="N55" s="107">
        <f>N56</f>
        <v>100</v>
      </c>
      <c r="O55" s="25"/>
      <c r="P55" s="116"/>
      <c r="Q55" s="13"/>
      <c r="R55" s="121"/>
      <c r="S55" s="116"/>
    </row>
    <row r="56" spans="1:19" s="25" customFormat="1" ht="30" customHeight="1">
      <c r="A56" s="18" t="s">
        <v>88</v>
      </c>
      <c r="B56" s="18" t="s">
        <v>53</v>
      </c>
      <c r="C56" s="18" t="s">
        <v>42</v>
      </c>
      <c r="D56" s="35" t="s">
        <v>6</v>
      </c>
      <c r="E56" s="35"/>
      <c r="F56" s="35"/>
      <c r="G56" s="54">
        <f t="shared" si="0"/>
        <v>0</v>
      </c>
      <c r="H56" s="35"/>
      <c r="I56" s="35"/>
      <c r="J56" s="54">
        <f t="shared" si="1"/>
        <v>0</v>
      </c>
      <c r="K56" s="21">
        <v>100000</v>
      </c>
      <c r="L56" s="21"/>
      <c r="M56" s="21">
        <f>L56+K56</f>
        <v>100000</v>
      </c>
      <c r="N56" s="108">
        <f t="shared" si="2"/>
        <v>100</v>
      </c>
      <c r="P56" s="116"/>
      <c r="Q56" s="13"/>
      <c r="R56" s="122"/>
      <c r="S56" s="116"/>
    </row>
    <row r="57" spans="1:19" s="25" customFormat="1" ht="31.5" customHeight="1">
      <c r="A57" s="14" t="s">
        <v>261</v>
      </c>
      <c r="B57" s="14" t="s">
        <v>262</v>
      </c>
      <c r="C57" s="14"/>
      <c r="D57" s="36" t="s">
        <v>425</v>
      </c>
      <c r="E57" s="15"/>
      <c r="F57" s="15"/>
      <c r="G57" s="54">
        <f t="shared" si="0"/>
        <v>0</v>
      </c>
      <c r="H57" s="15"/>
      <c r="I57" s="15"/>
      <c r="J57" s="54">
        <f t="shared" si="1"/>
        <v>0</v>
      </c>
      <c r="K57" s="37">
        <f>SUM(K58)</f>
        <v>12466734.77</v>
      </c>
      <c r="L57" s="37">
        <f>SUM(L58)</f>
        <v>0</v>
      </c>
      <c r="M57" s="37">
        <f>SUM(M58)</f>
        <v>12466734.77</v>
      </c>
      <c r="N57" s="107">
        <f>SUM(N58)</f>
        <v>12466.7</v>
      </c>
      <c r="P57" s="116"/>
      <c r="Q57" s="13"/>
      <c r="R57" s="123"/>
      <c r="S57" s="116"/>
    </row>
    <row r="58" spans="1:19" s="25" customFormat="1" ht="44.25" customHeight="1">
      <c r="A58" s="18" t="s">
        <v>259</v>
      </c>
      <c r="B58" s="18" t="s">
        <v>269</v>
      </c>
      <c r="C58" s="18" t="s">
        <v>44</v>
      </c>
      <c r="D58" s="132" t="s">
        <v>260</v>
      </c>
      <c r="E58" s="19"/>
      <c r="F58" s="19"/>
      <c r="G58" s="54">
        <f t="shared" si="0"/>
        <v>0</v>
      </c>
      <c r="H58" s="19"/>
      <c r="I58" s="19"/>
      <c r="J58" s="54">
        <f t="shared" si="1"/>
        <v>0</v>
      </c>
      <c r="K58" s="38">
        <v>12466734.77</v>
      </c>
      <c r="L58" s="38"/>
      <c r="M58" s="38">
        <f>L58+K58</f>
        <v>12466734.77</v>
      </c>
      <c r="N58" s="108">
        <f t="shared" si="2"/>
        <v>12466.7</v>
      </c>
      <c r="P58" s="116"/>
      <c r="Q58" s="13"/>
      <c r="R58" s="120"/>
      <c r="S58" s="116"/>
    </row>
    <row r="59" spans="1:19" s="25" customFormat="1" ht="20.25">
      <c r="A59" s="18"/>
      <c r="B59" s="18"/>
      <c r="C59" s="18"/>
      <c r="D59" s="19" t="s">
        <v>470</v>
      </c>
      <c r="E59" s="19"/>
      <c r="F59" s="19"/>
      <c r="G59" s="54">
        <f t="shared" si="0"/>
        <v>0</v>
      </c>
      <c r="H59" s="19"/>
      <c r="I59" s="19"/>
      <c r="J59" s="54">
        <f t="shared" si="1"/>
        <v>0</v>
      </c>
      <c r="K59" s="21">
        <v>12010603.78</v>
      </c>
      <c r="L59" s="21"/>
      <c r="M59" s="21">
        <f>L59+K59</f>
        <v>12010603.78</v>
      </c>
      <c r="N59" s="108">
        <f t="shared" si="2"/>
        <v>12010.6</v>
      </c>
      <c r="O59" s="13"/>
      <c r="P59" s="116"/>
      <c r="Q59" s="13"/>
      <c r="R59" s="120"/>
      <c r="S59" s="116"/>
    </row>
    <row r="60" spans="1:19" s="25" customFormat="1" ht="20.25" customHeight="1">
      <c r="A60" s="14" t="s">
        <v>89</v>
      </c>
      <c r="B60" s="14" t="s">
        <v>1</v>
      </c>
      <c r="C60" s="14" t="s">
        <v>45</v>
      </c>
      <c r="D60" s="15" t="s">
        <v>14</v>
      </c>
      <c r="E60" s="15"/>
      <c r="F60" s="15"/>
      <c r="G60" s="54">
        <f t="shared" si="0"/>
        <v>0</v>
      </c>
      <c r="H60" s="15"/>
      <c r="I60" s="15"/>
      <c r="J60" s="54">
        <f t="shared" si="1"/>
        <v>0</v>
      </c>
      <c r="K60" s="16">
        <f>11768000+900000+283419</f>
        <v>12951419</v>
      </c>
      <c r="L60" s="16"/>
      <c r="M60" s="16">
        <f>L60+K60</f>
        <v>12951419</v>
      </c>
      <c r="N60" s="109">
        <f t="shared" si="2"/>
        <v>12951.4</v>
      </c>
      <c r="O60" s="33"/>
      <c r="P60" s="116"/>
      <c r="Q60" s="13"/>
      <c r="R60" s="121"/>
      <c r="S60" s="116"/>
    </row>
    <row r="61" spans="1:19" s="25" customFormat="1" ht="44.25" customHeight="1">
      <c r="A61" s="14" t="s">
        <v>294</v>
      </c>
      <c r="B61" s="14" t="s">
        <v>257</v>
      </c>
      <c r="C61" s="14" t="s">
        <v>22</v>
      </c>
      <c r="D61" s="15" t="s">
        <v>267</v>
      </c>
      <c r="E61" s="15"/>
      <c r="F61" s="15"/>
      <c r="G61" s="54">
        <f t="shared" si="0"/>
        <v>0</v>
      </c>
      <c r="H61" s="15"/>
      <c r="I61" s="15"/>
      <c r="J61" s="54">
        <f t="shared" si="1"/>
        <v>0</v>
      </c>
      <c r="K61" s="16">
        <v>2000000</v>
      </c>
      <c r="L61" s="16"/>
      <c r="M61" s="16">
        <f>L61+K61</f>
        <v>2000000</v>
      </c>
      <c r="N61" s="109">
        <f t="shared" si="2"/>
        <v>2000</v>
      </c>
      <c r="O61" s="17"/>
      <c r="P61" s="116"/>
      <c r="Q61" s="13"/>
      <c r="R61" s="121"/>
      <c r="S61" s="116"/>
    </row>
    <row r="62" spans="1:19" s="13" customFormat="1" ht="35.25" customHeight="1">
      <c r="A62" s="11" t="s">
        <v>90</v>
      </c>
      <c r="B62" s="11"/>
      <c r="C62" s="11"/>
      <c r="D62" s="30" t="s">
        <v>8</v>
      </c>
      <c r="E62" s="30"/>
      <c r="F62" s="30"/>
      <c r="G62" s="54">
        <f t="shared" si="0"/>
        <v>0</v>
      </c>
      <c r="H62" s="30"/>
      <c r="I62" s="30"/>
      <c r="J62" s="54">
        <f t="shared" si="1"/>
        <v>0</v>
      </c>
      <c r="K62" s="12" t="e">
        <f>K64+K73+K70+K65+K66+K69</f>
        <v>#REF!</v>
      </c>
      <c r="L62" s="12" t="e">
        <f>L64+L73+L70+L65+L66+L69</f>
        <v>#REF!</v>
      </c>
      <c r="M62" s="12" t="e">
        <f>M64+M73+M70+M65+M66+M69</f>
        <v>#REF!</v>
      </c>
      <c r="N62" s="106">
        <f>N64+N73+N70+N65+N66+N69+N74</f>
        <v>50574.7</v>
      </c>
      <c r="O62" s="17"/>
      <c r="P62" s="116"/>
      <c r="R62" s="121"/>
      <c r="S62" s="116"/>
    </row>
    <row r="63" spans="1:19" s="33" customFormat="1" ht="20.25">
      <c r="A63" s="34"/>
      <c r="B63" s="34"/>
      <c r="C63" s="34"/>
      <c r="D63" s="31" t="s">
        <v>470</v>
      </c>
      <c r="E63" s="31"/>
      <c r="F63" s="31"/>
      <c r="G63" s="54">
        <f t="shared" si="0"/>
        <v>0</v>
      </c>
      <c r="H63" s="31"/>
      <c r="I63" s="31"/>
      <c r="J63" s="54">
        <f t="shared" si="1"/>
        <v>0</v>
      </c>
      <c r="K63" s="32">
        <f>K72</f>
        <v>4529964.66</v>
      </c>
      <c r="L63" s="32">
        <f>L72</f>
        <v>0</v>
      </c>
      <c r="M63" s="32">
        <f>M72</f>
        <v>4529964.66</v>
      </c>
      <c r="N63" s="111">
        <f>N72</f>
        <v>4530</v>
      </c>
      <c r="O63" s="25"/>
      <c r="P63" s="116"/>
      <c r="Q63" s="13"/>
      <c r="R63" s="121"/>
      <c r="S63" s="116"/>
    </row>
    <row r="64" spans="1:19" s="17" customFormat="1" ht="28.5" customHeight="1">
      <c r="A64" s="14" t="s">
        <v>91</v>
      </c>
      <c r="B64" s="14" t="s">
        <v>35</v>
      </c>
      <c r="C64" s="14" t="s">
        <v>36</v>
      </c>
      <c r="D64" s="15" t="s">
        <v>9</v>
      </c>
      <c r="E64" s="15"/>
      <c r="F64" s="15"/>
      <c r="G64" s="54">
        <f t="shared" si="0"/>
        <v>0</v>
      </c>
      <c r="H64" s="15"/>
      <c r="I64" s="15"/>
      <c r="J64" s="54">
        <f t="shared" si="1"/>
        <v>0</v>
      </c>
      <c r="K64" s="16">
        <v>28491409</v>
      </c>
      <c r="L64" s="16"/>
      <c r="M64" s="16">
        <f>L64+K64</f>
        <v>28491409</v>
      </c>
      <c r="N64" s="109">
        <f>ROUND(M64/1000,1)+3464.3</f>
        <v>31955.7</v>
      </c>
      <c r="O64" s="25"/>
      <c r="P64" s="116"/>
      <c r="Q64" s="13"/>
      <c r="R64" s="120"/>
      <c r="S64" s="116"/>
    </row>
    <row r="65" spans="1:19" s="17" customFormat="1" ht="26.25" customHeight="1">
      <c r="A65" s="14" t="s">
        <v>325</v>
      </c>
      <c r="B65" s="14" t="s">
        <v>326</v>
      </c>
      <c r="C65" s="14" t="s">
        <v>328</v>
      </c>
      <c r="D65" s="15" t="s">
        <v>327</v>
      </c>
      <c r="E65" s="15"/>
      <c r="F65" s="15"/>
      <c r="G65" s="54">
        <f t="shared" si="0"/>
        <v>0</v>
      </c>
      <c r="H65" s="15"/>
      <c r="I65" s="15"/>
      <c r="J65" s="54">
        <f t="shared" si="1"/>
        <v>0</v>
      </c>
      <c r="K65" s="16">
        <f>15000+115000</f>
        <v>130000</v>
      </c>
      <c r="L65" s="16"/>
      <c r="M65" s="16">
        <f>L65+K65</f>
        <v>130000</v>
      </c>
      <c r="N65" s="109">
        <f t="shared" si="2"/>
        <v>130</v>
      </c>
      <c r="P65" s="116"/>
      <c r="Q65" s="13"/>
      <c r="R65" s="122"/>
      <c r="S65" s="116"/>
    </row>
    <row r="66" spans="1:19" s="17" customFormat="1" ht="26.25" customHeight="1">
      <c r="A66" s="14" t="s">
        <v>329</v>
      </c>
      <c r="B66" s="14" t="s">
        <v>330</v>
      </c>
      <c r="C66" s="14"/>
      <c r="D66" s="15" t="s">
        <v>426</v>
      </c>
      <c r="E66" s="15"/>
      <c r="F66" s="15"/>
      <c r="G66" s="54">
        <f t="shared" si="0"/>
        <v>0</v>
      </c>
      <c r="H66" s="15"/>
      <c r="I66" s="15"/>
      <c r="J66" s="54">
        <f t="shared" si="1"/>
        <v>0</v>
      </c>
      <c r="K66" s="16" t="e">
        <f>K67+#REF!</f>
        <v>#REF!</v>
      </c>
      <c r="L66" s="16" t="e">
        <f>L67+#REF!</f>
        <v>#REF!</v>
      </c>
      <c r="M66" s="16" t="e">
        <f>M67+#REF!</f>
        <v>#REF!</v>
      </c>
      <c r="N66" s="107">
        <f>N67</f>
        <v>69.6</v>
      </c>
      <c r="O66" s="25"/>
      <c r="P66" s="116"/>
      <c r="Q66" s="13"/>
      <c r="R66" s="123"/>
      <c r="S66" s="116"/>
    </row>
    <row r="67" spans="1:19" s="25" customFormat="1" ht="45" customHeight="1">
      <c r="A67" s="18" t="s">
        <v>331</v>
      </c>
      <c r="B67" s="18" t="s">
        <v>332</v>
      </c>
      <c r="C67" s="18" t="s">
        <v>334</v>
      </c>
      <c r="D67" s="19" t="s">
        <v>333</v>
      </c>
      <c r="E67" s="19"/>
      <c r="F67" s="19"/>
      <c r="G67" s="54">
        <f t="shared" si="0"/>
        <v>0</v>
      </c>
      <c r="H67" s="19"/>
      <c r="I67" s="19"/>
      <c r="J67" s="54">
        <f t="shared" si="1"/>
        <v>0</v>
      </c>
      <c r="K67" s="21">
        <v>35000</v>
      </c>
      <c r="L67" s="21"/>
      <c r="M67" s="16">
        <f>L67+K67</f>
        <v>35000</v>
      </c>
      <c r="N67" s="108">
        <f>ROUND(M67/1000,1)+34.6</f>
        <v>69.6</v>
      </c>
      <c r="O67" s="17"/>
      <c r="P67" s="116"/>
      <c r="Q67" s="13"/>
      <c r="R67" s="120"/>
      <c r="S67" s="116"/>
    </row>
    <row r="68" spans="1:19" s="17" customFormat="1" ht="33" customHeight="1">
      <c r="A68" s="14" t="s">
        <v>349</v>
      </c>
      <c r="B68" s="14" t="s">
        <v>350</v>
      </c>
      <c r="C68" s="14"/>
      <c r="D68" s="15" t="s">
        <v>427</v>
      </c>
      <c r="E68" s="15"/>
      <c r="F68" s="15"/>
      <c r="G68" s="54">
        <f t="shared" si="0"/>
        <v>0</v>
      </c>
      <c r="H68" s="15"/>
      <c r="I68" s="15"/>
      <c r="J68" s="54">
        <f t="shared" si="1"/>
        <v>0</v>
      </c>
      <c r="K68" s="16">
        <f>K69</f>
        <v>3406496</v>
      </c>
      <c r="L68" s="16">
        <f>L69</f>
        <v>0</v>
      </c>
      <c r="M68" s="16">
        <f>M69</f>
        <v>3406496</v>
      </c>
      <c r="N68" s="107">
        <f>N69</f>
        <v>3406.5</v>
      </c>
      <c r="O68" s="25"/>
      <c r="P68" s="116"/>
      <c r="Q68" s="13"/>
      <c r="R68" s="124"/>
      <c r="S68" s="116"/>
    </row>
    <row r="69" spans="1:19" s="25" customFormat="1" ht="30" customHeight="1">
      <c r="A69" s="18" t="s">
        <v>352</v>
      </c>
      <c r="B69" s="18" t="s">
        <v>351</v>
      </c>
      <c r="C69" s="18" t="s">
        <v>354</v>
      </c>
      <c r="D69" s="19" t="s">
        <v>353</v>
      </c>
      <c r="E69" s="19"/>
      <c r="F69" s="19"/>
      <c r="G69" s="54">
        <f t="shared" si="0"/>
        <v>0</v>
      </c>
      <c r="H69" s="19"/>
      <c r="I69" s="19"/>
      <c r="J69" s="54">
        <f t="shared" si="1"/>
        <v>0</v>
      </c>
      <c r="K69" s="21">
        <v>3406496</v>
      </c>
      <c r="L69" s="21"/>
      <c r="M69" s="21">
        <f>L69+K69</f>
        <v>3406496</v>
      </c>
      <c r="N69" s="108">
        <f t="shared" si="2"/>
        <v>3406.5</v>
      </c>
      <c r="O69" s="17"/>
      <c r="P69" s="116"/>
      <c r="Q69" s="13"/>
      <c r="R69" s="124"/>
      <c r="S69" s="116"/>
    </row>
    <row r="70" spans="1:19" s="17" customFormat="1" ht="32.25" customHeight="1">
      <c r="A70" s="14" t="s">
        <v>286</v>
      </c>
      <c r="B70" s="14" t="s">
        <v>262</v>
      </c>
      <c r="C70" s="14"/>
      <c r="D70" s="15" t="s">
        <v>428</v>
      </c>
      <c r="E70" s="15"/>
      <c r="F70" s="15"/>
      <c r="G70" s="54">
        <f t="shared" si="0"/>
        <v>0</v>
      </c>
      <c r="H70" s="15"/>
      <c r="I70" s="15"/>
      <c r="J70" s="54">
        <f t="shared" si="1"/>
        <v>0</v>
      </c>
      <c r="K70" s="16">
        <f>SUM(K71)</f>
        <v>4665863.6</v>
      </c>
      <c r="L70" s="16">
        <f>SUM(L71)</f>
        <v>0</v>
      </c>
      <c r="M70" s="16">
        <f>SUM(M71)</f>
        <v>4665863.6</v>
      </c>
      <c r="N70" s="107">
        <f>SUM(N71)</f>
        <v>4665.9</v>
      </c>
      <c r="P70" s="116"/>
      <c r="Q70" s="13"/>
      <c r="R70" s="124"/>
      <c r="S70" s="116"/>
    </row>
    <row r="71" spans="1:19" s="25" customFormat="1" ht="42" customHeight="1">
      <c r="A71" s="18" t="s">
        <v>287</v>
      </c>
      <c r="B71" s="18" t="s">
        <v>269</v>
      </c>
      <c r="C71" s="18" t="s">
        <v>44</v>
      </c>
      <c r="D71" s="19" t="s">
        <v>260</v>
      </c>
      <c r="E71" s="19"/>
      <c r="F71" s="19"/>
      <c r="G71" s="54">
        <f t="shared" si="0"/>
        <v>0</v>
      </c>
      <c r="H71" s="19"/>
      <c r="I71" s="19"/>
      <c r="J71" s="54">
        <f t="shared" si="1"/>
        <v>0</v>
      </c>
      <c r="K71" s="21">
        <v>4665863.6</v>
      </c>
      <c r="L71" s="21"/>
      <c r="M71" s="21">
        <f>L71+K71</f>
        <v>4665863.6</v>
      </c>
      <c r="N71" s="108">
        <f t="shared" si="2"/>
        <v>4665.9</v>
      </c>
      <c r="O71" s="13"/>
      <c r="P71" s="116"/>
      <c r="Q71" s="13"/>
      <c r="R71" s="121"/>
      <c r="S71" s="116"/>
    </row>
    <row r="72" spans="1:19" s="25" customFormat="1" ht="27.75" customHeight="1">
      <c r="A72" s="18"/>
      <c r="B72" s="18"/>
      <c r="C72" s="18"/>
      <c r="D72" s="19" t="s">
        <v>470</v>
      </c>
      <c r="E72" s="19"/>
      <c r="F72" s="19"/>
      <c r="G72" s="54">
        <f t="shared" si="0"/>
        <v>0</v>
      </c>
      <c r="H72" s="19"/>
      <c r="I72" s="19"/>
      <c r="J72" s="54">
        <f t="shared" si="1"/>
        <v>0</v>
      </c>
      <c r="K72" s="21">
        <v>4529964.66</v>
      </c>
      <c r="L72" s="21"/>
      <c r="M72" s="21">
        <f>L72+K72</f>
        <v>4529964.66</v>
      </c>
      <c r="N72" s="108">
        <f t="shared" si="2"/>
        <v>4530</v>
      </c>
      <c r="O72" s="33"/>
      <c r="P72" s="116"/>
      <c r="Q72" s="13"/>
      <c r="R72" s="121"/>
      <c r="S72" s="116"/>
    </row>
    <row r="73" spans="1:19" s="17" customFormat="1" ht="26.25" customHeight="1">
      <c r="A73" s="14" t="s">
        <v>92</v>
      </c>
      <c r="B73" s="14" t="s">
        <v>1</v>
      </c>
      <c r="C73" s="14" t="s">
        <v>45</v>
      </c>
      <c r="D73" s="15" t="s">
        <v>14</v>
      </c>
      <c r="E73" s="15"/>
      <c r="F73" s="15"/>
      <c r="G73" s="54">
        <f t="shared" si="0"/>
        <v>0</v>
      </c>
      <c r="H73" s="15"/>
      <c r="I73" s="15"/>
      <c r="J73" s="54">
        <f t="shared" si="1"/>
        <v>0</v>
      </c>
      <c r="K73" s="16">
        <f>6847000+3000000</f>
        <v>9847000</v>
      </c>
      <c r="L73" s="16"/>
      <c r="M73" s="16">
        <f>L73+K73</f>
        <v>9847000</v>
      </c>
      <c r="N73" s="109">
        <f t="shared" si="2"/>
        <v>9847</v>
      </c>
      <c r="P73" s="116"/>
      <c r="Q73" s="13"/>
      <c r="R73" s="124"/>
      <c r="S73" s="116"/>
    </row>
    <row r="74" spans="1:19" s="17" customFormat="1" ht="26.25" customHeight="1">
      <c r="A74" s="14" t="s">
        <v>481</v>
      </c>
      <c r="B74" s="14" t="s">
        <v>208</v>
      </c>
      <c r="C74" s="14" t="s">
        <v>22</v>
      </c>
      <c r="D74" s="15" t="s">
        <v>209</v>
      </c>
      <c r="E74" s="15"/>
      <c r="F74" s="15"/>
      <c r="G74" s="54"/>
      <c r="H74" s="15"/>
      <c r="I74" s="15"/>
      <c r="J74" s="54"/>
      <c r="K74" s="16"/>
      <c r="L74" s="16"/>
      <c r="M74" s="16"/>
      <c r="N74" s="109">
        <v>500</v>
      </c>
      <c r="O74" s="40"/>
      <c r="P74" s="116"/>
      <c r="Q74" s="13"/>
      <c r="R74" s="124"/>
      <c r="S74" s="116"/>
    </row>
    <row r="75" spans="1:19" s="13" customFormat="1" ht="33" customHeight="1">
      <c r="A75" s="11" t="s">
        <v>93</v>
      </c>
      <c r="B75" s="11"/>
      <c r="C75" s="11"/>
      <c r="D75" s="30" t="s">
        <v>18</v>
      </c>
      <c r="E75" s="30"/>
      <c r="F75" s="30"/>
      <c r="G75" s="54">
        <f t="shared" si="0"/>
        <v>0</v>
      </c>
      <c r="H75" s="30"/>
      <c r="I75" s="30"/>
      <c r="J75" s="54">
        <f t="shared" si="1"/>
        <v>0</v>
      </c>
      <c r="K75" s="12">
        <f>K77+K78+K89+K80+K82</f>
        <v>13793049.68</v>
      </c>
      <c r="L75" s="12">
        <f>L77+L78+L89+L80+L82</f>
        <v>5382</v>
      </c>
      <c r="M75" s="12">
        <f>M77+M78+M89+M80+M82</f>
        <v>13798431.68</v>
      </c>
      <c r="N75" s="106">
        <f>N77+N78+N89+N80+N82</f>
        <v>13808.4</v>
      </c>
      <c r="O75" s="41"/>
      <c r="P75" s="116"/>
      <c r="R75" s="120"/>
      <c r="S75" s="116"/>
    </row>
    <row r="76" spans="1:19" s="33" customFormat="1" ht="20.25">
      <c r="A76" s="34"/>
      <c r="B76" s="34"/>
      <c r="C76" s="34"/>
      <c r="D76" s="31" t="s">
        <v>470</v>
      </c>
      <c r="E76" s="31"/>
      <c r="F76" s="31"/>
      <c r="G76" s="54">
        <f t="shared" si="0"/>
        <v>0</v>
      </c>
      <c r="H76" s="31"/>
      <c r="I76" s="31"/>
      <c r="J76" s="54">
        <f t="shared" si="1"/>
        <v>0</v>
      </c>
      <c r="K76" s="32">
        <f>K84+K88+K86</f>
        <v>12613549.68</v>
      </c>
      <c r="L76" s="32">
        <f>L84+L88+L86</f>
        <v>0</v>
      </c>
      <c r="M76" s="32">
        <f>M84+M88+M86</f>
        <v>12613549.68</v>
      </c>
      <c r="N76" s="111">
        <f>N84+N88+N86</f>
        <v>12613.5</v>
      </c>
      <c r="O76" s="41"/>
      <c r="P76" s="116"/>
      <c r="Q76" s="13"/>
      <c r="R76" s="121"/>
      <c r="S76" s="116"/>
    </row>
    <row r="77" spans="1:19" s="17" customFormat="1" ht="59.25" customHeight="1">
      <c r="A77" s="14" t="s">
        <v>94</v>
      </c>
      <c r="B77" s="14" t="s">
        <v>55</v>
      </c>
      <c r="C77" s="14" t="s">
        <v>23</v>
      </c>
      <c r="D77" s="15" t="s">
        <v>56</v>
      </c>
      <c r="E77" s="15"/>
      <c r="F77" s="15"/>
      <c r="G77" s="54">
        <f t="shared" si="0"/>
        <v>0</v>
      </c>
      <c r="H77" s="15"/>
      <c r="I77" s="15"/>
      <c r="J77" s="54">
        <f t="shared" si="1"/>
        <v>0</v>
      </c>
      <c r="K77" s="16">
        <f>700000-128000</f>
        <v>572000</v>
      </c>
      <c r="L77" s="16"/>
      <c r="M77" s="16">
        <f>L77+K77</f>
        <v>572000</v>
      </c>
      <c r="N77" s="109">
        <f>ROUND(M77/1000,1)+10-31.9</f>
        <v>550.1</v>
      </c>
      <c r="O77" s="40"/>
      <c r="P77" s="116"/>
      <c r="Q77" s="13"/>
      <c r="R77" s="121"/>
      <c r="S77" s="116"/>
    </row>
    <row r="78" spans="1:19" s="40" customFormat="1" ht="53.25" customHeight="1">
      <c r="A78" s="14" t="s">
        <v>95</v>
      </c>
      <c r="B78" s="39">
        <v>3030</v>
      </c>
      <c r="C78" s="39"/>
      <c r="D78" s="15" t="s">
        <v>429</v>
      </c>
      <c r="E78" s="15"/>
      <c r="F78" s="15"/>
      <c r="G78" s="54">
        <f t="shared" si="0"/>
        <v>0</v>
      </c>
      <c r="H78" s="15"/>
      <c r="I78" s="15"/>
      <c r="J78" s="54">
        <f t="shared" si="1"/>
        <v>0</v>
      </c>
      <c r="K78" s="16">
        <f>K79</f>
        <v>214000</v>
      </c>
      <c r="L78" s="16">
        <f>L79</f>
        <v>0</v>
      </c>
      <c r="M78" s="16">
        <f>M79</f>
        <v>214000</v>
      </c>
      <c r="N78" s="107">
        <f>N79</f>
        <v>245.9</v>
      </c>
      <c r="O78" s="41"/>
      <c r="P78" s="116"/>
      <c r="Q78" s="13"/>
      <c r="R78" s="122"/>
      <c r="S78" s="116"/>
    </row>
    <row r="79" spans="1:19" s="41" customFormat="1" ht="30.75" customHeight="1">
      <c r="A79" s="18" t="s">
        <v>96</v>
      </c>
      <c r="B79" s="42">
        <v>3031</v>
      </c>
      <c r="C79" s="42">
        <v>1030</v>
      </c>
      <c r="D79" s="19" t="s">
        <v>58</v>
      </c>
      <c r="E79" s="19"/>
      <c r="F79" s="19"/>
      <c r="G79" s="54">
        <f t="shared" si="0"/>
        <v>0</v>
      </c>
      <c r="H79" s="19"/>
      <c r="I79" s="19"/>
      <c r="J79" s="54">
        <f t="shared" si="1"/>
        <v>0</v>
      </c>
      <c r="K79" s="21">
        <v>214000</v>
      </c>
      <c r="L79" s="21"/>
      <c r="M79" s="21">
        <f>L79+K79</f>
        <v>214000</v>
      </c>
      <c r="N79" s="108">
        <f>ROUND(M79/1000,1)+31.9</f>
        <v>245.9</v>
      </c>
      <c r="O79" s="25"/>
      <c r="P79" s="116"/>
      <c r="Q79" s="13"/>
      <c r="R79" s="123"/>
      <c r="S79" s="116"/>
    </row>
    <row r="80" spans="1:19" s="41" customFormat="1" ht="49.5" customHeight="1">
      <c r="A80" s="14" t="s">
        <v>97</v>
      </c>
      <c r="B80" s="39">
        <v>3100</v>
      </c>
      <c r="C80" s="39"/>
      <c r="D80" s="15" t="s">
        <v>430</v>
      </c>
      <c r="E80" s="19"/>
      <c r="F80" s="19"/>
      <c r="G80" s="54">
        <f t="shared" si="0"/>
        <v>0</v>
      </c>
      <c r="H80" s="19"/>
      <c r="I80" s="19"/>
      <c r="J80" s="54">
        <f t="shared" si="1"/>
        <v>0</v>
      </c>
      <c r="K80" s="16">
        <f>K81</f>
        <v>18500</v>
      </c>
      <c r="L80" s="16">
        <f>L81</f>
        <v>0</v>
      </c>
      <c r="M80" s="16">
        <f>M81</f>
        <v>18500</v>
      </c>
      <c r="N80" s="107">
        <f>N81</f>
        <v>18.5</v>
      </c>
      <c r="O80" s="25"/>
      <c r="P80" s="116"/>
      <c r="Q80" s="13"/>
      <c r="R80" s="121"/>
      <c r="S80" s="116"/>
    </row>
    <row r="81" spans="1:19" s="41" customFormat="1" ht="53.25" customHeight="1">
      <c r="A81" s="18" t="s">
        <v>98</v>
      </c>
      <c r="B81" s="42">
        <v>3104</v>
      </c>
      <c r="C81" s="42">
        <v>1020</v>
      </c>
      <c r="D81" s="19" t="s">
        <v>11</v>
      </c>
      <c r="E81" s="19"/>
      <c r="F81" s="19"/>
      <c r="G81" s="54">
        <f aca="true" t="shared" si="5" ref="G81:G144">ROUND(F81/1000,1)</f>
        <v>0</v>
      </c>
      <c r="H81" s="19"/>
      <c r="I81" s="19"/>
      <c r="J81" s="54">
        <f aca="true" t="shared" si="6" ref="J81:J144">ROUND(I81/1000,1)</f>
        <v>0</v>
      </c>
      <c r="K81" s="21">
        <v>18500</v>
      </c>
      <c r="L81" s="21"/>
      <c r="M81" s="21">
        <f>L81+K81</f>
        <v>18500</v>
      </c>
      <c r="N81" s="108">
        <f aca="true" t="shared" si="7" ref="N81:N144">ROUND(M81/1000,1)</f>
        <v>18.5</v>
      </c>
      <c r="O81" s="25"/>
      <c r="P81" s="116"/>
      <c r="Q81" s="13"/>
      <c r="R81" s="121"/>
      <c r="S81" s="116"/>
    </row>
    <row r="82" spans="1:19" s="40" customFormat="1" ht="51" customHeight="1">
      <c r="A82" s="14" t="s">
        <v>377</v>
      </c>
      <c r="B82" s="39">
        <v>3220</v>
      </c>
      <c r="C82" s="39"/>
      <c r="D82" s="15" t="s">
        <v>431</v>
      </c>
      <c r="E82" s="15"/>
      <c r="F82" s="15"/>
      <c r="G82" s="54">
        <f t="shared" si="5"/>
        <v>0</v>
      </c>
      <c r="H82" s="15"/>
      <c r="I82" s="15"/>
      <c r="J82" s="54">
        <f t="shared" si="6"/>
        <v>0</v>
      </c>
      <c r="K82" s="16">
        <f>K83+K87+K85</f>
        <v>12613549.68</v>
      </c>
      <c r="L82" s="16">
        <f>L83+L87+L85</f>
        <v>0</v>
      </c>
      <c r="M82" s="16">
        <f>M83+M87+M85</f>
        <v>12613549.68</v>
      </c>
      <c r="N82" s="107">
        <f>N83+N87+N85</f>
        <v>12613.5</v>
      </c>
      <c r="O82" s="41"/>
      <c r="P82" s="116"/>
      <c r="Q82" s="13"/>
      <c r="R82" s="122"/>
      <c r="S82" s="116"/>
    </row>
    <row r="83" spans="1:19" s="41" customFormat="1" ht="146.25" customHeight="1">
      <c r="A83" s="18" t="s">
        <v>378</v>
      </c>
      <c r="B83" s="42">
        <v>3221</v>
      </c>
      <c r="C83" s="42">
        <v>1060</v>
      </c>
      <c r="D83" s="19" t="s">
        <v>379</v>
      </c>
      <c r="E83" s="19"/>
      <c r="F83" s="19"/>
      <c r="G83" s="54">
        <f t="shared" si="5"/>
        <v>0</v>
      </c>
      <c r="H83" s="19"/>
      <c r="I83" s="19"/>
      <c r="J83" s="54">
        <f t="shared" si="6"/>
        <v>0</v>
      </c>
      <c r="K83" s="21">
        <v>6547535.21</v>
      </c>
      <c r="L83" s="21"/>
      <c r="M83" s="21">
        <f aca="true" t="shared" si="8" ref="M83:M88">L83+K83</f>
        <v>6547535.21</v>
      </c>
      <c r="N83" s="108">
        <f t="shared" si="7"/>
        <v>6547.5</v>
      </c>
      <c r="O83" s="25"/>
      <c r="P83" s="116"/>
      <c r="Q83" s="13"/>
      <c r="R83" s="123"/>
      <c r="S83" s="116"/>
    </row>
    <row r="84" spans="1:19" s="25" customFormat="1" ht="20.25">
      <c r="A84" s="18"/>
      <c r="B84" s="18"/>
      <c r="C84" s="18"/>
      <c r="D84" s="19" t="s">
        <v>470</v>
      </c>
      <c r="E84" s="19"/>
      <c r="F84" s="19"/>
      <c r="G84" s="54">
        <f t="shared" si="5"/>
        <v>0</v>
      </c>
      <c r="H84" s="19"/>
      <c r="I84" s="19"/>
      <c r="J84" s="54">
        <f t="shared" si="6"/>
        <v>0</v>
      </c>
      <c r="K84" s="21">
        <v>6547535.21</v>
      </c>
      <c r="L84" s="21"/>
      <c r="M84" s="21">
        <f t="shared" si="8"/>
        <v>6547535.21</v>
      </c>
      <c r="N84" s="108">
        <f t="shared" si="7"/>
        <v>6547.5</v>
      </c>
      <c r="O84" s="17"/>
      <c r="P84" s="116"/>
      <c r="Q84" s="13"/>
      <c r="R84" s="120"/>
      <c r="S84" s="116"/>
    </row>
    <row r="85" spans="1:19" s="25" customFormat="1" ht="171.75" customHeight="1">
      <c r="A85" s="18" t="s">
        <v>409</v>
      </c>
      <c r="B85" s="18" t="s">
        <v>410</v>
      </c>
      <c r="C85" s="18" t="s">
        <v>411</v>
      </c>
      <c r="D85" s="45" t="s">
        <v>434</v>
      </c>
      <c r="E85" s="19"/>
      <c r="F85" s="19"/>
      <c r="G85" s="54">
        <f t="shared" si="5"/>
        <v>0</v>
      </c>
      <c r="H85" s="19"/>
      <c r="I85" s="19"/>
      <c r="J85" s="54">
        <f t="shared" si="6"/>
        <v>0</v>
      </c>
      <c r="K85" s="21">
        <v>2544480</v>
      </c>
      <c r="L85" s="21"/>
      <c r="M85" s="21">
        <f t="shared" si="8"/>
        <v>2544480</v>
      </c>
      <c r="N85" s="108">
        <f t="shared" si="7"/>
        <v>2544.5</v>
      </c>
      <c r="P85" s="116"/>
      <c r="Q85" s="13"/>
      <c r="R85" s="120"/>
      <c r="S85" s="116"/>
    </row>
    <row r="86" spans="1:19" s="25" customFormat="1" ht="30" customHeight="1">
      <c r="A86" s="18"/>
      <c r="B86" s="18"/>
      <c r="C86" s="18"/>
      <c r="D86" s="19" t="s">
        <v>470</v>
      </c>
      <c r="E86" s="19"/>
      <c r="F86" s="19"/>
      <c r="G86" s="54">
        <f t="shared" si="5"/>
        <v>0</v>
      </c>
      <c r="H86" s="19"/>
      <c r="I86" s="19"/>
      <c r="J86" s="54">
        <f t="shared" si="6"/>
        <v>0</v>
      </c>
      <c r="K86" s="21">
        <v>2544480</v>
      </c>
      <c r="L86" s="21"/>
      <c r="M86" s="21">
        <f t="shared" si="8"/>
        <v>2544480</v>
      </c>
      <c r="N86" s="108">
        <f t="shared" si="7"/>
        <v>2544.5</v>
      </c>
      <c r="P86" s="116"/>
      <c r="Q86" s="13"/>
      <c r="R86" s="121"/>
      <c r="S86" s="116"/>
    </row>
    <row r="87" spans="1:19" s="41" customFormat="1" ht="167.25" customHeight="1">
      <c r="A87" s="18" t="s">
        <v>393</v>
      </c>
      <c r="B87" s="42">
        <v>3223</v>
      </c>
      <c r="C87" s="42">
        <v>1060</v>
      </c>
      <c r="D87" s="19" t="s">
        <v>400</v>
      </c>
      <c r="E87" s="19"/>
      <c r="F87" s="19"/>
      <c r="G87" s="54">
        <f t="shared" si="5"/>
        <v>0</v>
      </c>
      <c r="H87" s="19"/>
      <c r="I87" s="19"/>
      <c r="J87" s="54">
        <f t="shared" si="6"/>
        <v>0</v>
      </c>
      <c r="K87" s="21">
        <v>3521534.47</v>
      </c>
      <c r="L87" s="21"/>
      <c r="M87" s="21">
        <f t="shared" si="8"/>
        <v>3521534.47</v>
      </c>
      <c r="N87" s="108">
        <f t="shared" si="7"/>
        <v>3521.5</v>
      </c>
      <c r="O87" s="13"/>
      <c r="P87" s="116"/>
      <c r="Q87" s="13"/>
      <c r="R87" s="121"/>
      <c r="S87" s="116"/>
    </row>
    <row r="88" spans="1:19" s="25" customFormat="1" ht="20.25">
      <c r="A88" s="18"/>
      <c r="B88" s="18"/>
      <c r="C88" s="18"/>
      <c r="D88" s="19" t="s">
        <v>470</v>
      </c>
      <c r="E88" s="19"/>
      <c r="F88" s="19"/>
      <c r="G88" s="54">
        <f t="shared" si="5"/>
        <v>0</v>
      </c>
      <c r="H88" s="19"/>
      <c r="I88" s="19"/>
      <c r="J88" s="54">
        <f t="shared" si="6"/>
        <v>0</v>
      </c>
      <c r="K88" s="21">
        <v>3521534.47</v>
      </c>
      <c r="L88" s="21"/>
      <c r="M88" s="21">
        <f t="shared" si="8"/>
        <v>3521534.47</v>
      </c>
      <c r="N88" s="108">
        <f t="shared" si="7"/>
        <v>3521.5</v>
      </c>
      <c r="O88" s="33"/>
      <c r="P88" s="116"/>
      <c r="Q88" s="13"/>
      <c r="R88" s="121"/>
      <c r="S88" s="116"/>
    </row>
    <row r="89" spans="1:19" s="17" customFormat="1" ht="26.25" customHeight="1">
      <c r="A89" s="14" t="s">
        <v>205</v>
      </c>
      <c r="B89" s="39">
        <v>3240</v>
      </c>
      <c r="C89" s="39"/>
      <c r="D89" s="15" t="s">
        <v>432</v>
      </c>
      <c r="E89" s="15"/>
      <c r="F89" s="15"/>
      <c r="G89" s="54">
        <f t="shared" si="5"/>
        <v>0</v>
      </c>
      <c r="H89" s="15"/>
      <c r="I89" s="15"/>
      <c r="J89" s="54">
        <f t="shared" si="6"/>
        <v>0</v>
      </c>
      <c r="K89" s="16">
        <f>K90+K91</f>
        <v>375000</v>
      </c>
      <c r="L89" s="16">
        <f>L90+L91</f>
        <v>5382</v>
      </c>
      <c r="M89" s="16">
        <f>M90+M91</f>
        <v>380382</v>
      </c>
      <c r="N89" s="107">
        <f>N90+N91</f>
        <v>380.4</v>
      </c>
      <c r="O89" s="25"/>
      <c r="P89" s="116"/>
      <c r="Q89" s="13"/>
      <c r="R89" s="120"/>
      <c r="S89" s="116"/>
    </row>
    <row r="90" spans="1:19" s="25" customFormat="1" ht="30" customHeight="1">
      <c r="A90" s="18" t="s">
        <v>196</v>
      </c>
      <c r="B90" s="42">
        <v>3241</v>
      </c>
      <c r="C90" s="42">
        <v>1090</v>
      </c>
      <c r="D90" s="19" t="s">
        <v>197</v>
      </c>
      <c r="E90" s="19"/>
      <c r="F90" s="19"/>
      <c r="G90" s="54">
        <f t="shared" si="5"/>
        <v>0</v>
      </c>
      <c r="H90" s="19"/>
      <c r="I90" s="19"/>
      <c r="J90" s="54">
        <f t="shared" si="6"/>
        <v>0</v>
      </c>
      <c r="K90" s="21">
        <v>300000</v>
      </c>
      <c r="L90" s="21">
        <v>5382</v>
      </c>
      <c r="M90" s="21">
        <f>L90+K90</f>
        <v>305382</v>
      </c>
      <c r="N90" s="108">
        <f t="shared" si="7"/>
        <v>305.4</v>
      </c>
      <c r="P90" s="116"/>
      <c r="Q90" s="13"/>
      <c r="R90" s="123"/>
      <c r="S90" s="116"/>
    </row>
    <row r="91" spans="1:19" s="25" customFormat="1" ht="20.25">
      <c r="A91" s="18" t="s">
        <v>198</v>
      </c>
      <c r="B91" s="42">
        <v>3242</v>
      </c>
      <c r="C91" s="42">
        <v>1090</v>
      </c>
      <c r="D91" s="19" t="s">
        <v>199</v>
      </c>
      <c r="E91" s="19"/>
      <c r="F91" s="19"/>
      <c r="G91" s="54">
        <f t="shared" si="5"/>
        <v>0</v>
      </c>
      <c r="H91" s="19"/>
      <c r="I91" s="19"/>
      <c r="J91" s="54">
        <f t="shared" si="6"/>
        <v>0</v>
      </c>
      <c r="K91" s="21">
        <v>75000</v>
      </c>
      <c r="L91" s="21"/>
      <c r="M91" s="21">
        <f>L91+K91</f>
        <v>75000</v>
      </c>
      <c r="N91" s="108">
        <f t="shared" si="7"/>
        <v>75</v>
      </c>
      <c r="P91" s="116"/>
      <c r="Q91" s="13"/>
      <c r="R91" s="120"/>
      <c r="S91" s="116"/>
    </row>
    <row r="92" spans="1:19" s="13" customFormat="1" ht="36" customHeight="1">
      <c r="A92" s="11" t="s">
        <v>416</v>
      </c>
      <c r="B92" s="46"/>
      <c r="C92" s="46"/>
      <c r="D92" s="30" t="s">
        <v>413</v>
      </c>
      <c r="E92" s="30"/>
      <c r="F92" s="30"/>
      <c r="G92" s="54">
        <f t="shared" si="5"/>
        <v>0</v>
      </c>
      <c r="H92" s="30"/>
      <c r="I92" s="30"/>
      <c r="J92" s="54">
        <f t="shared" si="6"/>
        <v>0</v>
      </c>
      <c r="K92" s="12">
        <f>SUM(K94)</f>
        <v>809800</v>
      </c>
      <c r="L92" s="12">
        <f>SUM(L94)</f>
        <v>0</v>
      </c>
      <c r="M92" s="12">
        <f>SUM(M94)</f>
        <v>809800</v>
      </c>
      <c r="N92" s="106">
        <f>SUM(N94)</f>
        <v>809.8</v>
      </c>
      <c r="O92" s="33"/>
      <c r="P92" s="116"/>
      <c r="R92" s="121"/>
      <c r="S92" s="116"/>
    </row>
    <row r="93" spans="1:19" s="33" customFormat="1" ht="22.5" customHeight="1">
      <c r="A93" s="34"/>
      <c r="B93" s="43"/>
      <c r="C93" s="43"/>
      <c r="D93" s="31" t="s">
        <v>470</v>
      </c>
      <c r="E93" s="31"/>
      <c r="F93" s="31"/>
      <c r="G93" s="54">
        <f t="shared" si="5"/>
        <v>0</v>
      </c>
      <c r="H93" s="31"/>
      <c r="I93" s="31"/>
      <c r="J93" s="54">
        <f t="shared" si="6"/>
        <v>0</v>
      </c>
      <c r="K93" s="32">
        <f>SUM(K96)</f>
        <v>809800</v>
      </c>
      <c r="L93" s="32">
        <f>SUM(L96)</f>
        <v>0</v>
      </c>
      <c r="M93" s="32">
        <f>SUM(M96)</f>
        <v>809800</v>
      </c>
      <c r="N93" s="111">
        <f>SUM(N96)</f>
        <v>809.8</v>
      </c>
      <c r="O93" s="17"/>
      <c r="P93" s="116"/>
      <c r="Q93" s="13"/>
      <c r="R93" s="121"/>
      <c r="S93" s="116"/>
    </row>
    <row r="94" spans="1:19" s="25" customFormat="1" ht="30.75" customHeight="1">
      <c r="A94" s="18" t="s">
        <v>412</v>
      </c>
      <c r="B94" s="42">
        <v>6080</v>
      </c>
      <c r="C94" s="18" t="s">
        <v>291</v>
      </c>
      <c r="D94" s="53" t="s">
        <v>433</v>
      </c>
      <c r="E94" s="15"/>
      <c r="F94" s="15"/>
      <c r="G94" s="54">
        <f t="shared" si="5"/>
        <v>0</v>
      </c>
      <c r="H94" s="15"/>
      <c r="I94" s="15"/>
      <c r="J94" s="54">
        <f t="shared" si="6"/>
        <v>0</v>
      </c>
      <c r="K94" s="16">
        <f>SUM(K95)</f>
        <v>809800</v>
      </c>
      <c r="L94" s="16">
        <f>SUM(L95)</f>
        <v>0</v>
      </c>
      <c r="M94" s="16">
        <f>SUM(M95)</f>
        <v>809800</v>
      </c>
      <c r="N94" s="107">
        <f>SUM(N95)</f>
        <v>809.8</v>
      </c>
      <c r="O94" s="17"/>
      <c r="P94" s="116"/>
      <c r="Q94" s="13"/>
      <c r="R94" s="120"/>
      <c r="S94" s="116"/>
    </row>
    <row r="95" spans="1:19" s="25" customFormat="1" ht="57.75" customHeight="1">
      <c r="A95" s="18" t="s">
        <v>414</v>
      </c>
      <c r="B95" s="42">
        <v>6083</v>
      </c>
      <c r="C95" s="18" t="s">
        <v>291</v>
      </c>
      <c r="D95" s="45" t="s">
        <v>415</v>
      </c>
      <c r="E95" s="19"/>
      <c r="F95" s="19"/>
      <c r="G95" s="54">
        <f t="shared" si="5"/>
        <v>0</v>
      </c>
      <c r="H95" s="19"/>
      <c r="I95" s="19"/>
      <c r="J95" s="54">
        <f t="shared" si="6"/>
        <v>0</v>
      </c>
      <c r="K95" s="21">
        <v>809800</v>
      </c>
      <c r="L95" s="21"/>
      <c r="M95" s="21">
        <f>SUM(K95)+L95</f>
        <v>809800</v>
      </c>
      <c r="N95" s="108">
        <f t="shared" si="7"/>
        <v>809.8</v>
      </c>
      <c r="O95" s="17"/>
      <c r="P95" s="116"/>
      <c r="Q95" s="13"/>
      <c r="R95" s="120"/>
      <c r="S95" s="116"/>
    </row>
    <row r="96" spans="1:19" s="25" customFormat="1" ht="21" customHeight="1">
      <c r="A96" s="18"/>
      <c r="B96" s="42"/>
      <c r="C96" s="42"/>
      <c r="D96" s="19" t="s">
        <v>470</v>
      </c>
      <c r="E96" s="19"/>
      <c r="F96" s="19"/>
      <c r="G96" s="54">
        <f t="shared" si="5"/>
        <v>0</v>
      </c>
      <c r="H96" s="19"/>
      <c r="I96" s="19"/>
      <c r="J96" s="54">
        <f t="shared" si="6"/>
        <v>0</v>
      </c>
      <c r="K96" s="21">
        <v>809800</v>
      </c>
      <c r="L96" s="21"/>
      <c r="M96" s="21">
        <f>SUM(K96)+L96</f>
        <v>809800</v>
      </c>
      <c r="N96" s="108">
        <f t="shared" si="7"/>
        <v>809.8</v>
      </c>
      <c r="O96" s="17"/>
      <c r="P96" s="116"/>
      <c r="Q96" s="13"/>
      <c r="R96" s="120"/>
      <c r="S96" s="116"/>
    </row>
    <row r="97" spans="1:19" s="13" customFormat="1" ht="33.75" customHeight="1">
      <c r="A97" s="11" t="s">
        <v>99</v>
      </c>
      <c r="B97" s="11"/>
      <c r="C97" s="11"/>
      <c r="D97" s="30" t="s">
        <v>12</v>
      </c>
      <c r="E97" s="30"/>
      <c r="F97" s="30"/>
      <c r="G97" s="54">
        <f t="shared" si="5"/>
        <v>0</v>
      </c>
      <c r="H97" s="30"/>
      <c r="I97" s="30"/>
      <c r="J97" s="54">
        <f t="shared" si="6"/>
        <v>0</v>
      </c>
      <c r="K97" s="12">
        <f>K99+K100+K101+K102+K107+K104</f>
        <v>3650450</v>
      </c>
      <c r="L97" s="12">
        <f>L99+L100+L101+L102+L107+L104</f>
        <v>0</v>
      </c>
      <c r="M97" s="12">
        <f>M99+M100+M101+M102+M107+M104</f>
        <v>3650450</v>
      </c>
      <c r="N97" s="106">
        <f>N99+N100+N101+N102+N107+N104</f>
        <v>3650.4</v>
      </c>
      <c r="O97" s="25"/>
      <c r="P97" s="116"/>
      <c r="R97" s="120"/>
      <c r="S97" s="116"/>
    </row>
    <row r="98" spans="1:19" s="33" customFormat="1" ht="20.25">
      <c r="A98" s="34"/>
      <c r="B98" s="34"/>
      <c r="C98" s="34"/>
      <c r="D98" s="31" t="s">
        <v>470</v>
      </c>
      <c r="E98" s="31"/>
      <c r="F98" s="31"/>
      <c r="G98" s="54">
        <f t="shared" si="5"/>
        <v>0</v>
      </c>
      <c r="H98" s="31"/>
      <c r="I98" s="31"/>
      <c r="J98" s="54">
        <f t="shared" si="6"/>
        <v>0</v>
      </c>
      <c r="K98" s="32">
        <f>K106</f>
        <v>500000</v>
      </c>
      <c r="L98" s="32">
        <f>L106</f>
        <v>0</v>
      </c>
      <c r="M98" s="32">
        <f>M106</f>
        <v>500000</v>
      </c>
      <c r="N98" s="111">
        <f>N106</f>
        <v>500</v>
      </c>
      <c r="O98" s="25"/>
      <c r="P98" s="116"/>
      <c r="Q98" s="13"/>
      <c r="R98" s="120"/>
      <c r="S98" s="116"/>
    </row>
    <row r="99" spans="1:19" s="17" customFormat="1" ht="48" customHeight="1">
      <c r="A99" s="14" t="s">
        <v>67</v>
      </c>
      <c r="B99" s="14" t="s">
        <v>55</v>
      </c>
      <c r="C99" s="14" t="s">
        <v>23</v>
      </c>
      <c r="D99" s="15" t="s">
        <v>56</v>
      </c>
      <c r="E99" s="15"/>
      <c r="F99" s="15"/>
      <c r="G99" s="54">
        <f t="shared" si="5"/>
        <v>0</v>
      </c>
      <c r="H99" s="15"/>
      <c r="I99" s="15"/>
      <c r="J99" s="54">
        <f t="shared" si="6"/>
        <v>0</v>
      </c>
      <c r="K99" s="16">
        <v>10000</v>
      </c>
      <c r="L99" s="16">
        <v>850</v>
      </c>
      <c r="M99" s="16">
        <f>L99+K99</f>
        <v>10850</v>
      </c>
      <c r="N99" s="109">
        <f>ROUND(M99/1000,1)-0.1</f>
        <v>10.8</v>
      </c>
      <c r="O99" s="25"/>
      <c r="P99" s="116"/>
      <c r="Q99" s="13"/>
      <c r="R99" s="120"/>
      <c r="S99" s="116"/>
    </row>
    <row r="100" spans="1:19" s="17" customFormat="1" ht="57" customHeight="1">
      <c r="A100" s="14" t="s">
        <v>116</v>
      </c>
      <c r="B100" s="14" t="s">
        <v>33</v>
      </c>
      <c r="C100" s="14" t="s">
        <v>32</v>
      </c>
      <c r="D100" s="15" t="s">
        <v>4</v>
      </c>
      <c r="E100" s="15"/>
      <c r="F100" s="15"/>
      <c r="G100" s="54">
        <f t="shared" si="5"/>
        <v>0</v>
      </c>
      <c r="H100" s="15"/>
      <c r="I100" s="15"/>
      <c r="J100" s="54">
        <f t="shared" si="6"/>
        <v>0</v>
      </c>
      <c r="K100" s="16">
        <v>197300</v>
      </c>
      <c r="L100" s="16"/>
      <c r="M100" s="16">
        <f>L100+K100</f>
        <v>197300</v>
      </c>
      <c r="N100" s="109">
        <f t="shared" si="7"/>
        <v>197.3</v>
      </c>
      <c r="P100" s="116"/>
      <c r="Q100" s="13"/>
      <c r="R100" s="120"/>
      <c r="S100" s="116"/>
    </row>
    <row r="101" spans="1:19" s="17" customFormat="1" ht="32.25" customHeight="1">
      <c r="A101" s="14" t="s">
        <v>100</v>
      </c>
      <c r="B101" s="14" t="s">
        <v>39</v>
      </c>
      <c r="C101" s="14" t="s">
        <v>40</v>
      </c>
      <c r="D101" s="15" t="s">
        <v>3</v>
      </c>
      <c r="E101" s="15"/>
      <c r="F101" s="15"/>
      <c r="G101" s="54">
        <f t="shared" si="5"/>
        <v>0</v>
      </c>
      <c r="H101" s="15"/>
      <c r="I101" s="15"/>
      <c r="J101" s="54">
        <f t="shared" si="6"/>
        <v>0</v>
      </c>
      <c r="K101" s="16">
        <f>300000+850050+70100+10000</f>
        <v>1230150</v>
      </c>
      <c r="L101" s="16"/>
      <c r="M101" s="16">
        <f>L101+K101</f>
        <v>1230150</v>
      </c>
      <c r="N101" s="109">
        <f t="shared" si="7"/>
        <v>1230.2</v>
      </c>
      <c r="O101" s="13"/>
      <c r="P101" s="116"/>
      <c r="Q101" s="13"/>
      <c r="R101" s="120"/>
      <c r="S101" s="116"/>
    </row>
    <row r="102" spans="1:19" s="17" customFormat="1" ht="29.25" customHeight="1">
      <c r="A102" s="14" t="s">
        <v>101</v>
      </c>
      <c r="B102" s="14" t="s">
        <v>5</v>
      </c>
      <c r="C102" s="14"/>
      <c r="D102" s="15" t="s">
        <v>419</v>
      </c>
      <c r="E102" s="15"/>
      <c r="F102" s="15"/>
      <c r="G102" s="54">
        <f t="shared" si="5"/>
        <v>0</v>
      </c>
      <c r="H102" s="15"/>
      <c r="I102" s="15"/>
      <c r="J102" s="54">
        <f t="shared" si="6"/>
        <v>0</v>
      </c>
      <c r="K102" s="16">
        <f>K103</f>
        <v>50000</v>
      </c>
      <c r="L102" s="16">
        <f>L103</f>
        <v>-850</v>
      </c>
      <c r="M102" s="16">
        <f>M103</f>
        <v>49150</v>
      </c>
      <c r="N102" s="107">
        <f>N103</f>
        <v>49.1</v>
      </c>
      <c r="O102" s="33"/>
      <c r="P102" s="116"/>
      <c r="Q102" s="13"/>
      <c r="R102" s="120"/>
      <c r="S102" s="116"/>
    </row>
    <row r="103" spans="1:19" s="25" customFormat="1" ht="29.25" customHeight="1">
      <c r="A103" s="18" t="s">
        <v>200</v>
      </c>
      <c r="B103" s="18" t="s">
        <v>191</v>
      </c>
      <c r="C103" s="18" t="s">
        <v>41</v>
      </c>
      <c r="D103" s="19" t="s">
        <v>192</v>
      </c>
      <c r="E103" s="19"/>
      <c r="F103" s="19"/>
      <c r="G103" s="54">
        <f t="shared" si="5"/>
        <v>0</v>
      </c>
      <c r="H103" s="19"/>
      <c r="I103" s="19"/>
      <c r="J103" s="54">
        <f t="shared" si="6"/>
        <v>0</v>
      </c>
      <c r="K103" s="21">
        <v>50000</v>
      </c>
      <c r="L103" s="21">
        <v>-850</v>
      </c>
      <c r="M103" s="21">
        <f>L103+K103</f>
        <v>49150</v>
      </c>
      <c r="N103" s="108">
        <f>ROUND(M103/1000,1)-0.1</f>
        <v>49.1</v>
      </c>
      <c r="O103" s="17"/>
      <c r="P103" s="116"/>
      <c r="Q103" s="13"/>
      <c r="R103" s="120"/>
      <c r="S103" s="116"/>
    </row>
    <row r="104" spans="1:19" s="25" customFormat="1" ht="29.25" customHeight="1">
      <c r="A104" s="14" t="s">
        <v>388</v>
      </c>
      <c r="B104" s="14" t="s">
        <v>262</v>
      </c>
      <c r="C104" s="14"/>
      <c r="D104" s="15" t="s">
        <v>428</v>
      </c>
      <c r="E104" s="19"/>
      <c r="F104" s="19"/>
      <c r="G104" s="54">
        <f t="shared" si="5"/>
        <v>0</v>
      </c>
      <c r="H104" s="19"/>
      <c r="I104" s="19"/>
      <c r="J104" s="54">
        <f t="shared" si="6"/>
        <v>0</v>
      </c>
      <c r="K104" s="16">
        <f>K105</f>
        <v>515000</v>
      </c>
      <c r="L104" s="16">
        <f>L105</f>
        <v>0</v>
      </c>
      <c r="M104" s="16">
        <f>M105</f>
        <v>515000</v>
      </c>
      <c r="N104" s="107">
        <f>N105</f>
        <v>515</v>
      </c>
      <c r="O104" s="17"/>
      <c r="P104" s="116"/>
      <c r="Q104" s="13"/>
      <c r="R104" s="120"/>
      <c r="S104" s="116"/>
    </row>
    <row r="105" spans="1:19" s="25" customFormat="1" ht="40.5">
      <c r="A105" s="18" t="s">
        <v>389</v>
      </c>
      <c r="B105" s="18" t="s">
        <v>269</v>
      </c>
      <c r="C105" s="18" t="s">
        <v>44</v>
      </c>
      <c r="D105" s="19" t="s">
        <v>260</v>
      </c>
      <c r="E105" s="19"/>
      <c r="F105" s="19"/>
      <c r="G105" s="54">
        <f t="shared" si="5"/>
        <v>0</v>
      </c>
      <c r="H105" s="19"/>
      <c r="I105" s="19"/>
      <c r="J105" s="54">
        <f t="shared" si="6"/>
        <v>0</v>
      </c>
      <c r="K105" s="21">
        <v>515000</v>
      </c>
      <c r="L105" s="21"/>
      <c r="M105" s="21">
        <f>L105+K105</f>
        <v>515000</v>
      </c>
      <c r="N105" s="108">
        <f t="shared" si="7"/>
        <v>515</v>
      </c>
      <c r="P105" s="116"/>
      <c r="Q105" s="13"/>
      <c r="R105" s="120"/>
      <c r="S105" s="116"/>
    </row>
    <row r="106" spans="1:19" s="25" customFormat="1" ht="20.25">
      <c r="A106" s="18"/>
      <c r="B106" s="18"/>
      <c r="C106" s="18"/>
      <c r="D106" s="19" t="s">
        <v>470</v>
      </c>
      <c r="E106" s="19"/>
      <c r="F106" s="19"/>
      <c r="G106" s="54">
        <f t="shared" si="5"/>
        <v>0</v>
      </c>
      <c r="H106" s="19"/>
      <c r="I106" s="19"/>
      <c r="J106" s="54">
        <f t="shared" si="6"/>
        <v>0</v>
      </c>
      <c r="K106" s="21">
        <v>500000</v>
      </c>
      <c r="L106" s="21"/>
      <c r="M106" s="21">
        <f>L106+K106</f>
        <v>500000</v>
      </c>
      <c r="N106" s="109">
        <f t="shared" si="7"/>
        <v>500</v>
      </c>
      <c r="P106" s="116"/>
      <c r="Q106" s="13"/>
      <c r="R106" s="120"/>
      <c r="S106" s="116"/>
    </row>
    <row r="107" spans="1:19" s="17" customFormat="1" ht="24.75" customHeight="1">
      <c r="A107" s="14" t="s">
        <v>71</v>
      </c>
      <c r="B107" s="14" t="s">
        <v>1</v>
      </c>
      <c r="C107" s="14" t="s">
        <v>45</v>
      </c>
      <c r="D107" s="15" t="s">
        <v>14</v>
      </c>
      <c r="E107" s="15"/>
      <c r="F107" s="15"/>
      <c r="G107" s="54">
        <f t="shared" si="5"/>
        <v>0</v>
      </c>
      <c r="H107" s="15"/>
      <c r="I107" s="15"/>
      <c r="J107" s="54">
        <f t="shared" si="6"/>
        <v>0</v>
      </c>
      <c r="K107" s="16">
        <v>1648000</v>
      </c>
      <c r="L107" s="16"/>
      <c r="M107" s="16">
        <f>L107+K107</f>
        <v>1648000</v>
      </c>
      <c r="N107" s="109">
        <f t="shared" si="7"/>
        <v>1648</v>
      </c>
      <c r="O107" s="25"/>
      <c r="P107" s="116"/>
      <c r="Q107" s="13"/>
      <c r="R107" s="120"/>
      <c r="S107" s="116"/>
    </row>
    <row r="108" spans="1:19" s="13" customFormat="1" ht="37.5" customHeight="1">
      <c r="A108" s="11" t="s">
        <v>102</v>
      </c>
      <c r="B108" s="11"/>
      <c r="C108" s="11"/>
      <c r="D108" s="30" t="s">
        <v>13</v>
      </c>
      <c r="E108" s="30"/>
      <c r="F108" s="30"/>
      <c r="G108" s="54">
        <f t="shared" si="5"/>
        <v>0</v>
      </c>
      <c r="H108" s="30"/>
      <c r="I108" s="30"/>
      <c r="J108" s="54">
        <f t="shared" si="6"/>
        <v>0</v>
      </c>
      <c r="K108" s="12">
        <f>K110+K111+K116+K162+K180+K117+K151+K165</f>
        <v>146150064.81</v>
      </c>
      <c r="L108" s="12">
        <f>L110+L111+L116+L162+L180+L117+L151+L165</f>
        <v>6703874</v>
      </c>
      <c r="M108" s="12">
        <f>M110+M111+M116+M162+M180+M117+M151+M165</f>
        <v>152853938.81</v>
      </c>
      <c r="N108" s="106">
        <f>N110+N111+N116+N162+N180+N117+N151+N165</f>
        <v>155665.19999999998</v>
      </c>
      <c r="O108" s="17"/>
      <c r="P108" s="116"/>
      <c r="R108" s="120"/>
      <c r="S108" s="116"/>
    </row>
    <row r="109" spans="1:19" s="33" customFormat="1" ht="20.25">
      <c r="A109" s="34"/>
      <c r="B109" s="34"/>
      <c r="C109" s="34"/>
      <c r="D109" s="31" t="s">
        <v>470</v>
      </c>
      <c r="E109" s="31"/>
      <c r="F109" s="31"/>
      <c r="G109" s="54">
        <f t="shared" si="5"/>
        <v>0</v>
      </c>
      <c r="H109" s="31"/>
      <c r="I109" s="31"/>
      <c r="J109" s="54">
        <f t="shared" si="6"/>
        <v>0</v>
      </c>
      <c r="K109" s="32">
        <f>K169</f>
        <v>4242868.85</v>
      </c>
      <c r="L109" s="32">
        <f>L169</f>
        <v>0</v>
      </c>
      <c r="M109" s="32">
        <f>M169</f>
        <v>4242868.85</v>
      </c>
      <c r="N109" s="111">
        <f>N169</f>
        <v>4242.9</v>
      </c>
      <c r="O109" s="17"/>
      <c r="P109" s="116"/>
      <c r="Q109" s="13"/>
      <c r="R109" s="120"/>
      <c r="S109" s="116"/>
    </row>
    <row r="110" spans="1:19" s="17" customFormat="1" ht="49.5" customHeight="1">
      <c r="A110" s="14" t="s">
        <v>103</v>
      </c>
      <c r="B110" s="14" t="s">
        <v>55</v>
      </c>
      <c r="C110" s="14" t="s">
        <v>23</v>
      </c>
      <c r="D110" s="15" t="s">
        <v>56</v>
      </c>
      <c r="E110" s="15"/>
      <c r="F110" s="15"/>
      <c r="G110" s="54">
        <f t="shared" si="5"/>
        <v>0</v>
      </c>
      <c r="H110" s="15"/>
      <c r="I110" s="15"/>
      <c r="J110" s="54">
        <f t="shared" si="6"/>
        <v>0</v>
      </c>
      <c r="K110" s="16">
        <f>200000-137500</f>
        <v>62500</v>
      </c>
      <c r="L110" s="16"/>
      <c r="M110" s="16">
        <f>L110+K110</f>
        <v>62500</v>
      </c>
      <c r="N110" s="109">
        <f t="shared" si="7"/>
        <v>62.5</v>
      </c>
      <c r="P110" s="116"/>
      <c r="Q110" s="13"/>
      <c r="R110" s="120"/>
      <c r="S110" s="116"/>
    </row>
    <row r="111" spans="1:19" s="17" customFormat="1" ht="42.75" customHeight="1">
      <c r="A111" s="14" t="s">
        <v>104</v>
      </c>
      <c r="B111" s="14" t="s">
        <v>37</v>
      </c>
      <c r="C111" s="14"/>
      <c r="D111" s="15" t="s">
        <v>435</v>
      </c>
      <c r="E111" s="15"/>
      <c r="F111" s="15"/>
      <c r="G111" s="54">
        <f t="shared" si="5"/>
        <v>0</v>
      </c>
      <c r="H111" s="15"/>
      <c r="I111" s="15"/>
      <c r="J111" s="54">
        <f t="shared" si="6"/>
        <v>0</v>
      </c>
      <c r="K111" s="16">
        <f>K112+K114+K113+K115</f>
        <v>65678760</v>
      </c>
      <c r="L111" s="16">
        <f>L112+L114+L113+L115</f>
        <v>0</v>
      </c>
      <c r="M111" s="16">
        <f>M112+M114+M113+M115</f>
        <v>65678760</v>
      </c>
      <c r="N111" s="107">
        <f>N112+N114+N113+N115</f>
        <v>65851.79999999999</v>
      </c>
      <c r="P111" s="116"/>
      <c r="Q111" s="13"/>
      <c r="R111" s="120"/>
      <c r="S111" s="116"/>
    </row>
    <row r="112" spans="1:19" s="25" customFormat="1" ht="30" customHeight="1">
      <c r="A112" s="18" t="s">
        <v>105</v>
      </c>
      <c r="B112" s="18" t="s">
        <v>62</v>
      </c>
      <c r="C112" s="18" t="s">
        <v>38</v>
      </c>
      <c r="D112" s="19" t="s">
        <v>63</v>
      </c>
      <c r="E112" s="19"/>
      <c r="F112" s="19"/>
      <c r="G112" s="54">
        <f t="shared" si="5"/>
        <v>0</v>
      </c>
      <c r="H112" s="19"/>
      <c r="I112" s="19"/>
      <c r="J112" s="54">
        <f t="shared" si="6"/>
        <v>0</v>
      </c>
      <c r="K112" s="21">
        <v>33000738</v>
      </c>
      <c r="L112" s="21"/>
      <c r="M112" s="21">
        <f>L112+K112</f>
        <v>33000738</v>
      </c>
      <c r="N112" s="108">
        <f>ROUND(M112/1000,1)+0.1+45+100</f>
        <v>33145.799999999996</v>
      </c>
      <c r="O112" s="17"/>
      <c r="P112" s="116"/>
      <c r="Q112" s="13"/>
      <c r="R112" s="120"/>
      <c r="S112" s="116"/>
    </row>
    <row r="113" spans="1:19" s="25" customFormat="1" ht="36" customHeight="1">
      <c r="A113" s="18" t="s">
        <v>250</v>
      </c>
      <c r="B113" s="18" t="s">
        <v>251</v>
      </c>
      <c r="C113" s="18" t="s">
        <v>38</v>
      </c>
      <c r="D113" s="35" t="s">
        <v>252</v>
      </c>
      <c r="E113" s="19"/>
      <c r="F113" s="19"/>
      <c r="G113" s="54">
        <f t="shared" si="5"/>
        <v>0</v>
      </c>
      <c r="H113" s="19"/>
      <c r="I113" s="19"/>
      <c r="J113" s="54">
        <f t="shared" si="6"/>
        <v>0</v>
      </c>
      <c r="K113" s="21">
        <f>222622+320000</f>
        <v>542622</v>
      </c>
      <c r="L113" s="21"/>
      <c r="M113" s="21">
        <f>L113+K113</f>
        <v>542622</v>
      </c>
      <c r="N113" s="108">
        <f t="shared" si="7"/>
        <v>542.6</v>
      </c>
      <c r="O113" s="17"/>
      <c r="P113" s="116"/>
      <c r="Q113" s="13"/>
      <c r="R113" s="120"/>
      <c r="S113" s="116"/>
    </row>
    <row r="114" spans="1:19" s="25" customFormat="1" ht="39" customHeight="1">
      <c r="A114" s="18" t="s">
        <v>121</v>
      </c>
      <c r="B114" s="18" t="s">
        <v>122</v>
      </c>
      <c r="C114" s="18" t="s">
        <v>38</v>
      </c>
      <c r="D114" s="19" t="s">
        <v>123</v>
      </c>
      <c r="E114" s="19"/>
      <c r="F114" s="19"/>
      <c r="G114" s="54">
        <f t="shared" si="5"/>
        <v>0</v>
      </c>
      <c r="H114" s="19"/>
      <c r="I114" s="19"/>
      <c r="J114" s="54">
        <f t="shared" si="6"/>
        <v>0</v>
      </c>
      <c r="K114" s="21">
        <v>29957400</v>
      </c>
      <c r="L114" s="21"/>
      <c r="M114" s="21">
        <f>L114+K114</f>
        <v>29957400</v>
      </c>
      <c r="N114" s="108">
        <f t="shared" si="7"/>
        <v>29957.4</v>
      </c>
      <c r="O114" s="17"/>
      <c r="P114" s="116"/>
      <c r="Q114" s="13"/>
      <c r="R114" s="120"/>
      <c r="S114" s="116"/>
    </row>
    <row r="115" spans="1:19" s="25" customFormat="1" ht="42.75" customHeight="1">
      <c r="A115" s="18" t="s">
        <v>253</v>
      </c>
      <c r="B115" s="18" t="s">
        <v>254</v>
      </c>
      <c r="C115" s="18" t="s">
        <v>38</v>
      </c>
      <c r="D115" s="19" t="s">
        <v>255</v>
      </c>
      <c r="E115" s="19"/>
      <c r="F115" s="19"/>
      <c r="G115" s="54">
        <f t="shared" si="5"/>
        <v>0</v>
      </c>
      <c r="H115" s="19"/>
      <c r="I115" s="19"/>
      <c r="J115" s="54">
        <f t="shared" si="6"/>
        <v>0</v>
      </c>
      <c r="K115" s="21">
        <v>2178000</v>
      </c>
      <c r="L115" s="21"/>
      <c r="M115" s="21">
        <f>L115+K115</f>
        <v>2178000</v>
      </c>
      <c r="N115" s="108">
        <f>ROUND(M115/1000,1)+28</f>
        <v>2206</v>
      </c>
      <c r="O115" s="17"/>
      <c r="P115" s="116"/>
      <c r="Q115" s="13"/>
      <c r="R115" s="120"/>
      <c r="S115" s="116"/>
    </row>
    <row r="116" spans="1:19" s="17" customFormat="1" ht="37.5" customHeight="1">
      <c r="A116" s="14" t="s">
        <v>106</v>
      </c>
      <c r="B116" s="14" t="s">
        <v>64</v>
      </c>
      <c r="C116" s="14" t="s">
        <v>38</v>
      </c>
      <c r="D116" s="15" t="s">
        <v>65</v>
      </c>
      <c r="E116" s="15"/>
      <c r="F116" s="15"/>
      <c r="G116" s="54">
        <f t="shared" si="5"/>
        <v>0</v>
      </c>
      <c r="H116" s="15"/>
      <c r="I116" s="15"/>
      <c r="J116" s="54">
        <f t="shared" si="6"/>
        <v>0</v>
      </c>
      <c r="K116" s="16">
        <v>42609180.35</v>
      </c>
      <c r="L116" s="16">
        <v>-175720</v>
      </c>
      <c r="M116" s="16">
        <f>L116+K116</f>
        <v>42433460.35</v>
      </c>
      <c r="N116" s="109">
        <f>ROUND(M116/1000,1)-1449.6</f>
        <v>40983.9</v>
      </c>
      <c r="P116" s="116"/>
      <c r="Q116" s="13"/>
      <c r="R116" s="120"/>
      <c r="S116" s="116"/>
    </row>
    <row r="117" spans="1:19" s="17" customFormat="1" ht="42" customHeight="1">
      <c r="A117" s="14" t="s">
        <v>130</v>
      </c>
      <c r="B117" s="14" t="s">
        <v>131</v>
      </c>
      <c r="C117" s="14" t="s">
        <v>49</v>
      </c>
      <c r="D117" s="30" t="s">
        <v>444</v>
      </c>
      <c r="E117" s="15"/>
      <c r="F117" s="15"/>
      <c r="G117" s="54">
        <f t="shared" si="5"/>
        <v>0</v>
      </c>
      <c r="H117" s="15"/>
      <c r="I117" s="15"/>
      <c r="J117" s="54">
        <f t="shared" si="6"/>
        <v>0</v>
      </c>
      <c r="K117" s="12">
        <f>K118+K125+K140</f>
        <v>22135530</v>
      </c>
      <c r="L117" s="12">
        <f>L118+L125+L140</f>
        <v>476594</v>
      </c>
      <c r="M117" s="12">
        <f>M118+M125+M140</f>
        <v>22612124</v>
      </c>
      <c r="N117" s="106">
        <f>N118+N125+N140+N149</f>
        <v>26500</v>
      </c>
      <c r="P117" s="116"/>
      <c r="Q117" s="13"/>
      <c r="R117" s="120"/>
      <c r="S117" s="116"/>
    </row>
    <row r="118" spans="1:19" s="17" customFormat="1" ht="27.75" customHeight="1">
      <c r="A118" s="14"/>
      <c r="B118" s="14"/>
      <c r="C118" s="14"/>
      <c r="D118" s="62" t="s">
        <v>138</v>
      </c>
      <c r="E118" s="62" t="s">
        <v>138</v>
      </c>
      <c r="F118" s="15"/>
      <c r="G118" s="54">
        <f t="shared" si="5"/>
        <v>0</v>
      </c>
      <c r="H118" s="15"/>
      <c r="I118" s="15"/>
      <c r="J118" s="54">
        <f t="shared" si="6"/>
        <v>0</v>
      </c>
      <c r="K118" s="12">
        <f>SUM(K119:K124)</f>
        <v>4880000</v>
      </c>
      <c r="L118" s="12">
        <f>SUM(L119:L124)</f>
        <v>0</v>
      </c>
      <c r="M118" s="12">
        <f>SUM(M119:M124)</f>
        <v>4880000</v>
      </c>
      <c r="N118" s="106">
        <f>SUM(N119:N124)</f>
        <v>4880</v>
      </c>
      <c r="P118" s="116"/>
      <c r="Q118" s="13"/>
      <c r="R118" s="120"/>
      <c r="S118" s="116"/>
    </row>
    <row r="119" spans="1:19" s="17" customFormat="1" ht="55.5" customHeight="1">
      <c r="A119" s="14"/>
      <c r="B119" s="14"/>
      <c r="C119" s="14"/>
      <c r="D119" s="15" t="s">
        <v>436</v>
      </c>
      <c r="E119" s="15" t="s">
        <v>297</v>
      </c>
      <c r="F119" s="15"/>
      <c r="G119" s="54">
        <f t="shared" si="5"/>
        <v>0</v>
      </c>
      <c r="H119" s="15"/>
      <c r="I119" s="15"/>
      <c r="J119" s="54">
        <f t="shared" si="6"/>
        <v>0</v>
      </c>
      <c r="K119" s="16">
        <v>650000</v>
      </c>
      <c r="L119" s="16"/>
      <c r="M119" s="16">
        <f>L119+K119</f>
        <v>650000</v>
      </c>
      <c r="N119" s="109">
        <f t="shared" si="7"/>
        <v>650</v>
      </c>
      <c r="P119" s="116"/>
      <c r="Q119" s="13"/>
      <c r="R119" s="120"/>
      <c r="S119" s="116"/>
    </row>
    <row r="120" spans="1:19" s="17" customFormat="1" ht="73.5" customHeight="1">
      <c r="A120" s="14"/>
      <c r="B120" s="14"/>
      <c r="C120" s="14"/>
      <c r="D120" s="15" t="s">
        <v>437</v>
      </c>
      <c r="E120" s="15" t="s">
        <v>375</v>
      </c>
      <c r="F120" s="15"/>
      <c r="G120" s="54">
        <f t="shared" si="5"/>
        <v>0</v>
      </c>
      <c r="H120" s="15"/>
      <c r="I120" s="15"/>
      <c r="J120" s="54">
        <f t="shared" si="6"/>
        <v>0</v>
      </c>
      <c r="K120" s="16">
        <v>350000</v>
      </c>
      <c r="L120" s="16"/>
      <c r="M120" s="16">
        <v>350000</v>
      </c>
      <c r="N120" s="109">
        <f t="shared" si="7"/>
        <v>350</v>
      </c>
      <c r="P120" s="116"/>
      <c r="Q120" s="13"/>
      <c r="R120" s="120"/>
      <c r="S120" s="116"/>
    </row>
    <row r="121" spans="1:19" s="17" customFormat="1" ht="59.25" customHeight="1">
      <c r="A121" s="14"/>
      <c r="B121" s="14"/>
      <c r="C121" s="14"/>
      <c r="D121" s="15" t="s">
        <v>356</v>
      </c>
      <c r="E121" s="15" t="s">
        <v>356</v>
      </c>
      <c r="F121" s="15"/>
      <c r="G121" s="54">
        <f t="shared" si="5"/>
        <v>0</v>
      </c>
      <c r="H121" s="15"/>
      <c r="I121" s="15"/>
      <c r="J121" s="54">
        <f t="shared" si="6"/>
        <v>0</v>
      </c>
      <c r="K121" s="16">
        <v>350000</v>
      </c>
      <c r="L121" s="16"/>
      <c r="M121" s="16">
        <f>L121+K121</f>
        <v>350000</v>
      </c>
      <c r="N121" s="109">
        <f t="shared" si="7"/>
        <v>350</v>
      </c>
      <c r="P121" s="116"/>
      <c r="Q121" s="13"/>
      <c r="R121" s="120"/>
      <c r="S121" s="116"/>
    </row>
    <row r="122" spans="1:19" s="17" customFormat="1" ht="56.25" customHeight="1">
      <c r="A122" s="14"/>
      <c r="B122" s="14"/>
      <c r="C122" s="14"/>
      <c r="D122" s="15" t="s">
        <v>357</v>
      </c>
      <c r="E122" s="15" t="s">
        <v>357</v>
      </c>
      <c r="F122" s="15"/>
      <c r="G122" s="54">
        <f t="shared" si="5"/>
        <v>0</v>
      </c>
      <c r="H122" s="15"/>
      <c r="I122" s="15"/>
      <c r="J122" s="54">
        <f t="shared" si="6"/>
        <v>0</v>
      </c>
      <c r="K122" s="16">
        <f>250000</f>
        <v>250000</v>
      </c>
      <c r="L122" s="16"/>
      <c r="M122" s="16">
        <f>L122+K122</f>
        <v>250000</v>
      </c>
      <c r="N122" s="109">
        <f t="shared" si="7"/>
        <v>250</v>
      </c>
      <c r="P122" s="116"/>
      <c r="Q122" s="13"/>
      <c r="R122" s="120"/>
      <c r="S122" s="116"/>
    </row>
    <row r="123" spans="1:19" s="17" customFormat="1" ht="51.75" customHeight="1">
      <c r="A123" s="14"/>
      <c r="B123" s="14"/>
      <c r="C123" s="14"/>
      <c r="D123" s="15" t="s">
        <v>295</v>
      </c>
      <c r="E123" s="15" t="s">
        <v>295</v>
      </c>
      <c r="F123" s="15"/>
      <c r="G123" s="54">
        <f t="shared" si="5"/>
        <v>0</v>
      </c>
      <c r="H123" s="15"/>
      <c r="I123" s="15"/>
      <c r="J123" s="54">
        <f t="shared" si="6"/>
        <v>0</v>
      </c>
      <c r="K123" s="16">
        <v>1300000</v>
      </c>
      <c r="L123" s="16"/>
      <c r="M123" s="16">
        <f>L123+K123</f>
        <v>1300000</v>
      </c>
      <c r="N123" s="109">
        <f t="shared" si="7"/>
        <v>1300</v>
      </c>
      <c r="P123" s="116"/>
      <c r="Q123" s="13"/>
      <c r="R123" s="120"/>
      <c r="S123" s="116"/>
    </row>
    <row r="124" spans="1:19" s="17" customFormat="1" ht="48" customHeight="1">
      <c r="A124" s="14"/>
      <c r="B124" s="14"/>
      <c r="C124" s="14"/>
      <c r="D124" s="36" t="s">
        <v>320</v>
      </c>
      <c r="E124" s="36" t="s">
        <v>320</v>
      </c>
      <c r="F124" s="15"/>
      <c r="G124" s="54">
        <f t="shared" si="5"/>
        <v>0</v>
      </c>
      <c r="H124" s="15"/>
      <c r="I124" s="15"/>
      <c r="J124" s="54">
        <f t="shared" si="6"/>
        <v>0</v>
      </c>
      <c r="K124" s="16">
        <v>1980000</v>
      </c>
      <c r="L124" s="16"/>
      <c r="M124" s="16">
        <f>L124+K124</f>
        <v>1980000</v>
      </c>
      <c r="N124" s="109">
        <f t="shared" si="7"/>
        <v>1980</v>
      </c>
      <c r="P124" s="116"/>
      <c r="Q124" s="13"/>
      <c r="R124" s="120"/>
      <c r="S124" s="116"/>
    </row>
    <row r="125" spans="1:19" s="17" customFormat="1" ht="38.25" customHeight="1">
      <c r="A125" s="14"/>
      <c r="B125" s="14"/>
      <c r="C125" s="14"/>
      <c r="D125" s="62" t="s">
        <v>180</v>
      </c>
      <c r="E125" s="62" t="s">
        <v>180</v>
      </c>
      <c r="F125" s="15"/>
      <c r="G125" s="54">
        <f t="shared" si="5"/>
        <v>0</v>
      </c>
      <c r="H125" s="15"/>
      <c r="I125" s="15"/>
      <c r="J125" s="54">
        <f t="shared" si="6"/>
        <v>0</v>
      </c>
      <c r="K125" s="12">
        <f>SUM(K126:K139)</f>
        <v>795000</v>
      </c>
      <c r="L125" s="12">
        <f>SUM(L126:L139)</f>
        <v>476594</v>
      </c>
      <c r="M125" s="12">
        <f>SUM(M126:M139)</f>
        <v>1271594</v>
      </c>
      <c r="N125" s="106">
        <f>SUM(N126:N139)</f>
        <v>1271.6</v>
      </c>
      <c r="P125" s="116"/>
      <c r="Q125" s="13"/>
      <c r="R125" s="120"/>
      <c r="S125" s="116"/>
    </row>
    <row r="126" spans="1:19" s="17" customFormat="1" ht="38.25" customHeight="1">
      <c r="A126" s="14"/>
      <c r="B126" s="14"/>
      <c r="C126" s="14"/>
      <c r="D126" s="15" t="s">
        <v>438</v>
      </c>
      <c r="E126" s="15" t="s">
        <v>187</v>
      </c>
      <c r="F126" s="15"/>
      <c r="G126" s="54">
        <f t="shared" si="5"/>
        <v>0</v>
      </c>
      <c r="H126" s="15"/>
      <c r="I126" s="15"/>
      <c r="J126" s="54">
        <f t="shared" si="6"/>
        <v>0</v>
      </c>
      <c r="K126" s="16">
        <f>50000-15000-34000</f>
        <v>1000</v>
      </c>
      <c r="L126" s="16"/>
      <c r="M126" s="16">
        <f aca="true" t="shared" si="9" ref="M126:M138">L126+K126</f>
        <v>1000</v>
      </c>
      <c r="N126" s="109">
        <f t="shared" si="7"/>
        <v>1</v>
      </c>
      <c r="P126" s="116"/>
      <c r="Q126" s="13"/>
      <c r="R126" s="120"/>
      <c r="S126" s="116"/>
    </row>
    <row r="127" spans="1:19" s="17" customFormat="1" ht="48" customHeight="1">
      <c r="A127" s="14"/>
      <c r="B127" s="14"/>
      <c r="C127" s="14"/>
      <c r="D127" s="15" t="s">
        <v>439</v>
      </c>
      <c r="E127" s="15" t="s">
        <v>184</v>
      </c>
      <c r="F127" s="15"/>
      <c r="G127" s="54">
        <f t="shared" si="5"/>
        <v>0</v>
      </c>
      <c r="H127" s="15"/>
      <c r="I127" s="15"/>
      <c r="J127" s="54">
        <f t="shared" si="6"/>
        <v>0</v>
      </c>
      <c r="K127" s="16">
        <f>50000-15000+129000</f>
        <v>164000</v>
      </c>
      <c r="L127" s="16"/>
      <c r="M127" s="16">
        <f t="shared" si="9"/>
        <v>164000</v>
      </c>
      <c r="N127" s="109">
        <f t="shared" si="7"/>
        <v>164</v>
      </c>
      <c r="P127" s="116"/>
      <c r="Q127" s="13"/>
      <c r="R127" s="120"/>
      <c r="S127" s="116"/>
    </row>
    <row r="128" spans="1:19" s="17" customFormat="1" ht="30.75" customHeight="1">
      <c r="A128" s="14"/>
      <c r="B128" s="14"/>
      <c r="C128" s="14"/>
      <c r="D128" s="15" t="s">
        <v>440</v>
      </c>
      <c r="E128" s="15" t="s">
        <v>181</v>
      </c>
      <c r="F128" s="15"/>
      <c r="G128" s="54">
        <f t="shared" si="5"/>
        <v>0</v>
      </c>
      <c r="H128" s="15"/>
      <c r="I128" s="15"/>
      <c r="J128" s="54">
        <f t="shared" si="6"/>
        <v>0</v>
      </c>
      <c r="K128" s="16">
        <f>50000-15000-34000</f>
        <v>1000</v>
      </c>
      <c r="L128" s="16"/>
      <c r="M128" s="16">
        <f t="shared" si="9"/>
        <v>1000</v>
      </c>
      <c r="N128" s="109">
        <f t="shared" si="7"/>
        <v>1</v>
      </c>
      <c r="P128" s="116"/>
      <c r="Q128" s="13"/>
      <c r="R128" s="120"/>
      <c r="S128" s="116"/>
    </row>
    <row r="129" spans="1:19" s="17" customFormat="1" ht="51.75" customHeight="1">
      <c r="A129" s="14"/>
      <c r="B129" s="14"/>
      <c r="C129" s="14"/>
      <c r="D129" s="15" t="s">
        <v>465</v>
      </c>
      <c r="E129" s="15" t="s">
        <v>372</v>
      </c>
      <c r="F129" s="15"/>
      <c r="G129" s="54">
        <f t="shared" si="5"/>
        <v>0</v>
      </c>
      <c r="H129" s="15"/>
      <c r="I129" s="15"/>
      <c r="J129" s="54">
        <f t="shared" si="6"/>
        <v>0</v>
      </c>
      <c r="K129" s="16">
        <v>10000</v>
      </c>
      <c r="L129" s="16">
        <v>134003</v>
      </c>
      <c r="M129" s="16">
        <f t="shared" si="9"/>
        <v>144003</v>
      </c>
      <c r="N129" s="109">
        <f t="shared" si="7"/>
        <v>144</v>
      </c>
      <c r="P129" s="116"/>
      <c r="Q129" s="13"/>
      <c r="R129" s="120"/>
      <c r="S129" s="116"/>
    </row>
    <row r="130" spans="1:19" s="17" customFormat="1" ht="65.25" customHeight="1">
      <c r="A130" s="14"/>
      <c r="B130" s="14"/>
      <c r="C130" s="14"/>
      <c r="D130" s="15" t="s">
        <v>466</v>
      </c>
      <c r="E130" s="15" t="s">
        <v>188</v>
      </c>
      <c r="F130" s="15"/>
      <c r="G130" s="54">
        <f t="shared" si="5"/>
        <v>0</v>
      </c>
      <c r="H130" s="15"/>
      <c r="I130" s="15"/>
      <c r="J130" s="54">
        <f t="shared" si="6"/>
        <v>0</v>
      </c>
      <c r="K130" s="16">
        <f>50000-15000-25000</f>
        <v>10000</v>
      </c>
      <c r="L130" s="16"/>
      <c r="M130" s="16">
        <f t="shared" si="9"/>
        <v>10000</v>
      </c>
      <c r="N130" s="109">
        <f t="shared" si="7"/>
        <v>10</v>
      </c>
      <c r="P130" s="116"/>
      <c r="Q130" s="13"/>
      <c r="R130" s="120"/>
      <c r="S130" s="116"/>
    </row>
    <row r="131" spans="1:19" s="17" customFormat="1" ht="43.5" customHeight="1">
      <c r="A131" s="14"/>
      <c r="B131" s="14"/>
      <c r="C131" s="14"/>
      <c r="D131" s="15" t="s">
        <v>441</v>
      </c>
      <c r="E131" s="15" t="s">
        <v>183</v>
      </c>
      <c r="F131" s="15"/>
      <c r="G131" s="54">
        <f t="shared" si="5"/>
        <v>0</v>
      </c>
      <c r="H131" s="15"/>
      <c r="I131" s="15"/>
      <c r="J131" s="54">
        <f t="shared" si="6"/>
        <v>0</v>
      </c>
      <c r="K131" s="16">
        <f>50000-15000-34000</f>
        <v>1000</v>
      </c>
      <c r="L131" s="16"/>
      <c r="M131" s="16">
        <f t="shared" si="9"/>
        <v>1000</v>
      </c>
      <c r="N131" s="109">
        <f t="shared" si="7"/>
        <v>1</v>
      </c>
      <c r="P131" s="116"/>
      <c r="Q131" s="13"/>
      <c r="R131" s="120"/>
      <c r="S131" s="116"/>
    </row>
    <row r="132" spans="1:19" s="17" customFormat="1" ht="53.25" customHeight="1">
      <c r="A132" s="14"/>
      <c r="B132" s="14"/>
      <c r="C132" s="14"/>
      <c r="D132" s="15" t="s">
        <v>467</v>
      </c>
      <c r="E132" s="15" t="s">
        <v>185</v>
      </c>
      <c r="F132" s="15"/>
      <c r="G132" s="54">
        <f t="shared" si="5"/>
        <v>0</v>
      </c>
      <c r="H132" s="15"/>
      <c r="I132" s="15"/>
      <c r="J132" s="54">
        <f t="shared" si="6"/>
        <v>0</v>
      </c>
      <c r="K132" s="16">
        <v>9550</v>
      </c>
      <c r="L132" s="16">
        <v>208588</v>
      </c>
      <c r="M132" s="16">
        <f t="shared" si="9"/>
        <v>218138</v>
      </c>
      <c r="N132" s="109">
        <f>ROUND(M132/1000,1)</f>
        <v>218.1</v>
      </c>
      <c r="P132" s="116"/>
      <c r="Q132" s="13"/>
      <c r="R132" s="120"/>
      <c r="S132" s="116"/>
    </row>
    <row r="133" spans="1:19" s="17" customFormat="1" ht="41.25" customHeight="1">
      <c r="A133" s="14"/>
      <c r="B133" s="14"/>
      <c r="C133" s="14"/>
      <c r="D133" s="15" t="s">
        <v>358</v>
      </c>
      <c r="E133" s="15" t="s">
        <v>358</v>
      </c>
      <c r="F133" s="15"/>
      <c r="G133" s="54">
        <f t="shared" si="5"/>
        <v>0</v>
      </c>
      <c r="H133" s="15"/>
      <c r="I133" s="15"/>
      <c r="J133" s="54">
        <f t="shared" si="6"/>
        <v>0</v>
      </c>
      <c r="K133" s="16">
        <v>111000</v>
      </c>
      <c r="L133" s="16"/>
      <c r="M133" s="16">
        <f t="shared" si="9"/>
        <v>111000</v>
      </c>
      <c r="N133" s="109">
        <f t="shared" si="7"/>
        <v>111</v>
      </c>
      <c r="P133" s="116"/>
      <c r="Q133" s="13"/>
      <c r="R133" s="120"/>
      <c r="S133" s="116"/>
    </row>
    <row r="134" spans="1:19" s="17" customFormat="1" ht="53.25" customHeight="1">
      <c r="A134" s="14"/>
      <c r="B134" s="14"/>
      <c r="C134" s="14"/>
      <c r="D134" s="15" t="s">
        <v>471</v>
      </c>
      <c r="E134" s="15" t="s">
        <v>186</v>
      </c>
      <c r="F134" s="15"/>
      <c r="G134" s="54">
        <f t="shared" si="5"/>
        <v>0</v>
      </c>
      <c r="H134" s="15"/>
      <c r="I134" s="15"/>
      <c r="J134" s="54">
        <f t="shared" si="6"/>
        <v>0</v>
      </c>
      <c r="K134" s="16">
        <f>50000-15000-25450</f>
        <v>9550</v>
      </c>
      <c r="L134" s="16">
        <v>134003</v>
      </c>
      <c r="M134" s="16">
        <f t="shared" si="9"/>
        <v>143553</v>
      </c>
      <c r="N134" s="109">
        <f t="shared" si="7"/>
        <v>143.6</v>
      </c>
      <c r="P134" s="116"/>
      <c r="Q134" s="13"/>
      <c r="R134" s="120"/>
      <c r="S134" s="116"/>
    </row>
    <row r="135" spans="1:19" s="17" customFormat="1" ht="36.75" customHeight="1">
      <c r="A135" s="14"/>
      <c r="B135" s="14"/>
      <c r="C135" s="14"/>
      <c r="D135" s="15" t="s">
        <v>442</v>
      </c>
      <c r="E135" s="15" t="s">
        <v>182</v>
      </c>
      <c r="F135" s="15"/>
      <c r="G135" s="54">
        <f t="shared" si="5"/>
        <v>0</v>
      </c>
      <c r="H135" s="15"/>
      <c r="I135" s="15"/>
      <c r="J135" s="54">
        <f t="shared" si="6"/>
        <v>0</v>
      </c>
      <c r="K135" s="16">
        <v>123900</v>
      </c>
      <c r="L135" s="16"/>
      <c r="M135" s="16">
        <f t="shared" si="9"/>
        <v>123900</v>
      </c>
      <c r="N135" s="109">
        <f t="shared" si="7"/>
        <v>123.9</v>
      </c>
      <c r="P135" s="116"/>
      <c r="Q135" s="13"/>
      <c r="R135" s="122"/>
      <c r="S135" s="116"/>
    </row>
    <row r="136" spans="1:19" s="17" customFormat="1" ht="39" customHeight="1">
      <c r="A136" s="14"/>
      <c r="B136" s="14"/>
      <c r="C136" s="14"/>
      <c r="D136" s="15" t="s">
        <v>443</v>
      </c>
      <c r="E136" s="15" t="s">
        <v>315</v>
      </c>
      <c r="F136" s="15"/>
      <c r="G136" s="54">
        <f t="shared" si="5"/>
        <v>0</v>
      </c>
      <c r="H136" s="15"/>
      <c r="I136" s="15"/>
      <c r="J136" s="54">
        <f t="shared" si="6"/>
        <v>0</v>
      </c>
      <c r="K136" s="16">
        <f>33000-3000-29000</f>
        <v>1000</v>
      </c>
      <c r="L136" s="16"/>
      <c r="M136" s="16">
        <f t="shared" si="9"/>
        <v>1000</v>
      </c>
      <c r="N136" s="109">
        <f t="shared" si="7"/>
        <v>1</v>
      </c>
      <c r="P136" s="116"/>
      <c r="Q136" s="13"/>
      <c r="R136" s="121"/>
      <c r="S136" s="116"/>
    </row>
    <row r="137" spans="1:19" s="17" customFormat="1" ht="48" customHeight="1">
      <c r="A137" s="14"/>
      <c r="B137" s="14"/>
      <c r="C137" s="14"/>
      <c r="D137" s="15" t="s">
        <v>468</v>
      </c>
      <c r="E137" s="15" t="s">
        <v>316</v>
      </c>
      <c r="F137" s="15"/>
      <c r="G137" s="54">
        <f t="shared" si="5"/>
        <v>0</v>
      </c>
      <c r="H137" s="15"/>
      <c r="I137" s="15"/>
      <c r="J137" s="54">
        <f t="shared" si="6"/>
        <v>0</v>
      </c>
      <c r="K137" s="16">
        <f>33000-3000-20000</f>
        <v>10000</v>
      </c>
      <c r="L137" s="16"/>
      <c r="M137" s="16">
        <f t="shared" si="9"/>
        <v>10000</v>
      </c>
      <c r="N137" s="109">
        <f t="shared" si="7"/>
        <v>10</v>
      </c>
      <c r="P137" s="116"/>
      <c r="Q137" s="13"/>
      <c r="R137" s="121"/>
      <c r="S137" s="116"/>
    </row>
    <row r="138" spans="1:19" s="17" customFormat="1" ht="54" customHeight="1">
      <c r="A138" s="14"/>
      <c r="B138" s="14"/>
      <c r="C138" s="14"/>
      <c r="D138" s="15" t="s">
        <v>469</v>
      </c>
      <c r="E138" s="15" t="s">
        <v>317</v>
      </c>
      <c r="F138" s="15"/>
      <c r="G138" s="54">
        <f t="shared" si="5"/>
        <v>0</v>
      </c>
      <c r="H138" s="15"/>
      <c r="I138" s="15"/>
      <c r="J138" s="54">
        <f t="shared" si="6"/>
        <v>0</v>
      </c>
      <c r="K138" s="16">
        <v>48000</v>
      </c>
      <c r="L138" s="16"/>
      <c r="M138" s="16">
        <f t="shared" si="9"/>
        <v>48000</v>
      </c>
      <c r="N138" s="109">
        <f t="shared" si="7"/>
        <v>48</v>
      </c>
      <c r="P138" s="116"/>
      <c r="Q138" s="13"/>
      <c r="R138" s="122"/>
      <c r="S138" s="116"/>
    </row>
    <row r="139" spans="1:19" s="17" customFormat="1" ht="51.75" customHeight="1">
      <c r="A139" s="14"/>
      <c r="B139" s="14"/>
      <c r="C139" s="14"/>
      <c r="D139" s="15" t="s">
        <v>296</v>
      </c>
      <c r="E139" s="15" t="s">
        <v>296</v>
      </c>
      <c r="F139" s="15"/>
      <c r="G139" s="54">
        <f t="shared" si="5"/>
        <v>0</v>
      </c>
      <c r="H139" s="15"/>
      <c r="I139" s="15"/>
      <c r="J139" s="54">
        <f t="shared" si="6"/>
        <v>0</v>
      </c>
      <c r="K139" s="16">
        <v>295000</v>
      </c>
      <c r="L139" s="16"/>
      <c r="M139" s="16">
        <f>L139+K139</f>
        <v>295000</v>
      </c>
      <c r="N139" s="109">
        <f t="shared" si="7"/>
        <v>295</v>
      </c>
      <c r="P139" s="116"/>
      <c r="Q139" s="13"/>
      <c r="R139" s="120"/>
      <c r="S139" s="116"/>
    </row>
    <row r="140" spans="1:19" s="17" customFormat="1" ht="38.25" customHeight="1">
      <c r="A140" s="14"/>
      <c r="B140" s="14"/>
      <c r="C140" s="14"/>
      <c r="D140" s="30" t="s">
        <v>214</v>
      </c>
      <c r="E140" s="30" t="s">
        <v>214</v>
      </c>
      <c r="F140" s="15"/>
      <c r="G140" s="54">
        <f t="shared" si="5"/>
        <v>0</v>
      </c>
      <c r="H140" s="15"/>
      <c r="I140" s="15"/>
      <c r="J140" s="54">
        <f t="shared" si="6"/>
        <v>0</v>
      </c>
      <c r="K140" s="12">
        <f>SUM(K141:K148)</f>
        <v>16460530</v>
      </c>
      <c r="L140" s="12">
        <f>SUM(L141:L148)</f>
        <v>0</v>
      </c>
      <c r="M140" s="12">
        <f>SUM(M141:M148)</f>
        <v>16460530</v>
      </c>
      <c r="N140" s="106">
        <f>SUM(N141:N148)</f>
        <v>17460.5</v>
      </c>
      <c r="P140" s="116"/>
      <c r="Q140" s="13"/>
      <c r="R140" s="120"/>
      <c r="S140" s="116"/>
    </row>
    <row r="141" spans="1:19" s="17" customFormat="1" ht="54.75" customHeight="1">
      <c r="A141" s="14"/>
      <c r="B141" s="14"/>
      <c r="C141" s="14"/>
      <c r="D141" s="15" t="s">
        <v>178</v>
      </c>
      <c r="E141" s="15" t="s">
        <v>178</v>
      </c>
      <c r="F141" s="15"/>
      <c r="G141" s="54">
        <f t="shared" si="5"/>
        <v>0</v>
      </c>
      <c r="H141" s="15"/>
      <c r="I141" s="15"/>
      <c r="J141" s="54">
        <f t="shared" si="6"/>
        <v>0</v>
      </c>
      <c r="K141" s="16">
        <v>250000</v>
      </c>
      <c r="L141" s="16"/>
      <c r="M141" s="16">
        <f aca="true" t="shared" si="10" ref="M141:M148">L141+K141</f>
        <v>250000</v>
      </c>
      <c r="N141" s="109">
        <f t="shared" si="7"/>
        <v>250</v>
      </c>
      <c r="P141" s="116"/>
      <c r="Q141" s="13"/>
      <c r="R141" s="121"/>
      <c r="S141" s="116"/>
    </row>
    <row r="142" spans="1:19" s="17" customFormat="1" ht="70.5" customHeight="1">
      <c r="A142" s="14"/>
      <c r="B142" s="14"/>
      <c r="C142" s="14"/>
      <c r="D142" s="15" t="s">
        <v>305</v>
      </c>
      <c r="E142" s="15" t="s">
        <v>305</v>
      </c>
      <c r="F142" s="15"/>
      <c r="G142" s="54">
        <f t="shared" si="5"/>
        <v>0</v>
      </c>
      <c r="H142" s="15"/>
      <c r="I142" s="15"/>
      <c r="J142" s="54">
        <f t="shared" si="6"/>
        <v>0</v>
      </c>
      <c r="K142" s="16">
        <v>250000</v>
      </c>
      <c r="L142" s="16"/>
      <c r="M142" s="16">
        <f t="shared" si="10"/>
        <v>250000</v>
      </c>
      <c r="N142" s="109">
        <f t="shared" si="7"/>
        <v>250</v>
      </c>
      <c r="P142" s="116"/>
      <c r="Q142" s="13"/>
      <c r="R142" s="121"/>
      <c r="S142" s="116"/>
    </row>
    <row r="143" spans="1:19" s="17" customFormat="1" ht="48.75" customHeight="1">
      <c r="A143" s="14"/>
      <c r="B143" s="14"/>
      <c r="C143" s="14"/>
      <c r="D143" s="15" t="s">
        <v>306</v>
      </c>
      <c r="E143" s="15" t="s">
        <v>306</v>
      </c>
      <c r="F143" s="15"/>
      <c r="G143" s="54">
        <f t="shared" si="5"/>
        <v>0</v>
      </c>
      <c r="H143" s="15"/>
      <c r="I143" s="15"/>
      <c r="J143" s="54">
        <f t="shared" si="6"/>
        <v>0</v>
      </c>
      <c r="K143" s="16">
        <v>240000</v>
      </c>
      <c r="L143" s="16"/>
      <c r="M143" s="16">
        <f t="shared" si="10"/>
        <v>240000</v>
      </c>
      <c r="N143" s="109">
        <f t="shared" si="7"/>
        <v>240</v>
      </c>
      <c r="P143" s="116"/>
      <c r="Q143" s="13"/>
      <c r="R143" s="121"/>
      <c r="S143" s="116"/>
    </row>
    <row r="144" spans="1:19" s="17" customFormat="1" ht="52.5" customHeight="1">
      <c r="A144" s="14"/>
      <c r="B144" s="14"/>
      <c r="C144" s="14"/>
      <c r="D144" s="15" t="s">
        <v>307</v>
      </c>
      <c r="E144" s="15" t="s">
        <v>307</v>
      </c>
      <c r="F144" s="15"/>
      <c r="G144" s="54">
        <f t="shared" si="5"/>
        <v>0</v>
      </c>
      <c r="H144" s="15"/>
      <c r="I144" s="15"/>
      <c r="J144" s="54">
        <f t="shared" si="6"/>
        <v>0</v>
      </c>
      <c r="K144" s="16">
        <v>240000</v>
      </c>
      <c r="L144" s="16"/>
      <c r="M144" s="16">
        <f t="shared" si="10"/>
        <v>240000</v>
      </c>
      <c r="N144" s="109">
        <f t="shared" si="7"/>
        <v>240</v>
      </c>
      <c r="P144" s="116"/>
      <c r="Q144" s="13"/>
      <c r="R144" s="121"/>
      <c r="S144" s="116"/>
    </row>
    <row r="145" spans="1:19" s="17" customFormat="1" ht="52.5" customHeight="1">
      <c r="A145" s="14"/>
      <c r="B145" s="14"/>
      <c r="C145" s="14"/>
      <c r="D145" s="15" t="s">
        <v>344</v>
      </c>
      <c r="E145" s="15" t="s">
        <v>344</v>
      </c>
      <c r="F145" s="15"/>
      <c r="G145" s="54">
        <f aca="true" t="shared" si="11" ref="G145:G211">ROUND(F145/1000,1)</f>
        <v>0</v>
      </c>
      <c r="H145" s="15"/>
      <c r="I145" s="15"/>
      <c r="J145" s="54">
        <f aca="true" t="shared" si="12" ref="J145:J211">ROUND(I145/1000,1)</f>
        <v>0</v>
      </c>
      <c r="K145" s="16">
        <v>20000</v>
      </c>
      <c r="L145" s="16"/>
      <c r="M145" s="16">
        <f t="shared" si="10"/>
        <v>20000</v>
      </c>
      <c r="N145" s="109">
        <f aca="true" t="shared" si="13" ref="N145:N211">ROUND(M145/1000,1)</f>
        <v>20</v>
      </c>
      <c r="P145" s="116"/>
      <c r="Q145" s="13"/>
      <c r="R145" s="121"/>
      <c r="S145" s="116"/>
    </row>
    <row r="146" spans="1:19" s="17" customFormat="1" ht="52.5" customHeight="1">
      <c r="A146" s="14"/>
      <c r="B146" s="14"/>
      <c r="C146" s="14"/>
      <c r="D146" s="15" t="s">
        <v>376</v>
      </c>
      <c r="E146" s="15" t="s">
        <v>376</v>
      </c>
      <c r="F146" s="15"/>
      <c r="G146" s="54">
        <f t="shared" si="11"/>
        <v>0</v>
      </c>
      <c r="H146" s="15"/>
      <c r="I146" s="15"/>
      <c r="J146" s="54">
        <f t="shared" si="12"/>
        <v>0</v>
      </c>
      <c r="K146" s="16">
        <v>14991530</v>
      </c>
      <c r="L146" s="16"/>
      <c r="M146" s="16">
        <f t="shared" si="10"/>
        <v>14991530</v>
      </c>
      <c r="N146" s="109">
        <f t="shared" si="13"/>
        <v>14991.5</v>
      </c>
      <c r="P146" s="116"/>
      <c r="Q146" s="13"/>
      <c r="R146" s="121"/>
      <c r="S146" s="116"/>
    </row>
    <row r="147" spans="1:19" s="17" customFormat="1" ht="48.75" customHeight="1">
      <c r="A147" s="14"/>
      <c r="B147" s="14"/>
      <c r="C147" s="14"/>
      <c r="D147" s="15" t="s">
        <v>374</v>
      </c>
      <c r="E147" s="15" t="s">
        <v>374</v>
      </c>
      <c r="F147" s="15"/>
      <c r="G147" s="54">
        <f t="shared" si="11"/>
        <v>0</v>
      </c>
      <c r="H147" s="15"/>
      <c r="I147" s="15"/>
      <c r="J147" s="54">
        <f t="shared" si="12"/>
        <v>0</v>
      </c>
      <c r="K147" s="16">
        <v>200000</v>
      </c>
      <c r="L147" s="16"/>
      <c r="M147" s="16">
        <f t="shared" si="10"/>
        <v>200000</v>
      </c>
      <c r="N147" s="109">
        <f>ROUND(M147/1000,1)+1000</f>
        <v>1200</v>
      </c>
      <c r="P147" s="116"/>
      <c r="Q147" s="13"/>
      <c r="R147" s="121"/>
      <c r="S147" s="116"/>
    </row>
    <row r="148" spans="1:19" s="17" customFormat="1" ht="49.5" customHeight="1">
      <c r="A148" s="14"/>
      <c r="B148" s="14"/>
      <c r="C148" s="14"/>
      <c r="D148" s="15" t="s">
        <v>314</v>
      </c>
      <c r="E148" s="15" t="s">
        <v>314</v>
      </c>
      <c r="F148" s="15"/>
      <c r="G148" s="54">
        <f t="shared" si="11"/>
        <v>0</v>
      </c>
      <c r="H148" s="15"/>
      <c r="I148" s="15"/>
      <c r="J148" s="54">
        <f t="shared" si="12"/>
        <v>0</v>
      </c>
      <c r="K148" s="16">
        <v>269000</v>
      </c>
      <c r="L148" s="16"/>
      <c r="M148" s="16">
        <f t="shared" si="10"/>
        <v>269000</v>
      </c>
      <c r="N148" s="109">
        <f t="shared" si="13"/>
        <v>269</v>
      </c>
      <c r="P148" s="116"/>
      <c r="Q148" s="13"/>
      <c r="R148" s="121"/>
      <c r="S148" s="116"/>
    </row>
    <row r="149" spans="1:19" s="17" customFormat="1" ht="38.25" customHeight="1">
      <c r="A149" s="14"/>
      <c r="B149" s="14"/>
      <c r="C149" s="14"/>
      <c r="D149" s="30" t="s">
        <v>480</v>
      </c>
      <c r="E149" s="15"/>
      <c r="F149" s="15"/>
      <c r="G149" s="54"/>
      <c r="H149" s="15"/>
      <c r="I149" s="15"/>
      <c r="J149" s="54"/>
      <c r="K149" s="16"/>
      <c r="L149" s="16"/>
      <c r="M149" s="16"/>
      <c r="N149" s="112">
        <f>N150</f>
        <v>2887.9</v>
      </c>
      <c r="P149" s="116"/>
      <c r="Q149" s="13"/>
      <c r="R149" s="121"/>
      <c r="S149" s="116"/>
    </row>
    <row r="150" spans="1:19" s="17" customFormat="1" ht="49.5" customHeight="1">
      <c r="A150" s="14"/>
      <c r="B150" s="14"/>
      <c r="C150" s="14"/>
      <c r="D150" s="15" t="s">
        <v>270</v>
      </c>
      <c r="E150" s="15"/>
      <c r="F150" s="15"/>
      <c r="G150" s="54"/>
      <c r="H150" s="15"/>
      <c r="I150" s="15"/>
      <c r="J150" s="54"/>
      <c r="K150" s="16"/>
      <c r="L150" s="16"/>
      <c r="M150" s="16"/>
      <c r="N150" s="109">
        <v>2887.9</v>
      </c>
      <c r="P150" s="116"/>
      <c r="Q150" s="13"/>
      <c r="R150" s="121"/>
      <c r="S150" s="116"/>
    </row>
    <row r="151" spans="1:19" s="17" customFormat="1" ht="39.75" customHeight="1">
      <c r="A151" s="14" t="s">
        <v>132</v>
      </c>
      <c r="B151" s="14" t="s">
        <v>133</v>
      </c>
      <c r="C151" s="14" t="s">
        <v>49</v>
      </c>
      <c r="D151" s="30" t="s">
        <v>445</v>
      </c>
      <c r="E151" s="15"/>
      <c r="F151" s="15"/>
      <c r="G151" s="54">
        <f t="shared" si="11"/>
        <v>0</v>
      </c>
      <c r="H151" s="15"/>
      <c r="I151" s="15"/>
      <c r="J151" s="54">
        <f t="shared" si="12"/>
        <v>0</v>
      </c>
      <c r="K151" s="12">
        <f>K152+K158</f>
        <v>5877330</v>
      </c>
      <c r="L151" s="12">
        <f>L152+L158</f>
        <v>1403000</v>
      </c>
      <c r="M151" s="12">
        <f>M152+M158</f>
        <v>7280330</v>
      </c>
      <c r="N151" s="106">
        <f>N152+N158</f>
        <v>7280.3</v>
      </c>
      <c r="P151" s="116"/>
      <c r="Q151" s="13"/>
      <c r="R151" s="121"/>
      <c r="S151" s="116"/>
    </row>
    <row r="152" spans="1:19" s="17" customFormat="1" ht="35.25" customHeight="1">
      <c r="A152" s="14"/>
      <c r="B152" s="14"/>
      <c r="C152" s="14"/>
      <c r="D152" s="62" t="s">
        <v>138</v>
      </c>
      <c r="E152" s="62" t="s">
        <v>138</v>
      </c>
      <c r="F152" s="15"/>
      <c r="G152" s="54">
        <f t="shared" si="11"/>
        <v>0</v>
      </c>
      <c r="H152" s="15"/>
      <c r="I152" s="15"/>
      <c r="J152" s="54">
        <f t="shared" si="12"/>
        <v>0</v>
      </c>
      <c r="K152" s="12">
        <f>K153+K154+K155+K157+K156</f>
        <v>4441800</v>
      </c>
      <c r="L152" s="12">
        <f>L153+L154+L155+L157+L156</f>
        <v>0</v>
      </c>
      <c r="M152" s="12">
        <f>M153+M154+M155+M157+M156</f>
        <v>4441800</v>
      </c>
      <c r="N152" s="106">
        <f>N153+N154+N155+N157+N156</f>
        <v>4441.8</v>
      </c>
      <c r="P152" s="116"/>
      <c r="Q152" s="13"/>
      <c r="R152" s="121"/>
      <c r="S152" s="116"/>
    </row>
    <row r="153" spans="1:19" s="17" customFormat="1" ht="44.25" customHeight="1">
      <c r="A153" s="14"/>
      <c r="B153" s="14"/>
      <c r="C153" s="14"/>
      <c r="D153" s="15" t="s">
        <v>446</v>
      </c>
      <c r="E153" s="15" t="s">
        <v>210</v>
      </c>
      <c r="F153" s="15"/>
      <c r="G153" s="54">
        <f t="shared" si="11"/>
        <v>0</v>
      </c>
      <c r="H153" s="15"/>
      <c r="I153" s="15"/>
      <c r="J153" s="54">
        <f t="shared" si="12"/>
        <v>0</v>
      </c>
      <c r="K153" s="16">
        <v>335000</v>
      </c>
      <c r="L153" s="16"/>
      <c r="M153" s="16">
        <f>L153+K153</f>
        <v>335000</v>
      </c>
      <c r="N153" s="109">
        <f t="shared" si="13"/>
        <v>335</v>
      </c>
      <c r="P153" s="116"/>
      <c r="Q153" s="13"/>
      <c r="R153" s="121"/>
      <c r="S153" s="116"/>
    </row>
    <row r="154" spans="1:19" s="17" customFormat="1" ht="44.25" customHeight="1">
      <c r="A154" s="14"/>
      <c r="B154" s="14"/>
      <c r="C154" s="14"/>
      <c r="D154" s="15" t="s">
        <v>447</v>
      </c>
      <c r="E154" s="15" t="s">
        <v>213</v>
      </c>
      <c r="F154" s="15"/>
      <c r="G154" s="54">
        <f t="shared" si="11"/>
        <v>0</v>
      </c>
      <c r="H154" s="15"/>
      <c r="I154" s="15"/>
      <c r="J154" s="54">
        <f t="shared" si="12"/>
        <v>0</v>
      </c>
      <c r="K154" s="16">
        <v>3000000</v>
      </c>
      <c r="L154" s="16"/>
      <c r="M154" s="16">
        <f>L154+K154</f>
        <v>3000000</v>
      </c>
      <c r="N154" s="109">
        <f t="shared" si="13"/>
        <v>3000</v>
      </c>
      <c r="O154" s="13"/>
      <c r="P154" s="116"/>
      <c r="Q154" s="13"/>
      <c r="R154" s="120"/>
      <c r="S154" s="116"/>
    </row>
    <row r="155" spans="1:19" s="17" customFormat="1" ht="27.75" customHeight="1">
      <c r="A155" s="14"/>
      <c r="B155" s="14"/>
      <c r="C155" s="14"/>
      <c r="D155" s="15" t="s">
        <v>222</v>
      </c>
      <c r="E155" s="15" t="s">
        <v>222</v>
      </c>
      <c r="F155" s="15"/>
      <c r="G155" s="54">
        <f t="shared" si="11"/>
        <v>0</v>
      </c>
      <c r="H155" s="15"/>
      <c r="I155" s="15"/>
      <c r="J155" s="54">
        <f t="shared" si="12"/>
        <v>0</v>
      </c>
      <c r="K155" s="16">
        <v>376800</v>
      </c>
      <c r="L155" s="16"/>
      <c r="M155" s="16">
        <f>L155+K155</f>
        <v>376800</v>
      </c>
      <c r="N155" s="109">
        <f t="shared" si="13"/>
        <v>376.8</v>
      </c>
      <c r="O155" s="25"/>
      <c r="P155" s="116"/>
      <c r="Q155" s="13"/>
      <c r="R155" s="122"/>
      <c r="S155" s="116"/>
    </row>
    <row r="156" spans="1:19" s="17" customFormat="1" ht="47.25" customHeight="1">
      <c r="A156" s="14"/>
      <c r="B156" s="14"/>
      <c r="C156" s="14"/>
      <c r="D156" s="15" t="s">
        <v>407</v>
      </c>
      <c r="E156" s="15" t="s">
        <v>407</v>
      </c>
      <c r="F156" s="15"/>
      <c r="G156" s="54">
        <f t="shared" si="11"/>
        <v>0</v>
      </c>
      <c r="H156" s="15"/>
      <c r="I156" s="15"/>
      <c r="J156" s="54">
        <f t="shared" si="12"/>
        <v>0</v>
      </c>
      <c r="K156" s="16">
        <v>30000</v>
      </c>
      <c r="L156" s="16"/>
      <c r="M156" s="16">
        <f>L156+K156</f>
        <v>30000</v>
      </c>
      <c r="N156" s="109">
        <f t="shared" si="13"/>
        <v>30</v>
      </c>
      <c r="O156" s="25"/>
      <c r="P156" s="116"/>
      <c r="Q156" s="13"/>
      <c r="R156" s="120"/>
      <c r="S156" s="116"/>
    </row>
    <row r="157" spans="1:19" s="17" customFormat="1" ht="84" customHeight="1">
      <c r="A157" s="14"/>
      <c r="B157" s="14"/>
      <c r="C157" s="14"/>
      <c r="D157" s="15" t="s">
        <v>321</v>
      </c>
      <c r="E157" s="15" t="s">
        <v>321</v>
      </c>
      <c r="F157" s="15"/>
      <c r="G157" s="54">
        <f t="shared" si="11"/>
        <v>0</v>
      </c>
      <c r="H157" s="15"/>
      <c r="I157" s="15"/>
      <c r="J157" s="54">
        <f t="shared" si="12"/>
        <v>0</v>
      </c>
      <c r="K157" s="16">
        <v>700000</v>
      </c>
      <c r="L157" s="16"/>
      <c r="M157" s="16">
        <f>L157+K157</f>
        <v>700000</v>
      </c>
      <c r="N157" s="109">
        <f t="shared" si="13"/>
        <v>700</v>
      </c>
      <c r="O157" s="116"/>
      <c r="P157" s="116"/>
      <c r="Q157" s="13"/>
      <c r="R157" s="122"/>
      <c r="S157" s="116"/>
    </row>
    <row r="158" spans="1:19" s="17" customFormat="1" ht="28.5" customHeight="1">
      <c r="A158" s="14"/>
      <c r="B158" s="14"/>
      <c r="C158" s="14"/>
      <c r="D158" s="30" t="s">
        <v>141</v>
      </c>
      <c r="E158" s="30" t="s">
        <v>141</v>
      </c>
      <c r="F158" s="15"/>
      <c r="G158" s="54">
        <f t="shared" si="11"/>
        <v>0</v>
      </c>
      <c r="H158" s="15"/>
      <c r="I158" s="15"/>
      <c r="J158" s="54">
        <f t="shared" si="12"/>
        <v>0</v>
      </c>
      <c r="K158" s="12">
        <f>K159+K161+K160</f>
        <v>1435530</v>
      </c>
      <c r="L158" s="12">
        <f>L159+L161+L160</f>
        <v>1403000</v>
      </c>
      <c r="M158" s="12">
        <f>M159+M161+M160</f>
        <v>2838530</v>
      </c>
      <c r="N158" s="106">
        <f>N159+N161+N160</f>
        <v>2838.5</v>
      </c>
      <c r="P158" s="116"/>
      <c r="Q158" s="13"/>
      <c r="R158" s="123"/>
      <c r="S158" s="116"/>
    </row>
    <row r="159" spans="1:19" s="17" customFormat="1" ht="65.25" customHeight="1">
      <c r="A159" s="14"/>
      <c r="B159" s="14"/>
      <c r="C159" s="14"/>
      <c r="D159" s="15" t="s">
        <v>211</v>
      </c>
      <c r="E159" s="15" t="s">
        <v>211</v>
      </c>
      <c r="F159" s="15"/>
      <c r="G159" s="54">
        <f t="shared" si="11"/>
        <v>0</v>
      </c>
      <c r="H159" s="15"/>
      <c r="I159" s="15"/>
      <c r="J159" s="54">
        <f t="shared" si="12"/>
        <v>0</v>
      </c>
      <c r="K159" s="16">
        <v>1185530</v>
      </c>
      <c r="L159" s="16">
        <v>-94000</v>
      </c>
      <c r="M159" s="16">
        <f>L159+K159</f>
        <v>1091530</v>
      </c>
      <c r="N159" s="109">
        <f t="shared" si="13"/>
        <v>1091.5</v>
      </c>
      <c r="P159" s="116"/>
      <c r="Q159" s="13"/>
      <c r="R159" s="120"/>
      <c r="S159" s="116"/>
    </row>
    <row r="160" spans="1:19" s="17" customFormat="1" ht="65.25" customHeight="1">
      <c r="A160" s="14"/>
      <c r="B160" s="14"/>
      <c r="C160" s="14"/>
      <c r="D160" s="15" t="s">
        <v>464</v>
      </c>
      <c r="E160" s="15"/>
      <c r="F160" s="15"/>
      <c r="G160" s="54"/>
      <c r="H160" s="15"/>
      <c r="I160" s="15"/>
      <c r="J160" s="54"/>
      <c r="K160" s="16"/>
      <c r="L160" s="16">
        <f>1403000+94000</f>
        <v>1497000</v>
      </c>
      <c r="M160" s="16">
        <f>L160+K160</f>
        <v>1497000</v>
      </c>
      <c r="N160" s="109">
        <f t="shared" si="13"/>
        <v>1497</v>
      </c>
      <c r="O160" s="142"/>
      <c r="P160" s="116"/>
      <c r="Q160" s="13"/>
      <c r="R160" s="120"/>
      <c r="S160" s="116"/>
    </row>
    <row r="161" spans="1:19" s="17" customFormat="1" ht="24" customHeight="1">
      <c r="A161" s="14"/>
      <c r="B161" s="14"/>
      <c r="C161" s="14"/>
      <c r="D161" s="15" t="s">
        <v>212</v>
      </c>
      <c r="E161" s="15" t="s">
        <v>212</v>
      </c>
      <c r="F161" s="15"/>
      <c r="G161" s="54">
        <f t="shared" si="11"/>
        <v>0</v>
      </c>
      <c r="H161" s="15"/>
      <c r="I161" s="15"/>
      <c r="J161" s="54">
        <f t="shared" si="12"/>
        <v>0</v>
      </c>
      <c r="K161" s="16">
        <v>250000</v>
      </c>
      <c r="L161" s="16"/>
      <c r="M161" s="16">
        <f>L161+K161</f>
        <v>250000</v>
      </c>
      <c r="N161" s="109">
        <f>ROUND(M161/1000,1)</f>
        <v>250</v>
      </c>
      <c r="O161" s="25"/>
      <c r="P161" s="116"/>
      <c r="Q161" s="13"/>
      <c r="R161" s="121"/>
      <c r="S161" s="116"/>
    </row>
    <row r="162" spans="1:19" s="13" customFormat="1" ht="32.25" customHeight="1">
      <c r="A162" s="11" t="s">
        <v>107</v>
      </c>
      <c r="B162" s="11" t="s">
        <v>66</v>
      </c>
      <c r="C162" s="11" t="s">
        <v>49</v>
      </c>
      <c r="D162" s="72" t="s">
        <v>448</v>
      </c>
      <c r="E162" s="72"/>
      <c r="F162" s="89"/>
      <c r="G162" s="54">
        <f t="shared" si="11"/>
        <v>0</v>
      </c>
      <c r="H162" s="89"/>
      <c r="I162" s="89"/>
      <c r="J162" s="54">
        <f t="shared" si="12"/>
        <v>0</v>
      </c>
      <c r="K162" s="12">
        <f>K163+K164</f>
        <v>2253802</v>
      </c>
      <c r="L162" s="12">
        <f>L163+L164</f>
        <v>0</v>
      </c>
      <c r="M162" s="12">
        <f>M163+M164</f>
        <v>2253802</v>
      </c>
      <c r="N162" s="106">
        <f>N163+N164</f>
        <v>2253.8</v>
      </c>
      <c r="O162" s="25"/>
      <c r="P162" s="116"/>
      <c r="R162" s="125"/>
      <c r="S162" s="116"/>
    </row>
    <row r="163" spans="1:19" s="25" customFormat="1" ht="28.5" customHeight="1">
      <c r="A163" s="18"/>
      <c r="B163" s="18"/>
      <c r="C163" s="18"/>
      <c r="D163" s="35" t="s">
        <v>172</v>
      </c>
      <c r="E163" s="35" t="s">
        <v>172</v>
      </c>
      <c r="F163" s="45"/>
      <c r="G163" s="66">
        <f t="shared" si="11"/>
        <v>0</v>
      </c>
      <c r="H163" s="45"/>
      <c r="I163" s="45"/>
      <c r="J163" s="66">
        <f t="shared" si="12"/>
        <v>0</v>
      </c>
      <c r="K163" s="21">
        <v>253802</v>
      </c>
      <c r="L163" s="21"/>
      <c r="M163" s="21">
        <f>L163+K163</f>
        <v>253802</v>
      </c>
      <c r="N163" s="108">
        <f t="shared" si="13"/>
        <v>253.8</v>
      </c>
      <c r="P163" s="116"/>
      <c r="Q163" s="13"/>
      <c r="R163" s="126"/>
      <c r="S163" s="116"/>
    </row>
    <row r="164" spans="1:19" s="25" customFormat="1" ht="30" customHeight="1">
      <c r="A164" s="18"/>
      <c r="B164" s="18"/>
      <c r="C164" s="18"/>
      <c r="D164" s="35" t="s">
        <v>189</v>
      </c>
      <c r="E164" s="35" t="s">
        <v>189</v>
      </c>
      <c r="F164" s="45"/>
      <c r="G164" s="66">
        <f t="shared" si="11"/>
        <v>0</v>
      </c>
      <c r="H164" s="45"/>
      <c r="I164" s="45"/>
      <c r="J164" s="66">
        <f t="shared" si="12"/>
        <v>0</v>
      </c>
      <c r="K164" s="21">
        <f>2000000</f>
        <v>2000000</v>
      </c>
      <c r="L164" s="21">
        <f>1000000-1000000</f>
        <v>0</v>
      </c>
      <c r="M164" s="21">
        <f>L164+K164</f>
        <v>2000000</v>
      </c>
      <c r="N164" s="108">
        <f t="shared" si="13"/>
        <v>2000</v>
      </c>
      <c r="P164" s="116"/>
      <c r="Q164" s="13"/>
      <c r="R164" s="126"/>
      <c r="S164" s="116"/>
    </row>
    <row r="165" spans="1:19" s="13" customFormat="1" ht="33.75" customHeight="1">
      <c r="A165" s="11" t="s">
        <v>264</v>
      </c>
      <c r="B165" s="11" t="s">
        <v>262</v>
      </c>
      <c r="C165" s="11"/>
      <c r="D165" s="72" t="s">
        <v>428</v>
      </c>
      <c r="E165" s="72"/>
      <c r="F165" s="89"/>
      <c r="G165" s="54">
        <f t="shared" si="11"/>
        <v>0</v>
      </c>
      <c r="H165" s="89"/>
      <c r="I165" s="89"/>
      <c r="J165" s="54">
        <f t="shared" si="12"/>
        <v>0</v>
      </c>
      <c r="K165" s="47">
        <f>SUM(K168)+K166</f>
        <v>6312962.46</v>
      </c>
      <c r="L165" s="47">
        <f>SUM(L168)+L166</f>
        <v>5000000</v>
      </c>
      <c r="M165" s="47">
        <f>SUM(M168)+M166</f>
        <v>11312962.46</v>
      </c>
      <c r="N165" s="106">
        <f>SUM(N168)+N166</f>
        <v>11512.900000000001</v>
      </c>
      <c r="O165" s="25"/>
      <c r="P165" s="116"/>
      <c r="R165" s="126"/>
      <c r="S165" s="116"/>
    </row>
    <row r="166" spans="1:19" s="17" customFormat="1" ht="54" customHeight="1">
      <c r="A166" s="27" t="s">
        <v>271</v>
      </c>
      <c r="B166" s="27" t="s">
        <v>272</v>
      </c>
      <c r="C166" s="18" t="s">
        <v>44</v>
      </c>
      <c r="D166" s="19" t="s">
        <v>493</v>
      </c>
      <c r="E166" s="35"/>
      <c r="F166" s="44"/>
      <c r="G166" s="54">
        <f t="shared" si="11"/>
        <v>0</v>
      </c>
      <c r="H166" s="44"/>
      <c r="I166" s="44"/>
      <c r="J166" s="54">
        <f t="shared" si="12"/>
        <v>0</v>
      </c>
      <c r="K166" s="38">
        <f>K167</f>
        <v>426739</v>
      </c>
      <c r="L166" s="38"/>
      <c r="M166" s="38">
        <f>L166+K166</f>
        <v>426739</v>
      </c>
      <c r="N166" s="108">
        <f t="shared" si="13"/>
        <v>426.7</v>
      </c>
      <c r="O166" s="25"/>
      <c r="P166" s="116"/>
      <c r="Q166" s="13"/>
      <c r="R166" s="126"/>
      <c r="S166" s="116"/>
    </row>
    <row r="167" spans="1:19" s="17" customFormat="1" ht="72" customHeight="1">
      <c r="A167" s="27"/>
      <c r="B167" s="27"/>
      <c r="C167" s="14"/>
      <c r="D167" s="28" t="s">
        <v>364</v>
      </c>
      <c r="E167" s="28" t="s">
        <v>364</v>
      </c>
      <c r="F167" s="44"/>
      <c r="G167" s="54">
        <f t="shared" si="11"/>
        <v>0</v>
      </c>
      <c r="H167" s="44"/>
      <c r="I167" s="44"/>
      <c r="J167" s="54">
        <f t="shared" si="12"/>
        <v>0</v>
      </c>
      <c r="K167" s="37">
        <v>426739</v>
      </c>
      <c r="L167" s="37"/>
      <c r="M167" s="37">
        <f>L167+K167</f>
        <v>426739</v>
      </c>
      <c r="N167" s="109">
        <f t="shared" si="13"/>
        <v>426.7</v>
      </c>
      <c r="O167" s="25"/>
      <c r="P167" s="116"/>
      <c r="Q167" s="13"/>
      <c r="R167" s="125"/>
      <c r="S167" s="116"/>
    </row>
    <row r="168" spans="1:19" s="25" customFormat="1" ht="51" customHeight="1">
      <c r="A168" s="18" t="s">
        <v>263</v>
      </c>
      <c r="B168" s="18" t="s">
        <v>269</v>
      </c>
      <c r="C168" s="18" t="s">
        <v>44</v>
      </c>
      <c r="D168" s="35" t="s">
        <v>260</v>
      </c>
      <c r="E168" s="35"/>
      <c r="F168" s="45"/>
      <c r="G168" s="54">
        <f t="shared" si="11"/>
        <v>0</v>
      </c>
      <c r="H168" s="45"/>
      <c r="I168" s="45"/>
      <c r="J168" s="54">
        <f t="shared" si="12"/>
        <v>0</v>
      </c>
      <c r="K168" s="38">
        <f>K170+K174+K178+K176+K172</f>
        <v>5886223.46</v>
      </c>
      <c r="L168" s="38">
        <f>L170+L174+L178+L176+L172</f>
        <v>5000000</v>
      </c>
      <c r="M168" s="38">
        <f>M170+M174+M178+M176+M172</f>
        <v>10886223.46</v>
      </c>
      <c r="N168" s="108">
        <f>N170+N172+N174+N176+N178</f>
        <v>11086.2</v>
      </c>
      <c r="P168" s="116"/>
      <c r="Q168" s="13"/>
      <c r="R168" s="126"/>
      <c r="S168" s="116"/>
    </row>
    <row r="169" spans="1:19" s="25" customFormat="1" ht="25.5" customHeight="1">
      <c r="A169" s="18"/>
      <c r="B169" s="18"/>
      <c r="C169" s="18"/>
      <c r="D169" s="19" t="s">
        <v>470</v>
      </c>
      <c r="E169" s="19"/>
      <c r="F169" s="19"/>
      <c r="G169" s="54">
        <f t="shared" si="11"/>
        <v>0</v>
      </c>
      <c r="H169" s="19"/>
      <c r="I169" s="19"/>
      <c r="J169" s="54">
        <f t="shared" si="12"/>
        <v>0</v>
      </c>
      <c r="K169" s="21">
        <f>K171+K173+K175+K177+K179</f>
        <v>4242868.85</v>
      </c>
      <c r="L169" s="21">
        <f>L171+L173+L175+L177+L179</f>
        <v>0</v>
      </c>
      <c r="M169" s="21">
        <f>L169+K169</f>
        <v>4242868.85</v>
      </c>
      <c r="N169" s="108">
        <f t="shared" si="13"/>
        <v>4242.9</v>
      </c>
      <c r="P169" s="116"/>
      <c r="Q169" s="13"/>
      <c r="R169" s="126"/>
      <c r="S169" s="116"/>
    </row>
    <row r="170" spans="1:19" s="25" customFormat="1" ht="32.25" customHeight="1">
      <c r="A170" s="18"/>
      <c r="B170" s="18"/>
      <c r="C170" s="18"/>
      <c r="D170" s="28" t="s">
        <v>394</v>
      </c>
      <c r="E170" s="28" t="s">
        <v>394</v>
      </c>
      <c r="F170" s="44"/>
      <c r="G170" s="54">
        <f t="shared" si="11"/>
        <v>0</v>
      </c>
      <c r="H170" s="44"/>
      <c r="I170" s="44"/>
      <c r="J170" s="54">
        <f t="shared" si="12"/>
        <v>0</v>
      </c>
      <c r="K170" s="37">
        <v>1721222.85</v>
      </c>
      <c r="L170" s="37"/>
      <c r="M170" s="37">
        <f>K170+L170</f>
        <v>1721222.85</v>
      </c>
      <c r="N170" s="109">
        <f>ROUND(M170/1000,1)+200</f>
        <v>1921.2</v>
      </c>
      <c r="P170" s="116"/>
      <c r="Q170" s="13"/>
      <c r="R170" s="126"/>
      <c r="S170" s="116"/>
    </row>
    <row r="171" spans="1:19" s="25" customFormat="1" ht="27.75" customHeight="1">
      <c r="A171" s="18"/>
      <c r="B171" s="18"/>
      <c r="C171" s="18"/>
      <c r="D171" s="19" t="s">
        <v>470</v>
      </c>
      <c r="E171" s="19"/>
      <c r="F171" s="19"/>
      <c r="G171" s="54">
        <f t="shared" si="11"/>
        <v>0</v>
      </c>
      <c r="H171" s="19"/>
      <c r="I171" s="19"/>
      <c r="J171" s="54">
        <f t="shared" si="12"/>
        <v>0</v>
      </c>
      <c r="K171" s="21">
        <v>1674292.46</v>
      </c>
      <c r="L171" s="21"/>
      <c r="M171" s="21">
        <f>L171+K171</f>
        <v>1674292.46</v>
      </c>
      <c r="N171" s="108">
        <f t="shared" si="13"/>
        <v>1674.3</v>
      </c>
      <c r="P171" s="116"/>
      <c r="Q171" s="13"/>
      <c r="R171" s="126"/>
      <c r="S171" s="116"/>
    </row>
    <row r="172" spans="1:19" s="25" customFormat="1" ht="63.75" customHeight="1">
      <c r="A172" s="18"/>
      <c r="B172" s="18"/>
      <c r="C172" s="18"/>
      <c r="D172" s="28" t="s">
        <v>397</v>
      </c>
      <c r="E172" s="28" t="s">
        <v>397</v>
      </c>
      <c r="F172" s="44"/>
      <c r="G172" s="54">
        <f t="shared" si="11"/>
        <v>0</v>
      </c>
      <c r="H172" s="44"/>
      <c r="I172" s="44"/>
      <c r="J172" s="54">
        <f t="shared" si="12"/>
        <v>0</v>
      </c>
      <c r="K172" s="37">
        <v>978500</v>
      </c>
      <c r="L172" s="37"/>
      <c r="M172" s="37">
        <f aca="true" t="shared" si="14" ref="M172:M178">K172+L172</f>
        <v>978500</v>
      </c>
      <c r="N172" s="109">
        <f t="shared" si="13"/>
        <v>978.5</v>
      </c>
      <c r="O172" s="17"/>
      <c r="P172" s="116"/>
      <c r="Q172" s="13"/>
      <c r="R172" s="126"/>
      <c r="S172" s="116"/>
    </row>
    <row r="173" spans="1:19" s="25" customFormat="1" ht="24" customHeight="1">
      <c r="A173" s="18"/>
      <c r="B173" s="18"/>
      <c r="C173" s="18"/>
      <c r="D173" s="19" t="s">
        <v>470</v>
      </c>
      <c r="E173" s="19"/>
      <c r="F173" s="19"/>
      <c r="G173" s="54">
        <f t="shared" si="11"/>
        <v>0</v>
      </c>
      <c r="H173" s="19"/>
      <c r="I173" s="19"/>
      <c r="J173" s="54">
        <f t="shared" si="12"/>
        <v>0</v>
      </c>
      <c r="K173" s="21">
        <v>950000</v>
      </c>
      <c r="L173" s="21"/>
      <c r="M173" s="21">
        <f>L173+K173</f>
        <v>950000</v>
      </c>
      <c r="N173" s="108">
        <f t="shared" si="13"/>
        <v>950</v>
      </c>
      <c r="O173" s="13"/>
      <c r="P173" s="116"/>
      <c r="Q173" s="13"/>
      <c r="R173" s="126"/>
      <c r="S173" s="116"/>
    </row>
    <row r="174" spans="1:19" s="25" customFormat="1" ht="46.5" customHeight="1">
      <c r="A174" s="18"/>
      <c r="B174" s="18"/>
      <c r="C174" s="18"/>
      <c r="D174" s="28" t="s">
        <v>395</v>
      </c>
      <c r="E174" s="28" t="s">
        <v>395</v>
      </c>
      <c r="F174" s="44"/>
      <c r="G174" s="54">
        <f t="shared" si="11"/>
        <v>0</v>
      </c>
      <c r="H174" s="44"/>
      <c r="I174" s="44"/>
      <c r="J174" s="54">
        <f t="shared" si="12"/>
        <v>0</v>
      </c>
      <c r="K174" s="37">
        <f>19014.22+621576.39</f>
        <v>640590.61</v>
      </c>
      <c r="L174" s="37"/>
      <c r="M174" s="37">
        <f t="shared" si="14"/>
        <v>640590.61</v>
      </c>
      <c r="N174" s="109">
        <f t="shared" si="13"/>
        <v>640.6</v>
      </c>
      <c r="O174" s="17"/>
      <c r="P174" s="116"/>
      <c r="Q174" s="13"/>
      <c r="R174" s="126"/>
      <c r="S174" s="116"/>
    </row>
    <row r="175" spans="1:19" s="25" customFormat="1" ht="21.75" customHeight="1">
      <c r="A175" s="18"/>
      <c r="B175" s="18"/>
      <c r="C175" s="18"/>
      <c r="D175" s="19" t="s">
        <v>470</v>
      </c>
      <c r="E175" s="19"/>
      <c r="F175" s="19"/>
      <c r="G175" s="54">
        <f t="shared" si="11"/>
        <v>0</v>
      </c>
      <c r="H175" s="19"/>
      <c r="I175" s="19"/>
      <c r="J175" s="54">
        <f t="shared" si="12"/>
        <v>0</v>
      </c>
      <c r="K175" s="21">
        <v>621576.39</v>
      </c>
      <c r="L175" s="21"/>
      <c r="M175" s="21">
        <f>L175+K175</f>
        <v>621576.39</v>
      </c>
      <c r="N175" s="108">
        <f t="shared" si="13"/>
        <v>621.6</v>
      </c>
      <c r="O175" s="13"/>
      <c r="P175" s="116"/>
      <c r="Q175" s="13"/>
      <c r="R175" s="127"/>
      <c r="S175" s="116"/>
    </row>
    <row r="176" spans="1:19" s="25" customFormat="1" ht="40.5">
      <c r="A176" s="18"/>
      <c r="B176" s="18"/>
      <c r="C176" s="18"/>
      <c r="D176" s="28" t="s">
        <v>396</v>
      </c>
      <c r="E176" s="28" t="s">
        <v>396</v>
      </c>
      <c r="F176" s="44"/>
      <c r="G176" s="54">
        <f t="shared" si="11"/>
        <v>0</v>
      </c>
      <c r="H176" s="44"/>
      <c r="I176" s="44"/>
      <c r="J176" s="54">
        <f t="shared" si="12"/>
        <v>0</v>
      </c>
      <c r="K176" s="37">
        <v>305910</v>
      </c>
      <c r="L176" s="37"/>
      <c r="M176" s="37">
        <f>K176+L176</f>
        <v>305910</v>
      </c>
      <c r="N176" s="109">
        <f t="shared" si="13"/>
        <v>305.9</v>
      </c>
      <c r="O176" s="33"/>
      <c r="P176" s="116"/>
      <c r="Q176" s="13"/>
      <c r="R176" s="128"/>
      <c r="S176" s="116"/>
    </row>
    <row r="177" spans="1:19" s="25" customFormat="1" ht="20.25">
      <c r="A177" s="18"/>
      <c r="B177" s="18"/>
      <c r="C177" s="18"/>
      <c r="D177" s="19" t="s">
        <v>470</v>
      </c>
      <c r="E177" s="19"/>
      <c r="F177" s="19"/>
      <c r="G177" s="54">
        <f t="shared" si="11"/>
        <v>0</v>
      </c>
      <c r="H177" s="19"/>
      <c r="I177" s="19"/>
      <c r="J177" s="54">
        <f t="shared" si="12"/>
        <v>0</v>
      </c>
      <c r="K177" s="21">
        <v>297000</v>
      </c>
      <c r="L177" s="21"/>
      <c r="M177" s="21">
        <f>L177+K177</f>
        <v>297000</v>
      </c>
      <c r="N177" s="108">
        <f t="shared" si="13"/>
        <v>297</v>
      </c>
      <c r="O177" s="17"/>
      <c r="P177" s="116"/>
      <c r="Q177" s="13"/>
      <c r="R177" s="126"/>
      <c r="S177" s="116"/>
    </row>
    <row r="178" spans="1:19" s="25" customFormat="1" ht="79.5" customHeight="1">
      <c r="A178" s="18"/>
      <c r="B178" s="18"/>
      <c r="C178" s="18"/>
      <c r="D178" s="28" t="s">
        <v>322</v>
      </c>
      <c r="E178" s="28" t="s">
        <v>322</v>
      </c>
      <c r="F178" s="44"/>
      <c r="G178" s="54">
        <f t="shared" si="11"/>
        <v>0</v>
      </c>
      <c r="H178" s="44"/>
      <c r="I178" s="44"/>
      <c r="J178" s="54">
        <f t="shared" si="12"/>
        <v>0</v>
      </c>
      <c r="K178" s="37">
        <v>2240000</v>
      </c>
      <c r="L178" s="37">
        <v>5000000</v>
      </c>
      <c r="M178" s="37">
        <f t="shared" si="14"/>
        <v>7240000</v>
      </c>
      <c r="N178" s="109">
        <f t="shared" si="13"/>
        <v>7240</v>
      </c>
      <c r="O178" s="17"/>
      <c r="P178" s="116"/>
      <c r="Q178" s="13"/>
      <c r="R178" s="126"/>
      <c r="S178" s="116"/>
    </row>
    <row r="179" spans="1:19" s="25" customFormat="1" ht="26.25" customHeight="1">
      <c r="A179" s="18"/>
      <c r="B179" s="18"/>
      <c r="C179" s="18"/>
      <c r="D179" s="19" t="s">
        <v>470</v>
      </c>
      <c r="E179" s="19"/>
      <c r="F179" s="19"/>
      <c r="G179" s="54">
        <f t="shared" si="11"/>
        <v>0</v>
      </c>
      <c r="H179" s="19"/>
      <c r="I179" s="19"/>
      <c r="J179" s="54">
        <f t="shared" si="12"/>
        <v>0</v>
      </c>
      <c r="K179" s="21">
        <v>700000</v>
      </c>
      <c r="L179" s="21"/>
      <c r="M179" s="21">
        <f>L179+K179</f>
        <v>700000</v>
      </c>
      <c r="N179" s="108">
        <f t="shared" si="13"/>
        <v>700</v>
      </c>
      <c r="P179" s="116"/>
      <c r="Q179" s="13"/>
      <c r="R179" s="126"/>
      <c r="S179" s="116"/>
    </row>
    <row r="180" spans="1:19" s="17" customFormat="1" ht="27.75" customHeight="1">
      <c r="A180" s="14" t="s">
        <v>108</v>
      </c>
      <c r="B180" s="39">
        <v>9770</v>
      </c>
      <c r="C180" s="14" t="s">
        <v>22</v>
      </c>
      <c r="D180" s="28" t="s">
        <v>206</v>
      </c>
      <c r="E180" s="28"/>
      <c r="F180" s="28"/>
      <c r="G180" s="54">
        <f t="shared" si="11"/>
        <v>0</v>
      </c>
      <c r="H180" s="28"/>
      <c r="I180" s="28"/>
      <c r="J180" s="54">
        <f t="shared" si="12"/>
        <v>0</v>
      </c>
      <c r="K180" s="16">
        <v>1220000</v>
      </c>
      <c r="L180" s="16"/>
      <c r="M180" s="16">
        <f>L180+K180</f>
        <v>1220000</v>
      </c>
      <c r="N180" s="109">
        <f t="shared" si="13"/>
        <v>1220</v>
      </c>
      <c r="O180" s="25"/>
      <c r="P180" s="116"/>
      <c r="Q180" s="13"/>
      <c r="R180" s="126"/>
      <c r="S180" s="116"/>
    </row>
    <row r="181" spans="1:19" s="13" customFormat="1" ht="36.75" customHeight="1">
      <c r="A181" s="11" t="s">
        <v>54</v>
      </c>
      <c r="B181" s="46"/>
      <c r="C181" s="46"/>
      <c r="D181" s="30" t="s">
        <v>16</v>
      </c>
      <c r="E181" s="30"/>
      <c r="F181" s="30"/>
      <c r="G181" s="54">
        <f t="shared" si="11"/>
        <v>0</v>
      </c>
      <c r="H181" s="30"/>
      <c r="I181" s="30"/>
      <c r="J181" s="54">
        <f t="shared" si="12"/>
        <v>0</v>
      </c>
      <c r="K181" s="12">
        <f>K182</f>
        <v>40000</v>
      </c>
      <c r="L181" s="12">
        <f>L182</f>
        <v>0</v>
      </c>
      <c r="M181" s="12">
        <f>M182</f>
        <v>40000</v>
      </c>
      <c r="N181" s="106">
        <f>N182</f>
        <v>40</v>
      </c>
      <c r="O181" s="48"/>
      <c r="P181" s="116"/>
      <c r="R181" s="125"/>
      <c r="S181" s="116"/>
    </row>
    <row r="182" spans="1:19" s="17" customFormat="1" ht="45.75" customHeight="1">
      <c r="A182" s="14" t="s">
        <v>0</v>
      </c>
      <c r="B182" s="14" t="s">
        <v>55</v>
      </c>
      <c r="C182" s="14" t="s">
        <v>23</v>
      </c>
      <c r="D182" s="15" t="s">
        <v>56</v>
      </c>
      <c r="E182" s="15"/>
      <c r="F182" s="15"/>
      <c r="G182" s="54">
        <f t="shared" si="11"/>
        <v>0</v>
      </c>
      <c r="H182" s="15"/>
      <c r="I182" s="15"/>
      <c r="J182" s="54">
        <f t="shared" si="12"/>
        <v>0</v>
      </c>
      <c r="K182" s="16">
        <v>40000</v>
      </c>
      <c r="L182" s="16"/>
      <c r="M182" s="16">
        <f>L182+K182</f>
        <v>40000</v>
      </c>
      <c r="N182" s="109">
        <f t="shared" si="13"/>
        <v>40</v>
      </c>
      <c r="O182" s="40"/>
      <c r="P182" s="116"/>
      <c r="Q182" s="13"/>
      <c r="R182" s="125"/>
      <c r="S182" s="116"/>
    </row>
    <row r="183" spans="1:19" s="13" customFormat="1" ht="36.75" customHeight="1">
      <c r="A183" s="11" t="s">
        <v>10</v>
      </c>
      <c r="B183" s="11"/>
      <c r="C183" s="11"/>
      <c r="D183" s="30" t="s">
        <v>15</v>
      </c>
      <c r="E183" s="30"/>
      <c r="F183" s="30"/>
      <c r="G183" s="54">
        <f t="shared" si="11"/>
        <v>0</v>
      </c>
      <c r="H183" s="30"/>
      <c r="I183" s="30"/>
      <c r="J183" s="54">
        <f t="shared" si="12"/>
        <v>0</v>
      </c>
      <c r="K183" s="12">
        <f>K185+K319+K190+K207+K242+K305+K308+K186</f>
        <v>176702934</v>
      </c>
      <c r="L183" s="12">
        <f>L185+L319+L190+L207+L242+L305+L308+L186</f>
        <v>11000000</v>
      </c>
      <c r="M183" s="12">
        <f>M185+M319+M190+M207+M242+M305+M308+M186</f>
        <v>187702934</v>
      </c>
      <c r="N183" s="106">
        <f>N185+N319+N190+N207+N242+N305+N308+N186</f>
        <v>186427</v>
      </c>
      <c r="O183" s="52"/>
      <c r="P183" s="116"/>
      <c r="R183" s="125"/>
      <c r="S183" s="116"/>
    </row>
    <row r="184" spans="1:19" s="33" customFormat="1" ht="24" customHeight="1">
      <c r="A184" s="34"/>
      <c r="B184" s="34"/>
      <c r="C184" s="34"/>
      <c r="D184" s="31" t="s">
        <v>470</v>
      </c>
      <c r="E184" s="31"/>
      <c r="F184" s="31"/>
      <c r="G184" s="54">
        <f t="shared" si="11"/>
        <v>0</v>
      </c>
      <c r="H184" s="31"/>
      <c r="I184" s="31"/>
      <c r="J184" s="54">
        <f t="shared" si="12"/>
        <v>0</v>
      </c>
      <c r="K184" s="32">
        <f>K314</f>
        <v>300091</v>
      </c>
      <c r="L184" s="32">
        <f>L314</f>
        <v>0</v>
      </c>
      <c r="M184" s="32">
        <f>M314</f>
        <v>300091</v>
      </c>
      <c r="N184" s="111">
        <f>N314</f>
        <v>300.1</v>
      </c>
      <c r="O184" s="52"/>
      <c r="P184" s="116"/>
      <c r="Q184" s="13"/>
      <c r="R184" s="126"/>
      <c r="S184" s="116"/>
    </row>
    <row r="185" spans="1:19" s="17" customFormat="1" ht="33" customHeight="1">
      <c r="A185" s="14" t="s">
        <v>109</v>
      </c>
      <c r="B185" s="14" t="s">
        <v>64</v>
      </c>
      <c r="C185" s="14" t="s">
        <v>38</v>
      </c>
      <c r="D185" s="15" t="s">
        <v>65</v>
      </c>
      <c r="E185" s="15"/>
      <c r="F185" s="15"/>
      <c r="G185" s="54">
        <f t="shared" si="11"/>
        <v>0</v>
      </c>
      <c r="H185" s="15"/>
      <c r="I185" s="15"/>
      <c r="J185" s="54">
        <f t="shared" si="12"/>
        <v>0</v>
      </c>
      <c r="K185" s="16">
        <v>88015500</v>
      </c>
      <c r="L185" s="16">
        <f>7000000+2000000</f>
        <v>9000000</v>
      </c>
      <c r="M185" s="16">
        <f>L185+K185</f>
        <v>97015500</v>
      </c>
      <c r="N185" s="109">
        <f>ROUND(M185/1000,1)-2030.6</f>
        <v>94984.9</v>
      </c>
      <c r="O185" s="52"/>
      <c r="P185" s="116"/>
      <c r="Q185" s="13"/>
      <c r="R185" s="126"/>
      <c r="S185" s="116"/>
    </row>
    <row r="186" spans="1:19" s="17" customFormat="1" ht="35.25" customHeight="1">
      <c r="A186" s="14" t="s">
        <v>288</v>
      </c>
      <c r="B186" s="14" t="s">
        <v>293</v>
      </c>
      <c r="C186" s="14"/>
      <c r="D186" s="15" t="s">
        <v>433</v>
      </c>
      <c r="E186" s="15"/>
      <c r="F186" s="15"/>
      <c r="G186" s="54">
        <f t="shared" si="11"/>
        <v>0</v>
      </c>
      <c r="H186" s="15"/>
      <c r="I186" s="15"/>
      <c r="J186" s="54">
        <f t="shared" si="12"/>
        <v>0</v>
      </c>
      <c r="K186" s="16">
        <f>K187</f>
        <v>500000</v>
      </c>
      <c r="L186" s="16">
        <f>L187</f>
        <v>0</v>
      </c>
      <c r="M186" s="16">
        <f>M187</f>
        <v>500000</v>
      </c>
      <c r="N186" s="107">
        <f>N187+N188</f>
        <v>700</v>
      </c>
      <c r="O186" s="40"/>
      <c r="P186" s="116"/>
      <c r="Q186" s="13"/>
      <c r="R186" s="126"/>
      <c r="S186" s="116"/>
    </row>
    <row r="187" spans="1:19" s="25" customFormat="1" ht="36.75" customHeight="1">
      <c r="A187" s="18" t="s">
        <v>289</v>
      </c>
      <c r="B187" s="18" t="s">
        <v>292</v>
      </c>
      <c r="C187" s="18" t="s">
        <v>291</v>
      </c>
      <c r="D187" s="19" t="s">
        <v>290</v>
      </c>
      <c r="E187" s="19"/>
      <c r="F187" s="19"/>
      <c r="G187" s="54">
        <f t="shared" si="11"/>
        <v>0</v>
      </c>
      <c r="H187" s="19"/>
      <c r="I187" s="19"/>
      <c r="J187" s="54">
        <f t="shared" si="12"/>
        <v>0</v>
      </c>
      <c r="K187" s="21">
        <v>500000</v>
      </c>
      <c r="L187" s="21"/>
      <c r="M187" s="21">
        <f>L187+K187</f>
        <v>500000</v>
      </c>
      <c r="N187" s="108">
        <f t="shared" si="13"/>
        <v>500</v>
      </c>
      <c r="O187" s="52"/>
      <c r="P187" s="116"/>
      <c r="Q187" s="13"/>
      <c r="R187" s="126"/>
      <c r="S187" s="116"/>
    </row>
    <row r="188" spans="1:19" s="25" customFormat="1" ht="72.75" customHeight="1">
      <c r="A188" s="18" t="s">
        <v>476</v>
      </c>
      <c r="B188" s="18" t="s">
        <v>477</v>
      </c>
      <c r="C188" s="18" t="s">
        <v>291</v>
      </c>
      <c r="D188" s="19" t="s">
        <v>478</v>
      </c>
      <c r="E188" s="19"/>
      <c r="F188" s="19"/>
      <c r="G188" s="54"/>
      <c r="H188" s="19"/>
      <c r="I188" s="19"/>
      <c r="J188" s="54"/>
      <c r="K188" s="21"/>
      <c r="L188" s="21"/>
      <c r="M188" s="21"/>
      <c r="N188" s="108">
        <f>N189</f>
        <v>200</v>
      </c>
      <c r="O188" s="52"/>
      <c r="P188" s="116"/>
      <c r="Q188" s="13"/>
      <c r="R188" s="126"/>
      <c r="S188" s="116"/>
    </row>
    <row r="189" spans="1:19" s="25" customFormat="1" ht="36.75" customHeight="1">
      <c r="A189" s="18"/>
      <c r="B189" s="18"/>
      <c r="C189" s="18"/>
      <c r="D189" s="15" t="s">
        <v>479</v>
      </c>
      <c r="E189" s="19"/>
      <c r="F189" s="19"/>
      <c r="G189" s="54"/>
      <c r="H189" s="19"/>
      <c r="I189" s="19"/>
      <c r="J189" s="54"/>
      <c r="K189" s="21"/>
      <c r="L189" s="21"/>
      <c r="M189" s="21"/>
      <c r="N189" s="109">
        <v>200</v>
      </c>
      <c r="O189" s="52"/>
      <c r="P189" s="116"/>
      <c r="Q189" s="13"/>
      <c r="R189" s="126"/>
      <c r="S189" s="116"/>
    </row>
    <row r="190" spans="1:153" s="13" customFormat="1" ht="30" customHeight="1">
      <c r="A190" s="10">
        <v>1517310</v>
      </c>
      <c r="B190" s="14" t="s">
        <v>131</v>
      </c>
      <c r="C190" s="14" t="s">
        <v>49</v>
      </c>
      <c r="D190" s="30" t="s">
        <v>444</v>
      </c>
      <c r="E190" s="30"/>
      <c r="F190" s="47"/>
      <c r="G190" s="54">
        <f t="shared" si="11"/>
        <v>0</v>
      </c>
      <c r="H190" s="47"/>
      <c r="I190" s="47"/>
      <c r="J190" s="54">
        <f t="shared" si="12"/>
        <v>0</v>
      </c>
      <c r="K190" s="12">
        <f>K191+K196</f>
        <v>7501000</v>
      </c>
      <c r="L190" s="12">
        <f>L191+L196</f>
        <v>2026865</v>
      </c>
      <c r="M190" s="12">
        <f>M191+M196</f>
        <v>9527865</v>
      </c>
      <c r="N190" s="106">
        <f>N191+N196</f>
        <v>9527.9</v>
      </c>
      <c r="O190" s="52"/>
      <c r="P190" s="116"/>
      <c r="R190" s="126"/>
      <c r="S190" s="116"/>
      <c r="T190" s="48"/>
      <c r="U190" s="48"/>
      <c r="V190" s="48"/>
      <c r="W190" s="48"/>
      <c r="X190" s="48"/>
      <c r="Y190" s="48"/>
      <c r="Z190" s="48"/>
      <c r="AA190" s="48"/>
      <c r="AB190" s="48"/>
      <c r="AC190" s="48"/>
      <c r="AD190" s="48"/>
      <c r="AE190" s="48"/>
      <c r="AF190" s="48"/>
      <c r="AG190" s="48"/>
      <c r="AH190" s="48"/>
      <c r="AI190" s="48"/>
      <c r="AJ190" s="48"/>
      <c r="AK190" s="48"/>
      <c r="AL190" s="48"/>
      <c r="AM190" s="48"/>
      <c r="AN190" s="48"/>
      <c r="AO190" s="48"/>
      <c r="AP190" s="48"/>
      <c r="AQ190" s="48"/>
      <c r="AR190" s="48"/>
      <c r="AS190" s="48"/>
      <c r="AT190" s="48"/>
      <c r="AU190" s="48"/>
      <c r="AV190" s="48"/>
      <c r="AW190" s="48"/>
      <c r="AX190" s="48"/>
      <c r="AY190" s="48"/>
      <c r="AZ190" s="48"/>
      <c r="BA190" s="48"/>
      <c r="BB190" s="48"/>
      <c r="BC190" s="48"/>
      <c r="BD190" s="48"/>
      <c r="BE190" s="48"/>
      <c r="BF190" s="48"/>
      <c r="BG190" s="48"/>
      <c r="BH190" s="48"/>
      <c r="BI190" s="48"/>
      <c r="BJ190" s="48"/>
      <c r="BK190" s="48"/>
      <c r="BL190" s="48"/>
      <c r="BM190" s="48"/>
      <c r="BN190" s="48"/>
      <c r="BO190" s="48"/>
      <c r="BP190" s="48"/>
      <c r="BQ190" s="48"/>
      <c r="BR190" s="48"/>
      <c r="BS190" s="48"/>
      <c r="BT190" s="48"/>
      <c r="BU190" s="48"/>
      <c r="BV190" s="48"/>
      <c r="BW190" s="48"/>
      <c r="BX190" s="48"/>
      <c r="BY190" s="48"/>
      <c r="BZ190" s="48"/>
      <c r="CA190" s="48"/>
      <c r="CB190" s="48"/>
      <c r="CC190" s="48"/>
      <c r="CD190" s="48"/>
      <c r="CE190" s="48"/>
      <c r="CF190" s="48"/>
      <c r="CG190" s="48"/>
      <c r="CH190" s="48"/>
      <c r="CI190" s="48"/>
      <c r="CJ190" s="48"/>
      <c r="CK190" s="48"/>
      <c r="CL190" s="48"/>
      <c r="CM190" s="48"/>
      <c r="CN190" s="48"/>
      <c r="CO190" s="48"/>
      <c r="CP190" s="48"/>
      <c r="CQ190" s="48"/>
      <c r="CR190" s="48"/>
      <c r="CS190" s="48"/>
      <c r="CT190" s="48"/>
      <c r="CU190" s="48"/>
      <c r="CV190" s="48"/>
      <c r="CW190" s="48"/>
      <c r="CX190" s="48"/>
      <c r="CY190" s="48"/>
      <c r="CZ190" s="48"/>
      <c r="DA190" s="48"/>
      <c r="DB190" s="48"/>
      <c r="DC190" s="48"/>
      <c r="DD190" s="48"/>
      <c r="DE190" s="48"/>
      <c r="DF190" s="48"/>
      <c r="DG190" s="48"/>
      <c r="DH190" s="48"/>
      <c r="DI190" s="48"/>
      <c r="DJ190" s="48"/>
      <c r="DK190" s="48"/>
      <c r="DL190" s="48"/>
      <c r="DM190" s="48"/>
      <c r="DN190" s="48"/>
      <c r="DO190" s="48"/>
      <c r="DP190" s="48"/>
      <c r="DQ190" s="48"/>
      <c r="DR190" s="48"/>
      <c r="DS190" s="48"/>
      <c r="DT190" s="48"/>
      <c r="DU190" s="48"/>
      <c r="DV190" s="48"/>
      <c r="DW190" s="48"/>
      <c r="DX190" s="48"/>
      <c r="DY190" s="48"/>
      <c r="DZ190" s="48"/>
      <c r="EA190" s="48"/>
      <c r="EB190" s="48"/>
      <c r="EC190" s="48"/>
      <c r="ED190" s="48"/>
      <c r="EE190" s="48"/>
      <c r="EF190" s="48"/>
      <c r="EG190" s="48"/>
      <c r="EH190" s="48"/>
      <c r="EI190" s="48"/>
      <c r="EJ190" s="48"/>
      <c r="EK190" s="48"/>
      <c r="EL190" s="48"/>
      <c r="EM190" s="48"/>
      <c r="EN190" s="48"/>
      <c r="EO190" s="48"/>
      <c r="EP190" s="48"/>
      <c r="EQ190" s="48"/>
      <c r="ER190" s="48"/>
      <c r="ES190" s="48"/>
      <c r="ET190" s="48"/>
      <c r="EU190" s="48"/>
      <c r="EV190" s="48"/>
      <c r="EW190" s="48"/>
    </row>
    <row r="191" spans="1:153" s="17" customFormat="1" ht="27.75" customHeight="1">
      <c r="A191" s="49"/>
      <c r="B191" s="50"/>
      <c r="C191" s="50"/>
      <c r="D191" s="62" t="s">
        <v>138</v>
      </c>
      <c r="E191" s="62" t="s">
        <v>138</v>
      </c>
      <c r="F191" s="47"/>
      <c r="G191" s="54">
        <f t="shared" si="11"/>
        <v>0</v>
      </c>
      <c r="H191" s="47"/>
      <c r="I191" s="47"/>
      <c r="J191" s="54">
        <f t="shared" si="12"/>
        <v>0</v>
      </c>
      <c r="K191" s="12">
        <f>SUM(K192:K195)</f>
        <v>3458500</v>
      </c>
      <c r="L191" s="12">
        <f>SUM(L192:L195)</f>
        <v>1961800</v>
      </c>
      <c r="M191" s="12">
        <f>SUM(M192:M195)</f>
        <v>5420300</v>
      </c>
      <c r="N191" s="106">
        <f>SUM(N192:N195)</f>
        <v>5420.3</v>
      </c>
      <c r="O191" s="52"/>
      <c r="P191" s="116"/>
      <c r="Q191" s="13"/>
      <c r="R191" s="126"/>
      <c r="S191" s="116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</row>
    <row r="192" spans="1:153" ht="30.75" customHeight="1">
      <c r="A192" s="49"/>
      <c r="B192" s="49"/>
      <c r="C192" s="49"/>
      <c r="D192" s="44" t="s">
        <v>139</v>
      </c>
      <c r="E192" s="44" t="s">
        <v>139</v>
      </c>
      <c r="F192" s="51">
        <v>9888427</v>
      </c>
      <c r="G192" s="54">
        <f t="shared" si="11"/>
        <v>9888.4</v>
      </c>
      <c r="H192" s="49">
        <v>97.9</v>
      </c>
      <c r="I192" s="51">
        <v>9684425</v>
      </c>
      <c r="J192" s="54">
        <f t="shared" si="12"/>
        <v>9684.4</v>
      </c>
      <c r="K192" s="16">
        <v>3000000</v>
      </c>
      <c r="L192" s="16">
        <v>2000000</v>
      </c>
      <c r="M192" s="16">
        <f>L192+K192</f>
        <v>5000000</v>
      </c>
      <c r="N192" s="109">
        <f t="shared" si="13"/>
        <v>5000</v>
      </c>
      <c r="O192" s="52"/>
      <c r="P192" s="116"/>
      <c r="Q192" s="13"/>
      <c r="R192" s="126"/>
      <c r="S192" s="116"/>
      <c r="T192" s="52"/>
      <c r="U192" s="52"/>
      <c r="V192" s="52"/>
      <c r="W192" s="52"/>
      <c r="X192" s="52"/>
      <c r="Y192" s="52"/>
      <c r="Z192" s="52"/>
      <c r="AA192" s="52"/>
      <c r="AB192" s="52"/>
      <c r="AC192" s="52"/>
      <c r="AD192" s="52"/>
      <c r="AE192" s="52"/>
      <c r="AF192" s="52"/>
      <c r="AG192" s="52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2"/>
      <c r="AU192" s="52"/>
      <c r="AV192" s="52"/>
      <c r="AW192" s="52"/>
      <c r="AX192" s="52"/>
      <c r="AY192" s="52"/>
      <c r="AZ192" s="52"/>
      <c r="BA192" s="52"/>
      <c r="BB192" s="52"/>
      <c r="BC192" s="52"/>
      <c r="BD192" s="52"/>
      <c r="BE192" s="52"/>
      <c r="BF192" s="52"/>
      <c r="BG192" s="52"/>
      <c r="BH192" s="52"/>
      <c r="BI192" s="52"/>
      <c r="BJ192" s="52"/>
      <c r="BK192" s="52"/>
      <c r="BL192" s="52"/>
      <c r="BM192" s="52"/>
      <c r="BN192" s="52"/>
      <c r="BO192" s="52"/>
      <c r="BP192" s="52"/>
      <c r="BQ192" s="52"/>
      <c r="BR192" s="52"/>
      <c r="BS192" s="52"/>
      <c r="BT192" s="52"/>
      <c r="BU192" s="52"/>
      <c r="BV192" s="52"/>
      <c r="BW192" s="52"/>
      <c r="BX192" s="52"/>
      <c r="BY192" s="52"/>
      <c r="BZ192" s="52"/>
      <c r="CA192" s="52"/>
      <c r="CB192" s="52"/>
      <c r="CC192" s="52"/>
      <c r="CD192" s="52"/>
      <c r="CE192" s="52"/>
      <c r="CF192" s="52"/>
      <c r="CG192" s="52"/>
      <c r="CH192" s="52"/>
      <c r="CI192" s="52"/>
      <c r="CJ192" s="52"/>
      <c r="CK192" s="52"/>
      <c r="CL192" s="52"/>
      <c r="CM192" s="52"/>
      <c r="CN192" s="52"/>
      <c r="CO192" s="52"/>
      <c r="CP192" s="52"/>
      <c r="CQ192" s="52"/>
      <c r="CR192" s="52"/>
      <c r="CS192" s="52"/>
      <c r="CT192" s="52"/>
      <c r="CU192" s="52"/>
      <c r="CV192" s="52"/>
      <c r="CW192" s="52"/>
      <c r="CX192" s="52"/>
      <c r="CY192" s="52"/>
      <c r="CZ192" s="52"/>
      <c r="DA192" s="52"/>
      <c r="DB192" s="52"/>
      <c r="DC192" s="52"/>
      <c r="DD192" s="52"/>
      <c r="DE192" s="52"/>
      <c r="DF192" s="52"/>
      <c r="DG192" s="52"/>
      <c r="DH192" s="52"/>
      <c r="DI192" s="52"/>
      <c r="DJ192" s="52"/>
      <c r="DK192" s="52"/>
      <c r="DL192" s="52"/>
      <c r="DM192" s="52"/>
      <c r="DN192" s="52"/>
      <c r="DO192" s="52"/>
      <c r="DP192" s="52"/>
      <c r="DQ192" s="52"/>
      <c r="DR192" s="52"/>
      <c r="DS192" s="52"/>
      <c r="DT192" s="52"/>
      <c r="DU192" s="52"/>
      <c r="DV192" s="52"/>
      <c r="DW192" s="52"/>
      <c r="DX192" s="52"/>
      <c r="DY192" s="52"/>
      <c r="DZ192" s="52"/>
      <c r="EA192" s="52"/>
      <c r="EB192" s="52"/>
      <c r="EC192" s="52"/>
      <c r="ED192" s="52"/>
      <c r="EE192" s="52"/>
      <c r="EF192" s="52"/>
      <c r="EG192" s="52"/>
      <c r="EH192" s="52"/>
      <c r="EI192" s="52"/>
      <c r="EJ192" s="52"/>
      <c r="EK192" s="52"/>
      <c r="EL192" s="52"/>
      <c r="EM192" s="52"/>
      <c r="EN192" s="52"/>
      <c r="EO192" s="52"/>
      <c r="EP192" s="52"/>
      <c r="EQ192" s="52"/>
      <c r="ER192" s="52"/>
      <c r="ES192" s="52"/>
      <c r="ET192" s="52"/>
      <c r="EU192" s="52"/>
      <c r="EV192" s="52"/>
      <c r="EW192" s="52"/>
    </row>
    <row r="193" spans="1:153" ht="36" customHeight="1">
      <c r="A193" s="50"/>
      <c r="B193" s="50"/>
      <c r="C193" s="50"/>
      <c r="D193" s="53" t="s">
        <v>140</v>
      </c>
      <c r="E193" s="53" t="s">
        <v>140</v>
      </c>
      <c r="F193" s="51">
        <v>2186292</v>
      </c>
      <c r="G193" s="54">
        <f t="shared" si="11"/>
        <v>2186.3</v>
      </c>
      <c r="H193" s="54">
        <v>20.23</v>
      </c>
      <c r="I193" s="51">
        <v>442271</v>
      </c>
      <c r="J193" s="54">
        <f t="shared" si="12"/>
        <v>442.3</v>
      </c>
      <c r="K193" s="16">
        <v>400000</v>
      </c>
      <c r="L193" s="16"/>
      <c r="M193" s="16">
        <f>L193+K193</f>
        <v>400000</v>
      </c>
      <c r="N193" s="109">
        <f t="shared" si="13"/>
        <v>400</v>
      </c>
      <c r="O193" s="52"/>
      <c r="P193" s="116"/>
      <c r="Q193" s="13"/>
      <c r="R193" s="126"/>
      <c r="S193" s="116"/>
      <c r="T193" s="52"/>
      <c r="U193" s="52"/>
      <c r="V193" s="52"/>
      <c r="W193" s="52"/>
      <c r="X193" s="52"/>
      <c r="Y193" s="52"/>
      <c r="Z193" s="52"/>
      <c r="AA193" s="52"/>
      <c r="AB193" s="52"/>
      <c r="AC193" s="52"/>
      <c r="AD193" s="52"/>
      <c r="AE193" s="52"/>
      <c r="AF193" s="52"/>
      <c r="AG193" s="52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2"/>
      <c r="AU193" s="52"/>
      <c r="AV193" s="52"/>
      <c r="AW193" s="52"/>
      <c r="AX193" s="52"/>
      <c r="AY193" s="52"/>
      <c r="AZ193" s="52"/>
      <c r="BA193" s="52"/>
      <c r="BB193" s="52"/>
      <c r="BC193" s="52"/>
      <c r="BD193" s="52"/>
      <c r="BE193" s="52"/>
      <c r="BF193" s="52"/>
      <c r="BG193" s="52"/>
      <c r="BH193" s="52"/>
      <c r="BI193" s="52"/>
      <c r="BJ193" s="52"/>
      <c r="BK193" s="52"/>
      <c r="BL193" s="52"/>
      <c r="BM193" s="52"/>
      <c r="BN193" s="52"/>
      <c r="BO193" s="52"/>
      <c r="BP193" s="52"/>
      <c r="BQ193" s="52"/>
      <c r="BR193" s="52"/>
      <c r="BS193" s="52"/>
      <c r="BT193" s="52"/>
      <c r="BU193" s="52"/>
      <c r="BV193" s="52"/>
      <c r="BW193" s="52"/>
      <c r="BX193" s="52"/>
      <c r="BY193" s="52"/>
      <c r="BZ193" s="52"/>
      <c r="CA193" s="52"/>
      <c r="CB193" s="52"/>
      <c r="CC193" s="52"/>
      <c r="CD193" s="52"/>
      <c r="CE193" s="52"/>
      <c r="CF193" s="52"/>
      <c r="CG193" s="52"/>
      <c r="CH193" s="52"/>
      <c r="CI193" s="52"/>
      <c r="CJ193" s="52"/>
      <c r="CK193" s="52"/>
      <c r="CL193" s="52"/>
      <c r="CM193" s="52"/>
      <c r="CN193" s="52"/>
      <c r="CO193" s="52"/>
      <c r="CP193" s="52"/>
      <c r="CQ193" s="52"/>
      <c r="CR193" s="52"/>
      <c r="CS193" s="52"/>
      <c r="CT193" s="52"/>
      <c r="CU193" s="52"/>
      <c r="CV193" s="52"/>
      <c r="CW193" s="52"/>
      <c r="CX193" s="52"/>
      <c r="CY193" s="52"/>
      <c r="CZ193" s="52"/>
      <c r="DA193" s="52"/>
      <c r="DB193" s="52"/>
      <c r="DC193" s="52"/>
      <c r="DD193" s="52"/>
      <c r="DE193" s="52"/>
      <c r="DF193" s="52"/>
      <c r="DG193" s="52"/>
      <c r="DH193" s="52"/>
      <c r="DI193" s="52"/>
      <c r="DJ193" s="52"/>
      <c r="DK193" s="52"/>
      <c r="DL193" s="52"/>
      <c r="DM193" s="52"/>
      <c r="DN193" s="52"/>
      <c r="DO193" s="52"/>
      <c r="DP193" s="52"/>
      <c r="DQ193" s="52"/>
      <c r="DR193" s="52"/>
      <c r="DS193" s="52"/>
      <c r="DT193" s="52"/>
      <c r="DU193" s="52"/>
      <c r="DV193" s="52"/>
      <c r="DW193" s="52"/>
      <c r="DX193" s="52"/>
      <c r="DY193" s="52"/>
      <c r="DZ193" s="52"/>
      <c r="EA193" s="52"/>
      <c r="EB193" s="52"/>
      <c r="EC193" s="52"/>
      <c r="ED193" s="52"/>
      <c r="EE193" s="52"/>
      <c r="EF193" s="52"/>
      <c r="EG193" s="52"/>
      <c r="EH193" s="52"/>
      <c r="EI193" s="52"/>
      <c r="EJ193" s="52"/>
      <c r="EK193" s="52"/>
      <c r="EL193" s="52"/>
      <c r="EM193" s="52"/>
      <c r="EN193" s="52"/>
      <c r="EO193" s="52"/>
      <c r="EP193" s="52"/>
      <c r="EQ193" s="52"/>
      <c r="ER193" s="52"/>
      <c r="ES193" s="52"/>
      <c r="ET193" s="52"/>
      <c r="EU193" s="52"/>
      <c r="EV193" s="52"/>
      <c r="EW193" s="52"/>
    </row>
    <row r="194" spans="1:153" ht="51" customHeight="1">
      <c r="A194" s="50"/>
      <c r="B194" s="50"/>
      <c r="C194" s="50"/>
      <c r="D194" s="53" t="s">
        <v>340</v>
      </c>
      <c r="E194" s="53" t="s">
        <v>340</v>
      </c>
      <c r="F194" s="51"/>
      <c r="G194" s="54">
        <f t="shared" si="11"/>
        <v>0</v>
      </c>
      <c r="H194" s="54"/>
      <c r="I194" s="51"/>
      <c r="J194" s="54">
        <f t="shared" si="12"/>
        <v>0</v>
      </c>
      <c r="K194" s="16">
        <v>50000</v>
      </c>
      <c r="L194" s="16">
        <v>-38200</v>
      </c>
      <c r="M194" s="16">
        <f>L194+K194</f>
        <v>11800</v>
      </c>
      <c r="N194" s="109">
        <f t="shared" si="13"/>
        <v>11.8</v>
      </c>
      <c r="O194" s="52"/>
      <c r="P194" s="116"/>
      <c r="Q194" s="13"/>
      <c r="R194" s="129"/>
      <c r="S194" s="116"/>
      <c r="T194" s="52"/>
      <c r="U194" s="52"/>
      <c r="V194" s="52"/>
      <c r="W194" s="52"/>
      <c r="X194" s="52"/>
      <c r="Y194" s="52"/>
      <c r="Z194" s="52"/>
      <c r="AA194" s="52"/>
      <c r="AB194" s="52"/>
      <c r="AC194" s="52"/>
      <c r="AD194" s="52"/>
      <c r="AE194" s="52"/>
      <c r="AF194" s="52"/>
      <c r="AG194" s="52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2"/>
      <c r="AU194" s="52"/>
      <c r="AV194" s="52"/>
      <c r="AW194" s="52"/>
      <c r="AX194" s="52"/>
      <c r="AY194" s="52"/>
      <c r="AZ194" s="52"/>
      <c r="BA194" s="52"/>
      <c r="BB194" s="52"/>
      <c r="BC194" s="52"/>
      <c r="BD194" s="52"/>
      <c r="BE194" s="52"/>
      <c r="BF194" s="52"/>
      <c r="BG194" s="52"/>
      <c r="BH194" s="52"/>
      <c r="BI194" s="52"/>
      <c r="BJ194" s="52"/>
      <c r="BK194" s="52"/>
      <c r="BL194" s="52"/>
      <c r="BM194" s="52"/>
      <c r="BN194" s="52"/>
      <c r="BO194" s="52"/>
      <c r="BP194" s="52"/>
      <c r="BQ194" s="52"/>
      <c r="BR194" s="52"/>
      <c r="BS194" s="52"/>
      <c r="BT194" s="52"/>
      <c r="BU194" s="52"/>
      <c r="BV194" s="52"/>
      <c r="BW194" s="52"/>
      <c r="BX194" s="52"/>
      <c r="BY194" s="52"/>
      <c r="BZ194" s="52"/>
      <c r="CA194" s="52"/>
      <c r="CB194" s="52"/>
      <c r="CC194" s="52"/>
      <c r="CD194" s="52"/>
      <c r="CE194" s="52"/>
      <c r="CF194" s="52"/>
      <c r="CG194" s="52"/>
      <c r="CH194" s="52"/>
      <c r="CI194" s="52"/>
      <c r="CJ194" s="52"/>
      <c r="CK194" s="52"/>
      <c r="CL194" s="52"/>
      <c r="CM194" s="52"/>
      <c r="CN194" s="52"/>
      <c r="CO194" s="52"/>
      <c r="CP194" s="52"/>
      <c r="CQ194" s="52"/>
      <c r="CR194" s="52"/>
      <c r="CS194" s="52"/>
      <c r="CT194" s="52"/>
      <c r="CU194" s="52"/>
      <c r="CV194" s="52"/>
      <c r="CW194" s="52"/>
      <c r="CX194" s="52"/>
      <c r="CY194" s="52"/>
      <c r="CZ194" s="52"/>
      <c r="DA194" s="52"/>
      <c r="DB194" s="52"/>
      <c r="DC194" s="52"/>
      <c r="DD194" s="52"/>
      <c r="DE194" s="52"/>
      <c r="DF194" s="52"/>
      <c r="DG194" s="52"/>
      <c r="DH194" s="52"/>
      <c r="DI194" s="52"/>
      <c r="DJ194" s="52"/>
      <c r="DK194" s="52"/>
      <c r="DL194" s="52"/>
      <c r="DM194" s="52"/>
      <c r="DN194" s="52"/>
      <c r="DO194" s="52"/>
      <c r="DP194" s="52"/>
      <c r="DQ194" s="52"/>
      <c r="DR194" s="52"/>
      <c r="DS194" s="52"/>
      <c r="DT194" s="52"/>
      <c r="DU194" s="52"/>
      <c r="DV194" s="52"/>
      <c r="DW194" s="52"/>
      <c r="DX194" s="52"/>
      <c r="DY194" s="52"/>
      <c r="DZ194" s="52"/>
      <c r="EA194" s="52"/>
      <c r="EB194" s="52"/>
      <c r="EC194" s="52"/>
      <c r="ED194" s="52"/>
      <c r="EE194" s="52"/>
      <c r="EF194" s="52"/>
      <c r="EG194" s="52"/>
      <c r="EH194" s="52"/>
      <c r="EI194" s="52"/>
      <c r="EJ194" s="52"/>
      <c r="EK194" s="52"/>
      <c r="EL194" s="52"/>
      <c r="EM194" s="52"/>
      <c r="EN194" s="52"/>
      <c r="EO194" s="52"/>
      <c r="EP194" s="52"/>
      <c r="EQ194" s="52"/>
      <c r="ER194" s="52"/>
      <c r="ES194" s="52"/>
      <c r="ET194" s="52"/>
      <c r="EU194" s="52"/>
      <c r="EV194" s="52"/>
      <c r="EW194" s="52"/>
    </row>
    <row r="195" spans="1:19" s="52" customFormat="1" ht="30.75" customHeight="1">
      <c r="A195" s="50"/>
      <c r="B195" s="50"/>
      <c r="C195" s="50"/>
      <c r="D195" s="53" t="s">
        <v>273</v>
      </c>
      <c r="E195" s="53" t="s">
        <v>273</v>
      </c>
      <c r="F195" s="51">
        <v>1681565</v>
      </c>
      <c r="G195" s="54">
        <f t="shared" si="11"/>
        <v>1681.6</v>
      </c>
      <c r="H195" s="54">
        <v>11.6</v>
      </c>
      <c r="I195" s="51">
        <v>194907</v>
      </c>
      <c r="J195" s="54">
        <f t="shared" si="12"/>
        <v>194.9</v>
      </c>
      <c r="K195" s="16">
        <v>8500</v>
      </c>
      <c r="L195" s="16"/>
      <c r="M195" s="16">
        <f>L195+K195</f>
        <v>8500</v>
      </c>
      <c r="N195" s="109">
        <f t="shared" si="13"/>
        <v>8.5</v>
      </c>
      <c r="P195" s="116"/>
      <c r="Q195" s="13"/>
      <c r="R195" s="126"/>
      <c r="S195" s="116"/>
    </row>
    <row r="196" spans="1:153" s="17" customFormat="1" ht="21.75" customHeight="1">
      <c r="A196" s="49"/>
      <c r="B196" s="50"/>
      <c r="C196" s="50"/>
      <c r="D196" s="30" t="s">
        <v>141</v>
      </c>
      <c r="E196" s="30" t="s">
        <v>141</v>
      </c>
      <c r="F196" s="55"/>
      <c r="G196" s="54">
        <f t="shared" si="11"/>
        <v>0</v>
      </c>
      <c r="H196" s="47"/>
      <c r="I196" s="51"/>
      <c r="J196" s="54">
        <f t="shared" si="12"/>
        <v>0</v>
      </c>
      <c r="K196" s="12">
        <f>SUM(K197:K206)</f>
        <v>4042500</v>
      </c>
      <c r="L196" s="12">
        <f>SUM(L197:L206)</f>
        <v>65065</v>
      </c>
      <c r="M196" s="12">
        <f>SUM(M197:M206)</f>
        <v>4107565</v>
      </c>
      <c r="N196" s="106">
        <f>SUM(N197:N206)</f>
        <v>4107.599999999999</v>
      </c>
      <c r="O196" s="52"/>
      <c r="P196" s="116"/>
      <c r="Q196" s="13"/>
      <c r="R196" s="125"/>
      <c r="S196" s="116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</row>
    <row r="197" spans="1:19" s="52" customFormat="1" ht="24.75" customHeight="1">
      <c r="A197" s="50"/>
      <c r="B197" s="50"/>
      <c r="C197" s="50"/>
      <c r="D197" s="53" t="s">
        <v>142</v>
      </c>
      <c r="E197" s="53" t="s">
        <v>142</v>
      </c>
      <c r="F197" s="51">
        <v>16481572</v>
      </c>
      <c r="G197" s="54">
        <f t="shared" si="11"/>
        <v>16481.6</v>
      </c>
      <c r="H197" s="54">
        <v>81.3</v>
      </c>
      <c r="I197" s="51">
        <v>13394899</v>
      </c>
      <c r="J197" s="54">
        <f t="shared" si="12"/>
        <v>13394.9</v>
      </c>
      <c r="K197" s="16">
        <v>2000000</v>
      </c>
      <c r="L197" s="16"/>
      <c r="M197" s="16">
        <f aca="true" t="shared" si="15" ref="M197:M206">L197+K197</f>
        <v>2000000</v>
      </c>
      <c r="N197" s="109">
        <f t="shared" si="13"/>
        <v>2000</v>
      </c>
      <c r="O197" s="48"/>
      <c r="P197" s="116"/>
      <c r="Q197" s="13"/>
      <c r="R197" s="126"/>
      <c r="S197" s="116"/>
    </row>
    <row r="198" spans="1:19" s="52" customFormat="1" ht="39" customHeight="1">
      <c r="A198" s="50"/>
      <c r="B198" s="50"/>
      <c r="C198" s="50"/>
      <c r="D198" s="28" t="s">
        <v>143</v>
      </c>
      <c r="E198" s="28" t="s">
        <v>143</v>
      </c>
      <c r="F198" s="56"/>
      <c r="G198" s="54">
        <f t="shared" si="11"/>
        <v>0</v>
      </c>
      <c r="H198" s="54"/>
      <c r="I198" s="51"/>
      <c r="J198" s="54">
        <f t="shared" si="12"/>
        <v>0</v>
      </c>
      <c r="K198" s="16">
        <v>492000</v>
      </c>
      <c r="L198" s="16">
        <v>-126900</v>
      </c>
      <c r="M198" s="16">
        <f t="shared" si="15"/>
        <v>365100</v>
      </c>
      <c r="N198" s="109">
        <f t="shared" si="13"/>
        <v>365.1</v>
      </c>
      <c r="O198" s="61"/>
      <c r="P198" s="116"/>
      <c r="Q198" s="13"/>
      <c r="R198" s="126"/>
      <c r="S198" s="116"/>
    </row>
    <row r="199" spans="1:19" s="52" customFormat="1" ht="30.75" customHeight="1">
      <c r="A199" s="50"/>
      <c r="B199" s="50"/>
      <c r="C199" s="50"/>
      <c r="D199" s="28" t="s">
        <v>144</v>
      </c>
      <c r="E199" s="28" t="s">
        <v>144</v>
      </c>
      <c r="F199" s="56"/>
      <c r="G199" s="54">
        <f t="shared" si="11"/>
        <v>0</v>
      </c>
      <c r="H199" s="54"/>
      <c r="I199" s="51"/>
      <c r="J199" s="54">
        <f t="shared" si="12"/>
        <v>0</v>
      </c>
      <c r="K199" s="16">
        <v>995000</v>
      </c>
      <c r="L199" s="16">
        <v>-10700</v>
      </c>
      <c r="M199" s="16">
        <f t="shared" si="15"/>
        <v>984300</v>
      </c>
      <c r="N199" s="109">
        <f t="shared" si="13"/>
        <v>984.3</v>
      </c>
      <c r="O199" s="40"/>
      <c r="P199" s="116"/>
      <c r="Q199" s="13"/>
      <c r="R199" s="126"/>
      <c r="S199" s="116"/>
    </row>
    <row r="200" spans="1:19" s="52" customFormat="1" ht="35.25" customHeight="1">
      <c r="A200" s="50"/>
      <c r="B200" s="50"/>
      <c r="C200" s="50"/>
      <c r="D200" s="28" t="s">
        <v>145</v>
      </c>
      <c r="E200" s="28" t="s">
        <v>145</v>
      </c>
      <c r="F200" s="56"/>
      <c r="G200" s="54">
        <f t="shared" si="11"/>
        <v>0</v>
      </c>
      <c r="H200" s="54"/>
      <c r="I200" s="51"/>
      <c r="J200" s="54">
        <f t="shared" si="12"/>
        <v>0</v>
      </c>
      <c r="K200" s="16">
        <v>233000</v>
      </c>
      <c r="L200" s="16">
        <v>-63800</v>
      </c>
      <c r="M200" s="16">
        <f t="shared" si="15"/>
        <v>169200</v>
      </c>
      <c r="N200" s="109">
        <f t="shared" si="13"/>
        <v>169.2</v>
      </c>
      <c r="P200" s="116"/>
      <c r="Q200" s="13"/>
      <c r="R200" s="126"/>
      <c r="S200" s="116"/>
    </row>
    <row r="201" spans="1:19" s="52" customFormat="1" ht="36.75" customHeight="1">
      <c r="A201" s="50"/>
      <c r="B201" s="50"/>
      <c r="C201" s="50"/>
      <c r="D201" s="28" t="s">
        <v>146</v>
      </c>
      <c r="E201" s="28" t="s">
        <v>146</v>
      </c>
      <c r="F201" s="56"/>
      <c r="G201" s="54">
        <f t="shared" si="11"/>
        <v>0</v>
      </c>
      <c r="H201" s="54"/>
      <c r="I201" s="51"/>
      <c r="J201" s="54">
        <f t="shared" si="12"/>
        <v>0</v>
      </c>
      <c r="K201" s="16">
        <v>280000</v>
      </c>
      <c r="L201" s="16">
        <f>65065+201400</f>
        <v>266465</v>
      </c>
      <c r="M201" s="16">
        <f t="shared" si="15"/>
        <v>546465</v>
      </c>
      <c r="N201" s="109">
        <f t="shared" si="13"/>
        <v>546.5</v>
      </c>
      <c r="P201" s="116"/>
      <c r="Q201" s="13"/>
      <c r="R201" s="129"/>
      <c r="S201" s="116"/>
    </row>
    <row r="202" spans="1:19" s="52" customFormat="1" ht="42" customHeight="1">
      <c r="A202" s="50"/>
      <c r="B202" s="50"/>
      <c r="C202" s="50"/>
      <c r="D202" s="28" t="s">
        <v>274</v>
      </c>
      <c r="E202" s="28" t="s">
        <v>274</v>
      </c>
      <c r="F202" s="56"/>
      <c r="G202" s="54">
        <f t="shared" si="11"/>
        <v>0</v>
      </c>
      <c r="H202" s="54"/>
      <c r="I202" s="51"/>
      <c r="J202" s="54">
        <f t="shared" si="12"/>
        <v>0</v>
      </c>
      <c r="K202" s="16">
        <v>8500</v>
      </c>
      <c r="L202" s="16"/>
      <c r="M202" s="16">
        <f t="shared" si="15"/>
        <v>8500</v>
      </c>
      <c r="N202" s="109">
        <f t="shared" si="13"/>
        <v>8.5</v>
      </c>
      <c r="P202" s="116"/>
      <c r="Q202" s="13"/>
      <c r="R202" s="125"/>
      <c r="S202" s="116"/>
    </row>
    <row r="203" spans="1:19" s="52" customFormat="1" ht="36.75" customHeight="1">
      <c r="A203" s="50"/>
      <c r="B203" s="50"/>
      <c r="C203" s="50"/>
      <c r="D203" s="28" t="s">
        <v>275</v>
      </c>
      <c r="E203" s="28" t="s">
        <v>275</v>
      </c>
      <c r="F203" s="56"/>
      <c r="G203" s="54">
        <f t="shared" si="11"/>
        <v>0</v>
      </c>
      <c r="H203" s="54"/>
      <c r="I203" s="51"/>
      <c r="J203" s="54">
        <f t="shared" si="12"/>
        <v>0</v>
      </c>
      <c r="K203" s="16">
        <v>8500</v>
      </c>
      <c r="L203" s="16"/>
      <c r="M203" s="16">
        <f t="shared" si="15"/>
        <v>8500</v>
      </c>
      <c r="N203" s="109">
        <f t="shared" si="13"/>
        <v>8.5</v>
      </c>
      <c r="P203" s="116"/>
      <c r="Q203" s="13"/>
      <c r="R203" s="126"/>
      <c r="S203" s="116"/>
    </row>
    <row r="204" spans="1:19" s="52" customFormat="1" ht="36.75" customHeight="1">
      <c r="A204" s="50"/>
      <c r="B204" s="50"/>
      <c r="C204" s="50"/>
      <c r="D204" s="28" t="s">
        <v>276</v>
      </c>
      <c r="E204" s="28" t="s">
        <v>276</v>
      </c>
      <c r="F204" s="56"/>
      <c r="G204" s="54">
        <f t="shared" si="11"/>
        <v>0</v>
      </c>
      <c r="H204" s="54"/>
      <c r="I204" s="51"/>
      <c r="J204" s="54">
        <f t="shared" si="12"/>
        <v>0</v>
      </c>
      <c r="K204" s="16">
        <v>8500</v>
      </c>
      <c r="L204" s="16"/>
      <c r="M204" s="16">
        <f t="shared" si="15"/>
        <v>8500</v>
      </c>
      <c r="N204" s="109">
        <f t="shared" si="13"/>
        <v>8.5</v>
      </c>
      <c r="O204" s="40"/>
      <c r="P204" s="116"/>
      <c r="Q204" s="13"/>
      <c r="R204" s="126"/>
      <c r="S204" s="116"/>
    </row>
    <row r="205" spans="1:19" s="52" customFormat="1" ht="35.25" customHeight="1">
      <c r="A205" s="50"/>
      <c r="B205" s="50"/>
      <c r="C205" s="50"/>
      <c r="D205" s="28" t="s">
        <v>277</v>
      </c>
      <c r="E205" s="28" t="s">
        <v>277</v>
      </c>
      <c r="F205" s="56"/>
      <c r="G205" s="54">
        <f t="shared" si="11"/>
        <v>0</v>
      </c>
      <c r="H205" s="54"/>
      <c r="I205" s="51"/>
      <c r="J205" s="54">
        <f t="shared" si="12"/>
        <v>0</v>
      </c>
      <c r="K205" s="16">
        <v>8500</v>
      </c>
      <c r="L205" s="16"/>
      <c r="M205" s="16">
        <f t="shared" si="15"/>
        <v>8500</v>
      </c>
      <c r="N205" s="109">
        <f t="shared" si="13"/>
        <v>8.5</v>
      </c>
      <c r="O205" s="40"/>
      <c r="P205" s="116"/>
      <c r="Q205" s="13"/>
      <c r="R205" s="126"/>
      <c r="S205" s="116"/>
    </row>
    <row r="206" spans="1:19" s="52" customFormat="1" ht="46.5" customHeight="1">
      <c r="A206" s="50"/>
      <c r="B206" s="50"/>
      <c r="C206" s="50"/>
      <c r="D206" s="28" t="s">
        <v>278</v>
      </c>
      <c r="E206" s="28" t="s">
        <v>278</v>
      </c>
      <c r="F206" s="56"/>
      <c r="G206" s="54">
        <f t="shared" si="11"/>
        <v>0</v>
      </c>
      <c r="H206" s="54"/>
      <c r="I206" s="51"/>
      <c r="J206" s="54">
        <f t="shared" si="12"/>
        <v>0</v>
      </c>
      <c r="K206" s="16">
        <v>8500</v>
      </c>
      <c r="L206" s="16"/>
      <c r="M206" s="16">
        <f t="shared" si="15"/>
        <v>8500</v>
      </c>
      <c r="N206" s="109">
        <f t="shared" si="13"/>
        <v>8.5</v>
      </c>
      <c r="O206" s="40"/>
      <c r="P206" s="116"/>
      <c r="Q206" s="13"/>
      <c r="R206" s="126"/>
      <c r="S206" s="116"/>
    </row>
    <row r="207" spans="1:153" s="13" customFormat="1" ht="33" customHeight="1">
      <c r="A207" s="10">
        <v>1517320</v>
      </c>
      <c r="B207" s="14" t="s">
        <v>134</v>
      </c>
      <c r="C207" s="14"/>
      <c r="D207" s="30" t="s">
        <v>449</v>
      </c>
      <c r="E207" s="30"/>
      <c r="F207" s="55"/>
      <c r="G207" s="54">
        <f t="shared" si="11"/>
        <v>0</v>
      </c>
      <c r="H207" s="47"/>
      <c r="I207" s="51"/>
      <c r="J207" s="54">
        <f t="shared" si="12"/>
        <v>0</v>
      </c>
      <c r="K207" s="12">
        <f>K208+K227+K235</f>
        <v>16424755</v>
      </c>
      <c r="L207" s="12">
        <f>L208+L227+L235</f>
        <v>-12823</v>
      </c>
      <c r="M207" s="12">
        <f>M208+M227+M235</f>
        <v>16411932</v>
      </c>
      <c r="N207" s="106">
        <f>N208+N227+N235</f>
        <v>16411.9</v>
      </c>
      <c r="O207" s="40"/>
      <c r="P207" s="116"/>
      <c r="R207" s="126"/>
      <c r="S207" s="116"/>
      <c r="T207" s="48"/>
      <c r="U207" s="48"/>
      <c r="V207" s="48"/>
      <c r="W207" s="48"/>
      <c r="X207" s="48"/>
      <c r="Y207" s="48"/>
      <c r="Z207" s="48"/>
      <c r="AA207" s="48"/>
      <c r="AB207" s="48"/>
      <c r="AC207" s="48"/>
      <c r="AD207" s="48"/>
      <c r="AE207" s="48"/>
      <c r="AF207" s="48"/>
      <c r="AG207" s="48"/>
      <c r="AH207" s="48"/>
      <c r="AI207" s="48"/>
      <c r="AJ207" s="48"/>
      <c r="AK207" s="48"/>
      <c r="AL207" s="48"/>
      <c r="AM207" s="48"/>
      <c r="AN207" s="48"/>
      <c r="AO207" s="48"/>
      <c r="AP207" s="48"/>
      <c r="AQ207" s="48"/>
      <c r="AR207" s="48"/>
      <c r="AS207" s="48"/>
      <c r="AT207" s="48"/>
      <c r="AU207" s="48"/>
      <c r="AV207" s="48"/>
      <c r="AW207" s="48"/>
      <c r="AX207" s="48"/>
      <c r="AY207" s="48"/>
      <c r="AZ207" s="48"/>
      <c r="BA207" s="48"/>
      <c r="BB207" s="48"/>
      <c r="BC207" s="48"/>
      <c r="BD207" s="48"/>
      <c r="BE207" s="48"/>
      <c r="BF207" s="48"/>
      <c r="BG207" s="48"/>
      <c r="BH207" s="48"/>
      <c r="BI207" s="48"/>
      <c r="BJ207" s="48"/>
      <c r="BK207" s="48"/>
      <c r="BL207" s="48"/>
      <c r="BM207" s="48"/>
      <c r="BN207" s="48"/>
      <c r="BO207" s="48"/>
      <c r="BP207" s="48"/>
      <c r="BQ207" s="48"/>
      <c r="BR207" s="48"/>
      <c r="BS207" s="48"/>
      <c r="BT207" s="48"/>
      <c r="BU207" s="48"/>
      <c r="BV207" s="48"/>
      <c r="BW207" s="48"/>
      <c r="BX207" s="48"/>
      <c r="BY207" s="48"/>
      <c r="BZ207" s="48"/>
      <c r="CA207" s="48"/>
      <c r="CB207" s="48"/>
      <c r="CC207" s="48"/>
      <c r="CD207" s="48"/>
      <c r="CE207" s="48"/>
      <c r="CF207" s="48"/>
      <c r="CG207" s="48"/>
      <c r="CH207" s="48"/>
      <c r="CI207" s="48"/>
      <c r="CJ207" s="48"/>
      <c r="CK207" s="48"/>
      <c r="CL207" s="48"/>
      <c r="CM207" s="48"/>
      <c r="CN207" s="48"/>
      <c r="CO207" s="48"/>
      <c r="CP207" s="48"/>
      <c r="CQ207" s="48"/>
      <c r="CR207" s="48"/>
      <c r="CS207" s="48"/>
      <c r="CT207" s="48"/>
      <c r="CU207" s="48"/>
      <c r="CV207" s="48"/>
      <c r="CW207" s="48"/>
      <c r="CX207" s="48"/>
      <c r="CY207" s="48"/>
      <c r="CZ207" s="48"/>
      <c r="DA207" s="48"/>
      <c r="DB207" s="48"/>
      <c r="DC207" s="48"/>
      <c r="DD207" s="48"/>
      <c r="DE207" s="48"/>
      <c r="DF207" s="48"/>
      <c r="DG207" s="48"/>
      <c r="DH207" s="48"/>
      <c r="DI207" s="48"/>
      <c r="DJ207" s="48"/>
      <c r="DK207" s="48"/>
      <c r="DL207" s="48"/>
      <c r="DM207" s="48"/>
      <c r="DN207" s="48"/>
      <c r="DO207" s="48"/>
      <c r="DP207" s="48"/>
      <c r="DQ207" s="48"/>
      <c r="DR207" s="48"/>
      <c r="DS207" s="48"/>
      <c r="DT207" s="48"/>
      <c r="DU207" s="48"/>
      <c r="DV207" s="48"/>
      <c r="DW207" s="48"/>
      <c r="DX207" s="48"/>
      <c r="DY207" s="48"/>
      <c r="DZ207" s="48"/>
      <c r="EA207" s="48"/>
      <c r="EB207" s="48"/>
      <c r="EC207" s="48"/>
      <c r="ED207" s="48"/>
      <c r="EE207" s="48"/>
      <c r="EF207" s="48"/>
      <c r="EG207" s="48"/>
      <c r="EH207" s="48"/>
      <c r="EI207" s="48"/>
      <c r="EJ207" s="48"/>
      <c r="EK207" s="48"/>
      <c r="EL207" s="48"/>
      <c r="EM207" s="48"/>
      <c r="EN207" s="48"/>
      <c r="EO207" s="48"/>
      <c r="EP207" s="48"/>
      <c r="EQ207" s="48"/>
      <c r="ER207" s="48"/>
      <c r="ES207" s="48"/>
      <c r="ET207" s="48"/>
      <c r="EU207" s="48"/>
      <c r="EV207" s="48"/>
      <c r="EW207" s="48"/>
    </row>
    <row r="208" spans="1:153" s="140" customFormat="1" ht="34.5" customHeight="1">
      <c r="A208" s="57">
        <v>1517321</v>
      </c>
      <c r="B208" s="18" t="s">
        <v>135</v>
      </c>
      <c r="C208" s="18" t="s">
        <v>49</v>
      </c>
      <c r="D208" s="58" t="s">
        <v>450</v>
      </c>
      <c r="E208" s="59"/>
      <c r="F208" s="60"/>
      <c r="G208" s="54">
        <f t="shared" si="11"/>
        <v>0</v>
      </c>
      <c r="H208" s="32"/>
      <c r="I208" s="51"/>
      <c r="J208" s="54">
        <f t="shared" si="12"/>
        <v>0</v>
      </c>
      <c r="K208" s="32">
        <f>K209+K214</f>
        <v>6683755</v>
      </c>
      <c r="L208" s="32">
        <f>L209+L214</f>
        <v>-12823</v>
      </c>
      <c r="M208" s="32">
        <f>M209+M214</f>
        <v>6670932</v>
      </c>
      <c r="N208" s="111">
        <f>N209+N214</f>
        <v>6670.9</v>
      </c>
      <c r="O208" s="40"/>
      <c r="P208" s="116"/>
      <c r="Q208" s="13"/>
      <c r="R208" s="126"/>
      <c r="S208" s="116"/>
      <c r="T208" s="61"/>
      <c r="U208" s="61"/>
      <c r="V208" s="61"/>
      <c r="W208" s="61"/>
      <c r="X208" s="61"/>
      <c r="Y208" s="61"/>
      <c r="Z208" s="61"/>
      <c r="AA208" s="61"/>
      <c r="AB208" s="61"/>
      <c r="AC208" s="61"/>
      <c r="AD208" s="61"/>
      <c r="AE208" s="61"/>
      <c r="AF208" s="61"/>
      <c r="AG208" s="61"/>
      <c r="AH208" s="61"/>
      <c r="AI208" s="61"/>
      <c r="AJ208" s="61"/>
      <c r="AK208" s="61"/>
      <c r="AL208" s="61"/>
      <c r="AM208" s="61"/>
      <c r="AN208" s="61"/>
      <c r="AO208" s="61"/>
      <c r="AP208" s="61"/>
      <c r="AQ208" s="61"/>
      <c r="AR208" s="61"/>
      <c r="AS208" s="61"/>
      <c r="AT208" s="61"/>
      <c r="AU208" s="61"/>
      <c r="AV208" s="61"/>
      <c r="AW208" s="61"/>
      <c r="AX208" s="61"/>
      <c r="AY208" s="61"/>
      <c r="AZ208" s="61"/>
      <c r="BA208" s="61"/>
      <c r="BB208" s="61"/>
      <c r="BC208" s="61"/>
      <c r="BD208" s="61"/>
      <c r="BE208" s="61"/>
      <c r="BF208" s="61"/>
      <c r="BG208" s="61"/>
      <c r="BH208" s="61"/>
      <c r="BI208" s="61"/>
      <c r="BJ208" s="61"/>
      <c r="BK208" s="61"/>
      <c r="BL208" s="61"/>
      <c r="BM208" s="61"/>
      <c r="BN208" s="61"/>
      <c r="BO208" s="61"/>
      <c r="BP208" s="61"/>
      <c r="BQ208" s="61"/>
      <c r="BR208" s="61"/>
      <c r="BS208" s="61"/>
      <c r="BT208" s="61"/>
      <c r="BU208" s="61"/>
      <c r="BV208" s="61"/>
      <c r="BW208" s="61"/>
      <c r="BX208" s="61"/>
      <c r="BY208" s="61"/>
      <c r="BZ208" s="61"/>
      <c r="CA208" s="61"/>
      <c r="CB208" s="61"/>
      <c r="CC208" s="61"/>
      <c r="CD208" s="61"/>
      <c r="CE208" s="61"/>
      <c r="CF208" s="61"/>
      <c r="CG208" s="61"/>
      <c r="CH208" s="61"/>
      <c r="CI208" s="61"/>
      <c r="CJ208" s="61"/>
      <c r="CK208" s="61"/>
      <c r="CL208" s="61"/>
      <c r="CM208" s="61"/>
      <c r="CN208" s="61"/>
      <c r="CO208" s="61"/>
      <c r="CP208" s="61"/>
      <c r="CQ208" s="61"/>
      <c r="CR208" s="61"/>
      <c r="CS208" s="61"/>
      <c r="CT208" s="61"/>
      <c r="CU208" s="61"/>
      <c r="CV208" s="61"/>
      <c r="CW208" s="61"/>
      <c r="CX208" s="61"/>
      <c r="CY208" s="61"/>
      <c r="CZ208" s="61"/>
      <c r="DA208" s="61"/>
      <c r="DB208" s="61"/>
      <c r="DC208" s="61"/>
      <c r="DD208" s="61"/>
      <c r="DE208" s="61"/>
      <c r="DF208" s="61"/>
      <c r="DG208" s="61"/>
      <c r="DH208" s="61"/>
      <c r="DI208" s="61"/>
      <c r="DJ208" s="61"/>
      <c r="DK208" s="61"/>
      <c r="DL208" s="61"/>
      <c r="DM208" s="61"/>
      <c r="DN208" s="61"/>
      <c r="DO208" s="61"/>
      <c r="DP208" s="61"/>
      <c r="DQ208" s="61"/>
      <c r="DR208" s="61"/>
      <c r="DS208" s="61"/>
      <c r="DT208" s="61"/>
      <c r="DU208" s="61"/>
      <c r="DV208" s="61"/>
      <c r="DW208" s="61"/>
      <c r="DX208" s="61"/>
      <c r="DY208" s="61"/>
      <c r="DZ208" s="61"/>
      <c r="EA208" s="61"/>
      <c r="EB208" s="61"/>
      <c r="EC208" s="61"/>
      <c r="ED208" s="61"/>
      <c r="EE208" s="61"/>
      <c r="EF208" s="61"/>
      <c r="EG208" s="61"/>
      <c r="EH208" s="61"/>
      <c r="EI208" s="61"/>
      <c r="EJ208" s="61"/>
      <c r="EK208" s="61"/>
      <c r="EL208" s="61"/>
      <c r="EM208" s="61"/>
      <c r="EN208" s="61"/>
      <c r="EO208" s="61"/>
      <c r="EP208" s="61"/>
      <c r="EQ208" s="61"/>
      <c r="ER208" s="61"/>
      <c r="ES208" s="61"/>
      <c r="ET208" s="61"/>
      <c r="EU208" s="61"/>
      <c r="EV208" s="61"/>
      <c r="EW208" s="61"/>
    </row>
    <row r="209" spans="1:153" s="17" customFormat="1" ht="27" customHeight="1">
      <c r="A209" s="49"/>
      <c r="B209" s="50"/>
      <c r="C209" s="50"/>
      <c r="D209" s="62" t="s">
        <v>138</v>
      </c>
      <c r="E209" s="62" t="s">
        <v>138</v>
      </c>
      <c r="F209" s="55"/>
      <c r="G209" s="54">
        <f t="shared" si="11"/>
        <v>0</v>
      </c>
      <c r="H209" s="47"/>
      <c r="I209" s="51"/>
      <c r="J209" s="54">
        <f t="shared" si="12"/>
        <v>0</v>
      </c>
      <c r="K209" s="12">
        <f>SUM(K210:K213)</f>
        <v>1709400</v>
      </c>
      <c r="L209" s="12">
        <f>SUM(L210:L213)</f>
        <v>0</v>
      </c>
      <c r="M209" s="12">
        <f>SUM(M210:M213)</f>
        <v>1709400</v>
      </c>
      <c r="N209" s="106">
        <f>SUM(N210:N213)</f>
        <v>1709.4</v>
      </c>
      <c r="O209" s="52"/>
      <c r="P209" s="116"/>
      <c r="Q209" s="13"/>
      <c r="R209" s="126"/>
      <c r="S209" s="116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40"/>
      <c r="AG209" s="40"/>
      <c r="AH209" s="40"/>
      <c r="AI209" s="40"/>
      <c r="AJ209" s="40"/>
      <c r="AK209" s="40"/>
      <c r="AL209" s="40"/>
      <c r="AM209" s="40"/>
      <c r="AN209" s="40"/>
      <c r="AO209" s="40"/>
      <c r="AP209" s="40"/>
      <c r="AQ209" s="40"/>
      <c r="AR209" s="40"/>
      <c r="AS209" s="40"/>
      <c r="AT209" s="40"/>
      <c r="AU209" s="40"/>
      <c r="AV209" s="40"/>
      <c r="AW209" s="40"/>
      <c r="AX209" s="40"/>
      <c r="AY209" s="40"/>
      <c r="AZ209" s="40"/>
      <c r="BA209" s="40"/>
      <c r="BB209" s="40"/>
      <c r="BC209" s="40"/>
      <c r="BD209" s="40"/>
      <c r="BE209" s="40"/>
      <c r="BF209" s="40"/>
      <c r="BG209" s="40"/>
      <c r="BH209" s="40"/>
      <c r="BI209" s="40"/>
      <c r="BJ209" s="40"/>
      <c r="BK209" s="40"/>
      <c r="BL209" s="40"/>
      <c r="BM209" s="40"/>
      <c r="BN209" s="40"/>
      <c r="BO209" s="40"/>
      <c r="BP209" s="40"/>
      <c r="BQ209" s="40"/>
      <c r="BR209" s="40"/>
      <c r="BS209" s="40"/>
      <c r="BT209" s="40"/>
      <c r="BU209" s="40"/>
      <c r="BV209" s="40"/>
      <c r="BW209" s="40"/>
      <c r="BX209" s="40"/>
      <c r="BY209" s="40"/>
      <c r="BZ209" s="40"/>
      <c r="CA209" s="40"/>
      <c r="CB209" s="40"/>
      <c r="CC209" s="40"/>
      <c r="CD209" s="40"/>
      <c r="CE209" s="40"/>
      <c r="CF209" s="40"/>
      <c r="CG209" s="40"/>
      <c r="CH209" s="40"/>
      <c r="CI209" s="40"/>
      <c r="CJ209" s="40"/>
      <c r="CK209" s="40"/>
      <c r="CL209" s="40"/>
      <c r="CM209" s="40"/>
      <c r="CN209" s="40"/>
      <c r="CO209" s="40"/>
      <c r="CP209" s="40"/>
      <c r="CQ209" s="40"/>
      <c r="CR209" s="40"/>
      <c r="CS209" s="40"/>
      <c r="CT209" s="40"/>
      <c r="CU209" s="40"/>
      <c r="CV209" s="40"/>
      <c r="CW209" s="40"/>
      <c r="CX209" s="40"/>
      <c r="CY209" s="40"/>
      <c r="CZ209" s="40"/>
      <c r="DA209" s="40"/>
      <c r="DB209" s="40"/>
      <c r="DC209" s="40"/>
      <c r="DD209" s="40"/>
      <c r="DE209" s="40"/>
      <c r="DF209" s="40"/>
      <c r="DG209" s="40"/>
      <c r="DH209" s="40"/>
      <c r="DI209" s="40"/>
      <c r="DJ209" s="40"/>
      <c r="DK209" s="40"/>
      <c r="DL209" s="40"/>
      <c r="DM209" s="40"/>
      <c r="DN209" s="40"/>
      <c r="DO209" s="40"/>
      <c r="DP209" s="40"/>
      <c r="DQ209" s="40"/>
      <c r="DR209" s="40"/>
      <c r="DS209" s="40"/>
      <c r="DT209" s="40"/>
      <c r="DU209" s="40"/>
      <c r="DV209" s="40"/>
      <c r="DW209" s="40"/>
      <c r="DX209" s="40"/>
      <c r="DY209" s="40"/>
      <c r="DZ209" s="40"/>
      <c r="EA209" s="40"/>
      <c r="EB209" s="40"/>
      <c r="EC209" s="40"/>
      <c r="ED209" s="40"/>
      <c r="EE209" s="40"/>
      <c r="EF209" s="40"/>
      <c r="EG209" s="40"/>
      <c r="EH209" s="40"/>
      <c r="EI209" s="40"/>
      <c r="EJ209" s="40"/>
      <c r="EK209" s="40"/>
      <c r="EL209" s="40"/>
      <c r="EM209" s="40"/>
      <c r="EN209" s="40"/>
      <c r="EO209" s="40"/>
      <c r="EP209" s="40"/>
      <c r="EQ209" s="40"/>
      <c r="ER209" s="40"/>
      <c r="ES209" s="40"/>
      <c r="ET209" s="40"/>
      <c r="EU209" s="40"/>
      <c r="EV209" s="40"/>
      <c r="EW209" s="40"/>
    </row>
    <row r="210" spans="1:153" ht="30" customHeight="1">
      <c r="A210" s="49"/>
      <c r="B210" s="49"/>
      <c r="C210" s="49"/>
      <c r="D210" s="53" t="s">
        <v>147</v>
      </c>
      <c r="E210" s="53" t="s">
        <v>147</v>
      </c>
      <c r="F210" s="63"/>
      <c r="G210" s="54">
        <f t="shared" si="11"/>
        <v>0</v>
      </c>
      <c r="H210" s="49"/>
      <c r="I210" s="51"/>
      <c r="J210" s="54">
        <f t="shared" si="12"/>
        <v>0</v>
      </c>
      <c r="K210" s="16">
        <v>863000</v>
      </c>
      <c r="L210" s="16"/>
      <c r="M210" s="16">
        <f>L210+K210</f>
        <v>863000</v>
      </c>
      <c r="N210" s="109">
        <f t="shared" si="13"/>
        <v>863</v>
      </c>
      <c r="O210" s="52"/>
      <c r="P210" s="116"/>
      <c r="Q210" s="13"/>
      <c r="R210" s="126"/>
      <c r="S210" s="116"/>
      <c r="T210" s="52"/>
      <c r="U210" s="52"/>
      <c r="V210" s="52"/>
      <c r="W210" s="52"/>
      <c r="X210" s="52"/>
      <c r="Y210" s="52"/>
      <c r="Z210" s="52"/>
      <c r="AA210" s="52"/>
      <c r="AB210" s="52"/>
      <c r="AC210" s="52"/>
      <c r="AD210" s="52"/>
      <c r="AE210" s="52"/>
      <c r="AF210" s="52"/>
      <c r="AG210" s="52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2"/>
      <c r="AU210" s="52"/>
      <c r="AV210" s="52"/>
      <c r="AW210" s="52"/>
      <c r="AX210" s="52"/>
      <c r="AY210" s="52"/>
      <c r="AZ210" s="52"/>
      <c r="BA210" s="52"/>
      <c r="BB210" s="52"/>
      <c r="BC210" s="52"/>
      <c r="BD210" s="52"/>
      <c r="BE210" s="52"/>
      <c r="BF210" s="52"/>
      <c r="BG210" s="52"/>
      <c r="BH210" s="52"/>
      <c r="BI210" s="52"/>
      <c r="BJ210" s="52"/>
      <c r="BK210" s="52"/>
      <c r="BL210" s="52"/>
      <c r="BM210" s="52"/>
      <c r="BN210" s="52"/>
      <c r="BO210" s="52"/>
      <c r="BP210" s="52"/>
      <c r="BQ210" s="52"/>
      <c r="BR210" s="52"/>
      <c r="BS210" s="52"/>
      <c r="BT210" s="52"/>
      <c r="BU210" s="52"/>
      <c r="BV210" s="52"/>
      <c r="BW210" s="52"/>
      <c r="BX210" s="52"/>
      <c r="BY210" s="52"/>
      <c r="BZ210" s="52"/>
      <c r="CA210" s="52"/>
      <c r="CB210" s="52"/>
      <c r="CC210" s="52"/>
      <c r="CD210" s="52"/>
      <c r="CE210" s="52"/>
      <c r="CF210" s="52"/>
      <c r="CG210" s="52"/>
      <c r="CH210" s="52"/>
      <c r="CI210" s="52"/>
      <c r="CJ210" s="52"/>
      <c r="CK210" s="52"/>
      <c r="CL210" s="52"/>
      <c r="CM210" s="52"/>
      <c r="CN210" s="52"/>
      <c r="CO210" s="52"/>
      <c r="CP210" s="52"/>
      <c r="CQ210" s="52"/>
      <c r="CR210" s="52"/>
      <c r="CS210" s="52"/>
      <c r="CT210" s="52"/>
      <c r="CU210" s="52"/>
      <c r="CV210" s="52"/>
      <c r="CW210" s="52"/>
      <c r="CX210" s="52"/>
      <c r="CY210" s="52"/>
      <c r="CZ210" s="52"/>
      <c r="DA210" s="52"/>
      <c r="DB210" s="52"/>
      <c r="DC210" s="52"/>
      <c r="DD210" s="52"/>
      <c r="DE210" s="52"/>
      <c r="DF210" s="52"/>
      <c r="DG210" s="52"/>
      <c r="DH210" s="52"/>
      <c r="DI210" s="52"/>
      <c r="DJ210" s="52"/>
      <c r="DK210" s="52"/>
      <c r="DL210" s="52"/>
      <c r="DM210" s="52"/>
      <c r="DN210" s="52"/>
      <c r="DO210" s="52"/>
      <c r="DP210" s="52"/>
      <c r="DQ210" s="52"/>
      <c r="DR210" s="52"/>
      <c r="DS210" s="52"/>
      <c r="DT210" s="52"/>
      <c r="DU210" s="52"/>
      <c r="DV210" s="52"/>
      <c r="DW210" s="52"/>
      <c r="DX210" s="52"/>
      <c r="DY210" s="52"/>
      <c r="DZ210" s="52"/>
      <c r="EA210" s="52"/>
      <c r="EB210" s="52"/>
      <c r="EC210" s="52"/>
      <c r="ED210" s="52"/>
      <c r="EE210" s="52"/>
      <c r="EF210" s="52"/>
      <c r="EG210" s="52"/>
      <c r="EH210" s="52"/>
      <c r="EI210" s="52"/>
      <c r="EJ210" s="52"/>
      <c r="EK210" s="52"/>
      <c r="EL210" s="52"/>
      <c r="EM210" s="52"/>
      <c r="EN210" s="52"/>
      <c r="EO210" s="52"/>
      <c r="EP210" s="52"/>
      <c r="EQ210" s="52"/>
      <c r="ER210" s="52"/>
      <c r="ES210" s="52"/>
      <c r="ET210" s="52"/>
      <c r="EU210" s="52"/>
      <c r="EV210" s="52"/>
      <c r="EW210" s="52"/>
    </row>
    <row r="211" spans="1:153" ht="68.25" customHeight="1">
      <c r="A211" s="49"/>
      <c r="B211" s="49"/>
      <c r="C211" s="49"/>
      <c r="D211" s="53" t="s">
        <v>408</v>
      </c>
      <c r="E211" s="53" t="s">
        <v>408</v>
      </c>
      <c r="F211" s="63"/>
      <c r="G211" s="54">
        <f t="shared" si="11"/>
        <v>0</v>
      </c>
      <c r="H211" s="49"/>
      <c r="I211" s="51"/>
      <c r="J211" s="54">
        <f t="shared" si="12"/>
        <v>0</v>
      </c>
      <c r="K211" s="16">
        <v>500000</v>
      </c>
      <c r="L211" s="16"/>
      <c r="M211" s="16">
        <f>L211+K211</f>
        <v>500000</v>
      </c>
      <c r="N211" s="109">
        <f t="shared" si="13"/>
        <v>500</v>
      </c>
      <c r="O211" s="52"/>
      <c r="P211" s="116"/>
      <c r="Q211" s="13"/>
      <c r="R211" s="126"/>
      <c r="S211" s="116"/>
      <c r="T211" s="52"/>
      <c r="U211" s="52"/>
      <c r="V211" s="52"/>
      <c r="W211" s="52"/>
      <c r="X211" s="52"/>
      <c r="Y211" s="52"/>
      <c r="Z211" s="52"/>
      <c r="AA211" s="52"/>
      <c r="AB211" s="52"/>
      <c r="AC211" s="52"/>
      <c r="AD211" s="52"/>
      <c r="AE211" s="52"/>
      <c r="AF211" s="52"/>
      <c r="AG211" s="52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2"/>
      <c r="AU211" s="52"/>
      <c r="AV211" s="52"/>
      <c r="AW211" s="52"/>
      <c r="AX211" s="52"/>
      <c r="AY211" s="52"/>
      <c r="AZ211" s="52"/>
      <c r="BA211" s="52"/>
      <c r="BB211" s="52"/>
      <c r="BC211" s="52"/>
      <c r="BD211" s="52"/>
      <c r="BE211" s="52"/>
      <c r="BF211" s="52"/>
      <c r="BG211" s="52"/>
      <c r="BH211" s="52"/>
      <c r="BI211" s="52"/>
      <c r="BJ211" s="52"/>
      <c r="BK211" s="52"/>
      <c r="BL211" s="52"/>
      <c r="BM211" s="52"/>
      <c r="BN211" s="52"/>
      <c r="BO211" s="52"/>
      <c r="BP211" s="52"/>
      <c r="BQ211" s="52"/>
      <c r="BR211" s="52"/>
      <c r="BS211" s="52"/>
      <c r="BT211" s="52"/>
      <c r="BU211" s="52"/>
      <c r="BV211" s="52"/>
      <c r="BW211" s="52"/>
      <c r="BX211" s="52"/>
      <c r="BY211" s="52"/>
      <c r="BZ211" s="52"/>
      <c r="CA211" s="52"/>
      <c r="CB211" s="52"/>
      <c r="CC211" s="52"/>
      <c r="CD211" s="52"/>
      <c r="CE211" s="52"/>
      <c r="CF211" s="52"/>
      <c r="CG211" s="52"/>
      <c r="CH211" s="52"/>
      <c r="CI211" s="52"/>
      <c r="CJ211" s="52"/>
      <c r="CK211" s="52"/>
      <c r="CL211" s="52"/>
      <c r="CM211" s="52"/>
      <c r="CN211" s="52"/>
      <c r="CO211" s="52"/>
      <c r="CP211" s="52"/>
      <c r="CQ211" s="52"/>
      <c r="CR211" s="52"/>
      <c r="CS211" s="52"/>
      <c r="CT211" s="52"/>
      <c r="CU211" s="52"/>
      <c r="CV211" s="52"/>
      <c r="CW211" s="52"/>
      <c r="CX211" s="52"/>
      <c r="CY211" s="52"/>
      <c r="CZ211" s="52"/>
      <c r="DA211" s="52"/>
      <c r="DB211" s="52"/>
      <c r="DC211" s="52"/>
      <c r="DD211" s="52"/>
      <c r="DE211" s="52"/>
      <c r="DF211" s="52"/>
      <c r="DG211" s="52"/>
      <c r="DH211" s="52"/>
      <c r="DI211" s="52"/>
      <c r="DJ211" s="52"/>
      <c r="DK211" s="52"/>
      <c r="DL211" s="52"/>
      <c r="DM211" s="52"/>
      <c r="DN211" s="52"/>
      <c r="DO211" s="52"/>
      <c r="DP211" s="52"/>
      <c r="DQ211" s="52"/>
      <c r="DR211" s="52"/>
      <c r="DS211" s="52"/>
      <c r="DT211" s="52"/>
      <c r="DU211" s="52"/>
      <c r="DV211" s="52"/>
      <c r="DW211" s="52"/>
      <c r="DX211" s="52"/>
      <c r="DY211" s="52"/>
      <c r="DZ211" s="52"/>
      <c r="EA211" s="52"/>
      <c r="EB211" s="52"/>
      <c r="EC211" s="52"/>
      <c r="ED211" s="52"/>
      <c r="EE211" s="52"/>
      <c r="EF211" s="52"/>
      <c r="EG211" s="52"/>
      <c r="EH211" s="52"/>
      <c r="EI211" s="52"/>
      <c r="EJ211" s="52"/>
      <c r="EK211" s="52"/>
      <c r="EL211" s="52"/>
      <c r="EM211" s="52"/>
      <c r="EN211" s="52"/>
      <c r="EO211" s="52"/>
      <c r="EP211" s="52"/>
      <c r="EQ211" s="52"/>
      <c r="ER211" s="52"/>
      <c r="ES211" s="52"/>
      <c r="ET211" s="52"/>
      <c r="EU211" s="52"/>
      <c r="EV211" s="52"/>
      <c r="EW211" s="52"/>
    </row>
    <row r="212" spans="1:19" s="52" customFormat="1" ht="33.75" customHeight="1">
      <c r="A212" s="50"/>
      <c r="B212" s="50"/>
      <c r="C212" s="50"/>
      <c r="D212" s="53" t="s">
        <v>148</v>
      </c>
      <c r="E212" s="53" t="s">
        <v>148</v>
      </c>
      <c r="F212" s="51"/>
      <c r="G212" s="54">
        <f aca="true" t="shared" si="16" ref="G212:G276">ROUND(F212/1000,1)</f>
        <v>0</v>
      </c>
      <c r="H212" s="54"/>
      <c r="I212" s="51"/>
      <c r="J212" s="54">
        <f aca="true" t="shared" si="17" ref="J212:J276">ROUND(I212/1000,1)</f>
        <v>0</v>
      </c>
      <c r="K212" s="16">
        <f>250000-3600</f>
        <v>246400</v>
      </c>
      <c r="L212" s="16"/>
      <c r="M212" s="16">
        <f aca="true" t="shared" si="18" ref="M212:M330">L212+K212</f>
        <v>246400</v>
      </c>
      <c r="N212" s="109">
        <f aca="true" t="shared" si="19" ref="N212:N276">ROUND(M212/1000,1)</f>
        <v>246.4</v>
      </c>
      <c r="P212" s="116"/>
      <c r="Q212" s="13"/>
      <c r="R212" s="126"/>
      <c r="S212" s="116"/>
    </row>
    <row r="213" spans="1:19" s="52" customFormat="1" ht="50.25" customHeight="1">
      <c r="A213" s="50"/>
      <c r="B213" s="50"/>
      <c r="C213" s="50"/>
      <c r="D213" s="53" t="s">
        <v>319</v>
      </c>
      <c r="E213" s="53" t="s">
        <v>319</v>
      </c>
      <c r="F213" s="51"/>
      <c r="G213" s="54">
        <f t="shared" si="16"/>
        <v>0</v>
      </c>
      <c r="H213" s="54"/>
      <c r="I213" s="51"/>
      <c r="J213" s="54">
        <f t="shared" si="17"/>
        <v>0</v>
      </c>
      <c r="K213" s="16">
        <v>100000</v>
      </c>
      <c r="L213" s="16"/>
      <c r="M213" s="16">
        <f>L213+K213</f>
        <v>100000</v>
      </c>
      <c r="N213" s="109">
        <f t="shared" si="19"/>
        <v>100</v>
      </c>
      <c r="P213" s="116"/>
      <c r="Q213" s="13"/>
      <c r="R213" s="126"/>
      <c r="S213" s="116"/>
    </row>
    <row r="214" spans="1:153" s="17" customFormat="1" ht="25.5" customHeight="1">
      <c r="A214" s="49"/>
      <c r="B214" s="50"/>
      <c r="C214" s="50"/>
      <c r="D214" s="30" t="s">
        <v>141</v>
      </c>
      <c r="E214" s="30" t="s">
        <v>141</v>
      </c>
      <c r="F214" s="55"/>
      <c r="G214" s="54">
        <f t="shared" si="16"/>
        <v>0</v>
      </c>
      <c r="H214" s="47"/>
      <c r="I214" s="51"/>
      <c r="J214" s="54">
        <f t="shared" si="17"/>
        <v>0</v>
      </c>
      <c r="K214" s="12">
        <f>SUM(K215:K226)</f>
        <v>4974355</v>
      </c>
      <c r="L214" s="12">
        <f>SUM(L215:L226)</f>
        <v>-12823</v>
      </c>
      <c r="M214" s="12">
        <f>SUM(M215:M226)</f>
        <v>4961532</v>
      </c>
      <c r="N214" s="106">
        <f>SUM(N215:N226)</f>
        <v>4961.5</v>
      </c>
      <c r="O214" s="52"/>
      <c r="P214" s="116"/>
      <c r="Q214" s="13"/>
      <c r="R214" s="126"/>
      <c r="S214" s="116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F214" s="40"/>
      <c r="AG214" s="40"/>
      <c r="AH214" s="40"/>
      <c r="AI214" s="40"/>
      <c r="AJ214" s="40"/>
      <c r="AK214" s="40"/>
      <c r="AL214" s="40"/>
      <c r="AM214" s="40"/>
      <c r="AN214" s="40"/>
      <c r="AO214" s="40"/>
      <c r="AP214" s="40"/>
      <c r="AQ214" s="40"/>
      <c r="AR214" s="40"/>
      <c r="AS214" s="40"/>
      <c r="AT214" s="40"/>
      <c r="AU214" s="40"/>
      <c r="AV214" s="40"/>
      <c r="AW214" s="40"/>
      <c r="AX214" s="40"/>
      <c r="AY214" s="40"/>
      <c r="AZ214" s="40"/>
      <c r="BA214" s="40"/>
      <c r="BB214" s="40"/>
      <c r="BC214" s="40"/>
      <c r="BD214" s="40"/>
      <c r="BE214" s="40"/>
      <c r="BF214" s="40"/>
      <c r="BG214" s="40"/>
      <c r="BH214" s="40"/>
      <c r="BI214" s="40"/>
      <c r="BJ214" s="40"/>
      <c r="BK214" s="40"/>
      <c r="BL214" s="40"/>
      <c r="BM214" s="40"/>
      <c r="BN214" s="40"/>
      <c r="BO214" s="40"/>
      <c r="BP214" s="40"/>
      <c r="BQ214" s="40"/>
      <c r="BR214" s="40"/>
      <c r="BS214" s="40"/>
      <c r="BT214" s="40"/>
      <c r="BU214" s="40"/>
      <c r="BV214" s="40"/>
      <c r="BW214" s="40"/>
      <c r="BX214" s="40"/>
      <c r="BY214" s="40"/>
      <c r="BZ214" s="40"/>
      <c r="CA214" s="40"/>
      <c r="CB214" s="40"/>
      <c r="CC214" s="40"/>
      <c r="CD214" s="40"/>
      <c r="CE214" s="40"/>
      <c r="CF214" s="40"/>
      <c r="CG214" s="40"/>
      <c r="CH214" s="40"/>
      <c r="CI214" s="40"/>
      <c r="CJ214" s="40"/>
      <c r="CK214" s="40"/>
      <c r="CL214" s="40"/>
      <c r="CM214" s="40"/>
      <c r="CN214" s="40"/>
      <c r="CO214" s="40"/>
      <c r="CP214" s="40"/>
      <c r="CQ214" s="40"/>
      <c r="CR214" s="40"/>
      <c r="CS214" s="40"/>
      <c r="CT214" s="40"/>
      <c r="CU214" s="40"/>
      <c r="CV214" s="40"/>
      <c r="CW214" s="40"/>
      <c r="CX214" s="40"/>
      <c r="CY214" s="40"/>
      <c r="CZ214" s="40"/>
      <c r="DA214" s="40"/>
      <c r="DB214" s="40"/>
      <c r="DC214" s="40"/>
      <c r="DD214" s="40"/>
      <c r="DE214" s="40"/>
      <c r="DF214" s="40"/>
      <c r="DG214" s="40"/>
      <c r="DH214" s="40"/>
      <c r="DI214" s="40"/>
      <c r="DJ214" s="40"/>
      <c r="DK214" s="40"/>
      <c r="DL214" s="40"/>
      <c r="DM214" s="40"/>
      <c r="DN214" s="40"/>
      <c r="DO214" s="40"/>
      <c r="DP214" s="40"/>
      <c r="DQ214" s="40"/>
      <c r="DR214" s="40"/>
      <c r="DS214" s="40"/>
      <c r="DT214" s="40"/>
      <c r="DU214" s="40"/>
      <c r="DV214" s="40"/>
      <c r="DW214" s="40"/>
      <c r="DX214" s="40"/>
      <c r="DY214" s="40"/>
      <c r="DZ214" s="40"/>
      <c r="EA214" s="40"/>
      <c r="EB214" s="40"/>
      <c r="EC214" s="40"/>
      <c r="ED214" s="40"/>
      <c r="EE214" s="40"/>
      <c r="EF214" s="40"/>
      <c r="EG214" s="40"/>
      <c r="EH214" s="40"/>
      <c r="EI214" s="40"/>
      <c r="EJ214" s="40"/>
      <c r="EK214" s="40"/>
      <c r="EL214" s="40"/>
      <c r="EM214" s="40"/>
      <c r="EN214" s="40"/>
      <c r="EO214" s="40"/>
      <c r="EP214" s="40"/>
      <c r="EQ214" s="40"/>
      <c r="ER214" s="40"/>
      <c r="ES214" s="40"/>
      <c r="ET214" s="40"/>
      <c r="EU214" s="40"/>
      <c r="EV214" s="40"/>
      <c r="EW214" s="40"/>
    </row>
    <row r="215" spans="1:153" s="17" customFormat="1" ht="60.75">
      <c r="A215" s="49"/>
      <c r="B215" s="50"/>
      <c r="C215" s="50"/>
      <c r="D215" s="28" t="s">
        <v>233</v>
      </c>
      <c r="E215" s="28" t="s">
        <v>233</v>
      </c>
      <c r="F215" s="51">
        <v>237104</v>
      </c>
      <c r="G215" s="54">
        <f t="shared" si="16"/>
        <v>237.1</v>
      </c>
      <c r="H215" s="64">
        <v>100</v>
      </c>
      <c r="I215" s="51">
        <v>237104</v>
      </c>
      <c r="J215" s="54">
        <f t="shared" si="17"/>
        <v>237.1</v>
      </c>
      <c r="K215" s="16">
        <v>221500</v>
      </c>
      <c r="L215" s="16"/>
      <c r="M215" s="16">
        <f t="shared" si="18"/>
        <v>221500</v>
      </c>
      <c r="N215" s="109">
        <f t="shared" si="19"/>
        <v>221.5</v>
      </c>
      <c r="O215" s="52"/>
      <c r="P215" s="116"/>
      <c r="Q215" s="13"/>
      <c r="R215" s="126"/>
      <c r="S215" s="116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F215" s="40"/>
      <c r="AG215" s="40"/>
      <c r="AH215" s="40"/>
      <c r="AI215" s="40"/>
      <c r="AJ215" s="40"/>
      <c r="AK215" s="40"/>
      <c r="AL215" s="40"/>
      <c r="AM215" s="40"/>
      <c r="AN215" s="40"/>
      <c r="AO215" s="40"/>
      <c r="AP215" s="40"/>
      <c r="AQ215" s="40"/>
      <c r="AR215" s="40"/>
      <c r="AS215" s="40"/>
      <c r="AT215" s="40"/>
      <c r="AU215" s="40"/>
      <c r="AV215" s="40"/>
      <c r="AW215" s="40"/>
      <c r="AX215" s="40"/>
      <c r="AY215" s="40"/>
      <c r="AZ215" s="40"/>
      <c r="BA215" s="40"/>
      <c r="BB215" s="40"/>
      <c r="BC215" s="40"/>
      <c r="BD215" s="40"/>
      <c r="BE215" s="40"/>
      <c r="BF215" s="40"/>
      <c r="BG215" s="40"/>
      <c r="BH215" s="40"/>
      <c r="BI215" s="40"/>
      <c r="BJ215" s="40"/>
      <c r="BK215" s="40"/>
      <c r="BL215" s="40"/>
      <c r="BM215" s="40"/>
      <c r="BN215" s="40"/>
      <c r="BO215" s="40"/>
      <c r="BP215" s="40"/>
      <c r="BQ215" s="40"/>
      <c r="BR215" s="40"/>
      <c r="BS215" s="40"/>
      <c r="BT215" s="40"/>
      <c r="BU215" s="40"/>
      <c r="BV215" s="40"/>
      <c r="BW215" s="40"/>
      <c r="BX215" s="40"/>
      <c r="BY215" s="40"/>
      <c r="BZ215" s="40"/>
      <c r="CA215" s="40"/>
      <c r="CB215" s="40"/>
      <c r="CC215" s="40"/>
      <c r="CD215" s="40"/>
      <c r="CE215" s="40"/>
      <c r="CF215" s="40"/>
      <c r="CG215" s="40"/>
      <c r="CH215" s="40"/>
      <c r="CI215" s="40"/>
      <c r="CJ215" s="40"/>
      <c r="CK215" s="40"/>
      <c r="CL215" s="40"/>
      <c r="CM215" s="40"/>
      <c r="CN215" s="40"/>
      <c r="CO215" s="40"/>
      <c r="CP215" s="40"/>
      <c r="CQ215" s="40"/>
      <c r="CR215" s="40"/>
      <c r="CS215" s="40"/>
      <c r="CT215" s="40"/>
      <c r="CU215" s="40"/>
      <c r="CV215" s="40"/>
      <c r="CW215" s="40"/>
      <c r="CX215" s="40"/>
      <c r="CY215" s="40"/>
      <c r="CZ215" s="40"/>
      <c r="DA215" s="40"/>
      <c r="DB215" s="40"/>
      <c r="DC215" s="40"/>
      <c r="DD215" s="40"/>
      <c r="DE215" s="40"/>
      <c r="DF215" s="40"/>
      <c r="DG215" s="40"/>
      <c r="DH215" s="40"/>
      <c r="DI215" s="40"/>
      <c r="DJ215" s="40"/>
      <c r="DK215" s="40"/>
      <c r="DL215" s="40"/>
      <c r="DM215" s="40"/>
      <c r="DN215" s="40"/>
      <c r="DO215" s="40"/>
      <c r="DP215" s="40"/>
      <c r="DQ215" s="40"/>
      <c r="DR215" s="40"/>
      <c r="DS215" s="40"/>
      <c r="DT215" s="40"/>
      <c r="DU215" s="40"/>
      <c r="DV215" s="40"/>
      <c r="DW215" s="40"/>
      <c r="DX215" s="40"/>
      <c r="DY215" s="40"/>
      <c r="DZ215" s="40"/>
      <c r="EA215" s="40"/>
      <c r="EB215" s="40"/>
      <c r="EC215" s="40"/>
      <c r="ED215" s="40"/>
      <c r="EE215" s="40"/>
      <c r="EF215" s="40"/>
      <c r="EG215" s="40"/>
      <c r="EH215" s="40"/>
      <c r="EI215" s="40"/>
      <c r="EJ215" s="40"/>
      <c r="EK215" s="40"/>
      <c r="EL215" s="40"/>
      <c r="EM215" s="40"/>
      <c r="EN215" s="40"/>
      <c r="EO215" s="40"/>
      <c r="EP215" s="40"/>
      <c r="EQ215" s="40"/>
      <c r="ER215" s="40"/>
      <c r="ES215" s="40"/>
      <c r="ET215" s="40"/>
      <c r="EU215" s="40"/>
      <c r="EV215" s="40"/>
      <c r="EW215" s="40"/>
    </row>
    <row r="216" spans="1:153" s="17" customFormat="1" ht="24" customHeight="1">
      <c r="A216" s="49"/>
      <c r="B216" s="50"/>
      <c r="C216" s="50"/>
      <c r="D216" s="28" t="s">
        <v>279</v>
      </c>
      <c r="E216" s="28" t="s">
        <v>279</v>
      </c>
      <c r="F216" s="55"/>
      <c r="G216" s="54">
        <f t="shared" si="16"/>
        <v>0</v>
      </c>
      <c r="H216" s="47"/>
      <c r="I216" s="51"/>
      <c r="J216" s="54">
        <f t="shared" si="17"/>
        <v>0</v>
      </c>
      <c r="K216" s="16">
        <v>8500</v>
      </c>
      <c r="L216" s="16"/>
      <c r="M216" s="16">
        <f t="shared" si="18"/>
        <v>8500</v>
      </c>
      <c r="N216" s="109">
        <f t="shared" si="19"/>
        <v>8.5</v>
      </c>
      <c r="O216" s="52"/>
      <c r="P216" s="116"/>
      <c r="Q216" s="13"/>
      <c r="R216" s="126"/>
      <c r="S216" s="116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F216" s="40"/>
      <c r="AG216" s="40"/>
      <c r="AH216" s="40"/>
      <c r="AI216" s="40"/>
      <c r="AJ216" s="40"/>
      <c r="AK216" s="40"/>
      <c r="AL216" s="40"/>
      <c r="AM216" s="40"/>
      <c r="AN216" s="40"/>
      <c r="AO216" s="40"/>
      <c r="AP216" s="40"/>
      <c r="AQ216" s="40"/>
      <c r="AR216" s="40"/>
      <c r="AS216" s="40"/>
      <c r="AT216" s="40"/>
      <c r="AU216" s="40"/>
      <c r="AV216" s="40"/>
      <c r="AW216" s="40"/>
      <c r="AX216" s="40"/>
      <c r="AY216" s="40"/>
      <c r="AZ216" s="40"/>
      <c r="BA216" s="40"/>
      <c r="BB216" s="40"/>
      <c r="BC216" s="40"/>
      <c r="BD216" s="40"/>
      <c r="BE216" s="40"/>
      <c r="BF216" s="40"/>
      <c r="BG216" s="40"/>
      <c r="BH216" s="40"/>
      <c r="BI216" s="40"/>
      <c r="BJ216" s="40"/>
      <c r="BK216" s="40"/>
      <c r="BL216" s="40"/>
      <c r="BM216" s="40"/>
      <c r="BN216" s="40"/>
      <c r="BO216" s="40"/>
      <c r="BP216" s="40"/>
      <c r="BQ216" s="40"/>
      <c r="BR216" s="40"/>
      <c r="BS216" s="40"/>
      <c r="BT216" s="40"/>
      <c r="BU216" s="40"/>
      <c r="BV216" s="40"/>
      <c r="BW216" s="40"/>
      <c r="BX216" s="40"/>
      <c r="BY216" s="40"/>
      <c r="BZ216" s="40"/>
      <c r="CA216" s="40"/>
      <c r="CB216" s="40"/>
      <c r="CC216" s="40"/>
      <c r="CD216" s="40"/>
      <c r="CE216" s="40"/>
      <c r="CF216" s="40"/>
      <c r="CG216" s="40"/>
      <c r="CH216" s="40"/>
      <c r="CI216" s="40"/>
      <c r="CJ216" s="40"/>
      <c r="CK216" s="40"/>
      <c r="CL216" s="40"/>
      <c r="CM216" s="40"/>
      <c r="CN216" s="40"/>
      <c r="CO216" s="40"/>
      <c r="CP216" s="40"/>
      <c r="CQ216" s="40"/>
      <c r="CR216" s="40"/>
      <c r="CS216" s="40"/>
      <c r="CT216" s="40"/>
      <c r="CU216" s="40"/>
      <c r="CV216" s="40"/>
      <c r="CW216" s="40"/>
      <c r="CX216" s="40"/>
      <c r="CY216" s="40"/>
      <c r="CZ216" s="40"/>
      <c r="DA216" s="40"/>
      <c r="DB216" s="40"/>
      <c r="DC216" s="40"/>
      <c r="DD216" s="40"/>
      <c r="DE216" s="40"/>
      <c r="DF216" s="40"/>
      <c r="DG216" s="40"/>
      <c r="DH216" s="40"/>
      <c r="DI216" s="40"/>
      <c r="DJ216" s="40"/>
      <c r="DK216" s="40"/>
      <c r="DL216" s="40"/>
      <c r="DM216" s="40"/>
      <c r="DN216" s="40"/>
      <c r="DO216" s="40"/>
      <c r="DP216" s="40"/>
      <c r="DQ216" s="40"/>
      <c r="DR216" s="40"/>
      <c r="DS216" s="40"/>
      <c r="DT216" s="40"/>
      <c r="DU216" s="40"/>
      <c r="DV216" s="40"/>
      <c r="DW216" s="40"/>
      <c r="DX216" s="40"/>
      <c r="DY216" s="40"/>
      <c r="DZ216" s="40"/>
      <c r="EA216" s="40"/>
      <c r="EB216" s="40"/>
      <c r="EC216" s="40"/>
      <c r="ED216" s="40"/>
      <c r="EE216" s="40"/>
      <c r="EF216" s="40"/>
      <c r="EG216" s="40"/>
      <c r="EH216" s="40"/>
      <c r="EI216" s="40"/>
      <c r="EJ216" s="40"/>
      <c r="EK216" s="40"/>
      <c r="EL216" s="40"/>
      <c r="EM216" s="40"/>
      <c r="EN216" s="40"/>
      <c r="EO216" s="40"/>
      <c r="EP216" s="40"/>
      <c r="EQ216" s="40"/>
      <c r="ER216" s="40"/>
      <c r="ES216" s="40"/>
      <c r="ET216" s="40"/>
      <c r="EU216" s="40"/>
      <c r="EV216" s="40"/>
      <c r="EW216" s="40"/>
    </row>
    <row r="217" spans="1:153" s="17" customFormat="1" ht="31.5" customHeight="1">
      <c r="A217" s="49"/>
      <c r="B217" s="50"/>
      <c r="C217" s="50"/>
      <c r="D217" s="53" t="s">
        <v>280</v>
      </c>
      <c r="E217" s="53" t="s">
        <v>280</v>
      </c>
      <c r="F217" s="55"/>
      <c r="G217" s="54">
        <f t="shared" si="16"/>
        <v>0</v>
      </c>
      <c r="H217" s="47"/>
      <c r="I217" s="51"/>
      <c r="J217" s="54">
        <f t="shared" si="17"/>
        <v>0</v>
      </c>
      <c r="K217" s="16">
        <v>8500</v>
      </c>
      <c r="L217" s="16"/>
      <c r="M217" s="16">
        <f t="shared" si="18"/>
        <v>8500</v>
      </c>
      <c r="N217" s="109">
        <f t="shared" si="19"/>
        <v>8.5</v>
      </c>
      <c r="O217" s="67"/>
      <c r="P217" s="116"/>
      <c r="Q217" s="13"/>
      <c r="R217" s="126"/>
      <c r="S217" s="116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F217" s="40"/>
      <c r="AG217" s="40"/>
      <c r="AH217" s="40"/>
      <c r="AI217" s="40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0"/>
      <c r="BM217" s="40"/>
      <c r="BN217" s="40"/>
      <c r="BO217" s="40"/>
      <c r="BP217" s="40"/>
      <c r="BQ217" s="40"/>
      <c r="BR217" s="40"/>
      <c r="BS217" s="40"/>
      <c r="BT217" s="40"/>
      <c r="BU217" s="40"/>
      <c r="BV217" s="40"/>
      <c r="BW217" s="40"/>
      <c r="BX217" s="40"/>
      <c r="BY217" s="40"/>
      <c r="BZ217" s="40"/>
      <c r="CA217" s="40"/>
      <c r="CB217" s="40"/>
      <c r="CC217" s="40"/>
      <c r="CD217" s="40"/>
      <c r="CE217" s="40"/>
      <c r="CF217" s="40"/>
      <c r="CG217" s="40"/>
      <c r="CH217" s="40"/>
      <c r="CI217" s="40"/>
      <c r="CJ217" s="40"/>
      <c r="CK217" s="40"/>
      <c r="CL217" s="40"/>
      <c r="CM217" s="40"/>
      <c r="CN217" s="40"/>
      <c r="CO217" s="40"/>
      <c r="CP217" s="40"/>
      <c r="CQ217" s="40"/>
      <c r="CR217" s="40"/>
      <c r="CS217" s="40"/>
      <c r="CT217" s="40"/>
      <c r="CU217" s="40"/>
      <c r="CV217" s="40"/>
      <c r="CW217" s="40"/>
      <c r="CX217" s="40"/>
      <c r="CY217" s="40"/>
      <c r="CZ217" s="40"/>
      <c r="DA217" s="40"/>
      <c r="DB217" s="40"/>
      <c r="DC217" s="40"/>
      <c r="DD217" s="40"/>
      <c r="DE217" s="40"/>
      <c r="DF217" s="40"/>
      <c r="DG217" s="40"/>
      <c r="DH217" s="40"/>
      <c r="DI217" s="40"/>
      <c r="DJ217" s="40"/>
      <c r="DK217" s="40"/>
      <c r="DL217" s="40"/>
      <c r="DM217" s="40"/>
      <c r="DN217" s="40"/>
      <c r="DO217" s="40"/>
      <c r="DP217" s="40"/>
      <c r="DQ217" s="40"/>
      <c r="DR217" s="40"/>
      <c r="DS217" s="40"/>
      <c r="DT217" s="40"/>
      <c r="DU217" s="40"/>
      <c r="DV217" s="40"/>
      <c r="DW217" s="40"/>
      <c r="DX217" s="40"/>
      <c r="DY217" s="40"/>
      <c r="DZ217" s="40"/>
      <c r="EA217" s="40"/>
      <c r="EB217" s="40"/>
      <c r="EC217" s="40"/>
      <c r="ED217" s="40"/>
      <c r="EE217" s="40"/>
      <c r="EF217" s="40"/>
      <c r="EG217" s="40"/>
      <c r="EH217" s="40"/>
      <c r="EI217" s="40"/>
      <c r="EJ217" s="40"/>
      <c r="EK217" s="40"/>
      <c r="EL217" s="40"/>
      <c r="EM217" s="40"/>
      <c r="EN217" s="40"/>
      <c r="EO217" s="40"/>
      <c r="EP217" s="40"/>
      <c r="EQ217" s="40"/>
      <c r="ER217" s="40"/>
      <c r="ES217" s="40"/>
      <c r="ET217" s="40"/>
      <c r="EU217" s="40"/>
      <c r="EV217" s="40"/>
      <c r="EW217" s="40"/>
    </row>
    <row r="218" spans="1:153" s="17" customFormat="1" ht="33.75" customHeight="1">
      <c r="A218" s="49"/>
      <c r="B218" s="50"/>
      <c r="C218" s="50"/>
      <c r="D218" s="53" t="s">
        <v>381</v>
      </c>
      <c r="E218" s="53" t="s">
        <v>381</v>
      </c>
      <c r="F218" s="55"/>
      <c r="G218" s="54">
        <f t="shared" si="16"/>
        <v>0</v>
      </c>
      <c r="H218" s="47"/>
      <c r="I218" s="51"/>
      <c r="J218" s="54">
        <f t="shared" si="17"/>
        <v>0</v>
      </c>
      <c r="K218" s="16">
        <v>490000</v>
      </c>
      <c r="L218" s="16"/>
      <c r="M218" s="16">
        <f t="shared" si="18"/>
        <v>490000</v>
      </c>
      <c r="N218" s="109">
        <f t="shared" si="19"/>
        <v>490</v>
      </c>
      <c r="O218" s="40"/>
      <c r="P218" s="116"/>
      <c r="Q218" s="13"/>
      <c r="R218" s="126"/>
      <c r="S218" s="116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F218" s="40"/>
      <c r="AG218" s="40"/>
      <c r="AH218" s="40"/>
      <c r="AI218" s="40"/>
      <c r="AJ218" s="40"/>
      <c r="AK218" s="40"/>
      <c r="AL218" s="40"/>
      <c r="AM218" s="40"/>
      <c r="AN218" s="40"/>
      <c r="AO218" s="40"/>
      <c r="AP218" s="40"/>
      <c r="AQ218" s="40"/>
      <c r="AR218" s="40"/>
      <c r="AS218" s="40"/>
      <c r="AT218" s="40"/>
      <c r="AU218" s="40"/>
      <c r="AV218" s="40"/>
      <c r="AW218" s="40"/>
      <c r="AX218" s="40"/>
      <c r="AY218" s="40"/>
      <c r="AZ218" s="40"/>
      <c r="BA218" s="40"/>
      <c r="BB218" s="40"/>
      <c r="BC218" s="40"/>
      <c r="BD218" s="40"/>
      <c r="BE218" s="40"/>
      <c r="BF218" s="40"/>
      <c r="BG218" s="40"/>
      <c r="BH218" s="40"/>
      <c r="BI218" s="40"/>
      <c r="BJ218" s="40"/>
      <c r="BK218" s="40"/>
      <c r="BL218" s="40"/>
      <c r="BM218" s="40"/>
      <c r="BN218" s="40"/>
      <c r="BO218" s="40"/>
      <c r="BP218" s="40"/>
      <c r="BQ218" s="40"/>
      <c r="BR218" s="40"/>
      <c r="BS218" s="40"/>
      <c r="BT218" s="40"/>
      <c r="BU218" s="40"/>
      <c r="BV218" s="40"/>
      <c r="BW218" s="40"/>
      <c r="BX218" s="40"/>
      <c r="BY218" s="40"/>
      <c r="BZ218" s="40"/>
      <c r="CA218" s="40"/>
      <c r="CB218" s="40"/>
      <c r="CC218" s="40"/>
      <c r="CD218" s="40"/>
      <c r="CE218" s="40"/>
      <c r="CF218" s="40"/>
      <c r="CG218" s="40"/>
      <c r="CH218" s="40"/>
      <c r="CI218" s="40"/>
      <c r="CJ218" s="40"/>
      <c r="CK218" s="40"/>
      <c r="CL218" s="40"/>
      <c r="CM218" s="40"/>
      <c r="CN218" s="40"/>
      <c r="CO218" s="40"/>
      <c r="CP218" s="40"/>
      <c r="CQ218" s="40"/>
      <c r="CR218" s="40"/>
      <c r="CS218" s="40"/>
      <c r="CT218" s="40"/>
      <c r="CU218" s="40"/>
      <c r="CV218" s="40"/>
      <c r="CW218" s="40"/>
      <c r="CX218" s="40"/>
      <c r="CY218" s="40"/>
      <c r="CZ218" s="40"/>
      <c r="DA218" s="40"/>
      <c r="DB218" s="40"/>
      <c r="DC218" s="40"/>
      <c r="DD218" s="40"/>
      <c r="DE218" s="40"/>
      <c r="DF218" s="40"/>
      <c r="DG218" s="40"/>
      <c r="DH218" s="40"/>
      <c r="DI218" s="40"/>
      <c r="DJ218" s="40"/>
      <c r="DK218" s="40"/>
      <c r="DL218" s="40"/>
      <c r="DM218" s="40"/>
      <c r="DN218" s="40"/>
      <c r="DO218" s="40"/>
      <c r="DP218" s="40"/>
      <c r="DQ218" s="40"/>
      <c r="DR218" s="40"/>
      <c r="DS218" s="40"/>
      <c r="DT218" s="40"/>
      <c r="DU218" s="40"/>
      <c r="DV218" s="40"/>
      <c r="DW218" s="40"/>
      <c r="DX218" s="40"/>
      <c r="DY218" s="40"/>
      <c r="DZ218" s="40"/>
      <c r="EA218" s="40"/>
      <c r="EB218" s="40"/>
      <c r="EC218" s="40"/>
      <c r="ED218" s="40"/>
      <c r="EE218" s="40"/>
      <c r="EF218" s="40"/>
      <c r="EG218" s="40"/>
      <c r="EH218" s="40"/>
      <c r="EI218" s="40"/>
      <c r="EJ218" s="40"/>
      <c r="EK218" s="40"/>
      <c r="EL218" s="40"/>
      <c r="EM218" s="40"/>
      <c r="EN218" s="40"/>
      <c r="EO218" s="40"/>
      <c r="EP218" s="40"/>
      <c r="EQ218" s="40"/>
      <c r="ER218" s="40"/>
      <c r="ES218" s="40"/>
      <c r="ET218" s="40"/>
      <c r="EU218" s="40"/>
      <c r="EV218" s="40"/>
      <c r="EW218" s="40"/>
    </row>
    <row r="219" spans="1:19" s="52" customFormat="1" ht="43.5" customHeight="1">
      <c r="A219" s="50"/>
      <c r="B219" s="50"/>
      <c r="C219" s="50"/>
      <c r="D219" s="28" t="s">
        <v>149</v>
      </c>
      <c r="E219" s="28" t="s">
        <v>149</v>
      </c>
      <c r="F219" s="51">
        <v>5382485</v>
      </c>
      <c r="G219" s="54">
        <f t="shared" si="16"/>
        <v>5382.5</v>
      </c>
      <c r="H219" s="54">
        <v>59</v>
      </c>
      <c r="I219" s="51">
        <v>3175713</v>
      </c>
      <c r="J219" s="54">
        <f t="shared" si="17"/>
        <v>3175.7</v>
      </c>
      <c r="K219" s="16">
        <f>50000+603355</f>
        <v>653355</v>
      </c>
      <c r="L219" s="16"/>
      <c r="M219" s="16">
        <f t="shared" si="18"/>
        <v>653355</v>
      </c>
      <c r="N219" s="109">
        <f>ROUND(M219/1000,1)-0.1</f>
        <v>653.3</v>
      </c>
      <c r="P219" s="116"/>
      <c r="Q219" s="13"/>
      <c r="R219" s="126"/>
      <c r="S219" s="116"/>
    </row>
    <row r="220" spans="1:19" s="52" customFormat="1" ht="34.5" customHeight="1">
      <c r="A220" s="50"/>
      <c r="B220" s="50"/>
      <c r="C220" s="50"/>
      <c r="D220" s="28" t="s">
        <v>406</v>
      </c>
      <c r="E220" s="28" t="s">
        <v>406</v>
      </c>
      <c r="F220" s="51"/>
      <c r="G220" s="54">
        <f t="shared" si="16"/>
        <v>0</v>
      </c>
      <c r="H220" s="54"/>
      <c r="I220" s="51"/>
      <c r="J220" s="54">
        <f t="shared" si="17"/>
        <v>0</v>
      </c>
      <c r="K220" s="16">
        <v>200000</v>
      </c>
      <c r="L220" s="16"/>
      <c r="M220" s="16">
        <f t="shared" si="18"/>
        <v>200000</v>
      </c>
      <c r="N220" s="109">
        <f t="shared" si="19"/>
        <v>200</v>
      </c>
      <c r="O220" s="40"/>
      <c r="P220" s="116"/>
      <c r="Q220" s="13"/>
      <c r="R220" s="126"/>
      <c r="S220" s="116"/>
    </row>
    <row r="221" spans="1:19" s="52" customFormat="1" ht="38.25" customHeight="1">
      <c r="A221" s="50"/>
      <c r="B221" s="50"/>
      <c r="C221" s="50"/>
      <c r="D221" s="28" t="s">
        <v>370</v>
      </c>
      <c r="E221" s="28" t="s">
        <v>370</v>
      </c>
      <c r="F221" s="51"/>
      <c r="G221" s="54">
        <f t="shared" si="16"/>
        <v>0</v>
      </c>
      <c r="H221" s="54"/>
      <c r="I221" s="51"/>
      <c r="J221" s="54">
        <f t="shared" si="17"/>
        <v>0</v>
      </c>
      <c r="K221" s="16">
        <v>30000</v>
      </c>
      <c r="L221" s="16"/>
      <c r="M221" s="16">
        <f t="shared" si="18"/>
        <v>30000</v>
      </c>
      <c r="N221" s="109">
        <f t="shared" si="19"/>
        <v>30</v>
      </c>
      <c r="P221" s="116"/>
      <c r="Q221" s="13"/>
      <c r="R221" s="126"/>
      <c r="S221" s="116"/>
    </row>
    <row r="222" spans="1:19" s="52" customFormat="1" ht="32.25" customHeight="1">
      <c r="A222" s="50"/>
      <c r="B222" s="50"/>
      <c r="C222" s="50"/>
      <c r="D222" s="53" t="s">
        <v>281</v>
      </c>
      <c r="E222" s="53" t="s">
        <v>281</v>
      </c>
      <c r="F222" s="51"/>
      <c r="G222" s="54">
        <f t="shared" si="16"/>
        <v>0</v>
      </c>
      <c r="H222" s="54"/>
      <c r="I222" s="51"/>
      <c r="J222" s="54">
        <f t="shared" si="17"/>
        <v>0</v>
      </c>
      <c r="K222" s="16">
        <v>8500</v>
      </c>
      <c r="L222" s="16"/>
      <c r="M222" s="16">
        <f t="shared" si="18"/>
        <v>8500</v>
      </c>
      <c r="N222" s="109">
        <f t="shared" si="19"/>
        <v>8.5</v>
      </c>
      <c r="P222" s="116"/>
      <c r="Q222" s="13"/>
      <c r="R222" s="126"/>
      <c r="S222" s="116"/>
    </row>
    <row r="223" spans="1:19" s="52" customFormat="1" ht="52.5" customHeight="1">
      <c r="A223" s="50"/>
      <c r="B223" s="50"/>
      <c r="C223" s="50"/>
      <c r="D223" s="28" t="s">
        <v>150</v>
      </c>
      <c r="E223" s="28" t="s">
        <v>150</v>
      </c>
      <c r="F223" s="63"/>
      <c r="G223" s="54">
        <f t="shared" si="16"/>
        <v>0</v>
      </c>
      <c r="H223" s="54"/>
      <c r="I223" s="51"/>
      <c r="J223" s="54">
        <f t="shared" si="17"/>
        <v>0</v>
      </c>
      <c r="K223" s="16">
        <v>500000</v>
      </c>
      <c r="L223" s="16"/>
      <c r="M223" s="16">
        <f t="shared" si="18"/>
        <v>500000</v>
      </c>
      <c r="N223" s="109">
        <f t="shared" si="19"/>
        <v>500</v>
      </c>
      <c r="P223" s="116"/>
      <c r="Q223" s="13"/>
      <c r="R223" s="126"/>
      <c r="S223" s="116"/>
    </row>
    <row r="224" spans="1:19" s="52" customFormat="1" ht="61.5" customHeight="1">
      <c r="A224" s="50"/>
      <c r="B224" s="50"/>
      <c r="C224" s="50"/>
      <c r="D224" s="28" t="s">
        <v>151</v>
      </c>
      <c r="E224" s="28" t="s">
        <v>151</v>
      </c>
      <c r="F224" s="51">
        <v>1388402</v>
      </c>
      <c r="G224" s="54">
        <f t="shared" si="16"/>
        <v>1388.4</v>
      </c>
      <c r="H224" s="54">
        <v>97.1</v>
      </c>
      <c r="I224" s="51">
        <v>1348369</v>
      </c>
      <c r="J224" s="54">
        <f t="shared" si="17"/>
        <v>1348.4</v>
      </c>
      <c r="K224" s="16">
        <f>986000+400000-57000</f>
        <v>1329000</v>
      </c>
      <c r="L224" s="16"/>
      <c r="M224" s="16">
        <f t="shared" si="18"/>
        <v>1329000</v>
      </c>
      <c r="N224" s="109">
        <f t="shared" si="19"/>
        <v>1329</v>
      </c>
      <c r="P224" s="116"/>
      <c r="Q224" s="13"/>
      <c r="R224" s="126"/>
      <c r="S224" s="116"/>
    </row>
    <row r="225" spans="1:19" s="52" customFormat="1" ht="42" customHeight="1">
      <c r="A225" s="50"/>
      <c r="B225" s="50"/>
      <c r="C225" s="50"/>
      <c r="D225" s="28" t="s">
        <v>405</v>
      </c>
      <c r="E225" s="28" t="s">
        <v>405</v>
      </c>
      <c r="F225" s="51"/>
      <c r="G225" s="54">
        <f t="shared" si="16"/>
        <v>0</v>
      </c>
      <c r="H225" s="54"/>
      <c r="I225" s="51"/>
      <c r="J225" s="54">
        <f t="shared" si="17"/>
        <v>0</v>
      </c>
      <c r="K225" s="16">
        <v>70000</v>
      </c>
      <c r="L225" s="16"/>
      <c r="M225" s="16">
        <f t="shared" si="18"/>
        <v>70000</v>
      </c>
      <c r="N225" s="109">
        <f t="shared" si="19"/>
        <v>70</v>
      </c>
      <c r="O225" s="67"/>
      <c r="P225" s="116"/>
      <c r="Q225" s="13"/>
      <c r="R225" s="126"/>
      <c r="S225" s="116"/>
    </row>
    <row r="226" spans="1:19" s="52" customFormat="1" ht="58.5" customHeight="1">
      <c r="A226" s="50"/>
      <c r="B226" s="50"/>
      <c r="C226" s="50"/>
      <c r="D226" s="28" t="s">
        <v>152</v>
      </c>
      <c r="E226" s="28" t="s">
        <v>152</v>
      </c>
      <c r="F226" s="51">
        <v>1479061</v>
      </c>
      <c r="G226" s="54">
        <f t="shared" si="16"/>
        <v>1479.1</v>
      </c>
      <c r="H226" s="54">
        <v>98.39</v>
      </c>
      <c r="I226" s="51">
        <v>1455282</v>
      </c>
      <c r="J226" s="54">
        <f t="shared" si="17"/>
        <v>1455.3</v>
      </c>
      <c r="K226" s="16">
        <v>1455000</v>
      </c>
      <c r="L226" s="16">
        <v>-12823</v>
      </c>
      <c r="M226" s="16">
        <f t="shared" si="18"/>
        <v>1442177</v>
      </c>
      <c r="N226" s="109">
        <f t="shared" si="19"/>
        <v>1442.2</v>
      </c>
      <c r="O226" s="40"/>
      <c r="P226" s="116"/>
      <c r="Q226" s="13"/>
      <c r="R226" s="126"/>
      <c r="S226" s="116"/>
    </row>
    <row r="227" spans="1:19" s="67" customFormat="1" ht="35.25" customHeight="1">
      <c r="A227" s="57">
        <v>1517322</v>
      </c>
      <c r="B227" s="18" t="s">
        <v>136</v>
      </c>
      <c r="C227" s="18" t="s">
        <v>49</v>
      </c>
      <c r="D227" s="58" t="s">
        <v>451</v>
      </c>
      <c r="E227" s="59"/>
      <c r="F227" s="65"/>
      <c r="G227" s="54">
        <f t="shared" si="16"/>
        <v>0</v>
      </c>
      <c r="H227" s="66"/>
      <c r="I227" s="51"/>
      <c r="J227" s="54">
        <f t="shared" si="17"/>
        <v>0</v>
      </c>
      <c r="K227" s="32">
        <f>K228+K230</f>
        <v>4980000</v>
      </c>
      <c r="L227" s="32">
        <f>L228+L230</f>
        <v>0</v>
      </c>
      <c r="M227" s="32">
        <f>M228+M230</f>
        <v>4980000</v>
      </c>
      <c r="N227" s="111">
        <f>N228+N230</f>
        <v>4980</v>
      </c>
      <c r="O227" s="52"/>
      <c r="P227" s="116"/>
      <c r="Q227" s="13"/>
      <c r="R227" s="126"/>
      <c r="S227" s="116"/>
    </row>
    <row r="228" spans="1:153" s="17" customFormat="1" ht="27.75" customHeight="1">
      <c r="A228" s="49"/>
      <c r="B228" s="50"/>
      <c r="C228" s="50"/>
      <c r="D228" s="62" t="s">
        <v>138</v>
      </c>
      <c r="E228" s="62" t="s">
        <v>138</v>
      </c>
      <c r="F228" s="55"/>
      <c r="G228" s="54">
        <f t="shared" si="16"/>
        <v>0</v>
      </c>
      <c r="H228" s="47"/>
      <c r="I228" s="51"/>
      <c r="J228" s="54">
        <f t="shared" si="17"/>
        <v>0</v>
      </c>
      <c r="K228" s="12">
        <f>K229</f>
        <v>20000</v>
      </c>
      <c r="L228" s="12">
        <f>L229</f>
        <v>0</v>
      </c>
      <c r="M228" s="12">
        <f>M229</f>
        <v>20000</v>
      </c>
      <c r="N228" s="106">
        <f>N229</f>
        <v>20</v>
      </c>
      <c r="O228" s="52"/>
      <c r="P228" s="116"/>
      <c r="Q228" s="13"/>
      <c r="R228" s="126"/>
      <c r="S228" s="116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F228" s="40"/>
      <c r="AG228" s="40"/>
      <c r="AH228" s="40"/>
      <c r="AI228" s="40"/>
      <c r="AJ228" s="40"/>
      <c r="AK228" s="40"/>
      <c r="AL228" s="40"/>
      <c r="AM228" s="40"/>
      <c r="AN228" s="40"/>
      <c r="AO228" s="40"/>
      <c r="AP228" s="40"/>
      <c r="AQ228" s="40"/>
      <c r="AR228" s="40"/>
      <c r="AS228" s="40"/>
      <c r="AT228" s="40"/>
      <c r="AU228" s="40"/>
      <c r="AV228" s="40"/>
      <c r="AW228" s="40"/>
      <c r="AX228" s="40"/>
      <c r="AY228" s="40"/>
      <c r="AZ228" s="40"/>
      <c r="BA228" s="40"/>
      <c r="BB228" s="40"/>
      <c r="BC228" s="40"/>
      <c r="BD228" s="40"/>
      <c r="BE228" s="40"/>
      <c r="BF228" s="40"/>
      <c r="BG228" s="40"/>
      <c r="BH228" s="40"/>
      <c r="BI228" s="40"/>
      <c r="BJ228" s="40"/>
      <c r="BK228" s="40"/>
      <c r="BL228" s="40"/>
      <c r="BM228" s="40"/>
      <c r="BN228" s="40"/>
      <c r="BO228" s="40"/>
      <c r="BP228" s="40"/>
      <c r="BQ228" s="40"/>
      <c r="BR228" s="40"/>
      <c r="BS228" s="40"/>
      <c r="BT228" s="40"/>
      <c r="BU228" s="40"/>
      <c r="BV228" s="40"/>
      <c r="BW228" s="40"/>
      <c r="BX228" s="40"/>
      <c r="BY228" s="40"/>
      <c r="BZ228" s="40"/>
      <c r="CA228" s="40"/>
      <c r="CB228" s="40"/>
      <c r="CC228" s="40"/>
      <c r="CD228" s="40"/>
      <c r="CE228" s="40"/>
      <c r="CF228" s="40"/>
      <c r="CG228" s="40"/>
      <c r="CH228" s="40"/>
      <c r="CI228" s="40"/>
      <c r="CJ228" s="40"/>
      <c r="CK228" s="40"/>
      <c r="CL228" s="40"/>
      <c r="CM228" s="40"/>
      <c r="CN228" s="40"/>
      <c r="CO228" s="40"/>
      <c r="CP228" s="40"/>
      <c r="CQ228" s="40"/>
      <c r="CR228" s="40"/>
      <c r="CS228" s="40"/>
      <c r="CT228" s="40"/>
      <c r="CU228" s="40"/>
      <c r="CV228" s="40"/>
      <c r="CW228" s="40"/>
      <c r="CX228" s="40"/>
      <c r="CY228" s="40"/>
      <c r="CZ228" s="40"/>
      <c r="DA228" s="40"/>
      <c r="DB228" s="40"/>
      <c r="DC228" s="40"/>
      <c r="DD228" s="40"/>
      <c r="DE228" s="40"/>
      <c r="DF228" s="40"/>
      <c r="DG228" s="40"/>
      <c r="DH228" s="40"/>
      <c r="DI228" s="40"/>
      <c r="DJ228" s="40"/>
      <c r="DK228" s="40"/>
      <c r="DL228" s="40"/>
      <c r="DM228" s="40"/>
      <c r="DN228" s="40"/>
      <c r="DO228" s="40"/>
      <c r="DP228" s="40"/>
      <c r="DQ228" s="40"/>
      <c r="DR228" s="40"/>
      <c r="DS228" s="40"/>
      <c r="DT228" s="40"/>
      <c r="DU228" s="40"/>
      <c r="DV228" s="40"/>
      <c r="DW228" s="40"/>
      <c r="DX228" s="40"/>
      <c r="DY228" s="40"/>
      <c r="DZ228" s="40"/>
      <c r="EA228" s="40"/>
      <c r="EB228" s="40"/>
      <c r="EC228" s="40"/>
      <c r="ED228" s="40"/>
      <c r="EE228" s="40"/>
      <c r="EF228" s="40"/>
      <c r="EG228" s="40"/>
      <c r="EH228" s="40"/>
      <c r="EI228" s="40"/>
      <c r="EJ228" s="40"/>
      <c r="EK228" s="40"/>
      <c r="EL228" s="40"/>
      <c r="EM228" s="40"/>
      <c r="EN228" s="40"/>
      <c r="EO228" s="40"/>
      <c r="EP228" s="40"/>
      <c r="EQ228" s="40"/>
      <c r="ER228" s="40"/>
      <c r="ES228" s="40"/>
      <c r="ET228" s="40"/>
      <c r="EU228" s="40"/>
      <c r="EV228" s="40"/>
      <c r="EW228" s="40"/>
    </row>
    <row r="229" spans="1:19" s="52" customFormat="1" ht="36" customHeight="1">
      <c r="A229" s="10"/>
      <c r="B229" s="50"/>
      <c r="C229" s="50"/>
      <c r="D229" s="53" t="s">
        <v>240</v>
      </c>
      <c r="E229" s="53" t="s">
        <v>240</v>
      </c>
      <c r="F229" s="51"/>
      <c r="G229" s="54">
        <f t="shared" si="16"/>
        <v>0</v>
      </c>
      <c r="H229" s="54"/>
      <c r="I229" s="51"/>
      <c r="J229" s="54">
        <f t="shared" si="17"/>
        <v>0</v>
      </c>
      <c r="K229" s="16">
        <v>20000</v>
      </c>
      <c r="L229" s="16"/>
      <c r="M229" s="16">
        <f t="shared" si="18"/>
        <v>20000</v>
      </c>
      <c r="N229" s="109">
        <f t="shared" si="19"/>
        <v>20</v>
      </c>
      <c r="P229" s="116"/>
      <c r="Q229" s="13"/>
      <c r="R229" s="126"/>
      <c r="S229" s="116"/>
    </row>
    <row r="230" spans="1:153" s="17" customFormat="1" ht="28.5" customHeight="1">
      <c r="A230" s="49"/>
      <c r="B230" s="50"/>
      <c r="C230" s="50"/>
      <c r="D230" s="30" t="s">
        <v>141</v>
      </c>
      <c r="E230" s="30" t="s">
        <v>141</v>
      </c>
      <c r="F230" s="55"/>
      <c r="G230" s="54">
        <f t="shared" si="16"/>
        <v>0</v>
      </c>
      <c r="H230" s="47"/>
      <c r="I230" s="51"/>
      <c r="J230" s="54">
        <f t="shared" si="17"/>
        <v>0</v>
      </c>
      <c r="K230" s="12">
        <f>SUM(K231:K234)</f>
        <v>4960000</v>
      </c>
      <c r="L230" s="12">
        <f>SUM(L231:L234)</f>
        <v>0</v>
      </c>
      <c r="M230" s="12">
        <f>SUM(M231:M234)</f>
        <v>4960000</v>
      </c>
      <c r="N230" s="106">
        <f>SUM(N231:N234)</f>
        <v>4960</v>
      </c>
      <c r="O230" s="52"/>
      <c r="P230" s="116"/>
      <c r="Q230" s="13"/>
      <c r="R230" s="126"/>
      <c r="S230" s="116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F230" s="40"/>
      <c r="AG230" s="40"/>
      <c r="AH230" s="40"/>
      <c r="AI230" s="40"/>
      <c r="AJ230" s="40"/>
      <c r="AK230" s="40"/>
      <c r="AL230" s="40"/>
      <c r="AM230" s="40"/>
      <c r="AN230" s="40"/>
      <c r="AO230" s="40"/>
      <c r="AP230" s="40"/>
      <c r="AQ230" s="40"/>
      <c r="AR230" s="40"/>
      <c r="AS230" s="40"/>
      <c r="AT230" s="40"/>
      <c r="AU230" s="40"/>
      <c r="AV230" s="40"/>
      <c r="AW230" s="40"/>
      <c r="AX230" s="40"/>
      <c r="AY230" s="40"/>
      <c r="AZ230" s="40"/>
      <c r="BA230" s="40"/>
      <c r="BB230" s="40"/>
      <c r="BC230" s="40"/>
      <c r="BD230" s="40"/>
      <c r="BE230" s="40"/>
      <c r="BF230" s="40"/>
      <c r="BG230" s="40"/>
      <c r="BH230" s="40"/>
      <c r="BI230" s="40"/>
      <c r="BJ230" s="40"/>
      <c r="BK230" s="40"/>
      <c r="BL230" s="40"/>
      <c r="BM230" s="40"/>
      <c r="BN230" s="40"/>
      <c r="BO230" s="40"/>
      <c r="BP230" s="40"/>
      <c r="BQ230" s="40"/>
      <c r="BR230" s="40"/>
      <c r="BS230" s="40"/>
      <c r="BT230" s="40"/>
      <c r="BU230" s="40"/>
      <c r="BV230" s="40"/>
      <c r="BW230" s="40"/>
      <c r="BX230" s="40"/>
      <c r="BY230" s="40"/>
      <c r="BZ230" s="40"/>
      <c r="CA230" s="40"/>
      <c r="CB230" s="40"/>
      <c r="CC230" s="40"/>
      <c r="CD230" s="40"/>
      <c r="CE230" s="40"/>
      <c r="CF230" s="40"/>
      <c r="CG230" s="40"/>
      <c r="CH230" s="40"/>
      <c r="CI230" s="40"/>
      <c r="CJ230" s="40"/>
      <c r="CK230" s="40"/>
      <c r="CL230" s="40"/>
      <c r="CM230" s="40"/>
      <c r="CN230" s="40"/>
      <c r="CO230" s="40"/>
      <c r="CP230" s="40"/>
      <c r="CQ230" s="40"/>
      <c r="CR230" s="40"/>
      <c r="CS230" s="40"/>
      <c r="CT230" s="40"/>
      <c r="CU230" s="40"/>
      <c r="CV230" s="40"/>
      <c r="CW230" s="40"/>
      <c r="CX230" s="40"/>
      <c r="CY230" s="40"/>
      <c r="CZ230" s="40"/>
      <c r="DA230" s="40"/>
      <c r="DB230" s="40"/>
      <c r="DC230" s="40"/>
      <c r="DD230" s="40"/>
      <c r="DE230" s="40"/>
      <c r="DF230" s="40"/>
      <c r="DG230" s="40"/>
      <c r="DH230" s="40"/>
      <c r="DI230" s="40"/>
      <c r="DJ230" s="40"/>
      <c r="DK230" s="40"/>
      <c r="DL230" s="40"/>
      <c r="DM230" s="40"/>
      <c r="DN230" s="40"/>
      <c r="DO230" s="40"/>
      <c r="DP230" s="40"/>
      <c r="DQ230" s="40"/>
      <c r="DR230" s="40"/>
      <c r="DS230" s="40"/>
      <c r="DT230" s="40"/>
      <c r="DU230" s="40"/>
      <c r="DV230" s="40"/>
      <c r="DW230" s="40"/>
      <c r="DX230" s="40"/>
      <c r="DY230" s="40"/>
      <c r="DZ230" s="40"/>
      <c r="EA230" s="40"/>
      <c r="EB230" s="40"/>
      <c r="EC230" s="40"/>
      <c r="ED230" s="40"/>
      <c r="EE230" s="40"/>
      <c r="EF230" s="40"/>
      <c r="EG230" s="40"/>
      <c r="EH230" s="40"/>
      <c r="EI230" s="40"/>
      <c r="EJ230" s="40"/>
      <c r="EK230" s="40"/>
      <c r="EL230" s="40"/>
      <c r="EM230" s="40"/>
      <c r="EN230" s="40"/>
      <c r="EO230" s="40"/>
      <c r="EP230" s="40"/>
      <c r="EQ230" s="40"/>
      <c r="ER230" s="40"/>
      <c r="ES230" s="40"/>
      <c r="ET230" s="40"/>
      <c r="EU230" s="40"/>
      <c r="EV230" s="40"/>
      <c r="EW230" s="40"/>
    </row>
    <row r="231" spans="1:19" s="52" customFormat="1" ht="35.25" customHeight="1">
      <c r="A231" s="10"/>
      <c r="B231" s="50"/>
      <c r="C231" s="50"/>
      <c r="D231" s="53" t="s">
        <v>173</v>
      </c>
      <c r="E231" s="53" t="s">
        <v>173</v>
      </c>
      <c r="F231" s="68">
        <v>16272770</v>
      </c>
      <c r="G231" s="54">
        <f t="shared" si="16"/>
        <v>16272.8</v>
      </c>
      <c r="H231" s="69">
        <v>98.66</v>
      </c>
      <c r="I231" s="51">
        <v>16054529</v>
      </c>
      <c r="J231" s="54">
        <f t="shared" si="17"/>
        <v>16054.5</v>
      </c>
      <c r="K231" s="16">
        <f>2000000+300000</f>
        <v>2300000</v>
      </c>
      <c r="L231" s="16"/>
      <c r="M231" s="16">
        <f t="shared" si="18"/>
        <v>2300000</v>
      </c>
      <c r="N231" s="109">
        <f t="shared" si="19"/>
        <v>2300</v>
      </c>
      <c r="P231" s="116"/>
      <c r="Q231" s="13"/>
      <c r="R231" s="126"/>
      <c r="S231" s="116"/>
    </row>
    <row r="232" spans="1:19" s="52" customFormat="1" ht="46.5" customHeight="1">
      <c r="A232" s="10"/>
      <c r="B232" s="50"/>
      <c r="C232" s="50"/>
      <c r="D232" s="15" t="s">
        <v>153</v>
      </c>
      <c r="E232" s="15" t="s">
        <v>153</v>
      </c>
      <c r="F232" s="68"/>
      <c r="G232" s="54">
        <f t="shared" si="16"/>
        <v>0</v>
      </c>
      <c r="H232" s="70"/>
      <c r="I232" s="51"/>
      <c r="J232" s="54">
        <f t="shared" si="17"/>
        <v>0</v>
      </c>
      <c r="K232" s="16">
        <v>9000</v>
      </c>
      <c r="L232" s="16"/>
      <c r="M232" s="16">
        <f t="shared" si="18"/>
        <v>9000</v>
      </c>
      <c r="N232" s="109">
        <f t="shared" si="19"/>
        <v>9</v>
      </c>
      <c r="P232" s="116"/>
      <c r="Q232" s="13"/>
      <c r="R232" s="126"/>
      <c r="S232" s="116"/>
    </row>
    <row r="233" spans="1:19" s="52" customFormat="1" ht="38.25" customHeight="1">
      <c r="A233" s="10"/>
      <c r="B233" s="50"/>
      <c r="C233" s="50"/>
      <c r="D233" s="15" t="s">
        <v>154</v>
      </c>
      <c r="E233" s="15" t="s">
        <v>154</v>
      </c>
      <c r="F233" s="68">
        <v>1591924</v>
      </c>
      <c r="G233" s="54">
        <f t="shared" si="16"/>
        <v>1591.9</v>
      </c>
      <c r="H233" s="69">
        <v>100</v>
      </c>
      <c r="I233" s="51">
        <v>1591924</v>
      </c>
      <c r="J233" s="54">
        <f t="shared" si="17"/>
        <v>1591.9</v>
      </c>
      <c r="K233" s="16">
        <f>1000000+350000-12000</f>
        <v>1338000</v>
      </c>
      <c r="L233" s="16"/>
      <c r="M233" s="16">
        <f t="shared" si="18"/>
        <v>1338000</v>
      </c>
      <c r="N233" s="109">
        <f t="shared" si="19"/>
        <v>1338</v>
      </c>
      <c r="P233" s="116"/>
      <c r="Q233" s="13"/>
      <c r="R233" s="126"/>
      <c r="S233" s="116"/>
    </row>
    <row r="234" spans="1:153" ht="57.75" customHeight="1">
      <c r="A234" s="10"/>
      <c r="B234" s="50"/>
      <c r="C234" s="50"/>
      <c r="D234" s="28" t="s">
        <v>174</v>
      </c>
      <c r="E234" s="28" t="s">
        <v>174</v>
      </c>
      <c r="F234" s="56"/>
      <c r="G234" s="54">
        <f t="shared" si="16"/>
        <v>0</v>
      </c>
      <c r="H234" s="54"/>
      <c r="I234" s="51"/>
      <c r="J234" s="54">
        <f t="shared" si="17"/>
        <v>0</v>
      </c>
      <c r="K234" s="16">
        <f>1000000+350000-37000</f>
        <v>1313000</v>
      </c>
      <c r="L234" s="16"/>
      <c r="M234" s="16">
        <f t="shared" si="18"/>
        <v>1313000</v>
      </c>
      <c r="N234" s="109">
        <f t="shared" si="19"/>
        <v>1313</v>
      </c>
      <c r="O234" s="52"/>
      <c r="P234" s="116"/>
      <c r="Q234" s="13"/>
      <c r="R234" s="126"/>
      <c r="S234" s="116"/>
      <c r="T234" s="52"/>
      <c r="U234" s="52"/>
      <c r="V234" s="52"/>
      <c r="W234" s="52"/>
      <c r="X234" s="52"/>
      <c r="Y234" s="52"/>
      <c r="Z234" s="52"/>
      <c r="AA234" s="52"/>
      <c r="AB234" s="52"/>
      <c r="AC234" s="52"/>
      <c r="AD234" s="52"/>
      <c r="AE234" s="52"/>
      <c r="AF234" s="52"/>
      <c r="AG234" s="52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2"/>
      <c r="AU234" s="52"/>
      <c r="AV234" s="52"/>
      <c r="AW234" s="52"/>
      <c r="AX234" s="52"/>
      <c r="AY234" s="52"/>
      <c r="AZ234" s="52"/>
      <c r="BA234" s="52"/>
      <c r="BB234" s="52"/>
      <c r="BC234" s="52"/>
      <c r="BD234" s="52"/>
      <c r="BE234" s="52"/>
      <c r="BF234" s="52"/>
      <c r="BG234" s="52"/>
      <c r="BH234" s="52"/>
      <c r="BI234" s="52"/>
      <c r="BJ234" s="52"/>
      <c r="BK234" s="52"/>
      <c r="BL234" s="52"/>
      <c r="BM234" s="52"/>
      <c r="BN234" s="52"/>
      <c r="BO234" s="52"/>
      <c r="BP234" s="52"/>
      <c r="BQ234" s="52"/>
      <c r="BR234" s="52"/>
      <c r="BS234" s="52"/>
      <c r="BT234" s="52"/>
      <c r="BU234" s="52"/>
      <c r="BV234" s="52"/>
      <c r="BW234" s="52"/>
      <c r="BX234" s="52"/>
      <c r="BY234" s="52"/>
      <c r="BZ234" s="52"/>
      <c r="CA234" s="52"/>
      <c r="CB234" s="52"/>
      <c r="CC234" s="52"/>
      <c r="CD234" s="52"/>
      <c r="CE234" s="52"/>
      <c r="CF234" s="52"/>
      <c r="CG234" s="52"/>
      <c r="CH234" s="52"/>
      <c r="CI234" s="52"/>
      <c r="CJ234" s="52"/>
      <c r="CK234" s="52"/>
      <c r="CL234" s="52"/>
      <c r="CM234" s="52"/>
      <c r="CN234" s="52"/>
      <c r="CO234" s="52"/>
      <c r="CP234" s="52"/>
      <c r="CQ234" s="52"/>
      <c r="CR234" s="52"/>
      <c r="CS234" s="52"/>
      <c r="CT234" s="52"/>
      <c r="CU234" s="52"/>
      <c r="CV234" s="52"/>
      <c r="CW234" s="52"/>
      <c r="CX234" s="52"/>
      <c r="CY234" s="52"/>
      <c r="CZ234" s="52"/>
      <c r="DA234" s="52"/>
      <c r="DB234" s="52"/>
      <c r="DC234" s="52"/>
      <c r="DD234" s="52"/>
      <c r="DE234" s="52"/>
      <c r="DF234" s="52"/>
      <c r="DG234" s="52"/>
      <c r="DH234" s="52"/>
      <c r="DI234" s="52"/>
      <c r="DJ234" s="52"/>
      <c r="DK234" s="52"/>
      <c r="DL234" s="52"/>
      <c r="DM234" s="52"/>
      <c r="DN234" s="52"/>
      <c r="DO234" s="52"/>
      <c r="DP234" s="52"/>
      <c r="DQ234" s="52"/>
      <c r="DR234" s="52"/>
      <c r="DS234" s="52"/>
      <c r="DT234" s="52"/>
      <c r="DU234" s="52"/>
      <c r="DV234" s="52"/>
      <c r="DW234" s="52"/>
      <c r="DX234" s="52"/>
      <c r="DY234" s="52"/>
      <c r="DZ234" s="52"/>
      <c r="EA234" s="52"/>
      <c r="EB234" s="52"/>
      <c r="EC234" s="52"/>
      <c r="ED234" s="52"/>
      <c r="EE234" s="52"/>
      <c r="EF234" s="52"/>
      <c r="EG234" s="52"/>
      <c r="EH234" s="52"/>
      <c r="EI234" s="52"/>
      <c r="EJ234" s="52"/>
      <c r="EK234" s="52"/>
      <c r="EL234" s="52"/>
      <c r="EM234" s="52"/>
      <c r="EN234" s="52"/>
      <c r="EO234" s="52"/>
      <c r="EP234" s="52"/>
      <c r="EQ234" s="52"/>
      <c r="ER234" s="52"/>
      <c r="ES234" s="52"/>
      <c r="ET234" s="52"/>
      <c r="EU234" s="52"/>
      <c r="EV234" s="52"/>
      <c r="EW234" s="52"/>
    </row>
    <row r="235" spans="1:153" s="141" customFormat="1" ht="36" customHeight="1">
      <c r="A235" s="57">
        <v>1517325</v>
      </c>
      <c r="B235" s="18" t="s">
        <v>137</v>
      </c>
      <c r="C235" s="18" t="s">
        <v>49</v>
      </c>
      <c r="D235" s="58" t="s">
        <v>452</v>
      </c>
      <c r="E235" s="133"/>
      <c r="F235" s="71"/>
      <c r="G235" s="54">
        <f t="shared" si="16"/>
        <v>0</v>
      </c>
      <c r="H235" s="66"/>
      <c r="I235" s="51"/>
      <c r="J235" s="54">
        <f t="shared" si="17"/>
        <v>0</v>
      </c>
      <c r="K235" s="32">
        <f>K236</f>
        <v>4761000</v>
      </c>
      <c r="L235" s="32">
        <f>L236</f>
        <v>0</v>
      </c>
      <c r="M235" s="32">
        <f>M236</f>
        <v>4761000</v>
      </c>
      <c r="N235" s="111">
        <f>N236</f>
        <v>4761</v>
      </c>
      <c r="O235" s="52"/>
      <c r="P235" s="116"/>
      <c r="Q235" s="13"/>
      <c r="R235" s="126"/>
      <c r="S235" s="116"/>
      <c r="T235" s="67"/>
      <c r="U235" s="67"/>
      <c r="V235" s="67"/>
      <c r="W235" s="67"/>
      <c r="X235" s="67"/>
      <c r="Y235" s="67"/>
      <c r="Z235" s="67"/>
      <c r="AA235" s="67"/>
      <c r="AB235" s="67"/>
      <c r="AC235" s="67"/>
      <c r="AD235" s="67"/>
      <c r="AE235" s="67"/>
      <c r="AF235" s="67"/>
      <c r="AG235" s="67"/>
      <c r="AH235" s="67"/>
      <c r="AI235" s="67"/>
      <c r="AJ235" s="67"/>
      <c r="AK235" s="67"/>
      <c r="AL235" s="67"/>
      <c r="AM235" s="67"/>
      <c r="AN235" s="67"/>
      <c r="AO235" s="67"/>
      <c r="AP235" s="67"/>
      <c r="AQ235" s="67"/>
      <c r="AR235" s="67"/>
      <c r="AS235" s="67"/>
      <c r="AT235" s="67"/>
      <c r="AU235" s="67"/>
      <c r="AV235" s="67"/>
      <c r="AW235" s="67"/>
      <c r="AX235" s="67"/>
      <c r="AY235" s="67"/>
      <c r="AZ235" s="67"/>
      <c r="BA235" s="67"/>
      <c r="BB235" s="67"/>
      <c r="BC235" s="67"/>
      <c r="BD235" s="67"/>
      <c r="BE235" s="67"/>
      <c r="BF235" s="67"/>
      <c r="BG235" s="67"/>
      <c r="BH235" s="67"/>
      <c r="BI235" s="67"/>
      <c r="BJ235" s="67"/>
      <c r="BK235" s="67"/>
      <c r="BL235" s="67"/>
      <c r="BM235" s="67"/>
      <c r="BN235" s="67"/>
      <c r="BO235" s="67"/>
      <c r="BP235" s="67"/>
      <c r="BQ235" s="67"/>
      <c r="BR235" s="67"/>
      <c r="BS235" s="67"/>
      <c r="BT235" s="67"/>
      <c r="BU235" s="67"/>
      <c r="BV235" s="67"/>
      <c r="BW235" s="67"/>
      <c r="BX235" s="67"/>
      <c r="BY235" s="67"/>
      <c r="BZ235" s="67"/>
      <c r="CA235" s="67"/>
      <c r="CB235" s="67"/>
      <c r="CC235" s="67"/>
      <c r="CD235" s="67"/>
      <c r="CE235" s="67"/>
      <c r="CF235" s="67"/>
      <c r="CG235" s="67"/>
      <c r="CH235" s="67"/>
      <c r="CI235" s="67"/>
      <c r="CJ235" s="67"/>
      <c r="CK235" s="67"/>
      <c r="CL235" s="67"/>
      <c r="CM235" s="67"/>
      <c r="CN235" s="67"/>
      <c r="CO235" s="67"/>
      <c r="CP235" s="67"/>
      <c r="CQ235" s="67"/>
      <c r="CR235" s="67"/>
      <c r="CS235" s="67"/>
      <c r="CT235" s="67"/>
      <c r="CU235" s="67"/>
      <c r="CV235" s="67"/>
      <c r="CW235" s="67"/>
      <c r="CX235" s="67"/>
      <c r="CY235" s="67"/>
      <c r="CZ235" s="67"/>
      <c r="DA235" s="67"/>
      <c r="DB235" s="67"/>
      <c r="DC235" s="67"/>
      <c r="DD235" s="67"/>
      <c r="DE235" s="67"/>
      <c r="DF235" s="67"/>
      <c r="DG235" s="67"/>
      <c r="DH235" s="67"/>
      <c r="DI235" s="67"/>
      <c r="DJ235" s="67"/>
      <c r="DK235" s="67"/>
      <c r="DL235" s="67"/>
      <c r="DM235" s="67"/>
      <c r="DN235" s="67"/>
      <c r="DO235" s="67"/>
      <c r="DP235" s="67"/>
      <c r="DQ235" s="67"/>
      <c r="DR235" s="67"/>
      <c r="DS235" s="67"/>
      <c r="DT235" s="67"/>
      <c r="DU235" s="67"/>
      <c r="DV235" s="67"/>
      <c r="DW235" s="67"/>
      <c r="DX235" s="67"/>
      <c r="DY235" s="67"/>
      <c r="DZ235" s="67"/>
      <c r="EA235" s="67"/>
      <c r="EB235" s="67"/>
      <c r="EC235" s="67"/>
      <c r="ED235" s="67"/>
      <c r="EE235" s="67"/>
      <c r="EF235" s="67"/>
      <c r="EG235" s="67"/>
      <c r="EH235" s="67"/>
      <c r="EI235" s="67"/>
      <c r="EJ235" s="67"/>
      <c r="EK235" s="67"/>
      <c r="EL235" s="67"/>
      <c r="EM235" s="67"/>
      <c r="EN235" s="67"/>
      <c r="EO235" s="67"/>
      <c r="EP235" s="67"/>
      <c r="EQ235" s="67"/>
      <c r="ER235" s="67"/>
      <c r="ES235" s="67"/>
      <c r="ET235" s="67"/>
      <c r="EU235" s="67"/>
      <c r="EV235" s="67"/>
      <c r="EW235" s="67"/>
    </row>
    <row r="236" spans="1:153" s="17" customFormat="1" ht="33.75" customHeight="1">
      <c r="A236" s="49"/>
      <c r="B236" s="50"/>
      <c r="C236" s="50"/>
      <c r="D236" s="30" t="s">
        <v>141</v>
      </c>
      <c r="E236" s="30" t="s">
        <v>141</v>
      </c>
      <c r="F236" s="55"/>
      <c r="G236" s="54">
        <f t="shared" si="16"/>
        <v>0</v>
      </c>
      <c r="H236" s="47"/>
      <c r="I236" s="51"/>
      <c r="J236" s="54">
        <f t="shared" si="17"/>
        <v>0</v>
      </c>
      <c r="K236" s="12">
        <f>SUM(K237:K241)</f>
        <v>4761000</v>
      </c>
      <c r="L236" s="12">
        <f>SUM(L237:L241)</f>
        <v>0</v>
      </c>
      <c r="M236" s="12">
        <f>SUM(M237:M241)</f>
        <v>4761000</v>
      </c>
      <c r="N236" s="106">
        <f>SUM(N237:N241)</f>
        <v>4761</v>
      </c>
      <c r="O236" s="52"/>
      <c r="P236" s="116"/>
      <c r="Q236" s="13"/>
      <c r="R236" s="126"/>
      <c r="S236" s="116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F236" s="40"/>
      <c r="AG236" s="40"/>
      <c r="AH236" s="40"/>
      <c r="AI236" s="40"/>
      <c r="AJ236" s="40"/>
      <c r="AK236" s="40"/>
      <c r="AL236" s="40"/>
      <c r="AM236" s="40"/>
      <c r="AN236" s="40"/>
      <c r="AO236" s="40"/>
      <c r="AP236" s="40"/>
      <c r="AQ236" s="40"/>
      <c r="AR236" s="40"/>
      <c r="AS236" s="40"/>
      <c r="AT236" s="40"/>
      <c r="AU236" s="40"/>
      <c r="AV236" s="40"/>
      <c r="AW236" s="40"/>
      <c r="AX236" s="40"/>
      <c r="AY236" s="40"/>
      <c r="AZ236" s="40"/>
      <c r="BA236" s="40"/>
      <c r="BB236" s="40"/>
      <c r="BC236" s="40"/>
      <c r="BD236" s="40"/>
      <c r="BE236" s="40"/>
      <c r="BF236" s="40"/>
      <c r="BG236" s="40"/>
      <c r="BH236" s="40"/>
      <c r="BI236" s="40"/>
      <c r="BJ236" s="40"/>
      <c r="BK236" s="40"/>
      <c r="BL236" s="40"/>
      <c r="BM236" s="40"/>
      <c r="BN236" s="40"/>
      <c r="BO236" s="40"/>
      <c r="BP236" s="40"/>
      <c r="BQ236" s="40"/>
      <c r="BR236" s="40"/>
      <c r="BS236" s="40"/>
      <c r="BT236" s="40"/>
      <c r="BU236" s="40"/>
      <c r="BV236" s="40"/>
      <c r="BW236" s="40"/>
      <c r="BX236" s="40"/>
      <c r="BY236" s="40"/>
      <c r="BZ236" s="40"/>
      <c r="CA236" s="40"/>
      <c r="CB236" s="40"/>
      <c r="CC236" s="40"/>
      <c r="CD236" s="40"/>
      <c r="CE236" s="40"/>
      <c r="CF236" s="40"/>
      <c r="CG236" s="40"/>
      <c r="CH236" s="40"/>
      <c r="CI236" s="40"/>
      <c r="CJ236" s="40"/>
      <c r="CK236" s="40"/>
      <c r="CL236" s="40"/>
      <c r="CM236" s="40"/>
      <c r="CN236" s="40"/>
      <c r="CO236" s="40"/>
      <c r="CP236" s="40"/>
      <c r="CQ236" s="40"/>
      <c r="CR236" s="40"/>
      <c r="CS236" s="40"/>
      <c r="CT236" s="40"/>
      <c r="CU236" s="40"/>
      <c r="CV236" s="40"/>
      <c r="CW236" s="40"/>
      <c r="CX236" s="40"/>
      <c r="CY236" s="40"/>
      <c r="CZ236" s="40"/>
      <c r="DA236" s="40"/>
      <c r="DB236" s="40"/>
      <c r="DC236" s="40"/>
      <c r="DD236" s="40"/>
      <c r="DE236" s="40"/>
      <c r="DF236" s="40"/>
      <c r="DG236" s="40"/>
      <c r="DH236" s="40"/>
      <c r="DI236" s="40"/>
      <c r="DJ236" s="40"/>
      <c r="DK236" s="40"/>
      <c r="DL236" s="40"/>
      <c r="DM236" s="40"/>
      <c r="DN236" s="40"/>
      <c r="DO236" s="40"/>
      <c r="DP236" s="40"/>
      <c r="DQ236" s="40"/>
      <c r="DR236" s="40"/>
      <c r="DS236" s="40"/>
      <c r="DT236" s="40"/>
      <c r="DU236" s="40"/>
      <c r="DV236" s="40"/>
      <c r="DW236" s="40"/>
      <c r="DX236" s="40"/>
      <c r="DY236" s="40"/>
      <c r="DZ236" s="40"/>
      <c r="EA236" s="40"/>
      <c r="EB236" s="40"/>
      <c r="EC236" s="40"/>
      <c r="ED236" s="40"/>
      <c r="EE236" s="40"/>
      <c r="EF236" s="40"/>
      <c r="EG236" s="40"/>
      <c r="EH236" s="40"/>
      <c r="EI236" s="40"/>
      <c r="EJ236" s="40"/>
      <c r="EK236" s="40"/>
      <c r="EL236" s="40"/>
      <c r="EM236" s="40"/>
      <c r="EN236" s="40"/>
      <c r="EO236" s="40"/>
      <c r="EP236" s="40"/>
      <c r="EQ236" s="40"/>
      <c r="ER236" s="40"/>
      <c r="ES236" s="40"/>
      <c r="ET236" s="40"/>
      <c r="EU236" s="40"/>
      <c r="EV236" s="40"/>
      <c r="EW236" s="40"/>
    </row>
    <row r="237" spans="1:19" s="52" customFormat="1" ht="32.25" customHeight="1">
      <c r="A237" s="50"/>
      <c r="B237" s="50"/>
      <c r="C237" s="50"/>
      <c r="D237" s="53" t="s">
        <v>155</v>
      </c>
      <c r="E237" s="53" t="s">
        <v>155</v>
      </c>
      <c r="F237" s="51">
        <v>8134171</v>
      </c>
      <c r="G237" s="54">
        <f t="shared" si="16"/>
        <v>8134.2</v>
      </c>
      <c r="H237" s="54">
        <v>36</v>
      </c>
      <c r="I237" s="51">
        <v>2927689</v>
      </c>
      <c r="J237" s="54">
        <f t="shared" si="17"/>
        <v>2927.7</v>
      </c>
      <c r="K237" s="16">
        <f>2000000-125000-234000</f>
        <v>1641000</v>
      </c>
      <c r="L237" s="16"/>
      <c r="M237" s="16">
        <f t="shared" si="18"/>
        <v>1641000</v>
      </c>
      <c r="N237" s="109">
        <f t="shared" si="19"/>
        <v>1641</v>
      </c>
      <c r="P237" s="116"/>
      <c r="Q237" s="13"/>
      <c r="R237" s="126"/>
      <c r="S237" s="116"/>
    </row>
    <row r="238" spans="1:19" s="52" customFormat="1" ht="31.5" customHeight="1">
      <c r="A238" s="50"/>
      <c r="B238" s="50"/>
      <c r="C238" s="50"/>
      <c r="D238" s="53" t="s">
        <v>156</v>
      </c>
      <c r="E238" s="53" t="s">
        <v>156</v>
      </c>
      <c r="F238" s="63">
        <v>33898627</v>
      </c>
      <c r="G238" s="54">
        <f t="shared" si="16"/>
        <v>33898.6</v>
      </c>
      <c r="H238" s="54">
        <v>64.8</v>
      </c>
      <c r="I238" s="51">
        <v>21964382</v>
      </c>
      <c r="J238" s="54">
        <f t="shared" si="17"/>
        <v>21964.4</v>
      </c>
      <c r="K238" s="16">
        <v>35000</v>
      </c>
      <c r="L238" s="16"/>
      <c r="M238" s="16">
        <f t="shared" si="18"/>
        <v>35000</v>
      </c>
      <c r="N238" s="109">
        <f t="shared" si="19"/>
        <v>35</v>
      </c>
      <c r="P238" s="116"/>
      <c r="Q238" s="13"/>
      <c r="R238" s="126"/>
      <c r="S238" s="116"/>
    </row>
    <row r="239" spans="1:19" s="52" customFormat="1" ht="35.25" customHeight="1">
      <c r="A239" s="50"/>
      <c r="B239" s="50"/>
      <c r="C239" s="50"/>
      <c r="D239" s="53" t="s">
        <v>382</v>
      </c>
      <c r="E239" s="53" t="s">
        <v>382</v>
      </c>
      <c r="F239" s="63"/>
      <c r="G239" s="54">
        <f t="shared" si="16"/>
        <v>0</v>
      </c>
      <c r="H239" s="54"/>
      <c r="I239" s="51"/>
      <c r="J239" s="54">
        <f t="shared" si="17"/>
        <v>0</v>
      </c>
      <c r="K239" s="16">
        <v>50000</v>
      </c>
      <c r="L239" s="16"/>
      <c r="M239" s="16">
        <f t="shared" si="18"/>
        <v>50000</v>
      </c>
      <c r="N239" s="109">
        <f t="shared" si="19"/>
        <v>50</v>
      </c>
      <c r="P239" s="116"/>
      <c r="Q239" s="13"/>
      <c r="R239" s="126"/>
      <c r="S239" s="116"/>
    </row>
    <row r="240" spans="1:19" s="52" customFormat="1" ht="31.5" customHeight="1">
      <c r="A240" s="50"/>
      <c r="B240" s="50"/>
      <c r="C240" s="50"/>
      <c r="D240" s="53" t="s">
        <v>383</v>
      </c>
      <c r="E240" s="53" t="s">
        <v>383</v>
      </c>
      <c r="F240" s="63"/>
      <c r="G240" s="54">
        <f t="shared" si="16"/>
        <v>0</v>
      </c>
      <c r="H240" s="54"/>
      <c r="I240" s="51"/>
      <c r="J240" s="54">
        <f t="shared" si="17"/>
        <v>0</v>
      </c>
      <c r="K240" s="16">
        <v>50000</v>
      </c>
      <c r="L240" s="16"/>
      <c r="M240" s="16">
        <f t="shared" si="18"/>
        <v>50000</v>
      </c>
      <c r="N240" s="109">
        <f t="shared" si="19"/>
        <v>50</v>
      </c>
      <c r="P240" s="116"/>
      <c r="Q240" s="13"/>
      <c r="R240" s="126"/>
      <c r="S240" s="116"/>
    </row>
    <row r="241" spans="1:19" s="52" customFormat="1" ht="39.75" customHeight="1">
      <c r="A241" s="50"/>
      <c r="B241" s="50"/>
      <c r="C241" s="50"/>
      <c r="D241" s="53" t="s">
        <v>175</v>
      </c>
      <c r="E241" s="53" t="s">
        <v>175</v>
      </c>
      <c r="F241" s="51">
        <v>3821803</v>
      </c>
      <c r="G241" s="54">
        <f t="shared" si="16"/>
        <v>3821.8</v>
      </c>
      <c r="H241" s="54">
        <v>97.6</v>
      </c>
      <c r="I241" s="51">
        <v>3729106</v>
      </c>
      <c r="J241" s="54">
        <f t="shared" si="17"/>
        <v>3729.1</v>
      </c>
      <c r="K241" s="16">
        <f>2500000+485000</f>
        <v>2985000</v>
      </c>
      <c r="L241" s="16"/>
      <c r="M241" s="16">
        <f t="shared" si="18"/>
        <v>2985000</v>
      </c>
      <c r="N241" s="109">
        <f t="shared" si="19"/>
        <v>2985</v>
      </c>
      <c r="P241" s="116"/>
      <c r="Q241" s="13"/>
      <c r="R241" s="126"/>
      <c r="S241" s="116"/>
    </row>
    <row r="242" spans="1:153" ht="37.5" customHeight="1">
      <c r="A242" s="10">
        <v>1517330</v>
      </c>
      <c r="B242" s="14" t="s">
        <v>133</v>
      </c>
      <c r="C242" s="14" t="s">
        <v>49</v>
      </c>
      <c r="D242" s="72" t="s">
        <v>445</v>
      </c>
      <c r="E242" s="89"/>
      <c r="F242" s="56"/>
      <c r="G242" s="54">
        <f t="shared" si="16"/>
        <v>0</v>
      </c>
      <c r="H242" s="54"/>
      <c r="I242" s="51"/>
      <c r="J242" s="54">
        <f t="shared" si="17"/>
        <v>0</v>
      </c>
      <c r="K242" s="12">
        <f>K243+K283</f>
        <v>42376986</v>
      </c>
      <c r="L242" s="12">
        <f>L243+L283</f>
        <v>-14042</v>
      </c>
      <c r="M242" s="12">
        <f>M243+M283</f>
        <v>42362944</v>
      </c>
      <c r="N242" s="106">
        <f>N243+N283</f>
        <v>42413</v>
      </c>
      <c r="O242" s="52"/>
      <c r="P242" s="116"/>
      <c r="Q242" s="13"/>
      <c r="R242" s="126"/>
      <c r="S242" s="116"/>
      <c r="T242" s="52"/>
      <c r="U242" s="52"/>
      <c r="V242" s="52"/>
      <c r="W242" s="52"/>
      <c r="X242" s="52"/>
      <c r="Y242" s="52"/>
      <c r="Z242" s="52"/>
      <c r="AA242" s="52"/>
      <c r="AB242" s="52"/>
      <c r="AC242" s="52"/>
      <c r="AD242" s="52"/>
      <c r="AE242" s="52"/>
      <c r="AF242" s="52"/>
      <c r="AG242" s="52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2"/>
      <c r="AU242" s="52"/>
      <c r="AV242" s="52"/>
      <c r="AW242" s="52"/>
      <c r="AX242" s="52"/>
      <c r="AY242" s="52"/>
      <c r="AZ242" s="52"/>
      <c r="BA242" s="52"/>
      <c r="BB242" s="52"/>
      <c r="BC242" s="52"/>
      <c r="BD242" s="52"/>
      <c r="BE242" s="52"/>
      <c r="BF242" s="52"/>
      <c r="BG242" s="52"/>
      <c r="BH242" s="52"/>
      <c r="BI242" s="52"/>
      <c r="BJ242" s="52"/>
      <c r="BK242" s="52"/>
      <c r="BL242" s="52"/>
      <c r="BM242" s="52"/>
      <c r="BN242" s="52"/>
      <c r="BO242" s="52"/>
      <c r="BP242" s="52"/>
      <c r="BQ242" s="52"/>
      <c r="BR242" s="52"/>
      <c r="BS242" s="52"/>
      <c r="BT242" s="52"/>
      <c r="BU242" s="52"/>
      <c r="BV242" s="52"/>
      <c r="BW242" s="52"/>
      <c r="BX242" s="52"/>
      <c r="BY242" s="52"/>
      <c r="BZ242" s="52"/>
      <c r="CA242" s="52"/>
      <c r="CB242" s="52"/>
      <c r="CC242" s="52"/>
      <c r="CD242" s="52"/>
      <c r="CE242" s="52"/>
      <c r="CF242" s="52"/>
      <c r="CG242" s="52"/>
      <c r="CH242" s="52"/>
      <c r="CI242" s="52"/>
      <c r="CJ242" s="52"/>
      <c r="CK242" s="52"/>
      <c r="CL242" s="52"/>
      <c r="CM242" s="52"/>
      <c r="CN242" s="52"/>
      <c r="CO242" s="52"/>
      <c r="CP242" s="52"/>
      <c r="CQ242" s="52"/>
      <c r="CR242" s="52"/>
      <c r="CS242" s="52"/>
      <c r="CT242" s="52"/>
      <c r="CU242" s="52"/>
      <c r="CV242" s="52"/>
      <c r="CW242" s="52"/>
      <c r="CX242" s="52"/>
      <c r="CY242" s="52"/>
      <c r="CZ242" s="52"/>
      <c r="DA242" s="52"/>
      <c r="DB242" s="52"/>
      <c r="DC242" s="52"/>
      <c r="DD242" s="52"/>
      <c r="DE242" s="52"/>
      <c r="DF242" s="52"/>
      <c r="DG242" s="52"/>
      <c r="DH242" s="52"/>
      <c r="DI242" s="52"/>
      <c r="DJ242" s="52"/>
      <c r="DK242" s="52"/>
      <c r="DL242" s="52"/>
      <c r="DM242" s="52"/>
      <c r="DN242" s="52"/>
      <c r="DO242" s="52"/>
      <c r="DP242" s="52"/>
      <c r="DQ242" s="52"/>
      <c r="DR242" s="52"/>
      <c r="DS242" s="52"/>
      <c r="DT242" s="52"/>
      <c r="DU242" s="52"/>
      <c r="DV242" s="52"/>
      <c r="DW242" s="52"/>
      <c r="DX242" s="52"/>
      <c r="DY242" s="52"/>
      <c r="DZ242" s="52"/>
      <c r="EA242" s="52"/>
      <c r="EB242" s="52"/>
      <c r="EC242" s="52"/>
      <c r="ED242" s="52"/>
      <c r="EE242" s="52"/>
      <c r="EF242" s="52"/>
      <c r="EG242" s="52"/>
      <c r="EH242" s="52"/>
      <c r="EI242" s="52"/>
      <c r="EJ242" s="52"/>
      <c r="EK242" s="52"/>
      <c r="EL242" s="52"/>
      <c r="EM242" s="52"/>
      <c r="EN242" s="52"/>
      <c r="EO242" s="52"/>
      <c r="EP242" s="52"/>
      <c r="EQ242" s="52"/>
      <c r="ER242" s="52"/>
      <c r="ES242" s="52"/>
      <c r="ET242" s="52"/>
      <c r="EU242" s="52"/>
      <c r="EV242" s="52"/>
      <c r="EW242" s="52"/>
    </row>
    <row r="243" spans="1:153" ht="24.75" customHeight="1">
      <c r="A243" s="74"/>
      <c r="B243" s="50"/>
      <c r="C243" s="50"/>
      <c r="D243" s="62" t="s">
        <v>138</v>
      </c>
      <c r="E243" s="62" t="s">
        <v>138</v>
      </c>
      <c r="F243" s="55"/>
      <c r="G243" s="54">
        <f t="shared" si="16"/>
        <v>0</v>
      </c>
      <c r="H243" s="75"/>
      <c r="I243" s="51"/>
      <c r="J243" s="54">
        <f t="shared" si="17"/>
        <v>0</v>
      </c>
      <c r="K243" s="12">
        <f>SUM(K244:K282)</f>
        <v>21579886</v>
      </c>
      <c r="L243" s="12">
        <f>SUM(L244:L282)</f>
        <v>-1125</v>
      </c>
      <c r="M243" s="12">
        <f>SUM(M244:M282)</f>
        <v>21578761</v>
      </c>
      <c r="N243" s="106">
        <f>SUM(N244:N282)</f>
        <v>21628.800000000003</v>
      </c>
      <c r="O243" s="52"/>
      <c r="P243" s="116"/>
      <c r="Q243" s="13"/>
      <c r="R243" s="126"/>
      <c r="S243" s="116"/>
      <c r="T243" s="52"/>
      <c r="U243" s="52"/>
      <c r="V243" s="52"/>
      <c r="W243" s="52"/>
      <c r="X243" s="52"/>
      <c r="Y243" s="52"/>
      <c r="Z243" s="52"/>
      <c r="AA243" s="52"/>
      <c r="AB243" s="52"/>
      <c r="AC243" s="52"/>
      <c r="AD243" s="52"/>
      <c r="AE243" s="52"/>
      <c r="AF243" s="52"/>
      <c r="AG243" s="52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2"/>
      <c r="AU243" s="52"/>
      <c r="AV243" s="52"/>
      <c r="AW243" s="52"/>
      <c r="AX243" s="52"/>
      <c r="AY243" s="52"/>
      <c r="AZ243" s="52"/>
      <c r="BA243" s="52"/>
      <c r="BB243" s="52"/>
      <c r="BC243" s="52"/>
      <c r="BD243" s="52"/>
      <c r="BE243" s="52"/>
      <c r="BF243" s="52"/>
      <c r="BG243" s="52"/>
      <c r="BH243" s="52"/>
      <c r="BI243" s="52"/>
      <c r="BJ243" s="52"/>
      <c r="BK243" s="52"/>
      <c r="BL243" s="52"/>
      <c r="BM243" s="52"/>
      <c r="BN243" s="52"/>
      <c r="BO243" s="52"/>
      <c r="BP243" s="52"/>
      <c r="BQ243" s="52"/>
      <c r="BR243" s="52"/>
      <c r="BS243" s="52"/>
      <c r="BT243" s="52"/>
      <c r="BU243" s="52"/>
      <c r="BV243" s="52"/>
      <c r="BW243" s="52"/>
      <c r="BX243" s="52"/>
      <c r="BY243" s="52"/>
      <c r="BZ243" s="52"/>
      <c r="CA243" s="52"/>
      <c r="CB243" s="52"/>
      <c r="CC243" s="52"/>
      <c r="CD243" s="52"/>
      <c r="CE243" s="52"/>
      <c r="CF243" s="52"/>
      <c r="CG243" s="52"/>
      <c r="CH243" s="52"/>
      <c r="CI243" s="52"/>
      <c r="CJ243" s="52"/>
      <c r="CK243" s="52"/>
      <c r="CL243" s="52"/>
      <c r="CM243" s="52"/>
      <c r="CN243" s="52"/>
      <c r="CO243" s="52"/>
      <c r="CP243" s="52"/>
      <c r="CQ243" s="52"/>
      <c r="CR243" s="52"/>
      <c r="CS243" s="52"/>
      <c r="CT243" s="52"/>
      <c r="CU243" s="52"/>
      <c r="CV243" s="52"/>
      <c r="CW243" s="52"/>
      <c r="CX243" s="52"/>
      <c r="CY243" s="52"/>
      <c r="CZ243" s="52"/>
      <c r="DA243" s="52"/>
      <c r="DB243" s="52"/>
      <c r="DC243" s="52"/>
      <c r="DD243" s="52"/>
      <c r="DE243" s="52"/>
      <c r="DF243" s="52"/>
      <c r="DG243" s="52"/>
      <c r="DH243" s="52"/>
      <c r="DI243" s="52"/>
      <c r="DJ243" s="52"/>
      <c r="DK243" s="52"/>
      <c r="DL243" s="52"/>
      <c r="DM243" s="52"/>
      <c r="DN243" s="52"/>
      <c r="DO243" s="52"/>
      <c r="DP243" s="52"/>
      <c r="DQ243" s="52"/>
      <c r="DR243" s="52"/>
      <c r="DS243" s="52"/>
      <c r="DT243" s="52"/>
      <c r="DU243" s="52"/>
      <c r="DV243" s="52"/>
      <c r="DW243" s="52"/>
      <c r="DX243" s="52"/>
      <c r="DY243" s="52"/>
      <c r="DZ243" s="52"/>
      <c r="EA243" s="52"/>
      <c r="EB243" s="52"/>
      <c r="EC243" s="52"/>
      <c r="ED243" s="52"/>
      <c r="EE243" s="52"/>
      <c r="EF243" s="52"/>
      <c r="EG243" s="52"/>
      <c r="EH243" s="52"/>
      <c r="EI243" s="52"/>
      <c r="EJ243" s="52"/>
      <c r="EK243" s="52"/>
      <c r="EL243" s="52"/>
      <c r="EM243" s="52"/>
      <c r="EN243" s="52"/>
      <c r="EO243" s="52"/>
      <c r="EP243" s="52"/>
      <c r="EQ243" s="52"/>
      <c r="ER243" s="52"/>
      <c r="ES243" s="52"/>
      <c r="ET243" s="52"/>
      <c r="EU243" s="52"/>
      <c r="EV243" s="52"/>
      <c r="EW243" s="52"/>
    </row>
    <row r="244" spans="1:153" ht="30.75" customHeight="1">
      <c r="A244" s="74"/>
      <c r="B244" s="50"/>
      <c r="C244" s="50"/>
      <c r="D244" s="15" t="s">
        <v>339</v>
      </c>
      <c r="E244" s="15" t="s">
        <v>339</v>
      </c>
      <c r="F244" s="55"/>
      <c r="G244" s="54">
        <f t="shared" si="16"/>
        <v>0</v>
      </c>
      <c r="H244" s="75"/>
      <c r="I244" s="51"/>
      <c r="J244" s="54">
        <f t="shared" si="17"/>
        <v>0</v>
      </c>
      <c r="K244" s="16">
        <v>250000</v>
      </c>
      <c r="L244" s="16"/>
      <c r="M244" s="16">
        <f t="shared" si="18"/>
        <v>250000</v>
      </c>
      <c r="N244" s="109">
        <f t="shared" si="19"/>
        <v>250</v>
      </c>
      <c r="O244" s="52"/>
      <c r="P244" s="116"/>
      <c r="Q244" s="13"/>
      <c r="R244" s="126"/>
      <c r="S244" s="116"/>
      <c r="T244" s="52"/>
      <c r="U244" s="52"/>
      <c r="V244" s="52"/>
      <c r="W244" s="52"/>
      <c r="X244" s="52"/>
      <c r="Y244" s="52"/>
      <c r="Z244" s="52"/>
      <c r="AA244" s="52"/>
      <c r="AB244" s="52"/>
      <c r="AC244" s="52"/>
      <c r="AD244" s="52"/>
      <c r="AE244" s="52"/>
      <c r="AF244" s="52"/>
      <c r="AG244" s="52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2"/>
      <c r="AU244" s="52"/>
      <c r="AV244" s="52"/>
      <c r="AW244" s="52"/>
      <c r="AX244" s="52"/>
      <c r="AY244" s="52"/>
      <c r="AZ244" s="52"/>
      <c r="BA244" s="52"/>
      <c r="BB244" s="52"/>
      <c r="BC244" s="52"/>
      <c r="BD244" s="52"/>
      <c r="BE244" s="52"/>
      <c r="BF244" s="52"/>
      <c r="BG244" s="52"/>
      <c r="BH244" s="52"/>
      <c r="BI244" s="52"/>
      <c r="BJ244" s="52"/>
      <c r="BK244" s="52"/>
      <c r="BL244" s="52"/>
      <c r="BM244" s="52"/>
      <c r="BN244" s="52"/>
      <c r="BO244" s="52"/>
      <c r="BP244" s="52"/>
      <c r="BQ244" s="52"/>
      <c r="BR244" s="52"/>
      <c r="BS244" s="52"/>
      <c r="BT244" s="52"/>
      <c r="BU244" s="52"/>
      <c r="BV244" s="52"/>
      <c r="BW244" s="52"/>
      <c r="BX244" s="52"/>
      <c r="BY244" s="52"/>
      <c r="BZ244" s="52"/>
      <c r="CA244" s="52"/>
      <c r="CB244" s="52"/>
      <c r="CC244" s="52"/>
      <c r="CD244" s="52"/>
      <c r="CE244" s="52"/>
      <c r="CF244" s="52"/>
      <c r="CG244" s="52"/>
      <c r="CH244" s="52"/>
      <c r="CI244" s="52"/>
      <c r="CJ244" s="52"/>
      <c r="CK244" s="52"/>
      <c r="CL244" s="52"/>
      <c r="CM244" s="52"/>
      <c r="CN244" s="52"/>
      <c r="CO244" s="52"/>
      <c r="CP244" s="52"/>
      <c r="CQ244" s="52"/>
      <c r="CR244" s="52"/>
      <c r="CS244" s="52"/>
      <c r="CT244" s="52"/>
      <c r="CU244" s="52"/>
      <c r="CV244" s="52"/>
      <c r="CW244" s="52"/>
      <c r="CX244" s="52"/>
      <c r="CY244" s="52"/>
      <c r="CZ244" s="52"/>
      <c r="DA244" s="52"/>
      <c r="DB244" s="52"/>
      <c r="DC244" s="52"/>
      <c r="DD244" s="52"/>
      <c r="DE244" s="52"/>
      <c r="DF244" s="52"/>
      <c r="DG244" s="52"/>
      <c r="DH244" s="52"/>
      <c r="DI244" s="52"/>
      <c r="DJ244" s="52"/>
      <c r="DK244" s="52"/>
      <c r="DL244" s="52"/>
      <c r="DM244" s="52"/>
      <c r="DN244" s="52"/>
      <c r="DO244" s="52"/>
      <c r="DP244" s="52"/>
      <c r="DQ244" s="52"/>
      <c r="DR244" s="52"/>
      <c r="DS244" s="52"/>
      <c r="DT244" s="52"/>
      <c r="DU244" s="52"/>
      <c r="DV244" s="52"/>
      <c r="DW244" s="52"/>
      <c r="DX244" s="52"/>
      <c r="DY244" s="52"/>
      <c r="DZ244" s="52"/>
      <c r="EA244" s="52"/>
      <c r="EB244" s="52"/>
      <c r="EC244" s="52"/>
      <c r="ED244" s="52"/>
      <c r="EE244" s="52"/>
      <c r="EF244" s="52"/>
      <c r="EG244" s="52"/>
      <c r="EH244" s="52"/>
      <c r="EI244" s="52"/>
      <c r="EJ244" s="52"/>
      <c r="EK244" s="52"/>
      <c r="EL244" s="52"/>
      <c r="EM244" s="52"/>
      <c r="EN244" s="52"/>
      <c r="EO244" s="52"/>
      <c r="EP244" s="52"/>
      <c r="EQ244" s="52"/>
      <c r="ER244" s="52"/>
      <c r="ES244" s="52"/>
      <c r="ET244" s="52"/>
      <c r="EU244" s="52"/>
      <c r="EV244" s="52"/>
      <c r="EW244" s="52"/>
    </row>
    <row r="245" spans="1:153" ht="39" customHeight="1">
      <c r="A245" s="49"/>
      <c r="B245" s="49"/>
      <c r="C245" s="49"/>
      <c r="D245" s="53" t="s">
        <v>157</v>
      </c>
      <c r="E245" s="53" t="s">
        <v>157</v>
      </c>
      <c r="F245" s="63">
        <v>28556946</v>
      </c>
      <c r="G245" s="54">
        <f t="shared" si="16"/>
        <v>28556.9</v>
      </c>
      <c r="H245" s="76">
        <v>89.5</v>
      </c>
      <c r="I245" s="51">
        <v>25554164</v>
      </c>
      <c r="J245" s="54">
        <f t="shared" si="17"/>
        <v>25554.2</v>
      </c>
      <c r="K245" s="16">
        <v>3000000</v>
      </c>
      <c r="L245" s="16"/>
      <c r="M245" s="16">
        <f t="shared" si="18"/>
        <v>3000000</v>
      </c>
      <c r="N245" s="109">
        <f t="shared" si="19"/>
        <v>3000</v>
      </c>
      <c r="O245" s="52"/>
      <c r="P245" s="116"/>
      <c r="Q245" s="13"/>
      <c r="R245" s="126"/>
      <c r="S245" s="116"/>
      <c r="T245" s="52"/>
      <c r="U245" s="52"/>
      <c r="V245" s="52"/>
      <c r="W245" s="52"/>
      <c r="X245" s="52"/>
      <c r="Y245" s="52"/>
      <c r="Z245" s="52"/>
      <c r="AA245" s="52"/>
      <c r="AB245" s="52"/>
      <c r="AC245" s="52"/>
      <c r="AD245" s="52"/>
      <c r="AE245" s="52"/>
      <c r="AF245" s="52"/>
      <c r="AG245" s="52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2"/>
      <c r="AU245" s="52"/>
      <c r="AV245" s="52"/>
      <c r="AW245" s="52"/>
      <c r="AX245" s="52"/>
      <c r="AY245" s="52"/>
      <c r="AZ245" s="52"/>
      <c r="BA245" s="52"/>
      <c r="BB245" s="52"/>
      <c r="BC245" s="52"/>
      <c r="BD245" s="52"/>
      <c r="BE245" s="52"/>
      <c r="BF245" s="52"/>
      <c r="BG245" s="52"/>
      <c r="BH245" s="52"/>
      <c r="BI245" s="52"/>
      <c r="BJ245" s="52"/>
      <c r="BK245" s="52"/>
      <c r="BL245" s="52"/>
      <c r="BM245" s="52"/>
      <c r="BN245" s="52"/>
      <c r="BO245" s="52"/>
      <c r="BP245" s="52"/>
      <c r="BQ245" s="52"/>
      <c r="BR245" s="52"/>
      <c r="BS245" s="52"/>
      <c r="BT245" s="52"/>
      <c r="BU245" s="52"/>
      <c r="BV245" s="52"/>
      <c r="BW245" s="52"/>
      <c r="BX245" s="52"/>
      <c r="BY245" s="52"/>
      <c r="BZ245" s="52"/>
      <c r="CA245" s="52"/>
      <c r="CB245" s="52"/>
      <c r="CC245" s="52"/>
      <c r="CD245" s="52"/>
      <c r="CE245" s="52"/>
      <c r="CF245" s="52"/>
      <c r="CG245" s="52"/>
      <c r="CH245" s="52"/>
      <c r="CI245" s="52"/>
      <c r="CJ245" s="52"/>
      <c r="CK245" s="52"/>
      <c r="CL245" s="52"/>
      <c r="CM245" s="52"/>
      <c r="CN245" s="52"/>
      <c r="CO245" s="52"/>
      <c r="CP245" s="52"/>
      <c r="CQ245" s="52"/>
      <c r="CR245" s="52"/>
      <c r="CS245" s="52"/>
      <c r="CT245" s="52"/>
      <c r="CU245" s="52"/>
      <c r="CV245" s="52"/>
      <c r="CW245" s="52"/>
      <c r="CX245" s="52"/>
      <c r="CY245" s="52"/>
      <c r="CZ245" s="52"/>
      <c r="DA245" s="52"/>
      <c r="DB245" s="52"/>
      <c r="DC245" s="52"/>
      <c r="DD245" s="52"/>
      <c r="DE245" s="52"/>
      <c r="DF245" s="52"/>
      <c r="DG245" s="52"/>
      <c r="DH245" s="52"/>
      <c r="DI245" s="52"/>
      <c r="DJ245" s="52"/>
      <c r="DK245" s="52"/>
      <c r="DL245" s="52"/>
      <c r="DM245" s="52"/>
      <c r="DN245" s="52"/>
      <c r="DO245" s="52"/>
      <c r="DP245" s="52"/>
      <c r="DQ245" s="52"/>
      <c r="DR245" s="52"/>
      <c r="DS245" s="52"/>
      <c r="DT245" s="52"/>
      <c r="DU245" s="52"/>
      <c r="DV245" s="52"/>
      <c r="DW245" s="52"/>
      <c r="DX245" s="52"/>
      <c r="DY245" s="52"/>
      <c r="DZ245" s="52"/>
      <c r="EA245" s="52"/>
      <c r="EB245" s="52"/>
      <c r="EC245" s="52"/>
      <c r="ED245" s="52"/>
      <c r="EE245" s="52"/>
      <c r="EF245" s="52"/>
      <c r="EG245" s="52"/>
      <c r="EH245" s="52"/>
      <c r="EI245" s="52"/>
      <c r="EJ245" s="52"/>
      <c r="EK245" s="52"/>
      <c r="EL245" s="52"/>
      <c r="EM245" s="52"/>
      <c r="EN245" s="52"/>
      <c r="EO245" s="52"/>
      <c r="EP245" s="52"/>
      <c r="EQ245" s="52"/>
      <c r="ER245" s="52"/>
      <c r="ES245" s="52"/>
      <c r="ET245" s="52"/>
      <c r="EU245" s="52"/>
      <c r="EV245" s="52"/>
      <c r="EW245" s="52"/>
    </row>
    <row r="246" spans="1:19" s="52" customFormat="1" ht="33" customHeight="1">
      <c r="A246" s="50"/>
      <c r="B246" s="50"/>
      <c r="C246" s="50"/>
      <c r="D246" s="28" t="s">
        <v>158</v>
      </c>
      <c r="E246" s="28" t="s">
        <v>158</v>
      </c>
      <c r="F246" s="51"/>
      <c r="G246" s="54">
        <f t="shared" si="16"/>
        <v>0</v>
      </c>
      <c r="H246" s="54"/>
      <c r="I246" s="51"/>
      <c r="J246" s="54">
        <f t="shared" si="17"/>
        <v>0</v>
      </c>
      <c r="K246" s="16">
        <v>11136000</v>
      </c>
      <c r="L246" s="16"/>
      <c r="M246" s="16">
        <f>L246+K246</f>
        <v>11136000</v>
      </c>
      <c r="N246" s="109">
        <f t="shared" si="19"/>
        <v>11136</v>
      </c>
      <c r="P246" s="116"/>
      <c r="Q246" s="13"/>
      <c r="R246" s="126"/>
      <c r="S246" s="116"/>
    </row>
    <row r="247" spans="1:19" s="52" customFormat="1" ht="32.25" customHeight="1">
      <c r="A247" s="50"/>
      <c r="B247" s="50"/>
      <c r="C247" s="50"/>
      <c r="D247" s="53" t="s">
        <v>355</v>
      </c>
      <c r="E247" s="53" t="s">
        <v>355</v>
      </c>
      <c r="F247" s="51"/>
      <c r="G247" s="54">
        <f t="shared" si="16"/>
        <v>0</v>
      </c>
      <c r="H247" s="54"/>
      <c r="I247" s="51"/>
      <c r="J247" s="54">
        <f t="shared" si="17"/>
        <v>0</v>
      </c>
      <c r="K247" s="16">
        <v>151400</v>
      </c>
      <c r="L247" s="16"/>
      <c r="M247" s="16">
        <f t="shared" si="18"/>
        <v>151400</v>
      </c>
      <c r="N247" s="109">
        <f t="shared" si="19"/>
        <v>151.4</v>
      </c>
      <c r="P247" s="116"/>
      <c r="Q247" s="13"/>
      <c r="R247" s="126"/>
      <c r="S247" s="116"/>
    </row>
    <row r="248" spans="1:19" s="52" customFormat="1" ht="32.25" customHeight="1">
      <c r="A248" s="50"/>
      <c r="B248" s="50"/>
      <c r="C248" s="50"/>
      <c r="D248" s="53" t="s">
        <v>359</v>
      </c>
      <c r="E248" s="53" t="s">
        <v>359</v>
      </c>
      <c r="F248" s="51"/>
      <c r="G248" s="54">
        <f t="shared" si="16"/>
        <v>0</v>
      </c>
      <c r="H248" s="54"/>
      <c r="I248" s="51"/>
      <c r="J248" s="54">
        <f t="shared" si="17"/>
        <v>0</v>
      </c>
      <c r="K248" s="16">
        <v>157000</v>
      </c>
      <c r="L248" s="16"/>
      <c r="M248" s="16">
        <f t="shared" si="18"/>
        <v>157000</v>
      </c>
      <c r="N248" s="109">
        <f t="shared" si="19"/>
        <v>157</v>
      </c>
      <c r="P248" s="116"/>
      <c r="Q248" s="13"/>
      <c r="R248" s="126"/>
      <c r="S248" s="116"/>
    </row>
    <row r="249" spans="1:19" s="52" customFormat="1" ht="48" customHeight="1">
      <c r="A249" s="50"/>
      <c r="B249" s="50"/>
      <c r="C249" s="50"/>
      <c r="D249" s="53" t="s">
        <v>365</v>
      </c>
      <c r="E249" s="53" t="s">
        <v>365</v>
      </c>
      <c r="F249" s="51"/>
      <c r="G249" s="54">
        <f t="shared" si="16"/>
        <v>0</v>
      </c>
      <c r="H249" s="54"/>
      <c r="I249" s="51"/>
      <c r="J249" s="54">
        <f t="shared" si="17"/>
        <v>0</v>
      </c>
      <c r="K249" s="16">
        <v>100000</v>
      </c>
      <c r="L249" s="16"/>
      <c r="M249" s="16">
        <f t="shared" si="18"/>
        <v>100000</v>
      </c>
      <c r="N249" s="109">
        <f t="shared" si="19"/>
        <v>100</v>
      </c>
      <c r="P249" s="116"/>
      <c r="Q249" s="13"/>
      <c r="R249" s="126"/>
      <c r="S249" s="116"/>
    </row>
    <row r="250" spans="1:19" s="52" customFormat="1" ht="32.25" customHeight="1">
      <c r="A250" s="50"/>
      <c r="B250" s="50"/>
      <c r="C250" s="50"/>
      <c r="D250" s="53" t="s">
        <v>384</v>
      </c>
      <c r="E250" s="53" t="s">
        <v>384</v>
      </c>
      <c r="F250" s="51"/>
      <c r="G250" s="54">
        <f t="shared" si="16"/>
        <v>0</v>
      </c>
      <c r="H250" s="54"/>
      <c r="I250" s="51"/>
      <c r="J250" s="54">
        <f t="shared" si="17"/>
        <v>0</v>
      </c>
      <c r="K250" s="16">
        <v>50000</v>
      </c>
      <c r="L250" s="16"/>
      <c r="M250" s="16">
        <f t="shared" si="18"/>
        <v>50000</v>
      </c>
      <c r="N250" s="109">
        <f t="shared" si="19"/>
        <v>50</v>
      </c>
      <c r="P250" s="116"/>
      <c r="Q250" s="13"/>
      <c r="R250" s="126"/>
      <c r="S250" s="116"/>
    </row>
    <row r="251" spans="1:19" s="52" customFormat="1" ht="41.25" customHeight="1">
      <c r="A251" s="50"/>
      <c r="B251" s="50"/>
      <c r="C251" s="50"/>
      <c r="D251" s="53" t="s">
        <v>360</v>
      </c>
      <c r="E251" s="53" t="s">
        <v>360</v>
      </c>
      <c r="F251" s="51"/>
      <c r="G251" s="54">
        <f t="shared" si="16"/>
        <v>0</v>
      </c>
      <c r="H251" s="54"/>
      <c r="I251" s="51"/>
      <c r="J251" s="54">
        <f t="shared" si="17"/>
        <v>0</v>
      </c>
      <c r="K251" s="16">
        <v>2400</v>
      </c>
      <c r="L251" s="16"/>
      <c r="M251" s="16">
        <f t="shared" si="18"/>
        <v>2400</v>
      </c>
      <c r="N251" s="109">
        <f t="shared" si="19"/>
        <v>2.4</v>
      </c>
      <c r="P251" s="116"/>
      <c r="Q251" s="13"/>
      <c r="R251" s="126"/>
      <c r="S251" s="116"/>
    </row>
    <row r="252" spans="1:19" s="52" customFormat="1" ht="33" customHeight="1">
      <c r="A252" s="50"/>
      <c r="B252" s="50"/>
      <c r="C252" s="50"/>
      <c r="D252" s="28" t="s">
        <v>417</v>
      </c>
      <c r="E252" s="28" t="s">
        <v>417</v>
      </c>
      <c r="F252" s="51"/>
      <c r="G252" s="54">
        <f t="shared" si="16"/>
        <v>0</v>
      </c>
      <c r="H252" s="54"/>
      <c r="I252" s="51"/>
      <c r="J252" s="54">
        <f t="shared" si="17"/>
        <v>0</v>
      </c>
      <c r="K252" s="16">
        <v>48000</v>
      </c>
      <c r="L252" s="16"/>
      <c r="M252" s="16">
        <f t="shared" si="18"/>
        <v>48000</v>
      </c>
      <c r="N252" s="109">
        <f t="shared" si="19"/>
        <v>48</v>
      </c>
      <c r="P252" s="116"/>
      <c r="Q252" s="13"/>
      <c r="R252" s="126"/>
      <c r="S252" s="116"/>
    </row>
    <row r="253" spans="1:19" s="52" customFormat="1" ht="40.5" customHeight="1">
      <c r="A253" s="50"/>
      <c r="B253" s="50"/>
      <c r="C253" s="50"/>
      <c r="D253" s="28" t="s">
        <v>402</v>
      </c>
      <c r="E253" s="28" t="s">
        <v>402</v>
      </c>
      <c r="F253" s="51"/>
      <c r="G253" s="54">
        <f t="shared" si="16"/>
        <v>0</v>
      </c>
      <c r="H253" s="54"/>
      <c r="I253" s="51"/>
      <c r="J253" s="54">
        <f t="shared" si="17"/>
        <v>0</v>
      </c>
      <c r="K253" s="16">
        <v>107000</v>
      </c>
      <c r="L253" s="16"/>
      <c r="M253" s="16">
        <f t="shared" si="18"/>
        <v>107000</v>
      </c>
      <c r="N253" s="109">
        <f t="shared" si="19"/>
        <v>107</v>
      </c>
      <c r="P253" s="116"/>
      <c r="Q253" s="13"/>
      <c r="R253" s="126"/>
      <c r="S253" s="116"/>
    </row>
    <row r="254" spans="1:19" s="52" customFormat="1" ht="39" customHeight="1">
      <c r="A254" s="50"/>
      <c r="B254" s="50"/>
      <c r="C254" s="50"/>
      <c r="D254" s="28" t="s">
        <v>231</v>
      </c>
      <c r="E254" s="28" t="s">
        <v>231</v>
      </c>
      <c r="F254" s="51"/>
      <c r="G254" s="54">
        <f t="shared" si="16"/>
        <v>0</v>
      </c>
      <c r="H254" s="54"/>
      <c r="I254" s="51"/>
      <c r="J254" s="54">
        <f t="shared" si="17"/>
        <v>0</v>
      </c>
      <c r="K254" s="16">
        <f>100000-5700</f>
        <v>94300</v>
      </c>
      <c r="L254" s="16">
        <v>-235</v>
      </c>
      <c r="M254" s="16">
        <f t="shared" si="18"/>
        <v>94065</v>
      </c>
      <c r="N254" s="109">
        <f t="shared" si="19"/>
        <v>94.1</v>
      </c>
      <c r="P254" s="116"/>
      <c r="Q254" s="13"/>
      <c r="R254" s="126"/>
      <c r="S254" s="116"/>
    </row>
    <row r="255" spans="1:19" s="52" customFormat="1" ht="37.5" customHeight="1">
      <c r="A255" s="50"/>
      <c r="B255" s="50"/>
      <c r="C255" s="50"/>
      <c r="D255" s="28" t="s">
        <v>239</v>
      </c>
      <c r="E255" s="28" t="s">
        <v>239</v>
      </c>
      <c r="F255" s="51"/>
      <c r="G255" s="54">
        <f t="shared" si="16"/>
        <v>0</v>
      </c>
      <c r="H255" s="54"/>
      <c r="I255" s="51"/>
      <c r="J255" s="54">
        <f t="shared" si="17"/>
        <v>0</v>
      </c>
      <c r="K255" s="16">
        <f>300000-5700</f>
        <v>294300</v>
      </c>
      <c r="L255" s="16">
        <v>-108</v>
      </c>
      <c r="M255" s="16">
        <f t="shared" si="18"/>
        <v>294192</v>
      </c>
      <c r="N255" s="109">
        <f t="shared" si="19"/>
        <v>294.2</v>
      </c>
      <c r="P255" s="116"/>
      <c r="Q255" s="13"/>
      <c r="R255" s="126"/>
      <c r="S255" s="116"/>
    </row>
    <row r="256" spans="1:19" s="52" customFormat="1" ht="38.25" customHeight="1">
      <c r="A256" s="50"/>
      <c r="B256" s="50"/>
      <c r="C256" s="50"/>
      <c r="D256" s="28" t="s">
        <v>303</v>
      </c>
      <c r="E256" s="28" t="s">
        <v>303</v>
      </c>
      <c r="F256" s="51"/>
      <c r="G256" s="54">
        <f t="shared" si="16"/>
        <v>0</v>
      </c>
      <c r="H256" s="54"/>
      <c r="I256" s="51"/>
      <c r="J256" s="54">
        <f t="shared" si="17"/>
        <v>0</v>
      </c>
      <c r="K256" s="16">
        <v>67450</v>
      </c>
      <c r="L256" s="16"/>
      <c r="M256" s="16">
        <f t="shared" si="18"/>
        <v>67450</v>
      </c>
      <c r="N256" s="109">
        <f>ROUND(M256/1000,1)-0.1</f>
        <v>67.4</v>
      </c>
      <c r="P256" s="116"/>
      <c r="Q256" s="13"/>
      <c r="R256" s="126"/>
      <c r="S256" s="116"/>
    </row>
    <row r="257" spans="1:19" s="52" customFormat="1" ht="45" customHeight="1">
      <c r="A257" s="50"/>
      <c r="B257" s="50"/>
      <c r="C257" s="50"/>
      <c r="D257" s="28" t="s">
        <v>302</v>
      </c>
      <c r="E257" s="28" t="s">
        <v>302</v>
      </c>
      <c r="F257" s="51"/>
      <c r="G257" s="54">
        <f t="shared" si="16"/>
        <v>0</v>
      </c>
      <c r="H257" s="54"/>
      <c r="I257" s="51"/>
      <c r="J257" s="54">
        <f t="shared" si="17"/>
        <v>0</v>
      </c>
      <c r="K257" s="16">
        <v>87750</v>
      </c>
      <c r="L257" s="16"/>
      <c r="M257" s="16">
        <f>L257+K257</f>
        <v>87750</v>
      </c>
      <c r="N257" s="109">
        <f t="shared" si="19"/>
        <v>87.8</v>
      </c>
      <c r="P257" s="116"/>
      <c r="Q257" s="13"/>
      <c r="R257" s="126"/>
      <c r="S257" s="116"/>
    </row>
    <row r="258" spans="1:19" s="52" customFormat="1" ht="31.5" customHeight="1">
      <c r="A258" s="50"/>
      <c r="B258" s="50"/>
      <c r="C258" s="50"/>
      <c r="D258" s="28" t="s">
        <v>282</v>
      </c>
      <c r="E258" s="28" t="s">
        <v>282</v>
      </c>
      <c r="F258" s="51"/>
      <c r="G258" s="54">
        <f t="shared" si="16"/>
        <v>0</v>
      </c>
      <c r="H258" s="54"/>
      <c r="I258" s="51"/>
      <c r="J258" s="54">
        <f t="shared" si="17"/>
        <v>0</v>
      </c>
      <c r="K258" s="16">
        <v>50000</v>
      </c>
      <c r="L258" s="16"/>
      <c r="M258" s="16">
        <f t="shared" si="18"/>
        <v>50000</v>
      </c>
      <c r="N258" s="109">
        <f t="shared" si="19"/>
        <v>50</v>
      </c>
      <c r="P258" s="116"/>
      <c r="Q258" s="13"/>
      <c r="R258" s="126"/>
      <c r="S258" s="116"/>
    </row>
    <row r="259" spans="1:19" s="52" customFormat="1" ht="38.25" customHeight="1">
      <c r="A259" s="50"/>
      <c r="B259" s="50"/>
      <c r="C259" s="50"/>
      <c r="D259" s="28" t="s">
        <v>283</v>
      </c>
      <c r="E259" s="28" t="s">
        <v>283</v>
      </c>
      <c r="F259" s="51"/>
      <c r="G259" s="54">
        <f t="shared" si="16"/>
        <v>0</v>
      </c>
      <c r="H259" s="54"/>
      <c r="I259" s="51"/>
      <c r="J259" s="54">
        <f t="shared" si="17"/>
        <v>0</v>
      </c>
      <c r="K259" s="16">
        <v>50000</v>
      </c>
      <c r="L259" s="16"/>
      <c r="M259" s="16">
        <f t="shared" si="18"/>
        <v>50000</v>
      </c>
      <c r="N259" s="109">
        <f t="shared" si="19"/>
        <v>50</v>
      </c>
      <c r="P259" s="116"/>
      <c r="Q259" s="13"/>
      <c r="R259" s="126"/>
      <c r="S259" s="116"/>
    </row>
    <row r="260" spans="1:19" s="52" customFormat="1" ht="38.25" customHeight="1">
      <c r="A260" s="50"/>
      <c r="B260" s="50"/>
      <c r="C260" s="50"/>
      <c r="D260" s="28" t="s">
        <v>482</v>
      </c>
      <c r="E260" s="28"/>
      <c r="F260" s="51"/>
      <c r="G260" s="54"/>
      <c r="H260" s="54"/>
      <c r="I260" s="51"/>
      <c r="J260" s="54"/>
      <c r="K260" s="16"/>
      <c r="L260" s="16"/>
      <c r="M260" s="16"/>
      <c r="N260" s="109">
        <v>50</v>
      </c>
      <c r="P260" s="116"/>
      <c r="Q260" s="13"/>
      <c r="R260" s="126"/>
      <c r="S260" s="116"/>
    </row>
    <row r="261" spans="1:19" s="52" customFormat="1" ht="20.25">
      <c r="A261" s="50"/>
      <c r="B261" s="50"/>
      <c r="C261" s="50"/>
      <c r="D261" s="28" t="s">
        <v>401</v>
      </c>
      <c r="E261" s="28" t="s">
        <v>401</v>
      </c>
      <c r="F261" s="51"/>
      <c r="G261" s="54">
        <f t="shared" si="16"/>
        <v>0</v>
      </c>
      <c r="H261" s="54"/>
      <c r="I261" s="51"/>
      <c r="J261" s="54">
        <f t="shared" si="17"/>
        <v>0</v>
      </c>
      <c r="K261" s="16">
        <v>50000</v>
      </c>
      <c r="L261" s="16"/>
      <c r="M261" s="16">
        <f t="shared" si="18"/>
        <v>50000</v>
      </c>
      <c r="N261" s="109">
        <f t="shared" si="19"/>
        <v>50</v>
      </c>
      <c r="P261" s="116"/>
      <c r="Q261" s="13"/>
      <c r="R261" s="126"/>
      <c r="S261" s="116"/>
    </row>
    <row r="262" spans="1:19" s="52" customFormat="1" ht="40.5" customHeight="1">
      <c r="A262" s="50"/>
      <c r="B262" s="50"/>
      <c r="C262" s="50"/>
      <c r="D262" s="28" t="s">
        <v>385</v>
      </c>
      <c r="E262" s="28" t="s">
        <v>385</v>
      </c>
      <c r="F262" s="51"/>
      <c r="G262" s="54">
        <f t="shared" si="16"/>
        <v>0</v>
      </c>
      <c r="H262" s="54"/>
      <c r="I262" s="51"/>
      <c r="J262" s="54">
        <f t="shared" si="17"/>
        <v>0</v>
      </c>
      <c r="K262" s="16">
        <v>100000</v>
      </c>
      <c r="L262" s="16"/>
      <c r="M262" s="16">
        <f t="shared" si="18"/>
        <v>100000</v>
      </c>
      <c r="N262" s="109">
        <f t="shared" si="19"/>
        <v>100</v>
      </c>
      <c r="P262" s="116"/>
      <c r="Q262" s="13"/>
      <c r="R262" s="126"/>
      <c r="S262" s="116"/>
    </row>
    <row r="263" spans="1:19" s="52" customFormat="1" ht="40.5" customHeight="1">
      <c r="A263" s="50"/>
      <c r="B263" s="50"/>
      <c r="C263" s="50"/>
      <c r="D263" s="28" t="s">
        <v>386</v>
      </c>
      <c r="E263" s="28" t="s">
        <v>386</v>
      </c>
      <c r="F263" s="51"/>
      <c r="G263" s="54">
        <f t="shared" si="16"/>
        <v>0</v>
      </c>
      <c r="H263" s="54"/>
      <c r="I263" s="51"/>
      <c r="J263" s="54">
        <f t="shared" si="17"/>
        <v>0</v>
      </c>
      <c r="K263" s="16">
        <v>50000</v>
      </c>
      <c r="L263" s="16"/>
      <c r="M263" s="16">
        <f t="shared" si="18"/>
        <v>50000</v>
      </c>
      <c r="N263" s="109">
        <f t="shared" si="19"/>
        <v>50</v>
      </c>
      <c r="P263" s="116"/>
      <c r="Q263" s="13"/>
      <c r="R263" s="126"/>
      <c r="S263" s="116"/>
    </row>
    <row r="264" spans="1:19" s="52" customFormat="1" ht="44.25" customHeight="1">
      <c r="A264" s="50"/>
      <c r="B264" s="50"/>
      <c r="C264" s="50"/>
      <c r="D264" s="28" t="s">
        <v>347</v>
      </c>
      <c r="E264" s="28" t="s">
        <v>347</v>
      </c>
      <c r="F264" s="51"/>
      <c r="G264" s="54">
        <f t="shared" si="16"/>
        <v>0</v>
      </c>
      <c r="H264" s="54"/>
      <c r="I264" s="51"/>
      <c r="J264" s="54">
        <f t="shared" si="17"/>
        <v>0</v>
      </c>
      <c r="K264" s="16">
        <v>50000</v>
      </c>
      <c r="L264" s="16"/>
      <c r="M264" s="16">
        <f t="shared" si="18"/>
        <v>50000</v>
      </c>
      <c r="N264" s="109">
        <f t="shared" si="19"/>
        <v>50</v>
      </c>
      <c r="P264" s="116"/>
      <c r="Q264" s="13"/>
      <c r="R264" s="126"/>
      <c r="S264" s="116"/>
    </row>
    <row r="265" spans="1:19" s="52" customFormat="1" ht="35.25" customHeight="1">
      <c r="A265" s="50"/>
      <c r="B265" s="50"/>
      <c r="C265" s="50"/>
      <c r="D265" s="28" t="s">
        <v>403</v>
      </c>
      <c r="E265" s="28" t="s">
        <v>403</v>
      </c>
      <c r="F265" s="51"/>
      <c r="G265" s="54">
        <f t="shared" si="16"/>
        <v>0</v>
      </c>
      <c r="H265" s="54"/>
      <c r="I265" s="51"/>
      <c r="J265" s="54">
        <f t="shared" si="17"/>
        <v>0</v>
      </c>
      <c r="K265" s="16">
        <v>28500</v>
      </c>
      <c r="L265" s="16"/>
      <c r="M265" s="16">
        <f t="shared" si="18"/>
        <v>28500</v>
      </c>
      <c r="N265" s="109">
        <f t="shared" si="19"/>
        <v>28.5</v>
      </c>
      <c r="P265" s="116"/>
      <c r="Q265" s="13"/>
      <c r="R265" s="126"/>
      <c r="S265" s="116"/>
    </row>
    <row r="266" spans="1:19" s="52" customFormat="1" ht="39.75" customHeight="1">
      <c r="A266" s="50"/>
      <c r="B266" s="50"/>
      <c r="C266" s="50"/>
      <c r="D266" s="28" t="s">
        <v>346</v>
      </c>
      <c r="E266" s="28" t="s">
        <v>346</v>
      </c>
      <c r="F266" s="51"/>
      <c r="G266" s="54">
        <f t="shared" si="16"/>
        <v>0</v>
      </c>
      <c r="H266" s="54"/>
      <c r="I266" s="51"/>
      <c r="J266" s="54">
        <f t="shared" si="17"/>
        <v>0</v>
      </c>
      <c r="K266" s="16">
        <v>150000</v>
      </c>
      <c r="L266" s="16"/>
      <c r="M266" s="16">
        <f t="shared" si="18"/>
        <v>150000</v>
      </c>
      <c r="N266" s="109">
        <f t="shared" si="19"/>
        <v>150</v>
      </c>
      <c r="P266" s="116"/>
      <c r="Q266" s="13"/>
      <c r="R266" s="126"/>
      <c r="S266" s="116"/>
    </row>
    <row r="267" spans="1:19" s="52" customFormat="1" ht="37.5" customHeight="1">
      <c r="A267" s="50"/>
      <c r="B267" s="50"/>
      <c r="C267" s="50"/>
      <c r="D267" s="53" t="s">
        <v>387</v>
      </c>
      <c r="E267" s="53" t="s">
        <v>387</v>
      </c>
      <c r="F267" s="51"/>
      <c r="G267" s="54">
        <f t="shared" si="16"/>
        <v>0</v>
      </c>
      <c r="H267" s="54"/>
      <c r="I267" s="51"/>
      <c r="J267" s="54">
        <f t="shared" si="17"/>
        <v>0</v>
      </c>
      <c r="K267" s="16">
        <v>50000</v>
      </c>
      <c r="L267" s="16"/>
      <c r="M267" s="16">
        <f t="shared" si="18"/>
        <v>50000</v>
      </c>
      <c r="N267" s="109">
        <f t="shared" si="19"/>
        <v>50</v>
      </c>
      <c r="P267" s="116"/>
      <c r="Q267" s="13"/>
      <c r="R267" s="126"/>
      <c r="S267" s="116"/>
    </row>
    <row r="268" spans="1:19" s="52" customFormat="1" ht="39" customHeight="1">
      <c r="A268" s="50"/>
      <c r="B268" s="50"/>
      <c r="C268" s="50"/>
      <c r="D268" s="53" t="s">
        <v>453</v>
      </c>
      <c r="E268" s="53" t="s">
        <v>366</v>
      </c>
      <c r="F268" s="51"/>
      <c r="G268" s="54">
        <f t="shared" si="16"/>
        <v>0</v>
      </c>
      <c r="H268" s="54"/>
      <c r="I268" s="51"/>
      <c r="J268" s="54">
        <f t="shared" si="17"/>
        <v>0</v>
      </c>
      <c r="K268" s="16">
        <v>175000</v>
      </c>
      <c r="L268" s="16"/>
      <c r="M268" s="16">
        <f t="shared" si="18"/>
        <v>175000</v>
      </c>
      <c r="N268" s="109">
        <f t="shared" si="19"/>
        <v>175</v>
      </c>
      <c r="P268" s="116"/>
      <c r="Q268" s="13"/>
      <c r="R268" s="126"/>
      <c r="S268" s="116"/>
    </row>
    <row r="269" spans="1:19" s="52" customFormat="1" ht="42" customHeight="1">
      <c r="A269" s="50"/>
      <c r="B269" s="50"/>
      <c r="C269" s="50"/>
      <c r="D269" s="53" t="s">
        <v>454</v>
      </c>
      <c r="E269" s="53" t="s">
        <v>345</v>
      </c>
      <c r="F269" s="51"/>
      <c r="G269" s="54">
        <f t="shared" si="16"/>
        <v>0</v>
      </c>
      <c r="H269" s="54"/>
      <c r="I269" s="51"/>
      <c r="J269" s="54">
        <f t="shared" si="17"/>
        <v>0</v>
      </c>
      <c r="K269" s="16">
        <v>102645</v>
      </c>
      <c r="L269" s="16"/>
      <c r="M269" s="16">
        <f t="shared" si="18"/>
        <v>102645</v>
      </c>
      <c r="N269" s="109">
        <f t="shared" si="19"/>
        <v>102.6</v>
      </c>
      <c r="P269" s="116"/>
      <c r="Q269" s="13"/>
      <c r="R269" s="126"/>
      <c r="S269" s="116"/>
    </row>
    <row r="270" spans="1:19" s="52" customFormat="1" ht="40.5">
      <c r="A270" s="50"/>
      <c r="B270" s="50"/>
      <c r="C270" s="50"/>
      <c r="D270" s="53" t="s">
        <v>455</v>
      </c>
      <c r="E270" s="53" t="s">
        <v>284</v>
      </c>
      <c r="F270" s="51"/>
      <c r="G270" s="54">
        <f t="shared" si="16"/>
        <v>0</v>
      </c>
      <c r="H270" s="54"/>
      <c r="I270" s="51"/>
      <c r="J270" s="54">
        <f t="shared" si="17"/>
        <v>0</v>
      </c>
      <c r="K270" s="16">
        <v>61400</v>
      </c>
      <c r="L270" s="16">
        <v>-227</v>
      </c>
      <c r="M270" s="16">
        <f t="shared" si="18"/>
        <v>61173</v>
      </c>
      <c r="N270" s="109">
        <f t="shared" si="19"/>
        <v>61.2</v>
      </c>
      <c r="P270" s="116"/>
      <c r="Q270" s="13"/>
      <c r="R270" s="126"/>
      <c r="S270" s="116"/>
    </row>
    <row r="271" spans="1:19" s="52" customFormat="1" ht="43.5" customHeight="1">
      <c r="A271" s="50"/>
      <c r="B271" s="50"/>
      <c r="C271" s="50"/>
      <c r="D271" s="53" t="s">
        <v>456</v>
      </c>
      <c r="E271" s="53" t="s">
        <v>285</v>
      </c>
      <c r="F271" s="51"/>
      <c r="G271" s="54">
        <f t="shared" si="16"/>
        <v>0</v>
      </c>
      <c r="H271" s="54"/>
      <c r="I271" s="51"/>
      <c r="J271" s="54">
        <f t="shared" si="17"/>
        <v>0</v>
      </c>
      <c r="K271" s="16">
        <f>71000-2800</f>
        <v>68200</v>
      </c>
      <c r="L271" s="16">
        <v>-85</v>
      </c>
      <c r="M271" s="16">
        <f t="shared" si="18"/>
        <v>68115</v>
      </c>
      <c r="N271" s="109">
        <f t="shared" si="19"/>
        <v>68.1</v>
      </c>
      <c r="P271" s="116"/>
      <c r="Q271" s="13"/>
      <c r="R271" s="130"/>
      <c r="S271" s="116"/>
    </row>
    <row r="272" spans="1:19" s="52" customFormat="1" ht="44.25" customHeight="1">
      <c r="A272" s="50"/>
      <c r="B272" s="50"/>
      <c r="C272" s="50"/>
      <c r="D272" s="28" t="s">
        <v>404</v>
      </c>
      <c r="E272" s="28" t="s">
        <v>404</v>
      </c>
      <c r="F272" s="51"/>
      <c r="G272" s="54">
        <f t="shared" si="16"/>
        <v>0</v>
      </c>
      <c r="H272" s="54"/>
      <c r="I272" s="51"/>
      <c r="J272" s="54">
        <f t="shared" si="17"/>
        <v>0</v>
      </c>
      <c r="K272" s="16">
        <v>50000</v>
      </c>
      <c r="L272" s="16"/>
      <c r="M272" s="16">
        <f t="shared" si="18"/>
        <v>50000</v>
      </c>
      <c r="N272" s="109">
        <f t="shared" si="19"/>
        <v>50</v>
      </c>
      <c r="P272" s="116"/>
      <c r="Q272" s="13"/>
      <c r="R272" s="129"/>
      <c r="S272" s="116"/>
    </row>
    <row r="273" spans="1:19" s="52" customFormat="1" ht="42" customHeight="1">
      <c r="A273" s="50"/>
      <c r="B273" s="50"/>
      <c r="C273" s="50"/>
      <c r="D273" s="53" t="s">
        <v>304</v>
      </c>
      <c r="E273" s="53" t="s">
        <v>304</v>
      </c>
      <c r="F273" s="51"/>
      <c r="G273" s="54">
        <f t="shared" si="16"/>
        <v>0</v>
      </c>
      <c r="H273" s="54"/>
      <c r="I273" s="51"/>
      <c r="J273" s="54">
        <f t="shared" si="17"/>
        <v>0</v>
      </c>
      <c r="K273" s="16">
        <f>55000+100000-1600</f>
        <v>153400</v>
      </c>
      <c r="L273" s="16">
        <v>-470</v>
      </c>
      <c r="M273" s="16">
        <f t="shared" si="18"/>
        <v>152930</v>
      </c>
      <c r="N273" s="109">
        <f t="shared" si="19"/>
        <v>152.9</v>
      </c>
      <c r="P273" s="116"/>
      <c r="Q273" s="13"/>
      <c r="R273" s="129"/>
      <c r="S273" s="116"/>
    </row>
    <row r="274" spans="1:19" s="52" customFormat="1" ht="38.25" customHeight="1">
      <c r="A274" s="50"/>
      <c r="B274" s="50"/>
      <c r="C274" s="50"/>
      <c r="D274" s="53" t="s">
        <v>373</v>
      </c>
      <c r="E274" s="53" t="s">
        <v>373</v>
      </c>
      <c r="F274" s="51"/>
      <c r="G274" s="54">
        <f t="shared" si="16"/>
        <v>0</v>
      </c>
      <c r="H274" s="54"/>
      <c r="I274" s="51"/>
      <c r="J274" s="54">
        <f t="shared" si="17"/>
        <v>0</v>
      </c>
      <c r="K274" s="16">
        <v>75000</v>
      </c>
      <c r="L274" s="16"/>
      <c r="M274" s="16">
        <f t="shared" si="18"/>
        <v>75000</v>
      </c>
      <c r="N274" s="109">
        <f t="shared" si="19"/>
        <v>75</v>
      </c>
      <c r="P274" s="116"/>
      <c r="Q274" s="13"/>
      <c r="R274" s="122"/>
      <c r="S274" s="116"/>
    </row>
    <row r="275" spans="1:19" s="52" customFormat="1" ht="34.5" customHeight="1">
      <c r="A275" s="50"/>
      <c r="B275" s="50"/>
      <c r="C275" s="50"/>
      <c r="D275" s="28" t="s">
        <v>223</v>
      </c>
      <c r="E275" s="28" t="s">
        <v>223</v>
      </c>
      <c r="F275" s="51"/>
      <c r="G275" s="54">
        <f t="shared" si="16"/>
        <v>0</v>
      </c>
      <c r="H275" s="54"/>
      <c r="I275" s="51"/>
      <c r="J275" s="54">
        <f t="shared" si="17"/>
        <v>0</v>
      </c>
      <c r="K275" s="16">
        <v>998774</v>
      </c>
      <c r="L275" s="16"/>
      <c r="M275" s="16">
        <f t="shared" si="18"/>
        <v>998774</v>
      </c>
      <c r="N275" s="109">
        <f t="shared" si="19"/>
        <v>998.8</v>
      </c>
      <c r="P275" s="116"/>
      <c r="Q275" s="13"/>
      <c r="R275" s="121"/>
      <c r="S275" s="116"/>
    </row>
    <row r="276" spans="1:19" s="52" customFormat="1" ht="27.75" customHeight="1">
      <c r="A276" s="50"/>
      <c r="B276" s="50"/>
      <c r="C276" s="50"/>
      <c r="D276" s="28" t="s">
        <v>224</v>
      </c>
      <c r="E276" s="28" t="s">
        <v>224</v>
      </c>
      <c r="F276" s="51"/>
      <c r="G276" s="54">
        <f t="shared" si="16"/>
        <v>0</v>
      </c>
      <c r="H276" s="54"/>
      <c r="I276" s="51"/>
      <c r="J276" s="54">
        <f t="shared" si="17"/>
        <v>0</v>
      </c>
      <c r="K276" s="16">
        <v>469180</v>
      </c>
      <c r="L276" s="16"/>
      <c r="M276" s="16">
        <f t="shared" si="18"/>
        <v>469180</v>
      </c>
      <c r="N276" s="109">
        <f t="shared" si="19"/>
        <v>469.2</v>
      </c>
      <c r="P276" s="116"/>
      <c r="Q276" s="13"/>
      <c r="R276" s="121"/>
      <c r="S276" s="116"/>
    </row>
    <row r="277" spans="1:19" s="52" customFormat="1" ht="47.25" customHeight="1">
      <c r="A277" s="50"/>
      <c r="B277" s="50"/>
      <c r="C277" s="50"/>
      <c r="D277" s="28" t="s">
        <v>225</v>
      </c>
      <c r="E277" s="28" t="s">
        <v>225</v>
      </c>
      <c r="F277" s="51"/>
      <c r="G277" s="54">
        <f aca="true" t="shared" si="20" ref="G277:G336">ROUND(F277/1000,1)</f>
        <v>0</v>
      </c>
      <c r="H277" s="54"/>
      <c r="I277" s="51"/>
      <c r="J277" s="54">
        <f aca="true" t="shared" si="21" ref="J277:J336">ROUND(I277/1000,1)</f>
        <v>0</v>
      </c>
      <c r="K277" s="16">
        <v>536948</v>
      </c>
      <c r="L277" s="16"/>
      <c r="M277" s="16">
        <f t="shared" si="18"/>
        <v>536948</v>
      </c>
      <c r="N277" s="109">
        <f aca="true" t="shared" si="22" ref="N277:N331">ROUND(M277/1000,1)</f>
        <v>536.9</v>
      </c>
      <c r="P277" s="116"/>
      <c r="Q277" s="13"/>
      <c r="R277" s="120"/>
      <c r="S277" s="116"/>
    </row>
    <row r="278" spans="1:19" s="52" customFormat="1" ht="41.25" customHeight="1">
      <c r="A278" s="50"/>
      <c r="B278" s="50"/>
      <c r="C278" s="50"/>
      <c r="D278" s="28" t="s">
        <v>226</v>
      </c>
      <c r="E278" s="28" t="s">
        <v>226</v>
      </c>
      <c r="F278" s="51"/>
      <c r="G278" s="54">
        <f t="shared" si="20"/>
        <v>0</v>
      </c>
      <c r="H278" s="54"/>
      <c r="I278" s="51"/>
      <c r="J278" s="54">
        <f t="shared" si="21"/>
        <v>0</v>
      </c>
      <c r="K278" s="16">
        <v>280160</v>
      </c>
      <c r="L278" s="16"/>
      <c r="M278" s="16">
        <f t="shared" si="18"/>
        <v>280160</v>
      </c>
      <c r="N278" s="109">
        <f t="shared" si="22"/>
        <v>280.2</v>
      </c>
      <c r="P278" s="116"/>
      <c r="Q278" s="13"/>
      <c r="R278" s="121"/>
      <c r="S278" s="116"/>
    </row>
    <row r="279" spans="1:19" s="52" customFormat="1" ht="27.75" customHeight="1">
      <c r="A279" s="50"/>
      <c r="B279" s="50"/>
      <c r="C279" s="50"/>
      <c r="D279" s="28" t="s">
        <v>227</v>
      </c>
      <c r="E279" s="28" t="s">
        <v>227</v>
      </c>
      <c r="F279" s="51"/>
      <c r="G279" s="54">
        <f t="shared" si="20"/>
        <v>0</v>
      </c>
      <c r="H279" s="54"/>
      <c r="I279" s="51"/>
      <c r="J279" s="54">
        <f t="shared" si="21"/>
        <v>0</v>
      </c>
      <c r="K279" s="16">
        <v>1009908</v>
      </c>
      <c r="L279" s="16"/>
      <c r="M279" s="16">
        <f t="shared" si="18"/>
        <v>1009908</v>
      </c>
      <c r="N279" s="109">
        <f t="shared" si="22"/>
        <v>1009.9</v>
      </c>
      <c r="P279" s="116"/>
      <c r="Q279" s="13"/>
      <c r="R279" s="120"/>
      <c r="S279" s="116"/>
    </row>
    <row r="280" spans="1:19" s="52" customFormat="1" ht="40.5">
      <c r="A280" s="50"/>
      <c r="B280" s="50"/>
      <c r="C280" s="50"/>
      <c r="D280" s="28" t="s">
        <v>228</v>
      </c>
      <c r="E280" s="28" t="s">
        <v>228</v>
      </c>
      <c r="F280" s="51"/>
      <c r="G280" s="54">
        <f t="shared" si="20"/>
        <v>0</v>
      </c>
      <c r="H280" s="54"/>
      <c r="I280" s="51"/>
      <c r="J280" s="54">
        <f t="shared" si="21"/>
        <v>0</v>
      </c>
      <c r="K280" s="16">
        <v>482174</v>
      </c>
      <c r="L280" s="16"/>
      <c r="M280" s="16">
        <f t="shared" si="18"/>
        <v>482174</v>
      </c>
      <c r="N280" s="109">
        <f t="shared" si="22"/>
        <v>482.2</v>
      </c>
      <c r="P280" s="116"/>
      <c r="Q280" s="13"/>
      <c r="R280" s="121"/>
      <c r="S280" s="116"/>
    </row>
    <row r="281" spans="1:19" s="52" customFormat="1" ht="39" customHeight="1">
      <c r="A281" s="50"/>
      <c r="B281" s="50"/>
      <c r="C281" s="50"/>
      <c r="D281" s="28" t="s">
        <v>229</v>
      </c>
      <c r="E281" s="28" t="s">
        <v>229</v>
      </c>
      <c r="F281" s="51"/>
      <c r="G281" s="54">
        <f t="shared" si="20"/>
        <v>0</v>
      </c>
      <c r="H281" s="54"/>
      <c r="I281" s="51"/>
      <c r="J281" s="54">
        <f t="shared" si="21"/>
        <v>0</v>
      </c>
      <c r="K281" s="16">
        <v>425207</v>
      </c>
      <c r="L281" s="16"/>
      <c r="M281" s="16">
        <f t="shared" si="18"/>
        <v>425207</v>
      </c>
      <c r="N281" s="109">
        <f t="shared" si="22"/>
        <v>425.2</v>
      </c>
      <c r="P281" s="116"/>
      <c r="Q281" s="13"/>
      <c r="R281" s="120"/>
      <c r="S281" s="116"/>
    </row>
    <row r="282" spans="1:19" s="52" customFormat="1" ht="20.25">
      <c r="A282" s="50"/>
      <c r="B282" s="50"/>
      <c r="C282" s="50"/>
      <c r="D282" s="28" t="s">
        <v>230</v>
      </c>
      <c r="E282" s="28" t="s">
        <v>230</v>
      </c>
      <c r="F282" s="51"/>
      <c r="G282" s="54">
        <f t="shared" si="20"/>
        <v>0</v>
      </c>
      <c r="H282" s="54"/>
      <c r="I282" s="51"/>
      <c r="J282" s="54">
        <f t="shared" si="21"/>
        <v>0</v>
      </c>
      <c r="K282" s="16">
        <v>567790</v>
      </c>
      <c r="L282" s="16"/>
      <c r="M282" s="16">
        <f t="shared" si="18"/>
        <v>567790</v>
      </c>
      <c r="N282" s="109">
        <f t="shared" si="22"/>
        <v>567.8</v>
      </c>
      <c r="P282" s="116"/>
      <c r="Q282" s="13"/>
      <c r="R282" s="120"/>
      <c r="S282" s="116"/>
    </row>
    <row r="283" spans="1:19" s="52" customFormat="1" ht="27" customHeight="1">
      <c r="A283" s="50"/>
      <c r="B283" s="50"/>
      <c r="C283" s="50"/>
      <c r="D283" s="30" t="s">
        <v>141</v>
      </c>
      <c r="E283" s="30" t="s">
        <v>141</v>
      </c>
      <c r="F283" s="77"/>
      <c r="G283" s="54">
        <f t="shared" si="20"/>
        <v>0</v>
      </c>
      <c r="H283" s="77"/>
      <c r="I283" s="51"/>
      <c r="J283" s="54">
        <f t="shared" si="21"/>
        <v>0</v>
      </c>
      <c r="K283" s="78">
        <f>SUM(K284:K304)</f>
        <v>20797100</v>
      </c>
      <c r="L283" s="78">
        <f>SUM(L284:L304)</f>
        <v>-12917</v>
      </c>
      <c r="M283" s="78">
        <f>SUM(M284:M304)</f>
        <v>20784183</v>
      </c>
      <c r="N283" s="113">
        <f>SUM(N284:N304)</f>
        <v>20784.2</v>
      </c>
      <c r="P283" s="116"/>
      <c r="Q283" s="13"/>
      <c r="R283" s="120"/>
      <c r="S283" s="116"/>
    </row>
    <row r="284" spans="1:19" s="52" customFormat="1" ht="80.25" customHeight="1">
      <c r="A284" s="50"/>
      <c r="B284" s="50"/>
      <c r="C284" s="50"/>
      <c r="D284" s="53" t="s">
        <v>299</v>
      </c>
      <c r="E284" s="53" t="s">
        <v>299</v>
      </c>
      <c r="F284" s="77"/>
      <c r="G284" s="54">
        <f t="shared" si="20"/>
        <v>0</v>
      </c>
      <c r="H284" s="77"/>
      <c r="I284" s="51"/>
      <c r="J284" s="54">
        <f t="shared" si="21"/>
        <v>0</v>
      </c>
      <c r="K284" s="79">
        <v>8500</v>
      </c>
      <c r="L284" s="79"/>
      <c r="M284" s="16">
        <f t="shared" si="18"/>
        <v>8500</v>
      </c>
      <c r="N284" s="109">
        <f t="shared" si="22"/>
        <v>8.5</v>
      </c>
      <c r="P284" s="116"/>
      <c r="Q284" s="13"/>
      <c r="R284" s="122"/>
      <c r="S284" s="116"/>
    </row>
    <row r="285" spans="1:19" s="52" customFormat="1" ht="51" customHeight="1">
      <c r="A285" s="50"/>
      <c r="B285" s="50"/>
      <c r="C285" s="50"/>
      <c r="D285" s="53" t="s">
        <v>308</v>
      </c>
      <c r="E285" s="53" t="s">
        <v>308</v>
      </c>
      <c r="F285" s="77"/>
      <c r="G285" s="54">
        <f t="shared" si="20"/>
        <v>0</v>
      </c>
      <c r="H285" s="77"/>
      <c r="I285" s="51"/>
      <c r="J285" s="54">
        <f t="shared" si="21"/>
        <v>0</v>
      </c>
      <c r="K285" s="79">
        <v>283000</v>
      </c>
      <c r="L285" s="79"/>
      <c r="M285" s="16">
        <f t="shared" si="18"/>
        <v>283000</v>
      </c>
      <c r="N285" s="109">
        <f t="shared" si="22"/>
        <v>283</v>
      </c>
      <c r="P285" s="116"/>
      <c r="Q285" s="13"/>
      <c r="R285" s="121"/>
      <c r="S285" s="116"/>
    </row>
    <row r="286" spans="1:19" s="52" customFormat="1" ht="33" customHeight="1">
      <c r="A286" s="50"/>
      <c r="B286" s="50"/>
      <c r="C286" s="50"/>
      <c r="D286" s="53" t="s">
        <v>159</v>
      </c>
      <c r="E286" s="53" t="s">
        <v>159</v>
      </c>
      <c r="F286" s="51"/>
      <c r="G286" s="54">
        <f t="shared" si="20"/>
        <v>0</v>
      </c>
      <c r="H286" s="54"/>
      <c r="I286" s="51"/>
      <c r="J286" s="54">
        <f t="shared" si="21"/>
        <v>0</v>
      </c>
      <c r="K286" s="16">
        <f>100000+1000</f>
        <v>101000</v>
      </c>
      <c r="L286" s="16"/>
      <c r="M286" s="16">
        <f t="shared" si="18"/>
        <v>101000</v>
      </c>
      <c r="N286" s="109">
        <f t="shared" si="22"/>
        <v>101</v>
      </c>
      <c r="P286" s="116"/>
      <c r="Q286" s="13"/>
      <c r="R286" s="122"/>
      <c r="S286" s="116"/>
    </row>
    <row r="287" spans="1:19" s="52" customFormat="1" ht="39.75" customHeight="1">
      <c r="A287" s="50"/>
      <c r="B287" s="50"/>
      <c r="C287" s="50"/>
      <c r="D287" s="28" t="s">
        <v>234</v>
      </c>
      <c r="E287" s="28" t="s">
        <v>234</v>
      </c>
      <c r="F287" s="51">
        <v>510218</v>
      </c>
      <c r="G287" s="54">
        <f t="shared" si="20"/>
        <v>510.2</v>
      </c>
      <c r="H287" s="54">
        <v>47.9</v>
      </c>
      <c r="I287" s="51">
        <v>244626</v>
      </c>
      <c r="J287" s="54">
        <f t="shared" si="21"/>
        <v>244.6</v>
      </c>
      <c r="K287" s="16">
        <f>240000-17400</f>
        <v>222600</v>
      </c>
      <c r="L287" s="16"/>
      <c r="M287" s="16">
        <f t="shared" si="18"/>
        <v>222600</v>
      </c>
      <c r="N287" s="109">
        <f t="shared" si="22"/>
        <v>222.6</v>
      </c>
      <c r="P287" s="116"/>
      <c r="Q287" s="13"/>
      <c r="R287" s="122"/>
      <c r="S287" s="116"/>
    </row>
    <row r="288" spans="1:19" s="52" customFormat="1" ht="36.75" customHeight="1">
      <c r="A288" s="50"/>
      <c r="B288" s="50"/>
      <c r="C288" s="50"/>
      <c r="D288" s="28" t="s">
        <v>343</v>
      </c>
      <c r="E288" s="28" t="s">
        <v>343</v>
      </c>
      <c r="F288" s="51"/>
      <c r="G288" s="54">
        <f t="shared" si="20"/>
        <v>0</v>
      </c>
      <c r="H288" s="54"/>
      <c r="I288" s="51"/>
      <c r="J288" s="54">
        <f t="shared" si="21"/>
        <v>0</v>
      </c>
      <c r="K288" s="16">
        <v>500000</v>
      </c>
      <c r="L288" s="16"/>
      <c r="M288" s="16">
        <f t="shared" si="18"/>
        <v>500000</v>
      </c>
      <c r="N288" s="109">
        <f t="shared" si="22"/>
        <v>500</v>
      </c>
      <c r="P288" s="116"/>
      <c r="Q288" s="13"/>
      <c r="R288" s="120"/>
      <c r="S288" s="116"/>
    </row>
    <row r="289" spans="1:19" s="52" customFormat="1" ht="35.25" customHeight="1">
      <c r="A289" s="50"/>
      <c r="B289" s="50"/>
      <c r="C289" s="50"/>
      <c r="D289" s="28" t="s">
        <v>341</v>
      </c>
      <c r="E289" s="28" t="s">
        <v>341</v>
      </c>
      <c r="F289" s="51"/>
      <c r="G289" s="54">
        <f t="shared" si="20"/>
        <v>0</v>
      </c>
      <c r="H289" s="54"/>
      <c r="I289" s="51"/>
      <c r="J289" s="54">
        <f t="shared" si="21"/>
        <v>0</v>
      </c>
      <c r="K289" s="16">
        <v>291000</v>
      </c>
      <c r="L289" s="16">
        <v>-8936</v>
      </c>
      <c r="M289" s="16">
        <f t="shared" si="18"/>
        <v>282064</v>
      </c>
      <c r="N289" s="109">
        <f t="shared" si="22"/>
        <v>282.1</v>
      </c>
      <c r="P289" s="116"/>
      <c r="Q289" s="13"/>
      <c r="R289" s="120"/>
      <c r="S289" s="116"/>
    </row>
    <row r="290" spans="1:19" s="52" customFormat="1" ht="36.75" customHeight="1">
      <c r="A290" s="50"/>
      <c r="B290" s="50"/>
      <c r="C290" s="50"/>
      <c r="D290" s="28" t="s">
        <v>342</v>
      </c>
      <c r="E290" s="28" t="s">
        <v>342</v>
      </c>
      <c r="F290" s="51"/>
      <c r="G290" s="54">
        <f t="shared" si="20"/>
        <v>0</v>
      </c>
      <c r="H290" s="54"/>
      <c r="I290" s="51"/>
      <c r="J290" s="54">
        <f t="shared" si="21"/>
        <v>0</v>
      </c>
      <c r="K290" s="16">
        <v>400000</v>
      </c>
      <c r="L290" s="16"/>
      <c r="M290" s="16">
        <f t="shared" si="18"/>
        <v>400000</v>
      </c>
      <c r="N290" s="109">
        <f t="shared" si="22"/>
        <v>400</v>
      </c>
      <c r="P290" s="116"/>
      <c r="Q290" s="13"/>
      <c r="R290" s="120"/>
      <c r="S290" s="116"/>
    </row>
    <row r="291" spans="1:153" ht="45" customHeight="1">
      <c r="A291" s="50"/>
      <c r="B291" s="50"/>
      <c r="C291" s="50"/>
      <c r="D291" s="28" t="s">
        <v>258</v>
      </c>
      <c r="E291" s="28" t="s">
        <v>258</v>
      </c>
      <c r="F291" s="56"/>
      <c r="G291" s="54">
        <f t="shared" si="20"/>
        <v>0</v>
      </c>
      <c r="H291" s="54"/>
      <c r="I291" s="80"/>
      <c r="J291" s="54">
        <f t="shared" si="21"/>
        <v>0</v>
      </c>
      <c r="K291" s="16">
        <v>100000</v>
      </c>
      <c r="L291" s="16"/>
      <c r="M291" s="16">
        <f>L291+K291</f>
        <v>100000</v>
      </c>
      <c r="N291" s="109">
        <f t="shared" si="22"/>
        <v>100</v>
      </c>
      <c r="O291" s="52"/>
      <c r="P291" s="116"/>
      <c r="Q291" s="13"/>
      <c r="R291" s="120"/>
      <c r="S291" s="116"/>
      <c r="T291" s="52"/>
      <c r="U291" s="52"/>
      <c r="V291" s="52"/>
      <c r="W291" s="52"/>
      <c r="X291" s="52"/>
      <c r="Y291" s="52"/>
      <c r="Z291" s="52"/>
      <c r="AA291" s="52"/>
      <c r="AB291" s="52"/>
      <c r="AC291" s="52"/>
      <c r="AD291" s="52"/>
      <c r="AE291" s="52"/>
      <c r="AF291" s="52"/>
      <c r="AG291" s="52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2"/>
      <c r="AU291" s="52"/>
      <c r="AV291" s="52"/>
      <c r="AW291" s="52"/>
      <c r="AX291" s="52"/>
      <c r="AY291" s="52"/>
      <c r="AZ291" s="52"/>
      <c r="BA291" s="52"/>
      <c r="BB291" s="52"/>
      <c r="BC291" s="52"/>
      <c r="BD291" s="52"/>
      <c r="BE291" s="52"/>
      <c r="BF291" s="52"/>
      <c r="BG291" s="52"/>
      <c r="BH291" s="52"/>
      <c r="BI291" s="52"/>
      <c r="BJ291" s="52"/>
      <c r="BK291" s="52"/>
      <c r="BL291" s="52"/>
      <c r="BM291" s="52"/>
      <c r="BN291" s="52"/>
      <c r="BO291" s="52"/>
      <c r="BP291" s="52"/>
      <c r="BQ291" s="52"/>
      <c r="BR291" s="52"/>
      <c r="BS291" s="52"/>
      <c r="BT291" s="52"/>
      <c r="BU291" s="52"/>
      <c r="BV291" s="52"/>
      <c r="BW291" s="52"/>
      <c r="BX291" s="52"/>
      <c r="BY291" s="52"/>
      <c r="BZ291" s="52"/>
      <c r="CA291" s="52"/>
      <c r="CB291" s="52"/>
      <c r="CC291" s="52"/>
      <c r="CD291" s="52"/>
      <c r="CE291" s="52"/>
      <c r="CF291" s="52"/>
      <c r="CG291" s="52"/>
      <c r="CH291" s="52"/>
      <c r="CI291" s="52"/>
      <c r="CJ291" s="52"/>
      <c r="CK291" s="52"/>
      <c r="CL291" s="52"/>
      <c r="CM291" s="52"/>
      <c r="CN291" s="52"/>
      <c r="CO291" s="52"/>
      <c r="CP291" s="52"/>
      <c r="CQ291" s="52"/>
      <c r="CR291" s="52"/>
      <c r="CS291" s="52"/>
      <c r="CT291" s="52"/>
      <c r="CU291" s="52"/>
      <c r="CV291" s="52"/>
      <c r="CW291" s="52"/>
      <c r="CX291" s="52"/>
      <c r="CY291" s="52"/>
      <c r="CZ291" s="52"/>
      <c r="DA291" s="52"/>
      <c r="DB291" s="52"/>
      <c r="DC291" s="52"/>
      <c r="DD291" s="52"/>
      <c r="DE291" s="52"/>
      <c r="DF291" s="52"/>
      <c r="DG291" s="52"/>
      <c r="DH291" s="52"/>
      <c r="DI291" s="52"/>
      <c r="DJ291" s="52"/>
      <c r="DK291" s="52"/>
      <c r="DL291" s="52"/>
      <c r="DM291" s="52"/>
      <c r="DN291" s="52"/>
      <c r="DO291" s="52"/>
      <c r="DP291" s="52"/>
      <c r="DQ291" s="52"/>
      <c r="DR291" s="52"/>
      <c r="DS291" s="52"/>
      <c r="DT291" s="52"/>
      <c r="DU291" s="52"/>
      <c r="DV291" s="52"/>
      <c r="DW291" s="52"/>
      <c r="DX291" s="52"/>
      <c r="DY291" s="52"/>
      <c r="DZ291" s="52"/>
      <c r="EA291" s="52"/>
      <c r="EB291" s="52"/>
      <c r="EC291" s="52"/>
      <c r="ED291" s="52"/>
      <c r="EE291" s="52"/>
      <c r="EF291" s="52"/>
      <c r="EG291" s="52"/>
      <c r="EH291" s="52"/>
      <c r="EI291" s="52"/>
      <c r="EJ291" s="52"/>
      <c r="EK291" s="52"/>
      <c r="EL291" s="52"/>
      <c r="EM291" s="52"/>
      <c r="EN291" s="52"/>
      <c r="EO291" s="52"/>
      <c r="EP291" s="52"/>
      <c r="EQ291" s="52"/>
      <c r="ER291" s="52"/>
      <c r="ES291" s="52"/>
      <c r="ET291" s="52"/>
      <c r="EU291" s="52"/>
      <c r="EV291" s="52"/>
      <c r="EW291" s="52"/>
    </row>
    <row r="292" spans="1:153" ht="45" customHeight="1">
      <c r="A292" s="50"/>
      <c r="B292" s="50"/>
      <c r="C292" s="50"/>
      <c r="D292" s="28" t="s">
        <v>371</v>
      </c>
      <c r="E292" s="28" t="s">
        <v>371</v>
      </c>
      <c r="F292" s="56"/>
      <c r="G292" s="54">
        <f t="shared" si="20"/>
        <v>0</v>
      </c>
      <c r="H292" s="54"/>
      <c r="I292" s="80"/>
      <c r="J292" s="54">
        <f t="shared" si="21"/>
        <v>0</v>
      </c>
      <c r="K292" s="16">
        <v>291000</v>
      </c>
      <c r="L292" s="16"/>
      <c r="M292" s="16">
        <f>L292+K292</f>
        <v>291000</v>
      </c>
      <c r="N292" s="109">
        <f t="shared" si="22"/>
        <v>291</v>
      </c>
      <c r="O292" s="52"/>
      <c r="P292" s="116"/>
      <c r="Q292" s="13"/>
      <c r="R292" s="120"/>
      <c r="S292" s="116"/>
      <c r="T292" s="52"/>
      <c r="U292" s="52"/>
      <c r="V292" s="52"/>
      <c r="W292" s="52"/>
      <c r="X292" s="52"/>
      <c r="Y292" s="52"/>
      <c r="Z292" s="52"/>
      <c r="AA292" s="52"/>
      <c r="AB292" s="52"/>
      <c r="AC292" s="52"/>
      <c r="AD292" s="52"/>
      <c r="AE292" s="52"/>
      <c r="AF292" s="52"/>
      <c r="AG292" s="52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2"/>
      <c r="AU292" s="52"/>
      <c r="AV292" s="52"/>
      <c r="AW292" s="52"/>
      <c r="AX292" s="52"/>
      <c r="AY292" s="52"/>
      <c r="AZ292" s="52"/>
      <c r="BA292" s="52"/>
      <c r="BB292" s="52"/>
      <c r="BC292" s="52"/>
      <c r="BD292" s="52"/>
      <c r="BE292" s="52"/>
      <c r="BF292" s="52"/>
      <c r="BG292" s="52"/>
      <c r="BH292" s="52"/>
      <c r="BI292" s="52"/>
      <c r="BJ292" s="52"/>
      <c r="BK292" s="52"/>
      <c r="BL292" s="52"/>
      <c r="BM292" s="52"/>
      <c r="BN292" s="52"/>
      <c r="BO292" s="52"/>
      <c r="BP292" s="52"/>
      <c r="BQ292" s="52"/>
      <c r="BR292" s="52"/>
      <c r="BS292" s="52"/>
      <c r="BT292" s="52"/>
      <c r="BU292" s="52"/>
      <c r="BV292" s="52"/>
      <c r="BW292" s="52"/>
      <c r="BX292" s="52"/>
      <c r="BY292" s="52"/>
      <c r="BZ292" s="52"/>
      <c r="CA292" s="52"/>
      <c r="CB292" s="52"/>
      <c r="CC292" s="52"/>
      <c r="CD292" s="52"/>
      <c r="CE292" s="52"/>
      <c r="CF292" s="52"/>
      <c r="CG292" s="52"/>
      <c r="CH292" s="52"/>
      <c r="CI292" s="52"/>
      <c r="CJ292" s="52"/>
      <c r="CK292" s="52"/>
      <c r="CL292" s="52"/>
      <c r="CM292" s="52"/>
      <c r="CN292" s="52"/>
      <c r="CO292" s="52"/>
      <c r="CP292" s="52"/>
      <c r="CQ292" s="52"/>
      <c r="CR292" s="52"/>
      <c r="CS292" s="52"/>
      <c r="CT292" s="52"/>
      <c r="CU292" s="52"/>
      <c r="CV292" s="52"/>
      <c r="CW292" s="52"/>
      <c r="CX292" s="52"/>
      <c r="CY292" s="52"/>
      <c r="CZ292" s="52"/>
      <c r="DA292" s="52"/>
      <c r="DB292" s="52"/>
      <c r="DC292" s="52"/>
      <c r="DD292" s="52"/>
      <c r="DE292" s="52"/>
      <c r="DF292" s="52"/>
      <c r="DG292" s="52"/>
      <c r="DH292" s="52"/>
      <c r="DI292" s="52"/>
      <c r="DJ292" s="52"/>
      <c r="DK292" s="52"/>
      <c r="DL292" s="52"/>
      <c r="DM292" s="52"/>
      <c r="DN292" s="52"/>
      <c r="DO292" s="52"/>
      <c r="DP292" s="52"/>
      <c r="DQ292" s="52"/>
      <c r="DR292" s="52"/>
      <c r="DS292" s="52"/>
      <c r="DT292" s="52"/>
      <c r="DU292" s="52"/>
      <c r="DV292" s="52"/>
      <c r="DW292" s="52"/>
      <c r="DX292" s="52"/>
      <c r="DY292" s="52"/>
      <c r="DZ292" s="52"/>
      <c r="EA292" s="52"/>
      <c r="EB292" s="52"/>
      <c r="EC292" s="52"/>
      <c r="ED292" s="52"/>
      <c r="EE292" s="52"/>
      <c r="EF292" s="52"/>
      <c r="EG292" s="52"/>
      <c r="EH292" s="52"/>
      <c r="EI292" s="52"/>
      <c r="EJ292" s="52"/>
      <c r="EK292" s="52"/>
      <c r="EL292" s="52"/>
      <c r="EM292" s="52"/>
      <c r="EN292" s="52"/>
      <c r="EO292" s="52"/>
      <c r="EP292" s="52"/>
      <c r="EQ292" s="52"/>
      <c r="ER292" s="52"/>
      <c r="ES292" s="52"/>
      <c r="ET292" s="52"/>
      <c r="EU292" s="52"/>
      <c r="EV292" s="52"/>
      <c r="EW292" s="52"/>
    </row>
    <row r="293" spans="1:19" s="52" customFormat="1" ht="45.75" customHeight="1">
      <c r="A293" s="50"/>
      <c r="B293" s="50"/>
      <c r="C293" s="50"/>
      <c r="D293" s="53" t="s">
        <v>176</v>
      </c>
      <c r="E293" s="53" t="s">
        <v>176</v>
      </c>
      <c r="F293" s="63">
        <v>7995986</v>
      </c>
      <c r="G293" s="54">
        <f t="shared" si="20"/>
        <v>7996</v>
      </c>
      <c r="H293" s="54">
        <v>92.1</v>
      </c>
      <c r="I293" s="51">
        <v>7363893</v>
      </c>
      <c r="J293" s="54">
        <f t="shared" si="21"/>
        <v>7363.9</v>
      </c>
      <c r="K293" s="16">
        <f>500000+2000000</f>
        <v>2500000</v>
      </c>
      <c r="L293" s="16"/>
      <c r="M293" s="16">
        <f t="shared" si="18"/>
        <v>2500000</v>
      </c>
      <c r="N293" s="109">
        <f t="shared" si="22"/>
        <v>2500</v>
      </c>
      <c r="P293" s="116"/>
      <c r="Q293" s="13"/>
      <c r="R293" s="122"/>
      <c r="S293" s="116"/>
    </row>
    <row r="294" spans="1:19" s="52" customFormat="1" ht="37.5" customHeight="1">
      <c r="A294" s="50"/>
      <c r="B294" s="50"/>
      <c r="C294" s="50"/>
      <c r="D294" s="28" t="s">
        <v>177</v>
      </c>
      <c r="E294" s="28" t="s">
        <v>177</v>
      </c>
      <c r="F294" s="63">
        <v>5617491</v>
      </c>
      <c r="G294" s="54">
        <f t="shared" si="20"/>
        <v>5617.5</v>
      </c>
      <c r="H294" s="54">
        <v>70.6</v>
      </c>
      <c r="I294" s="51">
        <v>3967874</v>
      </c>
      <c r="J294" s="54">
        <f t="shared" si="21"/>
        <v>3967.9</v>
      </c>
      <c r="K294" s="16">
        <v>3000000</v>
      </c>
      <c r="L294" s="16"/>
      <c r="M294" s="16">
        <f t="shared" si="18"/>
        <v>3000000</v>
      </c>
      <c r="N294" s="109">
        <f t="shared" si="22"/>
        <v>3000</v>
      </c>
      <c r="O294" s="93"/>
      <c r="P294" s="116"/>
      <c r="Q294" s="13"/>
      <c r="R294" s="131"/>
      <c r="S294" s="116"/>
    </row>
    <row r="295" spans="1:19" s="52" customFormat="1" ht="36" customHeight="1">
      <c r="A295" s="50"/>
      <c r="B295" s="50"/>
      <c r="C295" s="50"/>
      <c r="D295" s="28" t="s">
        <v>160</v>
      </c>
      <c r="E295" s="28" t="s">
        <v>160</v>
      </c>
      <c r="F295" s="51">
        <v>9995386</v>
      </c>
      <c r="G295" s="54">
        <f t="shared" si="20"/>
        <v>9995.4</v>
      </c>
      <c r="H295" s="54">
        <v>20.8</v>
      </c>
      <c r="I295" s="51">
        <v>2081885</v>
      </c>
      <c r="J295" s="54">
        <f t="shared" si="21"/>
        <v>2081.9</v>
      </c>
      <c r="K295" s="16">
        <f>500000-450000</f>
        <v>50000</v>
      </c>
      <c r="L295" s="16">
        <v>-3981</v>
      </c>
      <c r="M295" s="16">
        <f t="shared" si="18"/>
        <v>46019</v>
      </c>
      <c r="N295" s="109">
        <f t="shared" si="22"/>
        <v>46</v>
      </c>
      <c r="O295" s="67"/>
      <c r="P295" s="116"/>
      <c r="Q295" s="13"/>
      <c r="R295" s="131"/>
      <c r="S295" s="116"/>
    </row>
    <row r="296" spans="1:19" s="52" customFormat="1" ht="36" customHeight="1">
      <c r="A296" s="50"/>
      <c r="B296" s="50"/>
      <c r="C296" s="50"/>
      <c r="D296" s="28" t="s">
        <v>348</v>
      </c>
      <c r="E296" s="28" t="s">
        <v>348</v>
      </c>
      <c r="F296" s="51"/>
      <c r="G296" s="54">
        <f t="shared" si="20"/>
        <v>0</v>
      </c>
      <c r="H296" s="54"/>
      <c r="I296" s="51"/>
      <c r="J296" s="54">
        <f t="shared" si="21"/>
        <v>0</v>
      </c>
      <c r="K296" s="16">
        <v>100000</v>
      </c>
      <c r="L296" s="16"/>
      <c r="M296" s="16">
        <f t="shared" si="18"/>
        <v>100000</v>
      </c>
      <c r="N296" s="109">
        <f t="shared" si="22"/>
        <v>100</v>
      </c>
      <c r="O296" s="67"/>
      <c r="P296" s="116"/>
      <c r="Q296" s="13"/>
      <c r="R296" s="131"/>
      <c r="S296" s="116"/>
    </row>
    <row r="297" spans="1:19" s="52" customFormat="1" ht="32.25" customHeight="1">
      <c r="A297" s="50"/>
      <c r="B297" s="50"/>
      <c r="C297" s="50"/>
      <c r="D297" s="28" t="s">
        <v>161</v>
      </c>
      <c r="E297" s="28" t="s">
        <v>161</v>
      </c>
      <c r="F297" s="63">
        <v>31834622</v>
      </c>
      <c r="G297" s="54">
        <f t="shared" si="20"/>
        <v>31834.6</v>
      </c>
      <c r="H297" s="54">
        <v>65.2</v>
      </c>
      <c r="I297" s="51">
        <v>20752957</v>
      </c>
      <c r="J297" s="54">
        <f t="shared" si="21"/>
        <v>20753</v>
      </c>
      <c r="K297" s="16">
        <v>7000000</v>
      </c>
      <c r="L297" s="16"/>
      <c r="M297" s="16">
        <f t="shared" si="18"/>
        <v>7000000</v>
      </c>
      <c r="N297" s="109">
        <f t="shared" si="22"/>
        <v>7000</v>
      </c>
      <c r="O297" s="13"/>
      <c r="P297" s="116"/>
      <c r="Q297" s="13"/>
      <c r="R297" s="131"/>
      <c r="S297" s="116"/>
    </row>
    <row r="298" spans="1:19" s="52" customFormat="1" ht="33.75" customHeight="1">
      <c r="A298" s="50"/>
      <c r="B298" s="50"/>
      <c r="C298" s="50"/>
      <c r="D298" s="53" t="s">
        <v>162</v>
      </c>
      <c r="E298" s="53" t="s">
        <v>162</v>
      </c>
      <c r="F298" s="63">
        <v>14670250</v>
      </c>
      <c r="G298" s="54">
        <f t="shared" si="20"/>
        <v>14670.3</v>
      </c>
      <c r="H298" s="54">
        <v>48.7</v>
      </c>
      <c r="I298" s="51">
        <v>7146429</v>
      </c>
      <c r="J298" s="54">
        <f t="shared" si="21"/>
        <v>7146.4</v>
      </c>
      <c r="K298" s="16">
        <v>250000</v>
      </c>
      <c r="L298" s="16"/>
      <c r="M298" s="16">
        <f t="shared" si="18"/>
        <v>250000</v>
      </c>
      <c r="N298" s="109">
        <f t="shared" si="22"/>
        <v>250</v>
      </c>
      <c r="O298" s="13"/>
      <c r="P298" s="116"/>
      <c r="Q298" s="13"/>
      <c r="R298" s="131"/>
      <c r="S298" s="116"/>
    </row>
    <row r="299" spans="1:19" s="52" customFormat="1" ht="49.5" customHeight="1">
      <c r="A299" s="50"/>
      <c r="B299" s="50"/>
      <c r="C299" s="50"/>
      <c r="D299" s="28" t="s">
        <v>323</v>
      </c>
      <c r="E299" s="28" t="s">
        <v>323</v>
      </c>
      <c r="F299" s="63">
        <v>1581853</v>
      </c>
      <c r="G299" s="54">
        <f t="shared" si="20"/>
        <v>1581.9</v>
      </c>
      <c r="H299" s="54">
        <v>46.8</v>
      </c>
      <c r="I299" s="51">
        <v>739746</v>
      </c>
      <c r="J299" s="54">
        <f t="shared" si="21"/>
        <v>739.7</v>
      </c>
      <c r="K299" s="16">
        <v>500000</v>
      </c>
      <c r="L299" s="16"/>
      <c r="M299" s="16">
        <f t="shared" si="18"/>
        <v>500000</v>
      </c>
      <c r="N299" s="109">
        <f t="shared" si="22"/>
        <v>500</v>
      </c>
      <c r="O299" s="13"/>
      <c r="P299" s="116"/>
      <c r="Q299" s="13"/>
      <c r="R299" s="131"/>
      <c r="S299" s="116"/>
    </row>
    <row r="300" spans="1:19" s="52" customFormat="1" ht="38.25" customHeight="1">
      <c r="A300" s="50"/>
      <c r="B300" s="50"/>
      <c r="C300" s="50"/>
      <c r="D300" s="28" t="s">
        <v>324</v>
      </c>
      <c r="E300" s="28" t="s">
        <v>324</v>
      </c>
      <c r="F300" s="63"/>
      <c r="G300" s="54">
        <f t="shared" si="20"/>
        <v>0</v>
      </c>
      <c r="H300" s="54"/>
      <c r="I300" s="51"/>
      <c r="J300" s="54">
        <f t="shared" si="21"/>
        <v>0</v>
      </c>
      <c r="K300" s="16">
        <v>500000</v>
      </c>
      <c r="L300" s="16"/>
      <c r="M300" s="16">
        <f t="shared" si="18"/>
        <v>500000</v>
      </c>
      <c r="N300" s="109">
        <f t="shared" si="22"/>
        <v>500</v>
      </c>
      <c r="O300" s="13"/>
      <c r="P300" s="116"/>
      <c r="Q300" s="13"/>
      <c r="R300" s="131"/>
      <c r="S300" s="116"/>
    </row>
    <row r="301" spans="1:19" s="52" customFormat="1" ht="45.75" customHeight="1">
      <c r="A301" s="50"/>
      <c r="B301" s="50"/>
      <c r="C301" s="50"/>
      <c r="D301" s="28" t="s">
        <v>163</v>
      </c>
      <c r="E301" s="28" t="s">
        <v>163</v>
      </c>
      <c r="F301" s="56"/>
      <c r="G301" s="54">
        <f t="shared" si="20"/>
        <v>0</v>
      </c>
      <c r="H301" s="54"/>
      <c r="I301" s="51"/>
      <c r="J301" s="54">
        <f t="shared" si="21"/>
        <v>0</v>
      </c>
      <c r="K301" s="16">
        <v>1500000</v>
      </c>
      <c r="L301" s="16"/>
      <c r="M301" s="16">
        <f t="shared" si="18"/>
        <v>1500000</v>
      </c>
      <c r="N301" s="109">
        <f t="shared" si="22"/>
        <v>1500</v>
      </c>
      <c r="O301" s="13"/>
      <c r="P301" s="116"/>
      <c r="Q301" s="13"/>
      <c r="R301" s="131"/>
      <c r="S301" s="116"/>
    </row>
    <row r="302" spans="1:19" s="52" customFormat="1" ht="47.25" customHeight="1">
      <c r="A302" s="50"/>
      <c r="B302" s="50"/>
      <c r="C302" s="50"/>
      <c r="D302" s="28" t="s">
        <v>164</v>
      </c>
      <c r="E302" s="28" t="s">
        <v>164</v>
      </c>
      <c r="F302" s="56"/>
      <c r="G302" s="54">
        <f t="shared" si="20"/>
        <v>0</v>
      </c>
      <c r="H302" s="54"/>
      <c r="I302" s="51"/>
      <c r="J302" s="54">
        <f t="shared" si="21"/>
        <v>0</v>
      </c>
      <c r="K302" s="16">
        <v>200000</v>
      </c>
      <c r="L302" s="16"/>
      <c r="M302" s="16">
        <f t="shared" si="18"/>
        <v>200000</v>
      </c>
      <c r="N302" s="109">
        <f t="shared" si="22"/>
        <v>200</v>
      </c>
      <c r="O302" s="25"/>
      <c r="P302" s="116"/>
      <c r="Q302" s="13"/>
      <c r="R302" s="131"/>
      <c r="S302" s="116"/>
    </row>
    <row r="303" spans="1:19" s="52" customFormat="1" ht="51" customHeight="1">
      <c r="A303" s="50"/>
      <c r="B303" s="50"/>
      <c r="C303" s="50"/>
      <c r="D303" s="28" t="s">
        <v>165</v>
      </c>
      <c r="E303" s="28" t="s">
        <v>165</v>
      </c>
      <c r="F303" s="56"/>
      <c r="G303" s="54">
        <f t="shared" si="20"/>
        <v>0</v>
      </c>
      <c r="H303" s="54"/>
      <c r="I303" s="80"/>
      <c r="J303" s="54">
        <f t="shared" si="21"/>
        <v>0</v>
      </c>
      <c r="K303" s="16">
        <v>1500000</v>
      </c>
      <c r="L303" s="16"/>
      <c r="M303" s="16">
        <f t="shared" si="18"/>
        <v>1500000</v>
      </c>
      <c r="N303" s="109">
        <f t="shared" si="22"/>
        <v>1500</v>
      </c>
      <c r="O303" s="25"/>
      <c r="P303" s="116"/>
      <c r="Q303" s="13"/>
      <c r="R303" s="131"/>
      <c r="S303" s="116"/>
    </row>
    <row r="304" spans="1:153" ht="35.25" customHeight="1">
      <c r="A304" s="50"/>
      <c r="B304" s="50"/>
      <c r="C304" s="50"/>
      <c r="D304" s="28" t="s">
        <v>166</v>
      </c>
      <c r="E304" s="28" t="s">
        <v>166</v>
      </c>
      <c r="F304" s="56"/>
      <c r="G304" s="54">
        <f t="shared" si="20"/>
        <v>0</v>
      </c>
      <c r="H304" s="54"/>
      <c r="I304" s="80"/>
      <c r="J304" s="54">
        <f t="shared" si="21"/>
        <v>0</v>
      </c>
      <c r="K304" s="16">
        <v>1500000</v>
      </c>
      <c r="L304" s="16"/>
      <c r="M304" s="16">
        <f t="shared" si="18"/>
        <v>1500000</v>
      </c>
      <c r="N304" s="109">
        <f t="shared" si="22"/>
        <v>1500</v>
      </c>
      <c r="O304" s="17"/>
      <c r="P304" s="116"/>
      <c r="Q304" s="13"/>
      <c r="R304" s="131"/>
      <c r="S304" s="116"/>
      <c r="T304" s="52"/>
      <c r="U304" s="52"/>
      <c r="V304" s="52"/>
      <c r="W304" s="52"/>
      <c r="X304" s="52"/>
      <c r="Y304" s="52"/>
      <c r="Z304" s="52"/>
      <c r="AA304" s="52"/>
      <c r="AB304" s="52"/>
      <c r="AC304" s="52"/>
      <c r="AD304" s="52"/>
      <c r="AE304" s="52"/>
      <c r="AF304" s="52"/>
      <c r="AG304" s="52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2"/>
      <c r="AU304" s="52"/>
      <c r="AV304" s="52"/>
      <c r="AW304" s="52"/>
      <c r="AX304" s="52"/>
      <c r="AY304" s="52"/>
      <c r="AZ304" s="52"/>
      <c r="BA304" s="52"/>
      <c r="BB304" s="52"/>
      <c r="BC304" s="52"/>
      <c r="BD304" s="52"/>
      <c r="BE304" s="52"/>
      <c r="BF304" s="52"/>
      <c r="BG304" s="52"/>
      <c r="BH304" s="52"/>
      <c r="BI304" s="52"/>
      <c r="BJ304" s="52"/>
      <c r="BK304" s="52"/>
      <c r="BL304" s="52"/>
      <c r="BM304" s="52"/>
      <c r="BN304" s="52"/>
      <c r="BO304" s="52"/>
      <c r="BP304" s="52"/>
      <c r="BQ304" s="52"/>
      <c r="BR304" s="52"/>
      <c r="BS304" s="52"/>
      <c r="BT304" s="52"/>
      <c r="BU304" s="52"/>
      <c r="BV304" s="52"/>
      <c r="BW304" s="52"/>
      <c r="BX304" s="52"/>
      <c r="BY304" s="52"/>
      <c r="BZ304" s="52"/>
      <c r="CA304" s="52"/>
      <c r="CB304" s="52"/>
      <c r="CC304" s="52"/>
      <c r="CD304" s="52"/>
      <c r="CE304" s="52"/>
      <c r="CF304" s="52"/>
      <c r="CG304" s="52"/>
      <c r="CH304" s="52"/>
      <c r="CI304" s="52"/>
      <c r="CJ304" s="52"/>
      <c r="CK304" s="52"/>
      <c r="CL304" s="52"/>
      <c r="CM304" s="52"/>
      <c r="CN304" s="52"/>
      <c r="CO304" s="52"/>
      <c r="CP304" s="52"/>
      <c r="CQ304" s="52"/>
      <c r="CR304" s="52"/>
      <c r="CS304" s="52"/>
      <c r="CT304" s="52"/>
      <c r="CU304" s="52"/>
      <c r="CV304" s="52"/>
      <c r="CW304" s="52"/>
      <c r="CX304" s="52"/>
      <c r="CY304" s="52"/>
      <c r="CZ304" s="52"/>
      <c r="DA304" s="52"/>
      <c r="DB304" s="52"/>
      <c r="DC304" s="52"/>
      <c r="DD304" s="52"/>
      <c r="DE304" s="52"/>
      <c r="DF304" s="52"/>
      <c r="DG304" s="52"/>
      <c r="DH304" s="52"/>
      <c r="DI304" s="52"/>
      <c r="DJ304" s="52"/>
      <c r="DK304" s="52"/>
      <c r="DL304" s="52"/>
      <c r="DM304" s="52"/>
      <c r="DN304" s="52"/>
      <c r="DO304" s="52"/>
      <c r="DP304" s="52"/>
      <c r="DQ304" s="52"/>
      <c r="DR304" s="52"/>
      <c r="DS304" s="52"/>
      <c r="DT304" s="52"/>
      <c r="DU304" s="52"/>
      <c r="DV304" s="52"/>
      <c r="DW304" s="52"/>
      <c r="DX304" s="52"/>
      <c r="DY304" s="52"/>
      <c r="DZ304" s="52"/>
      <c r="EA304" s="52"/>
      <c r="EB304" s="52"/>
      <c r="EC304" s="52"/>
      <c r="ED304" s="52"/>
      <c r="EE304" s="52"/>
      <c r="EF304" s="52"/>
      <c r="EG304" s="52"/>
      <c r="EH304" s="52"/>
      <c r="EI304" s="52"/>
      <c r="EJ304" s="52"/>
      <c r="EK304" s="52"/>
      <c r="EL304" s="52"/>
      <c r="EM304" s="52"/>
      <c r="EN304" s="52"/>
      <c r="EO304" s="52"/>
      <c r="EP304" s="52"/>
      <c r="EQ304" s="52"/>
      <c r="ER304" s="52"/>
      <c r="ES304" s="52"/>
      <c r="ET304" s="52"/>
      <c r="EU304" s="52"/>
      <c r="EV304" s="52"/>
      <c r="EW304" s="52"/>
    </row>
    <row r="305" spans="1:153" s="103" customFormat="1" ht="35.25" customHeight="1">
      <c r="A305" s="11" t="s">
        <v>232</v>
      </c>
      <c r="B305" s="11" t="s">
        <v>66</v>
      </c>
      <c r="C305" s="11" t="s">
        <v>49</v>
      </c>
      <c r="D305" s="72" t="s">
        <v>448</v>
      </c>
      <c r="E305" s="72"/>
      <c r="F305" s="90"/>
      <c r="G305" s="54">
        <f t="shared" si="20"/>
        <v>0</v>
      </c>
      <c r="H305" s="91"/>
      <c r="I305" s="92"/>
      <c r="J305" s="54">
        <f t="shared" si="21"/>
        <v>0</v>
      </c>
      <c r="K305" s="12">
        <v>2200000</v>
      </c>
      <c r="L305" s="12"/>
      <c r="M305" s="12">
        <f>M306+M307</f>
        <v>2200000</v>
      </c>
      <c r="N305" s="106">
        <f>N306+N307</f>
        <v>2200</v>
      </c>
      <c r="O305" s="25"/>
      <c r="P305" s="116"/>
      <c r="Q305" s="13"/>
      <c r="R305" s="131"/>
      <c r="S305" s="116"/>
      <c r="T305" s="93"/>
      <c r="U305" s="93"/>
      <c r="V305" s="93"/>
      <c r="W305" s="93"/>
      <c r="X305" s="93"/>
      <c r="Y305" s="93"/>
      <c r="Z305" s="93"/>
      <c r="AA305" s="93"/>
      <c r="AB305" s="93"/>
      <c r="AC305" s="93"/>
      <c r="AD305" s="93"/>
      <c r="AE305" s="93"/>
      <c r="AF305" s="93"/>
      <c r="AG305" s="93"/>
      <c r="AH305" s="93"/>
      <c r="AI305" s="93"/>
      <c r="AJ305" s="93"/>
      <c r="AK305" s="93"/>
      <c r="AL305" s="93"/>
      <c r="AM305" s="93"/>
      <c r="AN305" s="93"/>
      <c r="AO305" s="93"/>
      <c r="AP305" s="93"/>
      <c r="AQ305" s="93"/>
      <c r="AR305" s="93"/>
      <c r="AS305" s="93"/>
      <c r="AT305" s="93"/>
      <c r="AU305" s="93"/>
      <c r="AV305" s="93"/>
      <c r="AW305" s="93"/>
      <c r="AX305" s="93"/>
      <c r="AY305" s="93"/>
      <c r="AZ305" s="93"/>
      <c r="BA305" s="93"/>
      <c r="BB305" s="93"/>
      <c r="BC305" s="93"/>
      <c r="BD305" s="93"/>
      <c r="BE305" s="93"/>
      <c r="BF305" s="93"/>
      <c r="BG305" s="93"/>
      <c r="BH305" s="93"/>
      <c r="BI305" s="93"/>
      <c r="BJ305" s="93"/>
      <c r="BK305" s="93"/>
      <c r="BL305" s="93"/>
      <c r="BM305" s="93"/>
      <c r="BN305" s="93"/>
      <c r="BO305" s="93"/>
      <c r="BP305" s="93"/>
      <c r="BQ305" s="93"/>
      <c r="BR305" s="93"/>
      <c r="BS305" s="93"/>
      <c r="BT305" s="93"/>
      <c r="BU305" s="93"/>
      <c r="BV305" s="93"/>
      <c r="BW305" s="93"/>
      <c r="BX305" s="93"/>
      <c r="BY305" s="93"/>
      <c r="BZ305" s="93"/>
      <c r="CA305" s="93"/>
      <c r="CB305" s="93"/>
      <c r="CC305" s="93"/>
      <c r="CD305" s="93"/>
      <c r="CE305" s="93"/>
      <c r="CF305" s="93"/>
      <c r="CG305" s="93"/>
      <c r="CH305" s="93"/>
      <c r="CI305" s="93"/>
      <c r="CJ305" s="93"/>
      <c r="CK305" s="93"/>
      <c r="CL305" s="93"/>
      <c r="CM305" s="93"/>
      <c r="CN305" s="93"/>
      <c r="CO305" s="93"/>
      <c r="CP305" s="93"/>
      <c r="CQ305" s="93"/>
      <c r="CR305" s="93"/>
      <c r="CS305" s="93"/>
      <c r="CT305" s="93"/>
      <c r="CU305" s="93"/>
      <c r="CV305" s="93"/>
      <c r="CW305" s="93"/>
      <c r="CX305" s="93"/>
      <c r="CY305" s="93"/>
      <c r="CZ305" s="93"/>
      <c r="DA305" s="93"/>
      <c r="DB305" s="93"/>
      <c r="DC305" s="93"/>
      <c r="DD305" s="93"/>
      <c r="DE305" s="93"/>
      <c r="DF305" s="93"/>
      <c r="DG305" s="93"/>
      <c r="DH305" s="93"/>
      <c r="DI305" s="93"/>
      <c r="DJ305" s="93"/>
      <c r="DK305" s="93"/>
      <c r="DL305" s="93"/>
      <c r="DM305" s="93"/>
      <c r="DN305" s="93"/>
      <c r="DO305" s="93"/>
      <c r="DP305" s="93"/>
      <c r="DQ305" s="93"/>
      <c r="DR305" s="93"/>
      <c r="DS305" s="93"/>
      <c r="DT305" s="93"/>
      <c r="DU305" s="93"/>
      <c r="DV305" s="93"/>
      <c r="DW305" s="93"/>
      <c r="DX305" s="93"/>
      <c r="DY305" s="93"/>
      <c r="DZ305" s="93"/>
      <c r="EA305" s="93"/>
      <c r="EB305" s="93"/>
      <c r="EC305" s="93"/>
      <c r="ED305" s="93"/>
      <c r="EE305" s="93"/>
      <c r="EF305" s="93"/>
      <c r="EG305" s="93"/>
      <c r="EH305" s="93"/>
      <c r="EI305" s="93"/>
      <c r="EJ305" s="93"/>
      <c r="EK305" s="93"/>
      <c r="EL305" s="93"/>
      <c r="EM305" s="93"/>
      <c r="EN305" s="93"/>
      <c r="EO305" s="93"/>
      <c r="EP305" s="93"/>
      <c r="EQ305" s="93"/>
      <c r="ER305" s="93"/>
      <c r="ES305" s="93"/>
      <c r="ET305" s="93"/>
      <c r="EU305" s="93"/>
      <c r="EV305" s="93"/>
      <c r="EW305" s="93"/>
    </row>
    <row r="306" spans="1:153" s="141" customFormat="1" ht="35.25" customHeight="1">
      <c r="A306" s="18"/>
      <c r="B306" s="18"/>
      <c r="C306" s="18"/>
      <c r="D306" s="35" t="s">
        <v>380</v>
      </c>
      <c r="E306" s="35" t="s">
        <v>380</v>
      </c>
      <c r="F306" s="71"/>
      <c r="G306" s="66">
        <f t="shared" si="20"/>
        <v>0</v>
      </c>
      <c r="H306" s="66"/>
      <c r="I306" s="114"/>
      <c r="J306" s="66">
        <f t="shared" si="21"/>
        <v>0</v>
      </c>
      <c r="K306" s="21">
        <v>1700000</v>
      </c>
      <c r="L306" s="21"/>
      <c r="M306" s="21">
        <f t="shared" si="18"/>
        <v>1700000</v>
      </c>
      <c r="N306" s="108">
        <f t="shared" si="22"/>
        <v>1700</v>
      </c>
      <c r="O306" s="17"/>
      <c r="P306" s="116"/>
      <c r="Q306" s="13"/>
      <c r="R306" s="131"/>
      <c r="S306" s="116"/>
      <c r="T306" s="67"/>
      <c r="U306" s="67"/>
      <c r="V306" s="67"/>
      <c r="W306" s="67"/>
      <c r="X306" s="67"/>
      <c r="Y306" s="67"/>
      <c r="Z306" s="67"/>
      <c r="AA306" s="67"/>
      <c r="AB306" s="67"/>
      <c r="AC306" s="67"/>
      <c r="AD306" s="67"/>
      <c r="AE306" s="67"/>
      <c r="AF306" s="67"/>
      <c r="AG306" s="67"/>
      <c r="AH306" s="67"/>
      <c r="AI306" s="67"/>
      <c r="AJ306" s="67"/>
      <c r="AK306" s="67"/>
      <c r="AL306" s="67"/>
      <c r="AM306" s="67"/>
      <c r="AN306" s="67"/>
      <c r="AO306" s="67"/>
      <c r="AP306" s="67"/>
      <c r="AQ306" s="67"/>
      <c r="AR306" s="67"/>
      <c r="AS306" s="67"/>
      <c r="AT306" s="67"/>
      <c r="AU306" s="67"/>
      <c r="AV306" s="67"/>
      <c r="AW306" s="67"/>
      <c r="AX306" s="67"/>
      <c r="AY306" s="67"/>
      <c r="AZ306" s="67"/>
      <c r="BA306" s="67"/>
      <c r="BB306" s="67"/>
      <c r="BC306" s="67"/>
      <c r="BD306" s="67"/>
      <c r="BE306" s="67"/>
      <c r="BF306" s="67"/>
      <c r="BG306" s="67"/>
      <c r="BH306" s="67"/>
      <c r="BI306" s="67"/>
      <c r="BJ306" s="67"/>
      <c r="BK306" s="67"/>
      <c r="BL306" s="67"/>
      <c r="BM306" s="67"/>
      <c r="BN306" s="67"/>
      <c r="BO306" s="67"/>
      <c r="BP306" s="67"/>
      <c r="BQ306" s="67"/>
      <c r="BR306" s="67"/>
      <c r="BS306" s="67"/>
      <c r="BT306" s="67"/>
      <c r="BU306" s="67"/>
      <c r="BV306" s="67"/>
      <c r="BW306" s="67"/>
      <c r="BX306" s="67"/>
      <c r="BY306" s="67"/>
      <c r="BZ306" s="67"/>
      <c r="CA306" s="67"/>
      <c r="CB306" s="67"/>
      <c r="CC306" s="67"/>
      <c r="CD306" s="67"/>
      <c r="CE306" s="67"/>
      <c r="CF306" s="67"/>
      <c r="CG306" s="67"/>
      <c r="CH306" s="67"/>
      <c r="CI306" s="67"/>
      <c r="CJ306" s="67"/>
      <c r="CK306" s="67"/>
      <c r="CL306" s="67"/>
      <c r="CM306" s="67"/>
      <c r="CN306" s="67"/>
      <c r="CO306" s="67"/>
      <c r="CP306" s="67"/>
      <c r="CQ306" s="67"/>
      <c r="CR306" s="67"/>
      <c r="CS306" s="67"/>
      <c r="CT306" s="67"/>
      <c r="CU306" s="67"/>
      <c r="CV306" s="67"/>
      <c r="CW306" s="67"/>
      <c r="CX306" s="67"/>
      <c r="CY306" s="67"/>
      <c r="CZ306" s="67"/>
      <c r="DA306" s="67"/>
      <c r="DB306" s="67"/>
      <c r="DC306" s="67"/>
      <c r="DD306" s="67"/>
      <c r="DE306" s="67"/>
      <c r="DF306" s="67"/>
      <c r="DG306" s="67"/>
      <c r="DH306" s="67"/>
      <c r="DI306" s="67"/>
      <c r="DJ306" s="67"/>
      <c r="DK306" s="67"/>
      <c r="DL306" s="67"/>
      <c r="DM306" s="67"/>
      <c r="DN306" s="67"/>
      <c r="DO306" s="67"/>
      <c r="DP306" s="67"/>
      <c r="DQ306" s="67"/>
      <c r="DR306" s="67"/>
      <c r="DS306" s="67"/>
      <c r="DT306" s="67"/>
      <c r="DU306" s="67"/>
      <c r="DV306" s="67"/>
      <c r="DW306" s="67"/>
      <c r="DX306" s="67"/>
      <c r="DY306" s="67"/>
      <c r="DZ306" s="67"/>
      <c r="EA306" s="67"/>
      <c r="EB306" s="67"/>
      <c r="EC306" s="67"/>
      <c r="ED306" s="67"/>
      <c r="EE306" s="67"/>
      <c r="EF306" s="67"/>
      <c r="EG306" s="67"/>
      <c r="EH306" s="67"/>
      <c r="EI306" s="67"/>
      <c r="EJ306" s="67"/>
      <c r="EK306" s="67"/>
      <c r="EL306" s="67"/>
      <c r="EM306" s="67"/>
      <c r="EN306" s="67"/>
      <c r="EO306" s="67"/>
      <c r="EP306" s="67"/>
      <c r="EQ306" s="67"/>
      <c r="ER306" s="67"/>
      <c r="ES306" s="67"/>
      <c r="ET306" s="67"/>
      <c r="EU306" s="67"/>
      <c r="EV306" s="67"/>
      <c r="EW306" s="67"/>
    </row>
    <row r="307" spans="1:153" s="141" customFormat="1" ht="32.25" customHeight="1">
      <c r="A307" s="18"/>
      <c r="B307" s="18"/>
      <c r="C307" s="18"/>
      <c r="D307" s="35" t="s">
        <v>241</v>
      </c>
      <c r="E307" s="35" t="s">
        <v>241</v>
      </c>
      <c r="F307" s="65">
        <v>1579560</v>
      </c>
      <c r="G307" s="54">
        <f t="shared" si="20"/>
        <v>1579.6</v>
      </c>
      <c r="H307" s="54">
        <v>38.4</v>
      </c>
      <c r="I307" s="51">
        <v>605818</v>
      </c>
      <c r="J307" s="54">
        <f t="shared" si="21"/>
        <v>605.8</v>
      </c>
      <c r="K307" s="21">
        <v>500000</v>
      </c>
      <c r="L307" s="21"/>
      <c r="M307" s="21">
        <f t="shared" si="18"/>
        <v>500000</v>
      </c>
      <c r="N307" s="108">
        <f t="shared" si="22"/>
        <v>500</v>
      </c>
      <c r="O307" s="25"/>
      <c r="P307" s="116"/>
      <c r="Q307" s="13"/>
      <c r="R307" s="131"/>
      <c r="S307" s="116"/>
      <c r="T307" s="67"/>
      <c r="U307" s="67"/>
      <c r="V307" s="67"/>
      <c r="W307" s="67"/>
      <c r="X307" s="67"/>
      <c r="Y307" s="67"/>
      <c r="Z307" s="67"/>
      <c r="AA307" s="67"/>
      <c r="AB307" s="67"/>
      <c r="AC307" s="67"/>
      <c r="AD307" s="67"/>
      <c r="AE307" s="67"/>
      <c r="AF307" s="67"/>
      <c r="AG307" s="67"/>
      <c r="AH307" s="67"/>
      <c r="AI307" s="67"/>
      <c r="AJ307" s="67"/>
      <c r="AK307" s="67"/>
      <c r="AL307" s="67"/>
      <c r="AM307" s="67"/>
      <c r="AN307" s="67"/>
      <c r="AO307" s="67"/>
      <c r="AP307" s="67"/>
      <c r="AQ307" s="67"/>
      <c r="AR307" s="67"/>
      <c r="AS307" s="67"/>
      <c r="AT307" s="67"/>
      <c r="AU307" s="67"/>
      <c r="AV307" s="67"/>
      <c r="AW307" s="67"/>
      <c r="AX307" s="67"/>
      <c r="AY307" s="67"/>
      <c r="AZ307" s="67"/>
      <c r="BA307" s="67"/>
      <c r="BB307" s="67"/>
      <c r="BC307" s="67"/>
      <c r="BD307" s="67"/>
      <c r="BE307" s="67"/>
      <c r="BF307" s="67"/>
      <c r="BG307" s="67"/>
      <c r="BH307" s="67"/>
      <c r="BI307" s="67"/>
      <c r="BJ307" s="67"/>
      <c r="BK307" s="67"/>
      <c r="BL307" s="67"/>
      <c r="BM307" s="67"/>
      <c r="BN307" s="67"/>
      <c r="BO307" s="67"/>
      <c r="BP307" s="67"/>
      <c r="BQ307" s="67"/>
      <c r="BR307" s="67"/>
      <c r="BS307" s="67"/>
      <c r="BT307" s="67"/>
      <c r="BU307" s="67"/>
      <c r="BV307" s="67"/>
      <c r="BW307" s="67"/>
      <c r="BX307" s="67"/>
      <c r="BY307" s="67"/>
      <c r="BZ307" s="67"/>
      <c r="CA307" s="67"/>
      <c r="CB307" s="67"/>
      <c r="CC307" s="67"/>
      <c r="CD307" s="67"/>
      <c r="CE307" s="67"/>
      <c r="CF307" s="67"/>
      <c r="CG307" s="67"/>
      <c r="CH307" s="67"/>
      <c r="CI307" s="67"/>
      <c r="CJ307" s="67"/>
      <c r="CK307" s="67"/>
      <c r="CL307" s="67"/>
      <c r="CM307" s="67"/>
      <c r="CN307" s="67"/>
      <c r="CO307" s="67"/>
      <c r="CP307" s="67"/>
      <c r="CQ307" s="67"/>
      <c r="CR307" s="67"/>
      <c r="CS307" s="67"/>
      <c r="CT307" s="67"/>
      <c r="CU307" s="67"/>
      <c r="CV307" s="67"/>
      <c r="CW307" s="67"/>
      <c r="CX307" s="67"/>
      <c r="CY307" s="67"/>
      <c r="CZ307" s="67"/>
      <c r="DA307" s="67"/>
      <c r="DB307" s="67"/>
      <c r="DC307" s="67"/>
      <c r="DD307" s="67"/>
      <c r="DE307" s="67"/>
      <c r="DF307" s="67"/>
      <c r="DG307" s="67"/>
      <c r="DH307" s="67"/>
      <c r="DI307" s="67"/>
      <c r="DJ307" s="67"/>
      <c r="DK307" s="67"/>
      <c r="DL307" s="67"/>
      <c r="DM307" s="67"/>
      <c r="DN307" s="67"/>
      <c r="DO307" s="67"/>
      <c r="DP307" s="67"/>
      <c r="DQ307" s="67"/>
      <c r="DR307" s="67"/>
      <c r="DS307" s="67"/>
      <c r="DT307" s="67"/>
      <c r="DU307" s="67"/>
      <c r="DV307" s="67"/>
      <c r="DW307" s="67"/>
      <c r="DX307" s="67"/>
      <c r="DY307" s="67"/>
      <c r="DZ307" s="67"/>
      <c r="EA307" s="67"/>
      <c r="EB307" s="67"/>
      <c r="EC307" s="67"/>
      <c r="ED307" s="67"/>
      <c r="EE307" s="67"/>
      <c r="EF307" s="67"/>
      <c r="EG307" s="67"/>
      <c r="EH307" s="67"/>
      <c r="EI307" s="67"/>
      <c r="EJ307" s="67"/>
      <c r="EK307" s="67"/>
      <c r="EL307" s="67"/>
      <c r="EM307" s="67"/>
      <c r="EN307" s="67"/>
      <c r="EO307" s="67"/>
      <c r="EP307" s="67"/>
      <c r="EQ307" s="67"/>
      <c r="ER307" s="67"/>
      <c r="ES307" s="67"/>
      <c r="ET307" s="67"/>
      <c r="EU307" s="67"/>
      <c r="EV307" s="67"/>
      <c r="EW307" s="67"/>
    </row>
    <row r="308" spans="1:19" s="13" customFormat="1" ht="30.75" customHeight="1">
      <c r="A308" s="11" t="s">
        <v>265</v>
      </c>
      <c r="B308" s="11" t="s">
        <v>262</v>
      </c>
      <c r="C308" s="11"/>
      <c r="D308" s="30" t="s">
        <v>428</v>
      </c>
      <c r="E308" s="30"/>
      <c r="F308" s="94"/>
      <c r="G308" s="54">
        <f t="shared" si="20"/>
        <v>0</v>
      </c>
      <c r="H308" s="30"/>
      <c r="I308" s="30"/>
      <c r="J308" s="54">
        <f t="shared" si="21"/>
        <v>0</v>
      </c>
      <c r="K308" s="47">
        <f>SUM(K313)</f>
        <v>598538</v>
      </c>
      <c r="L308" s="95">
        <f>SUM(L313)</f>
        <v>0</v>
      </c>
      <c r="M308" s="95">
        <f>SUM(M313)</f>
        <v>598538</v>
      </c>
      <c r="N308" s="112">
        <f>SUM(N313)+N309</f>
        <v>1103.1</v>
      </c>
      <c r="O308" s="17"/>
      <c r="P308" s="116"/>
      <c r="R308" s="131"/>
      <c r="S308" s="116"/>
    </row>
    <row r="309" spans="1:19" s="13" customFormat="1" ht="49.5" customHeight="1">
      <c r="A309" s="18" t="s">
        <v>472</v>
      </c>
      <c r="B309" s="18" t="s">
        <v>272</v>
      </c>
      <c r="C309" s="18" t="s">
        <v>44</v>
      </c>
      <c r="D309" s="19" t="s">
        <v>493</v>
      </c>
      <c r="E309" s="30"/>
      <c r="F309" s="94"/>
      <c r="G309" s="54"/>
      <c r="H309" s="30"/>
      <c r="I309" s="30"/>
      <c r="J309" s="54"/>
      <c r="K309" s="47"/>
      <c r="L309" s="95"/>
      <c r="M309" s="95"/>
      <c r="N309" s="108">
        <f>N310+N311+N312</f>
        <v>504.59999999999997</v>
      </c>
      <c r="O309" s="17"/>
      <c r="P309" s="116"/>
      <c r="R309" s="131"/>
      <c r="S309" s="116"/>
    </row>
    <row r="310" spans="1:19" s="13" customFormat="1" ht="30.75" customHeight="1">
      <c r="A310" s="11"/>
      <c r="B310" s="11"/>
      <c r="C310" s="11"/>
      <c r="D310" s="15" t="s">
        <v>473</v>
      </c>
      <c r="E310" s="30"/>
      <c r="F310" s="94"/>
      <c r="G310" s="54"/>
      <c r="H310" s="30"/>
      <c r="I310" s="30"/>
      <c r="J310" s="54"/>
      <c r="K310" s="47"/>
      <c r="L310" s="95"/>
      <c r="M310" s="95"/>
      <c r="N310" s="109">
        <v>169.9</v>
      </c>
      <c r="O310" s="17"/>
      <c r="P310" s="116"/>
      <c r="R310" s="131"/>
      <c r="S310" s="116"/>
    </row>
    <row r="311" spans="1:19" s="13" customFormat="1" ht="30.75" customHeight="1">
      <c r="A311" s="11"/>
      <c r="B311" s="11"/>
      <c r="C311" s="11"/>
      <c r="D311" s="15" t="s">
        <v>474</v>
      </c>
      <c r="E311" s="30"/>
      <c r="F311" s="94"/>
      <c r="G311" s="54"/>
      <c r="H311" s="30"/>
      <c r="I311" s="30"/>
      <c r="J311" s="54"/>
      <c r="K311" s="47"/>
      <c r="L311" s="95"/>
      <c r="M311" s="95"/>
      <c r="N311" s="109">
        <v>162.5</v>
      </c>
      <c r="P311" s="116"/>
      <c r="R311" s="131"/>
      <c r="S311" s="116"/>
    </row>
    <row r="312" spans="1:19" s="13" customFormat="1" ht="43.5" customHeight="1">
      <c r="A312" s="11"/>
      <c r="B312" s="11"/>
      <c r="C312" s="11"/>
      <c r="D312" s="15" t="s">
        <v>475</v>
      </c>
      <c r="E312" s="30"/>
      <c r="F312" s="94"/>
      <c r="G312" s="54"/>
      <c r="H312" s="30"/>
      <c r="I312" s="30"/>
      <c r="J312" s="54"/>
      <c r="K312" s="47"/>
      <c r="L312" s="95"/>
      <c r="M312" s="95"/>
      <c r="N312" s="109">
        <v>172.2</v>
      </c>
      <c r="O312" s="25"/>
      <c r="P312" s="116"/>
      <c r="R312" s="131"/>
      <c r="S312" s="116"/>
    </row>
    <row r="313" spans="1:19" s="25" customFormat="1" ht="56.25" customHeight="1">
      <c r="A313" s="18" t="s">
        <v>266</v>
      </c>
      <c r="B313" s="18" t="s">
        <v>269</v>
      </c>
      <c r="C313" s="18" t="s">
        <v>44</v>
      </c>
      <c r="D313" s="19" t="s">
        <v>260</v>
      </c>
      <c r="E313" s="19"/>
      <c r="F313" s="83"/>
      <c r="G313" s="54">
        <f t="shared" si="20"/>
        <v>0</v>
      </c>
      <c r="H313" s="19"/>
      <c r="I313" s="19"/>
      <c r="J313" s="54">
        <f t="shared" si="21"/>
        <v>0</v>
      </c>
      <c r="K313" s="38">
        <f>K315+K317</f>
        <v>598538</v>
      </c>
      <c r="L313" s="38">
        <f>L315+L317</f>
        <v>0</v>
      </c>
      <c r="M313" s="38">
        <f>M315+M317</f>
        <v>598538</v>
      </c>
      <c r="N313" s="108">
        <f t="shared" si="22"/>
        <v>598.5</v>
      </c>
      <c r="O313" s="13"/>
      <c r="P313" s="116"/>
      <c r="Q313" s="13"/>
      <c r="R313" s="131"/>
      <c r="S313" s="116"/>
    </row>
    <row r="314" spans="1:19" s="25" customFormat="1" ht="20.25" customHeight="1">
      <c r="A314" s="18"/>
      <c r="B314" s="18"/>
      <c r="C314" s="18"/>
      <c r="D314" s="19" t="s">
        <v>470</v>
      </c>
      <c r="E314" s="19"/>
      <c r="F314" s="19"/>
      <c r="G314" s="54">
        <f t="shared" si="20"/>
        <v>0</v>
      </c>
      <c r="H314" s="19"/>
      <c r="I314" s="19"/>
      <c r="J314" s="54">
        <f t="shared" si="21"/>
        <v>0</v>
      </c>
      <c r="K314" s="21">
        <f>K316+K318</f>
        <v>300091</v>
      </c>
      <c r="L314" s="21">
        <f>L316+L318</f>
        <v>0</v>
      </c>
      <c r="M314" s="21">
        <f>L314+K314</f>
        <v>300091</v>
      </c>
      <c r="N314" s="108">
        <f t="shared" si="22"/>
        <v>300.1</v>
      </c>
      <c r="O314" s="13"/>
      <c r="P314" s="116"/>
      <c r="Q314" s="13"/>
      <c r="R314" s="131"/>
      <c r="S314" s="116"/>
    </row>
    <row r="315" spans="1:19" s="17" customFormat="1" ht="47.25" customHeight="1">
      <c r="A315" s="14"/>
      <c r="B315" s="14"/>
      <c r="C315" s="14"/>
      <c r="D315" s="15" t="s">
        <v>398</v>
      </c>
      <c r="E315" s="15" t="s">
        <v>398</v>
      </c>
      <c r="F315" s="81"/>
      <c r="G315" s="54">
        <f t="shared" si="20"/>
        <v>0</v>
      </c>
      <c r="H315" s="15"/>
      <c r="I315" s="15"/>
      <c r="J315" s="54">
        <f t="shared" si="21"/>
        <v>0</v>
      </c>
      <c r="K315" s="37">
        <f>289447+91</f>
        <v>289538</v>
      </c>
      <c r="L315" s="82"/>
      <c r="M315" s="82">
        <f>L315+K315</f>
        <v>289538</v>
      </c>
      <c r="N315" s="109">
        <f t="shared" si="22"/>
        <v>289.5</v>
      </c>
      <c r="P315" s="116"/>
      <c r="Q315" s="13"/>
      <c r="R315" s="131"/>
      <c r="S315" s="116"/>
    </row>
    <row r="316" spans="1:19" s="25" customFormat="1" ht="33" customHeight="1">
      <c r="A316" s="18"/>
      <c r="B316" s="18"/>
      <c r="C316" s="18"/>
      <c r="D316" s="19" t="s">
        <v>470</v>
      </c>
      <c r="E316" s="19"/>
      <c r="F316" s="19"/>
      <c r="G316" s="54">
        <f t="shared" si="20"/>
        <v>0</v>
      </c>
      <c r="H316" s="19"/>
      <c r="I316" s="19"/>
      <c r="J316" s="54">
        <f t="shared" si="21"/>
        <v>0</v>
      </c>
      <c r="K316" s="21">
        <v>91</v>
      </c>
      <c r="L316" s="21"/>
      <c r="M316" s="21">
        <f>L316+K316</f>
        <v>91</v>
      </c>
      <c r="N316" s="108">
        <f t="shared" si="22"/>
        <v>0.1</v>
      </c>
      <c r="O316" s="17"/>
      <c r="P316" s="116"/>
      <c r="Q316" s="13"/>
      <c r="R316" s="131"/>
      <c r="S316" s="116"/>
    </row>
    <row r="317" spans="1:19" s="17" customFormat="1" ht="58.5" customHeight="1">
      <c r="A317" s="14"/>
      <c r="B317" s="14"/>
      <c r="C317" s="14"/>
      <c r="D317" s="15" t="s">
        <v>399</v>
      </c>
      <c r="E317" s="15" t="s">
        <v>399</v>
      </c>
      <c r="F317" s="81"/>
      <c r="G317" s="54">
        <f t="shared" si="20"/>
        <v>0</v>
      </c>
      <c r="H317" s="15"/>
      <c r="I317" s="15"/>
      <c r="J317" s="54">
        <f t="shared" si="21"/>
        <v>0</v>
      </c>
      <c r="K317" s="37">
        <v>309000</v>
      </c>
      <c r="L317" s="82"/>
      <c r="M317" s="82">
        <f>L317+K317</f>
        <v>309000</v>
      </c>
      <c r="N317" s="109">
        <f t="shared" si="22"/>
        <v>309</v>
      </c>
      <c r="P317" s="116"/>
      <c r="Q317" s="13"/>
      <c r="R317" s="131"/>
      <c r="S317" s="116"/>
    </row>
    <row r="318" spans="1:19" s="25" customFormat="1" ht="27.75" customHeight="1">
      <c r="A318" s="18"/>
      <c r="B318" s="18"/>
      <c r="C318" s="18"/>
      <c r="D318" s="19" t="s">
        <v>470</v>
      </c>
      <c r="E318" s="19"/>
      <c r="F318" s="19"/>
      <c r="G318" s="54">
        <f t="shared" si="20"/>
        <v>0</v>
      </c>
      <c r="H318" s="19"/>
      <c r="I318" s="19"/>
      <c r="J318" s="54">
        <f t="shared" si="21"/>
        <v>0</v>
      </c>
      <c r="K318" s="21">
        <v>300000</v>
      </c>
      <c r="L318" s="21"/>
      <c r="M318" s="21">
        <f>L318+K318</f>
        <v>300000</v>
      </c>
      <c r="N318" s="108">
        <f t="shared" si="22"/>
        <v>300</v>
      </c>
      <c r="O318" s="13"/>
      <c r="P318" s="116"/>
      <c r="Q318" s="13"/>
      <c r="R318" s="131"/>
      <c r="S318" s="116"/>
    </row>
    <row r="319" spans="1:19" s="17" customFormat="1" ht="30.75" customHeight="1">
      <c r="A319" s="14" t="s">
        <v>72</v>
      </c>
      <c r="B319" s="14" t="s">
        <v>1</v>
      </c>
      <c r="C319" s="14" t="s">
        <v>45</v>
      </c>
      <c r="D319" s="15" t="s">
        <v>14</v>
      </c>
      <c r="E319" s="15"/>
      <c r="F319" s="81"/>
      <c r="G319" s="54">
        <f t="shared" si="20"/>
        <v>0</v>
      </c>
      <c r="H319" s="15"/>
      <c r="I319" s="15"/>
      <c r="J319" s="54">
        <f t="shared" si="21"/>
        <v>0</v>
      </c>
      <c r="K319" s="16">
        <v>19086155</v>
      </c>
      <c r="L319" s="16"/>
      <c r="M319" s="16">
        <f>K319+L319</f>
        <v>19086155</v>
      </c>
      <c r="N319" s="109">
        <f t="shared" si="22"/>
        <v>19086.2</v>
      </c>
      <c r="P319" s="116"/>
      <c r="Q319" s="13"/>
      <c r="R319" s="131"/>
      <c r="S319" s="116"/>
    </row>
    <row r="320" spans="1:19" s="17" customFormat="1" ht="39" customHeight="1">
      <c r="A320" s="11" t="s">
        <v>310</v>
      </c>
      <c r="B320" s="46"/>
      <c r="C320" s="46"/>
      <c r="D320" s="30" t="s">
        <v>309</v>
      </c>
      <c r="E320" s="30"/>
      <c r="F320" s="30"/>
      <c r="G320" s="54">
        <f t="shared" si="20"/>
        <v>0</v>
      </c>
      <c r="H320" s="30"/>
      <c r="I320" s="30"/>
      <c r="J320" s="54">
        <f t="shared" si="21"/>
        <v>0</v>
      </c>
      <c r="K320" s="12">
        <f>K321</f>
        <v>140000</v>
      </c>
      <c r="L320" s="12">
        <f>L321</f>
        <v>0</v>
      </c>
      <c r="M320" s="12">
        <f>M321</f>
        <v>140000</v>
      </c>
      <c r="N320" s="106">
        <f>N321</f>
        <v>140</v>
      </c>
      <c r="O320" s="13"/>
      <c r="P320" s="116"/>
      <c r="Q320" s="13"/>
      <c r="R320" s="131"/>
      <c r="S320" s="116"/>
    </row>
    <row r="321" spans="1:19" s="17" customFormat="1" ht="32.25" customHeight="1">
      <c r="A321" s="14" t="s">
        <v>311</v>
      </c>
      <c r="B321" s="14" t="s">
        <v>312</v>
      </c>
      <c r="C321" s="14" t="s">
        <v>49</v>
      </c>
      <c r="D321" s="15" t="s">
        <v>313</v>
      </c>
      <c r="E321" s="15"/>
      <c r="F321" s="15"/>
      <c r="G321" s="54">
        <f t="shared" si="20"/>
        <v>0</v>
      </c>
      <c r="H321" s="15"/>
      <c r="I321" s="15"/>
      <c r="J321" s="54">
        <f t="shared" si="21"/>
        <v>0</v>
      </c>
      <c r="K321" s="16">
        <v>140000</v>
      </c>
      <c r="L321" s="16"/>
      <c r="M321" s="16">
        <f t="shared" si="18"/>
        <v>140000</v>
      </c>
      <c r="N321" s="109">
        <f t="shared" si="22"/>
        <v>140</v>
      </c>
      <c r="O321" s="13"/>
      <c r="P321" s="116"/>
      <c r="Q321" s="13"/>
      <c r="R321" s="131"/>
      <c r="S321" s="116"/>
    </row>
    <row r="322" spans="1:19" s="13" customFormat="1" ht="38.25" customHeight="1">
      <c r="A322" s="11" t="s">
        <v>110</v>
      </c>
      <c r="B322" s="46"/>
      <c r="C322" s="46"/>
      <c r="D322" s="30" t="s">
        <v>21</v>
      </c>
      <c r="E322" s="30"/>
      <c r="F322" s="30"/>
      <c r="G322" s="54">
        <f t="shared" si="20"/>
        <v>0</v>
      </c>
      <c r="H322" s="30"/>
      <c r="I322" s="30"/>
      <c r="J322" s="54">
        <f t="shared" si="21"/>
        <v>0</v>
      </c>
      <c r="K322" s="12">
        <f>K323</f>
        <v>40000</v>
      </c>
      <c r="L322" s="12">
        <f>L323</f>
        <v>0</v>
      </c>
      <c r="M322" s="12">
        <f>M323</f>
        <v>40000</v>
      </c>
      <c r="N322" s="106">
        <f>N323</f>
        <v>40</v>
      </c>
      <c r="O322" s="5"/>
      <c r="P322" s="116"/>
      <c r="R322" s="131"/>
      <c r="S322" s="116"/>
    </row>
    <row r="323" spans="1:19" s="25" customFormat="1" ht="55.5" customHeight="1">
      <c r="A323" s="14" t="s">
        <v>111</v>
      </c>
      <c r="B323" s="14" t="s">
        <v>55</v>
      </c>
      <c r="C323" s="14" t="s">
        <v>23</v>
      </c>
      <c r="D323" s="15" t="s">
        <v>56</v>
      </c>
      <c r="E323" s="15"/>
      <c r="F323" s="15"/>
      <c r="G323" s="54">
        <f t="shared" si="20"/>
        <v>0</v>
      </c>
      <c r="H323" s="15"/>
      <c r="I323" s="15"/>
      <c r="J323" s="54">
        <f t="shared" si="21"/>
        <v>0</v>
      </c>
      <c r="K323" s="16">
        <v>40000</v>
      </c>
      <c r="L323" s="16"/>
      <c r="M323" s="16">
        <f t="shared" si="18"/>
        <v>40000</v>
      </c>
      <c r="N323" s="109">
        <f t="shared" si="22"/>
        <v>40</v>
      </c>
      <c r="O323" s="5"/>
      <c r="P323" s="116"/>
      <c r="Q323" s="13"/>
      <c r="R323" s="131"/>
      <c r="S323" s="116"/>
    </row>
    <row r="324" spans="1:19" s="13" customFormat="1" ht="48.75" customHeight="1">
      <c r="A324" s="11" t="s">
        <v>112</v>
      </c>
      <c r="B324" s="11"/>
      <c r="C324" s="11"/>
      <c r="D324" s="30" t="s">
        <v>19</v>
      </c>
      <c r="E324" s="30"/>
      <c r="F324" s="30"/>
      <c r="G324" s="54">
        <f t="shared" si="20"/>
        <v>0</v>
      </c>
      <c r="H324" s="30"/>
      <c r="I324" s="30"/>
      <c r="J324" s="54">
        <f t="shared" si="21"/>
        <v>0</v>
      </c>
      <c r="K324" s="12">
        <f>K325+K326+K327+K328</f>
        <v>273500</v>
      </c>
      <c r="L324" s="12">
        <f>L325+L326+L327+L328</f>
        <v>0</v>
      </c>
      <c r="M324" s="12">
        <f>M325+M326+M327+M328</f>
        <v>273500</v>
      </c>
      <c r="N324" s="106">
        <f>N325+N326+N327+N328</f>
        <v>273.5</v>
      </c>
      <c r="O324" s="5"/>
      <c r="P324" s="116"/>
      <c r="R324" s="5"/>
      <c r="S324" s="116"/>
    </row>
    <row r="325" spans="1:19" s="13" customFormat="1" ht="58.5" customHeight="1">
      <c r="A325" s="14" t="s">
        <v>113</v>
      </c>
      <c r="B325" s="14" t="s">
        <v>55</v>
      </c>
      <c r="C325" s="14" t="s">
        <v>23</v>
      </c>
      <c r="D325" s="15" t="s">
        <v>56</v>
      </c>
      <c r="E325" s="15"/>
      <c r="F325" s="15"/>
      <c r="G325" s="54">
        <f t="shared" si="20"/>
        <v>0</v>
      </c>
      <c r="H325" s="15"/>
      <c r="I325" s="15"/>
      <c r="J325" s="54">
        <f t="shared" si="21"/>
        <v>0</v>
      </c>
      <c r="K325" s="16">
        <f>150000-130500</f>
        <v>19500</v>
      </c>
      <c r="L325" s="16"/>
      <c r="M325" s="16">
        <f t="shared" si="18"/>
        <v>19500</v>
      </c>
      <c r="N325" s="109">
        <f t="shared" si="22"/>
        <v>19.5</v>
      </c>
      <c r="O325" s="5"/>
      <c r="P325" s="116"/>
      <c r="R325" s="5"/>
      <c r="S325" s="116"/>
    </row>
    <row r="326" spans="1:19" s="17" customFormat="1" ht="39" customHeight="1">
      <c r="A326" s="26" t="s">
        <v>124</v>
      </c>
      <c r="B326" s="26" t="s">
        <v>125</v>
      </c>
      <c r="C326" s="26" t="s">
        <v>44</v>
      </c>
      <c r="D326" s="15" t="s">
        <v>128</v>
      </c>
      <c r="E326" s="15"/>
      <c r="F326" s="15"/>
      <c r="G326" s="54">
        <f t="shared" si="20"/>
        <v>0</v>
      </c>
      <c r="H326" s="15"/>
      <c r="I326" s="15"/>
      <c r="J326" s="54">
        <f t="shared" si="21"/>
        <v>0</v>
      </c>
      <c r="K326" s="16">
        <f>25000+25000</f>
        <v>50000</v>
      </c>
      <c r="L326" s="16"/>
      <c r="M326" s="16">
        <f t="shared" si="18"/>
        <v>50000</v>
      </c>
      <c r="N326" s="109">
        <f t="shared" si="22"/>
        <v>50</v>
      </c>
      <c r="O326" s="5"/>
      <c r="P326" s="116"/>
      <c r="Q326" s="13"/>
      <c r="R326" s="5"/>
      <c r="S326" s="116"/>
    </row>
    <row r="327" spans="1:19" s="17" customFormat="1" ht="49.5" customHeight="1">
      <c r="A327" s="26" t="s">
        <v>126</v>
      </c>
      <c r="B327" s="26" t="s">
        <v>127</v>
      </c>
      <c r="C327" s="26" t="s">
        <v>44</v>
      </c>
      <c r="D327" s="15" t="s">
        <v>129</v>
      </c>
      <c r="E327" s="15"/>
      <c r="F327" s="15"/>
      <c r="G327" s="54">
        <f t="shared" si="20"/>
        <v>0</v>
      </c>
      <c r="H327" s="15"/>
      <c r="I327" s="15"/>
      <c r="J327" s="54">
        <f t="shared" si="21"/>
        <v>0</v>
      </c>
      <c r="K327" s="16">
        <v>25000</v>
      </c>
      <c r="L327" s="16"/>
      <c r="M327" s="16">
        <f t="shared" si="18"/>
        <v>25000</v>
      </c>
      <c r="N327" s="109">
        <f t="shared" si="22"/>
        <v>25</v>
      </c>
      <c r="O327" s="5"/>
      <c r="P327" s="116"/>
      <c r="Q327" s="13"/>
      <c r="R327" s="5"/>
      <c r="S327" s="116"/>
    </row>
    <row r="328" spans="1:19" s="17" customFormat="1" ht="60" customHeight="1">
      <c r="A328" s="26" t="s">
        <v>256</v>
      </c>
      <c r="B328" s="26" t="s">
        <v>257</v>
      </c>
      <c r="C328" s="26" t="s">
        <v>22</v>
      </c>
      <c r="D328" s="28" t="s">
        <v>267</v>
      </c>
      <c r="E328" s="15"/>
      <c r="F328" s="15"/>
      <c r="G328" s="54">
        <f t="shared" si="20"/>
        <v>0</v>
      </c>
      <c r="H328" s="15"/>
      <c r="I328" s="15"/>
      <c r="J328" s="54">
        <f t="shared" si="21"/>
        <v>0</v>
      </c>
      <c r="K328" s="16">
        <v>179000</v>
      </c>
      <c r="L328" s="16"/>
      <c r="M328" s="16">
        <f t="shared" si="18"/>
        <v>179000</v>
      </c>
      <c r="N328" s="109">
        <f t="shared" si="22"/>
        <v>179</v>
      </c>
      <c r="O328" s="5"/>
      <c r="P328" s="116"/>
      <c r="Q328" s="13"/>
      <c r="R328" s="5"/>
      <c r="S328" s="116"/>
    </row>
    <row r="329" spans="1:19" s="13" customFormat="1" ht="44.25" customHeight="1">
      <c r="A329" s="11" t="s">
        <v>114</v>
      </c>
      <c r="B329" s="11"/>
      <c r="C329" s="11"/>
      <c r="D329" s="30" t="s">
        <v>20</v>
      </c>
      <c r="E329" s="30"/>
      <c r="F329" s="30"/>
      <c r="G329" s="54">
        <f t="shared" si="20"/>
        <v>0</v>
      </c>
      <c r="H329" s="30"/>
      <c r="I329" s="30"/>
      <c r="J329" s="54">
        <f t="shared" si="21"/>
        <v>0</v>
      </c>
      <c r="K329" s="12">
        <f>K330+K331</f>
        <v>613800</v>
      </c>
      <c r="L329" s="12">
        <f>L330+L331</f>
        <v>0</v>
      </c>
      <c r="M329" s="12">
        <f>M330+M331</f>
        <v>613800</v>
      </c>
      <c r="N329" s="106">
        <f>N330+N331</f>
        <v>613.8</v>
      </c>
      <c r="O329" s="5"/>
      <c r="P329" s="116"/>
      <c r="R329" s="5"/>
      <c r="S329" s="116"/>
    </row>
    <row r="330" spans="1:19" s="17" customFormat="1" ht="60.75" customHeight="1">
      <c r="A330" s="14" t="s">
        <v>115</v>
      </c>
      <c r="B330" s="14" t="s">
        <v>55</v>
      </c>
      <c r="C330" s="14" t="s">
        <v>23</v>
      </c>
      <c r="D330" s="15" t="s">
        <v>56</v>
      </c>
      <c r="E330" s="15"/>
      <c r="F330" s="15"/>
      <c r="G330" s="54">
        <f t="shared" si="20"/>
        <v>0</v>
      </c>
      <c r="H330" s="15"/>
      <c r="I330" s="15"/>
      <c r="J330" s="54">
        <f t="shared" si="21"/>
        <v>0</v>
      </c>
      <c r="K330" s="16">
        <f>184000-123000</f>
        <v>61000</v>
      </c>
      <c r="L330" s="16"/>
      <c r="M330" s="16">
        <f t="shared" si="18"/>
        <v>61000</v>
      </c>
      <c r="N330" s="109">
        <f t="shared" si="22"/>
        <v>61</v>
      </c>
      <c r="O330" s="5"/>
      <c r="P330" s="116"/>
      <c r="Q330" s="13"/>
      <c r="R330" s="5"/>
      <c r="S330" s="116"/>
    </row>
    <row r="331" spans="1:19" s="17" customFormat="1" ht="27" customHeight="1">
      <c r="A331" s="14" t="s">
        <v>207</v>
      </c>
      <c r="B331" s="14" t="s">
        <v>208</v>
      </c>
      <c r="C331" s="14" t="s">
        <v>22</v>
      </c>
      <c r="D331" s="15" t="s">
        <v>209</v>
      </c>
      <c r="E331" s="15"/>
      <c r="F331" s="15"/>
      <c r="G331" s="54">
        <f t="shared" si="20"/>
        <v>0</v>
      </c>
      <c r="H331" s="15"/>
      <c r="I331" s="15"/>
      <c r="J331" s="54">
        <f t="shared" si="21"/>
        <v>0</v>
      </c>
      <c r="K331" s="16">
        <f>514800+38000</f>
        <v>552800</v>
      </c>
      <c r="L331" s="16"/>
      <c r="M331" s="16">
        <f>K331+L331</f>
        <v>552800</v>
      </c>
      <c r="N331" s="109">
        <f t="shared" si="22"/>
        <v>552.8</v>
      </c>
      <c r="O331" s="5"/>
      <c r="P331" s="116"/>
      <c r="Q331" s="13"/>
      <c r="R331" s="5"/>
      <c r="S331" s="116"/>
    </row>
    <row r="332" spans="1:19" s="13" customFormat="1" ht="33" customHeight="1">
      <c r="A332" s="11"/>
      <c r="B332" s="46"/>
      <c r="C332" s="46"/>
      <c r="D332" s="30" t="s">
        <v>457</v>
      </c>
      <c r="E332" s="30"/>
      <c r="F332" s="30"/>
      <c r="G332" s="54">
        <f t="shared" si="20"/>
        <v>0</v>
      </c>
      <c r="H332" s="30"/>
      <c r="I332" s="30"/>
      <c r="J332" s="54">
        <f t="shared" si="21"/>
        <v>0</v>
      </c>
      <c r="K332" s="12" t="e">
        <f>K18+K41+K62+K75+K92+K97+K108+K181+K183+K322+K324+K329+K320</f>
        <v>#REF!</v>
      </c>
      <c r="L332" s="12" t="e">
        <f>L18+L41+L62+L75+L92+L97+L108+L181+L183+L322+L324+L329+L320</f>
        <v>#REF!</v>
      </c>
      <c r="M332" s="12" t="e">
        <f>M18+M41+M62+M75+M92+M97+M108+M181+M183+M322+M324+M329+M320</f>
        <v>#REF!</v>
      </c>
      <c r="N332" s="106">
        <f>N18+N41+N62+N75+N92+N97+N108+N181+N183+N322+N324+N329+N320</f>
        <v>517984.5999999999</v>
      </c>
      <c r="O332" s="5"/>
      <c r="P332" s="116"/>
      <c r="R332" s="5"/>
      <c r="S332" s="116"/>
    </row>
    <row r="333" spans="1:19" s="13" customFormat="1" ht="29.25" customHeight="1">
      <c r="A333" s="11"/>
      <c r="B333" s="11"/>
      <c r="C333" s="11"/>
      <c r="D333" s="31" t="s">
        <v>470</v>
      </c>
      <c r="E333" s="30"/>
      <c r="F333" s="30"/>
      <c r="G333" s="54">
        <f t="shared" si="20"/>
        <v>0</v>
      </c>
      <c r="H333" s="30"/>
      <c r="I333" s="30"/>
      <c r="J333" s="54">
        <f t="shared" si="21"/>
        <v>0</v>
      </c>
      <c r="K333" s="12">
        <f>K42+K63+K76+K98++K109+K184+K93</f>
        <v>41161369.970000006</v>
      </c>
      <c r="L333" s="12">
        <f>L42+L63+L76+L98++L109+L184+L93</f>
        <v>0</v>
      </c>
      <c r="M333" s="12">
        <f>M42+M63+M76+M98++M109+M184+M93</f>
        <v>41161369.970000006</v>
      </c>
      <c r="N333" s="111">
        <f>N42+N63+N76+N98++N109+N184+N93</f>
        <v>41161.4</v>
      </c>
      <c r="O333" s="5"/>
      <c r="P333" s="116"/>
      <c r="R333" s="5"/>
      <c r="S333" s="116"/>
    </row>
    <row r="334" spans="1:19" ht="27.75" customHeight="1">
      <c r="A334" s="98"/>
      <c r="B334" s="99"/>
      <c r="C334" s="99"/>
      <c r="D334" s="96" t="s">
        <v>458</v>
      </c>
      <c r="E334" s="100"/>
      <c r="F334" s="100"/>
      <c r="G334" s="54">
        <f t="shared" si="20"/>
        <v>0</v>
      </c>
      <c r="H334" s="100"/>
      <c r="I334" s="100"/>
      <c r="J334" s="54">
        <f t="shared" si="21"/>
        <v>0</v>
      </c>
      <c r="K334" s="101"/>
      <c r="L334" s="102"/>
      <c r="M334" s="102"/>
      <c r="N334" s="115">
        <v>6884.1</v>
      </c>
      <c r="P334" s="116"/>
      <c r="Q334" s="13"/>
      <c r="S334" s="116"/>
    </row>
    <row r="335" spans="1:19" ht="30" customHeight="1">
      <c r="A335" s="98"/>
      <c r="B335" s="99"/>
      <c r="C335" s="99"/>
      <c r="D335" s="96" t="s">
        <v>459</v>
      </c>
      <c r="E335" s="100"/>
      <c r="F335" s="100"/>
      <c r="G335" s="54">
        <f t="shared" si="20"/>
        <v>0</v>
      </c>
      <c r="H335" s="100"/>
      <c r="I335" s="100"/>
      <c r="J335" s="54">
        <f t="shared" si="21"/>
        <v>0</v>
      </c>
      <c r="K335" s="101"/>
      <c r="L335" s="102"/>
      <c r="M335" s="102"/>
      <c r="N335" s="115">
        <v>73.4</v>
      </c>
      <c r="P335" s="116"/>
      <c r="Q335" s="13"/>
      <c r="S335" s="116"/>
    </row>
    <row r="336" spans="1:19" ht="27.75" customHeight="1">
      <c r="A336" s="98"/>
      <c r="B336" s="99"/>
      <c r="C336" s="99"/>
      <c r="D336" s="97" t="s">
        <v>142</v>
      </c>
      <c r="E336" s="100"/>
      <c r="F336" s="100"/>
      <c r="G336" s="54">
        <f t="shared" si="20"/>
        <v>0</v>
      </c>
      <c r="H336" s="100"/>
      <c r="I336" s="100"/>
      <c r="J336" s="54">
        <f t="shared" si="21"/>
        <v>0</v>
      </c>
      <c r="K336" s="101"/>
      <c r="L336" s="102"/>
      <c r="M336" s="102"/>
      <c r="N336" s="110">
        <v>73.4</v>
      </c>
      <c r="P336" s="116"/>
      <c r="Q336" s="13"/>
      <c r="S336" s="116"/>
    </row>
    <row r="337" spans="1:19" ht="20.25">
      <c r="A337" s="159"/>
      <c r="B337" s="159"/>
      <c r="C337" s="159"/>
      <c r="D337" s="159"/>
      <c r="E337" s="159"/>
      <c r="F337" s="5"/>
      <c r="G337" s="5"/>
      <c r="H337" s="5"/>
      <c r="I337" s="158"/>
      <c r="J337" s="158"/>
      <c r="K337" s="158"/>
      <c r="P337" s="116"/>
      <c r="S337" s="116"/>
    </row>
    <row r="338" spans="1:19" ht="6" customHeight="1">
      <c r="A338" s="2"/>
      <c r="K338" s="85"/>
      <c r="P338" s="116"/>
      <c r="S338" s="116"/>
    </row>
    <row r="339" spans="1:19" ht="20.25">
      <c r="A339" s="86"/>
      <c r="B339" s="52"/>
      <c r="C339" s="40"/>
      <c r="D339" s="87"/>
      <c r="E339" s="5"/>
      <c r="F339" s="5"/>
      <c r="G339" s="5"/>
      <c r="H339" s="5"/>
      <c r="I339" s="88"/>
      <c r="J339" s="88"/>
      <c r="K339" s="9"/>
      <c r="P339" s="116"/>
      <c r="S339" s="116"/>
    </row>
    <row r="340" spans="16:19" ht="27.75" customHeight="1">
      <c r="P340" s="116"/>
      <c r="S340" s="116"/>
    </row>
    <row r="341" spans="1:19" s="149" customFormat="1" ht="27.75" customHeight="1">
      <c r="A341" s="146"/>
      <c r="B341" s="144"/>
      <c r="C341" s="144"/>
      <c r="D341" s="145" t="s">
        <v>490</v>
      </c>
      <c r="E341" s="143"/>
      <c r="F341" s="143"/>
      <c r="G341" s="143"/>
      <c r="H341" s="143"/>
      <c r="I341" s="143"/>
      <c r="J341" s="147" t="s">
        <v>494</v>
      </c>
      <c r="K341" s="148"/>
      <c r="P341" s="150"/>
      <c r="S341" s="150"/>
    </row>
    <row r="342" spans="16:19" ht="27.75" customHeight="1">
      <c r="P342" s="116"/>
      <c r="S342" s="116"/>
    </row>
    <row r="343" spans="4:19" ht="27.75" customHeight="1">
      <c r="D343" s="3" t="s">
        <v>491</v>
      </c>
      <c r="P343" s="116"/>
      <c r="S343" s="116"/>
    </row>
    <row r="344" spans="4:19" ht="27.75" customHeight="1">
      <c r="D344" s="3" t="s">
        <v>492</v>
      </c>
      <c r="P344" s="116"/>
      <c r="S344" s="116"/>
    </row>
    <row r="345" ht="27.75" customHeight="1">
      <c r="P345" s="116"/>
    </row>
    <row r="346" ht="27.75" customHeight="1">
      <c r="P346" s="116"/>
    </row>
    <row r="347" ht="27.75" customHeight="1">
      <c r="P347" s="116"/>
    </row>
    <row r="348" ht="20.25">
      <c r="P348" s="116"/>
    </row>
  </sheetData>
  <sheetProtection/>
  <mergeCells count="27">
    <mergeCell ref="A14:A16"/>
    <mergeCell ref="G14:G16"/>
    <mergeCell ref="I337:K337"/>
    <mergeCell ref="K14:K16"/>
    <mergeCell ref="J14:J16"/>
    <mergeCell ref="A337:E337"/>
    <mergeCell ref="B14:B16"/>
    <mergeCell ref="C14:C16"/>
    <mergeCell ref="I14:I16"/>
    <mergeCell ref="E14:E16"/>
    <mergeCell ref="H14:H16"/>
    <mergeCell ref="D14:D16"/>
    <mergeCell ref="N14:N16"/>
    <mergeCell ref="F14:F16"/>
    <mergeCell ref="P14:P16"/>
    <mergeCell ref="I8:M8"/>
    <mergeCell ref="L14:L16"/>
    <mergeCell ref="M14:M16"/>
    <mergeCell ref="D11:N11"/>
    <mergeCell ref="D12:N12"/>
    <mergeCell ref="G7:N7"/>
    <mergeCell ref="G1:N1"/>
    <mergeCell ref="G2:N2"/>
    <mergeCell ref="G3:N3"/>
    <mergeCell ref="G4:N4"/>
    <mergeCell ref="G5:N5"/>
    <mergeCell ref="G6:N6"/>
  </mergeCells>
  <printOptions horizontalCentered="1"/>
  <pageMargins left="0.3937007874015748" right="0.3937007874015748" top="1.1811023622047245" bottom="0.3937007874015748" header="0.1968503937007874" footer="0.2362204724409449"/>
  <pageSetup fitToHeight="29" fitToWidth="1" horizontalDpi="300" verticalDpi="300" orientation="landscape" paperSize="9" scale="52" r:id="rId1"/>
  <rowBreaks count="1" manualBreakCount="1">
    <brk id="330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2018-09-03T04:51:58Z</cp:lastPrinted>
  <dcterms:created xsi:type="dcterms:W3CDTF">2014-01-17T10:52:16Z</dcterms:created>
  <dcterms:modified xsi:type="dcterms:W3CDTF">2018-09-03T04:55:06Z</dcterms:modified>
  <cp:category/>
  <cp:version/>
  <cp:contentType/>
  <cp:contentStatus/>
</cp:coreProperties>
</file>