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2390" windowHeight="9195" tabRatio="246" activeTab="0"/>
  </bookViews>
  <sheets>
    <sheet name="додаток 2" sheetId="1" r:id="rId1"/>
  </sheets>
  <definedNames>
    <definedName name="_xlfn.AGGREGATE" hidden="1">#NAME?</definedName>
    <definedName name="_xlnm.Print_Titles" localSheetId="0">'додаток 2'!$16:$16</definedName>
    <definedName name="_xlnm.Print_Area" localSheetId="0">'додаток 2'!$A$1:$N$264</definedName>
  </definedNames>
  <calcPr fullCalcOnLoad="1"/>
</workbook>
</file>

<file path=xl/sharedStrings.xml><?xml version="1.0" encoding="utf-8"?>
<sst xmlns="http://schemas.openxmlformats.org/spreadsheetml/2006/main" count="644" uniqueCount="426">
  <si>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</si>
  <si>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</si>
  <si>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</si>
  <si>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</si>
  <si>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</si>
  <si>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</si>
  <si>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</si>
  <si>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</si>
  <si>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</si>
  <si>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</si>
  <si>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</si>
  <si>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</si>
  <si>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</si>
  <si>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</si>
  <si>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</si>
  <si>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</si>
  <si>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</si>
  <si>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</si>
  <si>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</si>
  <si>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</si>
  <si>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</si>
  <si>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</si>
  <si>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</si>
  <si>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</si>
  <si>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</si>
  <si>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</si>
  <si>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</si>
  <si>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</si>
  <si>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</si>
  <si>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</si>
  <si>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</si>
  <si>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</si>
  <si>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</si>
  <si>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</si>
  <si>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</si>
  <si>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</si>
  <si>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</si>
  <si>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</si>
  <si>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</si>
  <si>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</si>
  <si>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</si>
  <si>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</si>
  <si>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</si>
  <si>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</si>
  <si>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</si>
  <si>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</si>
  <si>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</si>
  <si>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</si>
  <si>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</si>
  <si>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</si>
  <si>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</si>
  <si>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</si>
  <si>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</si>
  <si>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</si>
  <si>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</si>
  <si>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</si>
  <si>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</si>
  <si>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</si>
  <si>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</si>
  <si>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</si>
  <si>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</si>
  <si>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</si>
  <si>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</si>
  <si>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</si>
  <si>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</si>
  <si>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</si>
  <si>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</si>
  <si>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</si>
  <si>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</si>
  <si>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</si>
  <si>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</si>
  <si>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</si>
  <si>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</si>
  <si>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</si>
  <si>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</si>
  <si>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</si>
  <si>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</si>
  <si>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</si>
  <si>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</si>
  <si>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</si>
  <si>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</si>
  <si>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</si>
  <si>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</si>
  <si>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</si>
  <si>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</si>
  <si>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</si>
  <si>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</si>
  <si>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</si>
  <si>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</si>
  <si>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</si>
  <si>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</si>
  <si>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</si>
  <si>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</si>
  <si>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</si>
  <si>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</si>
  <si>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</si>
  <si>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</si>
  <si>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</si>
  <si>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</si>
  <si>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</si>
  <si>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</si>
  <si>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</si>
  <si>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</si>
  <si>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</si>
  <si>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</si>
  <si>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</si>
  <si>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</si>
  <si>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</si>
  <si>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</si>
  <si>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</si>
  <si>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</si>
  <si>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</si>
  <si>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</si>
  <si>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</si>
  <si>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</si>
  <si>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</si>
  <si>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</si>
  <si>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</si>
  <si>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</si>
  <si>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</si>
  <si>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</si>
  <si>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</si>
  <si>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</si>
  <si>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</si>
  <si>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</si>
  <si>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</si>
  <si>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</si>
  <si>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</si>
  <si>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</si>
  <si>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</si>
  <si>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</si>
  <si>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</si>
  <si>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</si>
  <si>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</si>
  <si>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</si>
  <si>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</si>
  <si>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</si>
  <si>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</si>
  <si>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</si>
  <si>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</si>
  <si>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</si>
  <si>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</si>
  <si>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</si>
  <si>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</si>
  <si>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</si>
  <si>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</si>
  <si>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</si>
  <si>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</si>
  <si>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</si>
  <si>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</si>
  <si>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</si>
  <si>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</si>
  <si>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</si>
  <si>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</si>
  <si>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</si>
  <si>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</si>
  <si>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</si>
  <si>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</si>
  <si>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</si>
  <si>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</si>
  <si>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</si>
  <si>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</si>
  <si>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</si>
  <si>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</si>
  <si>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</si>
  <si>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</si>
  <si>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</si>
  <si>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</si>
  <si>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</si>
  <si>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</si>
  <si>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</si>
  <si>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</si>
  <si>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</si>
  <si>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</si>
  <si>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</si>
  <si>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</si>
  <si>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</si>
  <si>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</si>
  <si>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</si>
  <si>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</si>
  <si>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</si>
  <si>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</si>
  <si>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</si>
  <si>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</si>
  <si>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</si>
  <si>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</si>
  <si>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</si>
  <si>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</si>
  <si>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</si>
  <si>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</si>
  <si>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</si>
  <si>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</si>
  <si>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</si>
  <si>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</si>
  <si>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</si>
  <si>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</si>
  <si>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</si>
  <si>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</si>
  <si>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</si>
  <si>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</si>
  <si>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</si>
  <si>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</si>
  <si>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</si>
  <si>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</si>
  <si>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</si>
  <si>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</si>
  <si>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</si>
  <si>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</si>
  <si>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</si>
  <si>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</si>
  <si>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</si>
  <si>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</si>
  <si>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</si>
  <si>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</si>
  <si>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</si>
  <si>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</si>
  <si>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</si>
  <si>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</si>
  <si>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</si>
  <si>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</si>
  <si>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</si>
  <si>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</si>
  <si>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</si>
  <si>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</si>
  <si>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</si>
  <si>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</si>
  <si>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</si>
  <si>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</si>
  <si>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</si>
  <si>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</si>
  <si>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</si>
  <si>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</si>
  <si>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</si>
  <si>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</si>
  <si>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</si>
  <si>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</si>
  <si>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</si>
  <si>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</si>
  <si>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</si>
  <si>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</si>
  <si>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</si>
  <si>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</si>
  <si>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</si>
  <si>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</si>
  <si>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</si>
  <si>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</si>
  <si>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</si>
  <si>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</si>
  <si>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</si>
  <si>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</si>
  <si>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</si>
  <si>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</si>
  <si>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</si>
  <si>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</si>
  <si>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</si>
  <si>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</si>
  <si>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</si>
  <si>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</si>
  <si>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</si>
  <si>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</si>
  <si>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</si>
  <si>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</si>
  <si>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</si>
  <si>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</si>
  <si>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</si>
  <si>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</si>
  <si>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</si>
  <si>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</si>
  <si>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</si>
  <si>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</si>
  <si>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</si>
  <si>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</si>
  <si>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</si>
  <si>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</si>
  <si>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</si>
  <si>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</si>
  <si>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</si>
  <si>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</si>
  <si>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</si>
  <si>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</si>
  <si>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</si>
  <si>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</si>
  <si>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</si>
  <si>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</si>
  <si>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</si>
  <si>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</si>
  <si>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</si>
  <si>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</si>
  <si>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</si>
  <si>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</si>
  <si>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</si>
  <si>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</si>
  <si>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</si>
  <si>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</si>
  <si>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</si>
  <si>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</si>
  <si>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</si>
  <si>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</si>
  <si>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</si>
  <si>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</si>
  <si>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</si>
  <si>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</si>
  <si>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</si>
  <si>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</si>
  <si>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</si>
  <si>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</si>
  <si>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</si>
  <si>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</si>
  <si>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</si>
  <si>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</si>
  <si>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</si>
  <si>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</si>
  <si>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</si>
  <si>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</si>
  <si>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</si>
  <si>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</si>
  <si>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</si>
  <si>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</si>
  <si>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</si>
  <si>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</si>
  <si>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</si>
  <si>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</si>
  <si>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</si>
  <si>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</si>
  <si>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</si>
  <si>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</si>
  <si>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</si>
  <si>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</si>
  <si>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</si>
  <si>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</si>
  <si>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</si>
  <si>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</si>
  <si>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</si>
  <si>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</si>
  <si>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</si>
  <si>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</si>
  <si>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</si>
  <si>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</si>
  <si>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</si>
  <si>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</si>
  <si>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</si>
  <si>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</si>
  <si>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</si>
  <si>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</si>
  <si>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</si>
  <si>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</si>
  <si>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</si>
  <si>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</si>
  <si>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</si>
  <si>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</si>
  <si>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</si>
  <si>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</si>
  <si>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</si>
  <si>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</si>
  <si>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</si>
  <si>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</si>
  <si>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</si>
  <si>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</si>
  <si>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</si>
  <si>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6"/>
        <color indexed="10"/>
        <rFont val="Times New Roman"/>
        <family val="1"/>
      </rPr>
      <t xml:space="preserve"> </t>
    </r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</si>
  <si>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</si>
  <si>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</si>
  <si>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</si>
  <si>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</si>
  <si>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</si>
  <si>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</si>
  <si>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</si>
  <si>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</si>
  <si>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</si>
  <si>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</si>
  <si>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Первинна медична допомога населенню, що надається амбулаторно-поліклінічними закладами (відділеннями)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</si>
  <si>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</si>
  <si>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</si>
  <si>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</si>
  <si>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</si>
  <si>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</si>
  <si>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</si>
  <si>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</si>
  <si>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</si>
  <si>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</si>
  <si>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</si>
  <si>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</si>
  <si>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</si>
  <si>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</si>
  <si>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</si>
  <si>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</si>
  <si>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</si>
  <si>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</si>
  <si>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</si>
  <si>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</si>
  <si>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</si>
  <si>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</si>
  <si>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</si>
  <si>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</si>
  <si>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житлово-комунального господарства,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</si>
  <si>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</si>
  <si>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</si>
  <si>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</si>
  <si>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</si>
  <si>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інших об'єктів соціальної та виробничої інфраструктури комунальної власності, в т.ч.:</t>
  </si>
  <si>
    <t>Будівництво спортивного майданчика по вул. Роменській, 88</t>
  </si>
  <si>
    <t>Будівництво спортивного майданчика по вул. Роменській, 89</t>
  </si>
  <si>
    <t>Будівництво спортивного майданчика по вул. Роменській, 100А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</si>
  <si>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</si>
  <si>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</si>
  <si>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</si>
  <si>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</si>
  <si>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</si>
  <si>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Підготовка кадрів професійно-технічними закладами та іншими закладами освіти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</si>
  <si>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</si>
  <si>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фасаду будівлі по вул. Герасима Кондратьєва, 79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</si>
  <si>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</si>
  <si>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</si>
  <si>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Будівництво скверу по вул. Петропавлівська, 94</t>
  </si>
  <si>
    <t>Реконструкція аварійного самотічного  колектора Д-400 по вул. Білопільський шлях від КНС-4 до району Тепличного</t>
  </si>
  <si>
    <t>Сумський міський голова</t>
  </si>
  <si>
    <t>О.М. Лисенко</t>
  </si>
  <si>
    <t>Виконавець: Липова С.А.</t>
  </si>
  <si>
    <t>_________</t>
  </si>
  <si>
    <t xml:space="preserve">до рішення Сумської міської ради «Про внесення змін 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</si>
  <si>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</si>
  <si>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</si>
  <si>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</si>
  <si>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</si>
  <si>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25 квітня 2018 року  № 3306 - МР</t>
  </si>
  <si>
    <t xml:space="preserve">                                   Додаток 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</si>
</sst>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47" borderId="9" applyNumberFormat="0" applyAlignment="0" applyProtection="0"/>
    <xf numFmtId="0" fontId="10" fillId="48" borderId="10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6" fillId="3" borderId="0" applyNumberFormat="0" applyBorder="0" applyAlignment="0" applyProtection="0"/>
    <xf numFmtId="0" fontId="5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6" fillId="50" borderId="14" applyNumberFormat="0" applyAlignment="0" applyProtection="0"/>
    <xf numFmtId="0" fontId="18" fillId="0" borderId="15" applyNumberFormat="0" applyFill="0" applyAlignment="0" applyProtection="0"/>
    <xf numFmtId="0" fontId="57" fillId="54" borderId="0" applyNumberFormat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/>
      <protection/>
    </xf>
    <xf numFmtId="0" fontId="30" fillId="0" borderId="16" xfId="0" applyNumberFormat="1" applyFont="1" applyFill="1" applyBorder="1" applyAlignment="1" applyProtection="1">
      <alignment/>
      <protection/>
    </xf>
    <xf numFmtId="200" fontId="28" fillId="0" borderId="16" xfId="0" applyNumberFormat="1" applyFont="1" applyFill="1" applyBorder="1" applyAlignment="1">
      <alignment vertical="center"/>
    </xf>
    <xf numFmtId="200" fontId="30" fillId="0" borderId="16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49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200" fontId="27" fillId="0" borderId="16" xfId="0" applyNumberFormat="1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vertical="top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200" fontId="27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49" fontId="28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justify" vertical="center"/>
    </xf>
    <xf numFmtId="4" fontId="27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justify" vertical="center"/>
    </xf>
    <xf numFmtId="4" fontId="30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justify" vertical="center" wrapText="1"/>
    </xf>
    <xf numFmtId="3" fontId="28" fillId="0" borderId="1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/>
    </xf>
    <xf numFmtId="3" fontId="29" fillId="0" borderId="16" xfId="0" applyNumberFormat="1" applyFont="1" applyFill="1" applyBorder="1" applyAlignment="1">
      <alignment horizontal="right" vertical="center"/>
    </xf>
    <xf numFmtId="4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3" fontId="27" fillId="0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/>
    </xf>
    <xf numFmtId="200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3" fontId="27" fillId="0" borderId="16" xfId="95" applyNumberFormat="1" applyFont="1" applyFill="1" applyBorder="1" applyAlignment="1">
      <alignment horizontal="center" vertical="center"/>
      <protection/>
    </xf>
    <xf numFmtId="200" fontId="27" fillId="0" borderId="16" xfId="95" applyNumberFormat="1" applyFont="1" applyFill="1" applyBorder="1" applyAlignment="1">
      <alignment horizontal="center" vertical="center"/>
      <protection/>
    </xf>
    <xf numFmtId="4" fontId="27" fillId="0" borderId="16" xfId="95" applyNumberFormat="1" applyFont="1" applyFill="1" applyBorder="1" applyAlignment="1">
      <alignment horizontal="center" vertical="center"/>
      <protection/>
    </xf>
    <xf numFmtId="0" fontId="29" fillId="0" borderId="16" xfId="0" applyFont="1" applyFill="1" applyBorder="1" applyAlignment="1">
      <alignment wrapText="1"/>
    </xf>
    <xf numFmtId="3" fontId="30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7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right" vertical="center"/>
    </xf>
    <xf numFmtId="203" fontId="27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/>
    </xf>
    <xf numFmtId="200" fontId="28" fillId="0" borderId="16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2" fontId="30" fillId="0" borderId="16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horizontal="left" vertical="center" wrapText="1"/>
    </xf>
    <xf numFmtId="4" fontId="30" fillId="0" borderId="16" xfId="0" applyNumberFormat="1" applyFont="1" applyFill="1" applyBorder="1" applyAlignment="1">
      <alignment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/>
      <protection/>
    </xf>
    <xf numFmtId="4" fontId="27" fillId="0" borderId="16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4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top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vertical="center" textRotation="180"/>
    </xf>
    <xf numFmtId="0" fontId="27" fillId="0" borderId="0" xfId="0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7" fillId="55" borderId="0" xfId="0" applyFont="1" applyFill="1" applyAlignment="1">
      <alignment vertical="center"/>
    </xf>
    <xf numFmtId="0" fontId="27" fillId="55" borderId="0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3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36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 horizontal="left"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left" vertical="distributed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top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64"/>
  <sheetViews>
    <sheetView showGridLines="0" showZeros="0" tabSelected="1" view="pageBreakPreview" zoomScale="50" zoomScaleNormal="70" zoomScaleSheetLayoutView="50" zoomScalePageLayoutView="0" workbookViewId="0" topLeftCell="D223">
      <selection activeCell="G2" sqref="G2:N2"/>
    </sheetView>
  </sheetViews>
  <sheetFormatPr defaultColWidth="9.16015625" defaultRowHeight="12.75"/>
  <cols>
    <col min="1" max="1" width="19.33203125" style="22" hidden="1" customWidth="1"/>
    <col min="2" max="2" width="17.33203125" style="23" hidden="1" customWidth="1"/>
    <col min="3" max="3" width="17.16015625" style="23" hidden="1" customWidth="1"/>
    <col min="4" max="4" width="166.16015625" style="24" customWidth="1"/>
    <col min="5" max="5" width="109.16015625" style="24" hidden="1" customWidth="1"/>
    <col min="6" max="6" width="26.83203125" style="24" hidden="1" customWidth="1"/>
    <col min="7" max="7" width="30.16015625" style="24" customWidth="1"/>
    <col min="8" max="8" width="26.83203125" style="24" customWidth="1"/>
    <col min="9" max="9" width="19.5" style="24" hidden="1" customWidth="1"/>
    <col min="10" max="10" width="34.5" style="24" customWidth="1"/>
    <col min="11" max="11" width="32.83203125" style="118" hidden="1" customWidth="1"/>
    <col min="12" max="12" width="23.33203125" style="14" hidden="1" customWidth="1"/>
    <col min="13" max="13" width="30.16015625" style="14" hidden="1" customWidth="1"/>
    <col min="14" max="14" width="34.5" style="14" customWidth="1"/>
    <col min="15" max="16384" width="9.16015625" style="14" customWidth="1"/>
  </cols>
  <sheetData>
    <row r="1" spans="7:14" ht="28.5" customHeight="1">
      <c r="G1" s="136" t="s">
        <v>425</v>
      </c>
      <c r="H1" s="136"/>
      <c r="I1" s="136"/>
      <c r="J1" s="136"/>
      <c r="K1" s="136"/>
      <c r="L1" s="136"/>
      <c r="M1" s="136"/>
      <c r="N1" s="136"/>
    </row>
    <row r="2" spans="7:14" ht="30" customHeight="1">
      <c r="G2" s="136" t="s">
        <v>419</v>
      </c>
      <c r="H2" s="136"/>
      <c r="I2" s="136"/>
      <c r="J2" s="136"/>
      <c r="K2" s="136"/>
      <c r="L2" s="136"/>
      <c r="M2" s="136"/>
      <c r="N2" s="136"/>
    </row>
    <row r="3" spans="7:14" ht="30" customHeight="1">
      <c r="G3" s="136" t="s">
        <v>420</v>
      </c>
      <c r="H3" s="136"/>
      <c r="I3" s="136"/>
      <c r="J3" s="136"/>
      <c r="K3" s="136"/>
      <c r="L3" s="136"/>
      <c r="M3" s="136"/>
      <c r="N3" s="136"/>
    </row>
    <row r="4" spans="7:14" ht="30" customHeight="1">
      <c r="G4" s="127" t="s">
        <v>421</v>
      </c>
      <c r="H4" s="127"/>
      <c r="I4" s="127"/>
      <c r="J4" s="127"/>
      <c r="K4" s="127"/>
      <c r="L4" s="127"/>
      <c r="M4" s="127"/>
      <c r="N4" s="127"/>
    </row>
    <row r="5" spans="4:14" ht="30.75" customHeight="1">
      <c r="D5" s="25"/>
      <c r="E5" s="25"/>
      <c r="F5" s="25"/>
      <c r="G5" s="139" t="s">
        <v>422</v>
      </c>
      <c r="H5" s="139"/>
      <c r="I5" s="139"/>
      <c r="J5" s="139"/>
      <c r="K5" s="139"/>
      <c r="L5" s="139"/>
      <c r="M5" s="139"/>
      <c r="N5" s="139"/>
    </row>
    <row r="6" spans="4:14" ht="30.75" customHeight="1">
      <c r="D6" s="25"/>
      <c r="E6" s="25"/>
      <c r="F6" s="25"/>
      <c r="G6" s="130" t="s">
        <v>423</v>
      </c>
      <c r="H6" s="127"/>
      <c r="I6" s="129"/>
      <c r="J6" s="129"/>
      <c r="K6" s="129"/>
      <c r="L6" s="129"/>
      <c r="M6" s="129"/>
      <c r="N6" s="131"/>
    </row>
    <row r="7" spans="4:14" ht="32.25" customHeight="1">
      <c r="D7" s="25"/>
      <c r="E7" s="25"/>
      <c r="F7" s="25"/>
      <c r="G7" s="139" t="s">
        <v>424</v>
      </c>
      <c r="H7" s="139"/>
      <c r="I7" s="139"/>
      <c r="J7" s="139"/>
      <c r="K7" s="139"/>
      <c r="L7" s="139"/>
      <c r="M7" s="139"/>
      <c r="N7" s="139"/>
    </row>
    <row r="8" spans="4:14" ht="27.75">
      <c r="D8" s="25"/>
      <c r="E8" s="25"/>
      <c r="F8" s="25"/>
      <c r="G8" s="128"/>
      <c r="H8" s="127"/>
      <c r="I8" s="129"/>
      <c r="J8" s="129"/>
      <c r="K8" s="129"/>
      <c r="L8" s="129"/>
      <c r="M8" s="129"/>
      <c r="N8" s="2"/>
    </row>
    <row r="9" spans="4:11" ht="27.75" customHeight="1">
      <c r="D9" s="25"/>
      <c r="E9" s="25"/>
      <c r="F9" s="25"/>
      <c r="G9" s="25"/>
      <c r="H9" s="26"/>
      <c r="I9" s="26"/>
      <c r="J9" s="26"/>
      <c r="K9" s="26"/>
    </row>
    <row r="10" spans="1:14" s="2" customFormat="1" ht="27.75" customHeight="1">
      <c r="A10" s="137" t="s">
        <v>357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s="2" customFormat="1" ht="27.75" customHeight="1">
      <c r="B11" s="1"/>
      <c r="C11" s="1"/>
      <c r="D11" s="137" t="s">
        <v>358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4:14" ht="42" customHeight="1">
      <c r="D12" s="27"/>
      <c r="E12" s="27"/>
      <c r="F12" s="27"/>
      <c r="G12" s="27"/>
      <c r="H12" s="27"/>
      <c r="I12" s="27"/>
      <c r="J12" s="27"/>
      <c r="K12" s="27"/>
      <c r="M12" s="9"/>
      <c r="N12" s="15" t="s">
        <v>406</v>
      </c>
    </row>
    <row r="13" spans="1:14" s="29" customFormat="1" ht="42.75" customHeight="1">
      <c r="A13" s="134" t="s">
        <v>50</v>
      </c>
      <c r="B13" s="135" t="s">
        <v>51</v>
      </c>
      <c r="C13" s="135" t="s">
        <v>27</v>
      </c>
      <c r="D13" s="135" t="s">
        <v>407</v>
      </c>
      <c r="E13" s="138" t="s">
        <v>174</v>
      </c>
      <c r="F13" s="135" t="s">
        <v>175</v>
      </c>
      <c r="G13" s="135" t="s">
        <v>175</v>
      </c>
      <c r="H13" s="135" t="s">
        <v>176</v>
      </c>
      <c r="I13" s="135" t="s">
        <v>177</v>
      </c>
      <c r="J13" s="135" t="s">
        <v>177</v>
      </c>
      <c r="K13" s="135" t="s">
        <v>178</v>
      </c>
      <c r="L13" s="138" t="s">
        <v>224</v>
      </c>
      <c r="M13" s="138" t="s">
        <v>225</v>
      </c>
      <c r="N13" s="135" t="s">
        <v>178</v>
      </c>
    </row>
    <row r="14" spans="1:14" s="29" customFormat="1" ht="42" customHeight="1">
      <c r="A14" s="134"/>
      <c r="B14" s="135"/>
      <c r="C14" s="135"/>
      <c r="D14" s="135"/>
      <c r="E14" s="138"/>
      <c r="F14" s="135"/>
      <c r="G14" s="135"/>
      <c r="H14" s="135"/>
      <c r="I14" s="135"/>
      <c r="J14" s="135"/>
      <c r="K14" s="135"/>
      <c r="L14" s="138"/>
      <c r="M14" s="138"/>
      <c r="N14" s="135"/>
    </row>
    <row r="15" spans="1:14" s="29" customFormat="1" ht="53.25" customHeight="1">
      <c r="A15" s="134"/>
      <c r="B15" s="135"/>
      <c r="C15" s="135"/>
      <c r="D15" s="135"/>
      <c r="E15" s="138"/>
      <c r="F15" s="135"/>
      <c r="G15" s="135"/>
      <c r="H15" s="135"/>
      <c r="I15" s="135"/>
      <c r="J15" s="135"/>
      <c r="K15" s="135"/>
      <c r="L15" s="138"/>
      <c r="M15" s="138"/>
      <c r="N15" s="135"/>
    </row>
    <row r="16" spans="1:14" s="13" customFormat="1" ht="17.25" customHeight="1">
      <c r="A16" s="10"/>
      <c r="B16" s="11"/>
      <c r="C16" s="11"/>
      <c r="D16" s="11">
        <v>1</v>
      </c>
      <c r="E16" s="11"/>
      <c r="F16" s="11"/>
      <c r="G16" s="11">
        <v>2</v>
      </c>
      <c r="H16" s="11">
        <v>3</v>
      </c>
      <c r="I16" s="11"/>
      <c r="J16" s="11">
        <v>4</v>
      </c>
      <c r="K16" s="11"/>
      <c r="L16" s="12"/>
      <c r="M16" s="12"/>
      <c r="N16" s="11">
        <v>5</v>
      </c>
    </row>
    <row r="17" spans="1:14" s="34" customFormat="1" ht="33" customHeight="1">
      <c r="A17" s="30" t="s">
        <v>76</v>
      </c>
      <c r="B17" s="30"/>
      <c r="C17" s="30"/>
      <c r="D17" s="31" t="s">
        <v>20</v>
      </c>
      <c r="E17" s="31"/>
      <c r="F17" s="31"/>
      <c r="G17" s="32">
        <f>ROUND(F17/1000,1)</f>
        <v>0</v>
      </c>
      <c r="H17" s="31"/>
      <c r="I17" s="31"/>
      <c r="J17" s="32">
        <f>ROUND(I17/1000,1)</f>
        <v>0</v>
      </c>
      <c r="K17" s="33">
        <f>K18+K19+K22+K26+K28+K30+K34+K32+K24+K21+K33+K36+K39+K37+K38</f>
        <v>45221880</v>
      </c>
      <c r="L17" s="33">
        <f>L18+L19+L22+L26+L28+L30+L34+L32+L24+L21+L33+L36+L39+L37+L38</f>
        <v>0</v>
      </c>
      <c r="M17" s="33">
        <f>M18+M19+M22+M26+M28+M30+M34+M32+M24+M21+M33+M36+M39+M37+M38</f>
        <v>45221880</v>
      </c>
      <c r="N17" s="8">
        <f>N18+N19+N22+N26+N28+N30+N34+N32+N24+N21+N33+N36+N39+N37+N38</f>
        <v>46523.90000000001</v>
      </c>
    </row>
    <row r="18" spans="1:14" s="37" customFormat="1" ht="50.25" customHeight="1">
      <c r="A18" s="35" t="s">
        <v>77</v>
      </c>
      <c r="B18" s="35" t="s">
        <v>58</v>
      </c>
      <c r="C18" s="35" t="s">
        <v>26</v>
      </c>
      <c r="D18" s="36" t="s">
        <v>59</v>
      </c>
      <c r="E18" s="36"/>
      <c r="F18" s="36"/>
      <c r="G18" s="32">
        <f aca="true" t="shared" si="0" ref="G18:G82">ROUND(F18/1000,1)</f>
        <v>0</v>
      </c>
      <c r="H18" s="36"/>
      <c r="I18" s="36"/>
      <c r="J18" s="32">
        <f aca="true" t="shared" si="1" ref="J18:J82">ROUND(I18/1000,1)</f>
        <v>0</v>
      </c>
      <c r="K18" s="19">
        <f>4000000-1295000</f>
        <v>2705000</v>
      </c>
      <c r="L18" s="19"/>
      <c r="M18" s="19">
        <f>L18+K18</f>
        <v>2705000</v>
      </c>
      <c r="N18" s="16">
        <f>ROUND(M18/1000,1)+302</f>
        <v>3007</v>
      </c>
    </row>
    <row r="19" spans="1:14" s="37" customFormat="1" ht="34.5" customHeight="1">
      <c r="A19" s="35" t="s">
        <v>78</v>
      </c>
      <c r="B19" s="35" t="s">
        <v>62</v>
      </c>
      <c r="C19" s="35"/>
      <c r="D19" s="36" t="s">
        <v>360</v>
      </c>
      <c r="E19" s="36"/>
      <c r="F19" s="36"/>
      <c r="G19" s="32">
        <f t="shared" si="0"/>
        <v>0</v>
      </c>
      <c r="H19" s="36"/>
      <c r="I19" s="36"/>
      <c r="J19" s="32">
        <f t="shared" si="1"/>
        <v>0</v>
      </c>
      <c r="K19" s="19">
        <f>K20</f>
        <v>20500</v>
      </c>
      <c r="L19" s="19">
        <f>L20</f>
        <v>0</v>
      </c>
      <c r="M19" s="19">
        <f>M20</f>
        <v>20500</v>
      </c>
      <c r="N19" s="17">
        <f>N20</f>
        <v>20.5</v>
      </c>
    </row>
    <row r="20" spans="1:14" s="41" customFormat="1" ht="33" customHeight="1">
      <c r="A20" s="38" t="s">
        <v>79</v>
      </c>
      <c r="B20" s="38" t="s">
        <v>63</v>
      </c>
      <c r="C20" s="38" t="s">
        <v>49</v>
      </c>
      <c r="D20" s="39" t="s">
        <v>64</v>
      </c>
      <c r="E20" s="40"/>
      <c r="F20" s="40"/>
      <c r="G20" s="32">
        <f t="shared" si="0"/>
        <v>0</v>
      </c>
      <c r="H20" s="40"/>
      <c r="I20" s="40"/>
      <c r="J20" s="32">
        <f t="shared" si="1"/>
        <v>0</v>
      </c>
      <c r="K20" s="18">
        <v>20500</v>
      </c>
      <c r="L20" s="18"/>
      <c r="M20" s="18">
        <f>L20+K20</f>
        <v>20500</v>
      </c>
      <c r="N20" s="7">
        <f aca="true" t="shared" si="2" ref="N20:N81">ROUND(M20/1000,1)</f>
        <v>20.5</v>
      </c>
    </row>
    <row r="21" spans="1:14" s="43" customFormat="1" ht="49.5" customHeight="1">
      <c r="A21" s="35" t="s">
        <v>247</v>
      </c>
      <c r="B21" s="35" t="s">
        <v>248</v>
      </c>
      <c r="C21" s="35" t="s">
        <v>246</v>
      </c>
      <c r="D21" s="36" t="s">
        <v>245</v>
      </c>
      <c r="E21" s="42"/>
      <c r="F21" s="42"/>
      <c r="G21" s="32">
        <f t="shared" si="0"/>
        <v>0</v>
      </c>
      <c r="H21" s="42"/>
      <c r="I21" s="42"/>
      <c r="J21" s="32">
        <f t="shared" si="1"/>
        <v>0</v>
      </c>
      <c r="K21" s="19">
        <v>28500</v>
      </c>
      <c r="L21" s="19"/>
      <c r="M21" s="19">
        <f>L21+K21</f>
        <v>28500</v>
      </c>
      <c r="N21" s="16">
        <f t="shared" si="2"/>
        <v>28.5</v>
      </c>
    </row>
    <row r="22" spans="1:14" s="37" customFormat="1" ht="33.75" customHeight="1">
      <c r="A22" s="35" t="s">
        <v>80</v>
      </c>
      <c r="B22" s="35" t="s">
        <v>7</v>
      </c>
      <c r="C22" s="35"/>
      <c r="D22" s="36" t="s">
        <v>361</v>
      </c>
      <c r="E22" s="36"/>
      <c r="F22" s="36"/>
      <c r="G22" s="32">
        <f t="shared" si="0"/>
        <v>0</v>
      </c>
      <c r="H22" s="36"/>
      <c r="I22" s="36"/>
      <c r="J22" s="32">
        <f t="shared" si="1"/>
        <v>0</v>
      </c>
      <c r="K22" s="19">
        <f>K23</f>
        <v>20500</v>
      </c>
      <c r="L22" s="19">
        <f>L23</f>
        <v>0</v>
      </c>
      <c r="M22" s="19">
        <f>M23</f>
        <v>20500</v>
      </c>
      <c r="N22" s="17">
        <f>N23</f>
        <v>20.5</v>
      </c>
    </row>
    <row r="23" spans="1:14" s="44" customFormat="1" ht="32.25" customHeight="1">
      <c r="A23" s="38" t="s">
        <v>198</v>
      </c>
      <c r="B23" s="38" t="s">
        <v>199</v>
      </c>
      <c r="C23" s="38" t="s">
        <v>44</v>
      </c>
      <c r="D23" s="39" t="s">
        <v>200</v>
      </c>
      <c r="E23" s="39"/>
      <c r="F23" s="39"/>
      <c r="G23" s="32">
        <f t="shared" si="0"/>
        <v>0</v>
      </c>
      <c r="H23" s="39"/>
      <c r="I23" s="39"/>
      <c r="J23" s="32">
        <f t="shared" si="1"/>
        <v>0</v>
      </c>
      <c r="K23" s="18">
        <f>49000-28500</f>
        <v>20500</v>
      </c>
      <c r="L23" s="18"/>
      <c r="M23" s="18">
        <f>L23+K23</f>
        <v>20500</v>
      </c>
      <c r="N23" s="7">
        <f t="shared" si="2"/>
        <v>20.5</v>
      </c>
    </row>
    <row r="24" spans="1:14" s="37" customFormat="1" ht="36.75" customHeight="1">
      <c r="A24" s="35" t="s">
        <v>226</v>
      </c>
      <c r="B24" s="35" t="s">
        <v>228</v>
      </c>
      <c r="C24" s="35"/>
      <c r="D24" s="36" t="s">
        <v>362</v>
      </c>
      <c r="E24" s="36"/>
      <c r="F24" s="36"/>
      <c r="G24" s="32">
        <f t="shared" si="0"/>
        <v>0</v>
      </c>
      <c r="H24" s="36"/>
      <c r="I24" s="36"/>
      <c r="J24" s="32">
        <f t="shared" si="1"/>
        <v>0</v>
      </c>
      <c r="K24" s="19">
        <f>K25</f>
        <v>177000</v>
      </c>
      <c r="L24" s="19">
        <f>L25</f>
        <v>0</v>
      </c>
      <c r="M24" s="19">
        <f>M25</f>
        <v>177000</v>
      </c>
      <c r="N24" s="17">
        <f>N25</f>
        <v>177</v>
      </c>
    </row>
    <row r="25" spans="1:14" s="44" customFormat="1" ht="33.75" customHeight="1">
      <c r="A25" s="38" t="s">
        <v>227</v>
      </c>
      <c r="B25" s="38" t="s">
        <v>229</v>
      </c>
      <c r="C25" s="38" t="s">
        <v>45</v>
      </c>
      <c r="D25" s="39" t="s">
        <v>230</v>
      </c>
      <c r="E25" s="39"/>
      <c r="F25" s="39"/>
      <c r="G25" s="32">
        <f t="shared" si="0"/>
        <v>0</v>
      </c>
      <c r="H25" s="39"/>
      <c r="I25" s="39"/>
      <c r="J25" s="32">
        <f t="shared" si="1"/>
        <v>0</v>
      </c>
      <c r="K25" s="18">
        <v>177000</v>
      </c>
      <c r="L25" s="18"/>
      <c r="M25" s="18">
        <f>L25+K25</f>
        <v>177000</v>
      </c>
      <c r="N25" s="7">
        <f t="shared" si="2"/>
        <v>177</v>
      </c>
    </row>
    <row r="26" spans="1:14" s="37" customFormat="1" ht="36" customHeight="1">
      <c r="A26" s="45" t="s">
        <v>81</v>
      </c>
      <c r="B26" s="45" t="s">
        <v>55</v>
      </c>
      <c r="C26" s="45"/>
      <c r="D26" s="36" t="s">
        <v>363</v>
      </c>
      <c r="E26" s="36"/>
      <c r="F26" s="36"/>
      <c r="G26" s="32">
        <f t="shared" si="0"/>
        <v>0</v>
      </c>
      <c r="H26" s="36"/>
      <c r="I26" s="36"/>
      <c r="J26" s="32">
        <f t="shared" si="1"/>
        <v>0</v>
      </c>
      <c r="K26" s="19">
        <f>K27</f>
        <v>200000</v>
      </c>
      <c r="L26" s="19">
        <f>L27</f>
        <v>0</v>
      </c>
      <c r="M26" s="19">
        <f>M27</f>
        <v>200000</v>
      </c>
      <c r="N26" s="17">
        <f>N27</f>
        <v>200</v>
      </c>
    </row>
    <row r="27" spans="1:14" s="41" customFormat="1" ht="39" customHeight="1">
      <c r="A27" s="46" t="s">
        <v>82</v>
      </c>
      <c r="B27" s="46" t="s">
        <v>56</v>
      </c>
      <c r="C27" s="46" t="s">
        <v>45</v>
      </c>
      <c r="D27" s="39" t="s">
        <v>9</v>
      </c>
      <c r="E27" s="40"/>
      <c r="F27" s="40"/>
      <c r="G27" s="32">
        <f t="shared" si="0"/>
        <v>0</v>
      </c>
      <c r="H27" s="40"/>
      <c r="I27" s="40"/>
      <c r="J27" s="32">
        <f t="shared" si="1"/>
        <v>0</v>
      </c>
      <c r="K27" s="18">
        <v>200000</v>
      </c>
      <c r="L27" s="18"/>
      <c r="M27" s="18">
        <f>L27+K27</f>
        <v>200000</v>
      </c>
      <c r="N27" s="7">
        <f t="shared" si="2"/>
        <v>200</v>
      </c>
    </row>
    <row r="28" spans="1:14" s="44" customFormat="1" ht="30.75" customHeight="1">
      <c r="A28" s="45" t="s">
        <v>83</v>
      </c>
      <c r="B28" s="45" t="s">
        <v>46</v>
      </c>
      <c r="C28" s="45"/>
      <c r="D28" s="36" t="s">
        <v>364</v>
      </c>
      <c r="E28" s="36"/>
      <c r="F28" s="36"/>
      <c r="G28" s="32">
        <f t="shared" si="0"/>
        <v>0</v>
      </c>
      <c r="H28" s="36"/>
      <c r="I28" s="36"/>
      <c r="J28" s="32">
        <f t="shared" si="1"/>
        <v>0</v>
      </c>
      <c r="K28" s="19">
        <f>K29</f>
        <v>20000</v>
      </c>
      <c r="L28" s="19">
        <f>L29</f>
        <v>0</v>
      </c>
      <c r="M28" s="19">
        <f>M29</f>
        <v>20000</v>
      </c>
      <c r="N28" s="17">
        <f>N29</f>
        <v>20</v>
      </c>
    </row>
    <row r="29" spans="1:14" s="44" customFormat="1" ht="48" customHeight="1">
      <c r="A29" s="46" t="s">
        <v>84</v>
      </c>
      <c r="B29" s="46" t="s">
        <v>53</v>
      </c>
      <c r="C29" s="46" t="s">
        <v>45</v>
      </c>
      <c r="D29" s="39" t="s">
        <v>54</v>
      </c>
      <c r="E29" s="39"/>
      <c r="F29" s="39"/>
      <c r="G29" s="32">
        <f t="shared" si="0"/>
        <v>0</v>
      </c>
      <c r="H29" s="39"/>
      <c r="I29" s="39"/>
      <c r="J29" s="32">
        <f t="shared" si="1"/>
        <v>0</v>
      </c>
      <c r="K29" s="18">
        <v>20000</v>
      </c>
      <c r="L29" s="18"/>
      <c r="M29" s="18">
        <f>L29+K29</f>
        <v>20000</v>
      </c>
      <c r="N29" s="7">
        <f t="shared" si="2"/>
        <v>20</v>
      </c>
    </row>
    <row r="30" spans="1:14" s="37" customFormat="1" ht="33.75" customHeight="1">
      <c r="A30" s="45" t="s">
        <v>85</v>
      </c>
      <c r="B30" s="45" t="s">
        <v>2</v>
      </c>
      <c r="C30" s="45"/>
      <c r="D30" s="36" t="s">
        <v>365</v>
      </c>
      <c r="E30" s="36"/>
      <c r="F30" s="36"/>
      <c r="G30" s="32">
        <f t="shared" si="0"/>
        <v>0</v>
      </c>
      <c r="H30" s="36"/>
      <c r="I30" s="36"/>
      <c r="J30" s="32">
        <f t="shared" si="1"/>
        <v>0</v>
      </c>
      <c r="K30" s="19">
        <f>K31</f>
        <v>1490000</v>
      </c>
      <c r="L30" s="19">
        <f>L31</f>
        <v>0</v>
      </c>
      <c r="M30" s="19">
        <f>M31</f>
        <v>1490000</v>
      </c>
      <c r="N30" s="17">
        <f>N31</f>
        <v>1490</v>
      </c>
    </row>
    <row r="31" spans="1:14" s="44" customFormat="1" ht="30.75" customHeight="1">
      <c r="A31" s="46" t="s">
        <v>125</v>
      </c>
      <c r="B31" s="46" t="s">
        <v>3</v>
      </c>
      <c r="C31" s="46" t="s">
        <v>213</v>
      </c>
      <c r="D31" s="39" t="s">
        <v>8</v>
      </c>
      <c r="E31" s="39"/>
      <c r="F31" s="39"/>
      <c r="G31" s="32">
        <f t="shared" si="0"/>
        <v>0</v>
      </c>
      <c r="H31" s="39"/>
      <c r="I31" s="39"/>
      <c r="J31" s="32">
        <f t="shared" si="1"/>
        <v>0</v>
      </c>
      <c r="K31" s="18">
        <f>810000+680000</f>
        <v>1490000</v>
      </c>
      <c r="L31" s="18"/>
      <c r="M31" s="18">
        <f aca="true" t="shared" si="3" ref="M31:M39">L31+K31</f>
        <v>1490000</v>
      </c>
      <c r="N31" s="7">
        <f t="shared" si="2"/>
        <v>1490</v>
      </c>
    </row>
    <row r="32" spans="1:14" s="37" customFormat="1" ht="36" customHeight="1">
      <c r="A32" s="45" t="s">
        <v>209</v>
      </c>
      <c r="B32" s="45" t="s">
        <v>210</v>
      </c>
      <c r="C32" s="45" t="s">
        <v>212</v>
      </c>
      <c r="D32" s="36" t="s">
        <v>211</v>
      </c>
      <c r="E32" s="36"/>
      <c r="F32" s="36"/>
      <c r="G32" s="32">
        <f t="shared" si="0"/>
        <v>0</v>
      </c>
      <c r="H32" s="36"/>
      <c r="I32" s="36"/>
      <c r="J32" s="32">
        <f t="shared" si="1"/>
        <v>0</v>
      </c>
      <c r="K32" s="19">
        <f>4897000+3385000</f>
        <v>8282000</v>
      </c>
      <c r="L32" s="19"/>
      <c r="M32" s="19">
        <f t="shared" si="3"/>
        <v>8282000</v>
      </c>
      <c r="N32" s="16">
        <f t="shared" si="2"/>
        <v>8282</v>
      </c>
    </row>
    <row r="33" spans="1:14" s="37" customFormat="1" ht="25.5" customHeight="1">
      <c r="A33" s="45" t="s">
        <v>252</v>
      </c>
      <c r="B33" s="45" t="s">
        <v>253</v>
      </c>
      <c r="C33" s="45" t="s">
        <v>255</v>
      </c>
      <c r="D33" s="47" t="s">
        <v>254</v>
      </c>
      <c r="E33" s="36"/>
      <c r="F33" s="36"/>
      <c r="G33" s="32">
        <f t="shared" si="0"/>
        <v>0</v>
      </c>
      <c r="H33" s="36"/>
      <c r="I33" s="36"/>
      <c r="J33" s="32">
        <f t="shared" si="1"/>
        <v>0</v>
      </c>
      <c r="K33" s="19">
        <v>16800</v>
      </c>
      <c r="L33" s="19"/>
      <c r="M33" s="19">
        <f t="shared" si="3"/>
        <v>16800</v>
      </c>
      <c r="N33" s="16">
        <f t="shared" si="2"/>
        <v>16.8</v>
      </c>
    </row>
    <row r="34" spans="1:14" s="44" customFormat="1" ht="44.25" customHeight="1">
      <c r="A34" s="45" t="s">
        <v>86</v>
      </c>
      <c r="B34" s="45" t="s">
        <v>4</v>
      </c>
      <c r="C34" s="45" t="s">
        <v>47</v>
      </c>
      <c r="D34" s="36" t="s">
        <v>366</v>
      </c>
      <c r="E34" s="36" t="s">
        <v>186</v>
      </c>
      <c r="F34" s="36"/>
      <c r="G34" s="32">
        <f t="shared" si="0"/>
        <v>0</v>
      </c>
      <c r="H34" s="36"/>
      <c r="I34" s="36"/>
      <c r="J34" s="32">
        <f t="shared" si="1"/>
        <v>0</v>
      </c>
      <c r="K34" s="19">
        <f>4220000+24220000+800000</f>
        <v>29240000</v>
      </c>
      <c r="L34" s="19"/>
      <c r="M34" s="19">
        <f t="shared" si="3"/>
        <v>29240000</v>
      </c>
      <c r="N34" s="16">
        <f t="shared" si="2"/>
        <v>29240</v>
      </c>
    </row>
    <row r="35" spans="1:14" s="44" customFormat="1" ht="27.75" customHeight="1">
      <c r="A35" s="46"/>
      <c r="B35" s="46"/>
      <c r="C35" s="46"/>
      <c r="D35" s="39" t="s">
        <v>186</v>
      </c>
      <c r="E35" s="39"/>
      <c r="F35" s="39"/>
      <c r="G35" s="32">
        <f t="shared" si="0"/>
        <v>0</v>
      </c>
      <c r="H35" s="39"/>
      <c r="I35" s="39"/>
      <c r="J35" s="32">
        <f t="shared" si="1"/>
        <v>0</v>
      </c>
      <c r="K35" s="18">
        <f>K34</f>
        <v>29240000</v>
      </c>
      <c r="L35" s="18"/>
      <c r="M35" s="18">
        <f t="shared" si="3"/>
        <v>29240000</v>
      </c>
      <c r="N35" s="18">
        <f>N34</f>
        <v>29240</v>
      </c>
    </row>
    <row r="36" spans="1:14" s="44" customFormat="1" ht="23.25" customHeight="1">
      <c r="A36" s="45" t="s">
        <v>256</v>
      </c>
      <c r="B36" s="45" t="s">
        <v>257</v>
      </c>
      <c r="C36" s="45" t="s">
        <v>258</v>
      </c>
      <c r="D36" s="47" t="s">
        <v>259</v>
      </c>
      <c r="E36" s="36"/>
      <c r="F36" s="36"/>
      <c r="G36" s="32">
        <f t="shared" si="0"/>
        <v>0</v>
      </c>
      <c r="H36" s="36"/>
      <c r="I36" s="36"/>
      <c r="J36" s="32">
        <f t="shared" si="1"/>
        <v>0</v>
      </c>
      <c r="K36" s="19">
        <v>55900</v>
      </c>
      <c r="L36" s="19"/>
      <c r="M36" s="19">
        <f t="shared" si="3"/>
        <v>55900</v>
      </c>
      <c r="N36" s="16">
        <f t="shared" si="2"/>
        <v>55.9</v>
      </c>
    </row>
    <row r="37" spans="1:14" s="44" customFormat="1" ht="33.75" customHeight="1">
      <c r="A37" s="45" t="s">
        <v>312</v>
      </c>
      <c r="B37" s="45" t="s">
        <v>315</v>
      </c>
      <c r="C37" s="45" t="s">
        <v>258</v>
      </c>
      <c r="D37" s="36" t="s">
        <v>314</v>
      </c>
      <c r="E37" s="36"/>
      <c r="F37" s="36"/>
      <c r="G37" s="32">
        <f t="shared" si="0"/>
        <v>0</v>
      </c>
      <c r="H37" s="36"/>
      <c r="I37" s="36"/>
      <c r="J37" s="32">
        <f t="shared" si="1"/>
        <v>0</v>
      </c>
      <c r="K37" s="19">
        <v>57900</v>
      </c>
      <c r="L37" s="19"/>
      <c r="M37" s="19">
        <f t="shared" si="3"/>
        <v>57900</v>
      </c>
      <c r="N37" s="16">
        <f t="shared" si="2"/>
        <v>57.9</v>
      </c>
    </row>
    <row r="38" spans="1:14" s="44" customFormat="1" ht="30.75" customHeight="1">
      <c r="A38" s="45" t="s">
        <v>333</v>
      </c>
      <c r="B38" s="45" t="s">
        <v>217</v>
      </c>
      <c r="C38" s="45" t="s">
        <v>25</v>
      </c>
      <c r="D38" s="36" t="s">
        <v>215</v>
      </c>
      <c r="E38" s="36"/>
      <c r="F38" s="36"/>
      <c r="G38" s="32">
        <f t="shared" si="0"/>
        <v>0</v>
      </c>
      <c r="H38" s="36"/>
      <c r="I38" s="36"/>
      <c r="J38" s="32">
        <f t="shared" si="1"/>
        <v>0</v>
      </c>
      <c r="K38" s="19">
        <v>344000</v>
      </c>
      <c r="L38" s="19"/>
      <c r="M38" s="19">
        <f t="shared" si="3"/>
        <v>344000</v>
      </c>
      <c r="N38" s="16">
        <f t="shared" si="2"/>
        <v>344</v>
      </c>
    </row>
    <row r="39" spans="1:14" s="44" customFormat="1" ht="47.25" customHeight="1">
      <c r="A39" s="45" t="s">
        <v>278</v>
      </c>
      <c r="B39" s="45" t="s">
        <v>267</v>
      </c>
      <c r="C39" s="45" t="s">
        <v>25</v>
      </c>
      <c r="D39" s="47" t="s">
        <v>277</v>
      </c>
      <c r="E39" s="36"/>
      <c r="F39" s="36"/>
      <c r="G39" s="32">
        <f t="shared" si="0"/>
        <v>0</v>
      </c>
      <c r="H39" s="36"/>
      <c r="I39" s="36"/>
      <c r="J39" s="32">
        <f t="shared" si="1"/>
        <v>0</v>
      </c>
      <c r="K39" s="19">
        <v>2563780</v>
      </c>
      <c r="L39" s="19"/>
      <c r="M39" s="19">
        <f t="shared" si="3"/>
        <v>2563780</v>
      </c>
      <c r="N39" s="16">
        <f>ROUND(M39/1000,1)+1000</f>
        <v>3563.8</v>
      </c>
    </row>
    <row r="40" spans="1:14" s="34" customFormat="1" ht="34.5" customHeight="1">
      <c r="A40" s="48" t="s">
        <v>87</v>
      </c>
      <c r="B40" s="48"/>
      <c r="C40" s="48"/>
      <c r="D40" s="3" t="s">
        <v>10</v>
      </c>
      <c r="E40" s="3"/>
      <c r="F40" s="3"/>
      <c r="G40" s="32">
        <f t="shared" si="0"/>
        <v>0</v>
      </c>
      <c r="H40" s="3"/>
      <c r="I40" s="3"/>
      <c r="J40" s="32">
        <f t="shared" si="1"/>
        <v>0</v>
      </c>
      <c r="K40" s="33">
        <f>K41+K42+K43+K44+K45+K47+K49+K53+K51+K54</f>
        <v>39476559.77</v>
      </c>
      <c r="L40" s="33">
        <f>L41+L42+L43+L44+L45+L47+L49+L53+L51+L54</f>
        <v>-17139</v>
      </c>
      <c r="M40" s="33">
        <f>M41+M42+M43+M44+M45+M47+M49+M53+M51+M54</f>
        <v>39459420.77</v>
      </c>
      <c r="N40" s="8">
        <f>N41+N42+N43+N44+N45+N47+N49+N53+N51+N54+N46</f>
        <v>42192.6</v>
      </c>
    </row>
    <row r="41" spans="1:14" s="37" customFormat="1" ht="49.5" customHeight="1">
      <c r="A41" s="35" t="s">
        <v>88</v>
      </c>
      <c r="B41" s="35" t="s">
        <v>58</v>
      </c>
      <c r="C41" s="35" t="s">
        <v>26</v>
      </c>
      <c r="D41" s="36" t="s">
        <v>59</v>
      </c>
      <c r="E41" s="36"/>
      <c r="F41" s="36"/>
      <c r="G41" s="32">
        <f t="shared" si="0"/>
        <v>0</v>
      </c>
      <c r="H41" s="36"/>
      <c r="I41" s="36"/>
      <c r="J41" s="32">
        <f t="shared" si="1"/>
        <v>0</v>
      </c>
      <c r="K41" s="19">
        <v>16000</v>
      </c>
      <c r="L41" s="19"/>
      <c r="M41" s="19">
        <f>L41+K41</f>
        <v>16000</v>
      </c>
      <c r="N41" s="16">
        <f t="shared" si="2"/>
        <v>16</v>
      </c>
    </row>
    <row r="42" spans="1:14" s="37" customFormat="1" ht="28.5" customHeight="1">
      <c r="A42" s="35" t="s">
        <v>89</v>
      </c>
      <c r="B42" s="35" t="s">
        <v>28</v>
      </c>
      <c r="C42" s="35" t="s">
        <v>29</v>
      </c>
      <c r="D42" s="36" t="s">
        <v>71</v>
      </c>
      <c r="E42" s="36"/>
      <c r="F42" s="36"/>
      <c r="G42" s="32">
        <f t="shared" si="0"/>
        <v>0</v>
      </c>
      <c r="H42" s="36"/>
      <c r="I42" s="36"/>
      <c r="J42" s="32">
        <f t="shared" si="1"/>
        <v>0</v>
      </c>
      <c r="K42" s="19">
        <f>3500000+40000+300269</f>
        <v>3840269</v>
      </c>
      <c r="L42" s="19">
        <f>50000</f>
        <v>50000</v>
      </c>
      <c r="M42" s="19">
        <f>L42+K42</f>
        <v>3890269</v>
      </c>
      <c r="N42" s="16">
        <f>ROUND(M42/1000,1)+40+365.1</f>
        <v>4295.400000000001</v>
      </c>
    </row>
    <row r="43" spans="1:14" s="37" customFormat="1" ht="53.25" customHeight="1">
      <c r="A43" s="35" t="s">
        <v>90</v>
      </c>
      <c r="B43" s="35" t="s">
        <v>30</v>
      </c>
      <c r="C43" s="35" t="s">
        <v>31</v>
      </c>
      <c r="D43" s="36" t="s">
        <v>72</v>
      </c>
      <c r="E43" s="36"/>
      <c r="F43" s="36"/>
      <c r="G43" s="32">
        <f t="shared" si="0"/>
        <v>0</v>
      </c>
      <c r="H43" s="36"/>
      <c r="I43" s="36"/>
      <c r="J43" s="32">
        <f t="shared" si="1"/>
        <v>0</v>
      </c>
      <c r="K43" s="19">
        <f>7400000+469705+50000+9851742</f>
        <v>17771447</v>
      </c>
      <c r="L43" s="19">
        <f>-120139+53000</f>
        <v>-67139</v>
      </c>
      <c r="M43" s="19">
        <f>L43+K43</f>
        <v>17704308</v>
      </c>
      <c r="N43" s="16">
        <f>ROUND(M43/1000,1)+33-4.9</f>
        <v>17732.399999999998</v>
      </c>
    </row>
    <row r="44" spans="1:14" s="37" customFormat="1" ht="72" customHeight="1">
      <c r="A44" s="35" t="s">
        <v>121</v>
      </c>
      <c r="B44" s="35" t="s">
        <v>32</v>
      </c>
      <c r="C44" s="35" t="s">
        <v>33</v>
      </c>
      <c r="D44" s="36" t="s">
        <v>60</v>
      </c>
      <c r="E44" s="36"/>
      <c r="F44" s="36"/>
      <c r="G44" s="32">
        <f t="shared" si="0"/>
        <v>0</v>
      </c>
      <c r="H44" s="36"/>
      <c r="I44" s="36"/>
      <c r="J44" s="32">
        <f t="shared" si="1"/>
        <v>0</v>
      </c>
      <c r="K44" s="19">
        <v>100000</v>
      </c>
      <c r="L44" s="19"/>
      <c r="M44" s="19">
        <f>L44+K44</f>
        <v>100000</v>
      </c>
      <c r="N44" s="16">
        <f t="shared" si="2"/>
        <v>100</v>
      </c>
    </row>
    <row r="45" spans="1:14" s="37" customFormat="1" ht="36.75" customHeight="1">
      <c r="A45" s="35" t="s">
        <v>122</v>
      </c>
      <c r="B45" s="35" t="s">
        <v>34</v>
      </c>
      <c r="C45" s="35" t="s">
        <v>35</v>
      </c>
      <c r="D45" s="36" t="s">
        <v>73</v>
      </c>
      <c r="E45" s="36"/>
      <c r="F45" s="36"/>
      <c r="G45" s="32">
        <f t="shared" si="0"/>
        <v>0</v>
      </c>
      <c r="H45" s="36"/>
      <c r="I45" s="36"/>
      <c r="J45" s="32">
        <f t="shared" si="1"/>
        <v>0</v>
      </c>
      <c r="K45" s="19">
        <f>400000+30000</f>
        <v>430000</v>
      </c>
      <c r="L45" s="19"/>
      <c r="M45" s="19">
        <f>L45+K45</f>
        <v>430000</v>
      </c>
      <c r="N45" s="16">
        <f t="shared" si="2"/>
        <v>430</v>
      </c>
    </row>
    <row r="46" spans="1:14" s="122" customFormat="1" ht="36.75" customHeight="1">
      <c r="A46" s="35"/>
      <c r="B46" s="35"/>
      <c r="C46" s="35"/>
      <c r="D46" s="36" t="s">
        <v>408</v>
      </c>
      <c r="E46" s="36"/>
      <c r="F46" s="36"/>
      <c r="G46" s="32"/>
      <c r="H46" s="36"/>
      <c r="I46" s="36"/>
      <c r="J46" s="32"/>
      <c r="K46" s="19"/>
      <c r="L46" s="19"/>
      <c r="M46" s="19"/>
      <c r="N46" s="16">
        <v>2300</v>
      </c>
    </row>
    <row r="47" spans="1:14" s="37" customFormat="1" ht="33" customHeight="1">
      <c r="A47" s="35" t="s">
        <v>123</v>
      </c>
      <c r="B47" s="35" t="s">
        <v>124</v>
      </c>
      <c r="C47" s="35"/>
      <c r="D47" s="36" t="s">
        <v>367</v>
      </c>
      <c r="E47" s="36"/>
      <c r="F47" s="36"/>
      <c r="G47" s="32">
        <f t="shared" si="0"/>
        <v>0</v>
      </c>
      <c r="H47" s="36"/>
      <c r="I47" s="36"/>
      <c r="J47" s="32">
        <f t="shared" si="1"/>
        <v>0</v>
      </c>
      <c r="K47" s="19">
        <f>K48</f>
        <v>180000</v>
      </c>
      <c r="L47" s="19">
        <f>L48</f>
        <v>0</v>
      </c>
      <c r="M47" s="19">
        <f>M48</f>
        <v>180000</v>
      </c>
      <c r="N47" s="17">
        <f>N48</f>
        <v>180</v>
      </c>
    </row>
    <row r="48" spans="1:14" s="44" customFormat="1" ht="34.5" customHeight="1">
      <c r="A48" s="38" t="s">
        <v>201</v>
      </c>
      <c r="B48" s="38" t="s">
        <v>202</v>
      </c>
      <c r="C48" s="38" t="s">
        <v>37</v>
      </c>
      <c r="D48" s="49" t="s">
        <v>203</v>
      </c>
      <c r="E48" s="39"/>
      <c r="F48" s="39"/>
      <c r="G48" s="32">
        <f t="shared" si="0"/>
        <v>0</v>
      </c>
      <c r="H48" s="39"/>
      <c r="I48" s="39"/>
      <c r="J48" s="32">
        <f t="shared" si="1"/>
        <v>0</v>
      </c>
      <c r="K48" s="18">
        <v>180000</v>
      </c>
      <c r="L48" s="18"/>
      <c r="M48" s="18">
        <f>L48+K48</f>
        <v>180000</v>
      </c>
      <c r="N48" s="7">
        <f t="shared" si="2"/>
        <v>180</v>
      </c>
    </row>
    <row r="49" spans="1:14" s="37" customFormat="1" ht="34.5" customHeight="1">
      <c r="A49" s="35" t="s">
        <v>91</v>
      </c>
      <c r="B49" s="35" t="s">
        <v>55</v>
      </c>
      <c r="C49" s="35"/>
      <c r="D49" s="50" t="s">
        <v>363</v>
      </c>
      <c r="E49" s="50"/>
      <c r="F49" s="50"/>
      <c r="G49" s="32">
        <f t="shared" si="0"/>
        <v>0</v>
      </c>
      <c r="H49" s="50"/>
      <c r="I49" s="50"/>
      <c r="J49" s="32">
        <f t="shared" si="1"/>
        <v>0</v>
      </c>
      <c r="K49" s="19">
        <f>K50</f>
        <v>100000</v>
      </c>
      <c r="L49" s="19">
        <f>L50</f>
        <v>0</v>
      </c>
      <c r="M49" s="19">
        <f>M50</f>
        <v>100000</v>
      </c>
      <c r="N49" s="17">
        <f>N50</f>
        <v>100</v>
      </c>
    </row>
    <row r="50" spans="1:14" s="44" customFormat="1" ht="36.75" customHeight="1">
      <c r="A50" s="38" t="s">
        <v>92</v>
      </c>
      <c r="B50" s="38" t="s">
        <v>56</v>
      </c>
      <c r="C50" s="38" t="s">
        <v>45</v>
      </c>
      <c r="D50" s="49" t="s">
        <v>9</v>
      </c>
      <c r="E50" s="49"/>
      <c r="F50" s="49"/>
      <c r="G50" s="32">
        <f t="shared" si="0"/>
        <v>0</v>
      </c>
      <c r="H50" s="49"/>
      <c r="I50" s="49"/>
      <c r="J50" s="32">
        <f t="shared" si="1"/>
        <v>0</v>
      </c>
      <c r="K50" s="18">
        <v>100000</v>
      </c>
      <c r="L50" s="18"/>
      <c r="M50" s="18">
        <f>L50+K50</f>
        <v>100000</v>
      </c>
      <c r="N50" s="7">
        <f t="shared" si="2"/>
        <v>100</v>
      </c>
    </row>
    <row r="51" spans="1:14" s="44" customFormat="1" ht="33.75" customHeight="1">
      <c r="A51" s="35" t="s">
        <v>271</v>
      </c>
      <c r="B51" s="35" t="s">
        <v>272</v>
      </c>
      <c r="C51" s="35"/>
      <c r="D51" s="51" t="s">
        <v>368</v>
      </c>
      <c r="E51" s="36"/>
      <c r="F51" s="36"/>
      <c r="G51" s="32">
        <f t="shared" si="0"/>
        <v>0</v>
      </c>
      <c r="H51" s="36"/>
      <c r="I51" s="36"/>
      <c r="J51" s="32">
        <f t="shared" si="1"/>
        <v>0</v>
      </c>
      <c r="K51" s="52">
        <f>SUM(K52)</f>
        <v>2087424.77</v>
      </c>
      <c r="L51" s="52">
        <f>SUM(L52)</f>
        <v>0</v>
      </c>
      <c r="M51" s="52">
        <f>SUM(M52)</f>
        <v>2087424.77</v>
      </c>
      <c r="N51" s="17">
        <f>SUM(N52)</f>
        <v>2087.4</v>
      </c>
    </row>
    <row r="52" spans="1:14" s="44" customFormat="1" ht="50.25" customHeight="1">
      <c r="A52" s="38" t="s">
        <v>269</v>
      </c>
      <c r="B52" s="38" t="s">
        <v>279</v>
      </c>
      <c r="C52" s="38" t="s">
        <v>47</v>
      </c>
      <c r="D52" s="53" t="s">
        <v>270</v>
      </c>
      <c r="E52" s="39"/>
      <c r="F52" s="39"/>
      <c r="G52" s="32">
        <f t="shared" si="0"/>
        <v>0</v>
      </c>
      <c r="H52" s="39"/>
      <c r="I52" s="39"/>
      <c r="J52" s="32">
        <f t="shared" si="1"/>
        <v>0</v>
      </c>
      <c r="K52" s="54">
        <v>2087424.77</v>
      </c>
      <c r="L52" s="54"/>
      <c r="M52" s="54">
        <f>L52+K52</f>
        <v>2087424.77</v>
      </c>
      <c r="N52" s="7">
        <f t="shared" si="2"/>
        <v>2087.4</v>
      </c>
    </row>
    <row r="53" spans="1:14" s="44" customFormat="1" ht="32.25" customHeight="1">
      <c r="A53" s="35" t="s">
        <v>93</v>
      </c>
      <c r="B53" s="35" t="s">
        <v>1</v>
      </c>
      <c r="C53" s="35" t="s">
        <v>48</v>
      </c>
      <c r="D53" s="36" t="s">
        <v>17</v>
      </c>
      <c r="E53" s="36"/>
      <c r="F53" s="36"/>
      <c r="G53" s="32">
        <f t="shared" si="0"/>
        <v>0</v>
      </c>
      <c r="H53" s="36"/>
      <c r="I53" s="36"/>
      <c r="J53" s="32">
        <f t="shared" si="1"/>
        <v>0</v>
      </c>
      <c r="K53" s="19">
        <f>11768000+900000+283419</f>
        <v>12951419</v>
      </c>
      <c r="L53" s="19"/>
      <c r="M53" s="19">
        <f>L53+K53</f>
        <v>12951419</v>
      </c>
      <c r="N53" s="16">
        <f t="shared" si="2"/>
        <v>12951.4</v>
      </c>
    </row>
    <row r="54" spans="1:14" s="44" customFormat="1" ht="48.75" customHeight="1">
      <c r="A54" s="35" t="s">
        <v>307</v>
      </c>
      <c r="B54" s="35" t="s">
        <v>267</v>
      </c>
      <c r="C54" s="35" t="s">
        <v>25</v>
      </c>
      <c r="D54" s="36" t="s">
        <v>277</v>
      </c>
      <c r="E54" s="36"/>
      <c r="F54" s="36"/>
      <c r="G54" s="32">
        <f t="shared" si="0"/>
        <v>0</v>
      </c>
      <c r="H54" s="36"/>
      <c r="I54" s="36"/>
      <c r="J54" s="32">
        <f t="shared" si="1"/>
        <v>0</v>
      </c>
      <c r="K54" s="19">
        <v>2000000</v>
      </c>
      <c r="L54" s="19"/>
      <c r="M54" s="19">
        <f>L54+K54</f>
        <v>2000000</v>
      </c>
      <c r="N54" s="16">
        <f t="shared" si="2"/>
        <v>2000</v>
      </c>
    </row>
    <row r="55" spans="1:14" s="34" customFormat="1" ht="37.5" customHeight="1">
      <c r="A55" s="30" t="s">
        <v>94</v>
      </c>
      <c r="B55" s="30"/>
      <c r="C55" s="30"/>
      <c r="D55" s="3" t="s">
        <v>11</v>
      </c>
      <c r="E55" s="3"/>
      <c r="F55" s="3"/>
      <c r="G55" s="32">
        <f t="shared" si="0"/>
        <v>0</v>
      </c>
      <c r="H55" s="3"/>
      <c r="I55" s="3"/>
      <c r="J55" s="32">
        <f t="shared" si="1"/>
        <v>0</v>
      </c>
      <c r="K55" s="33">
        <f>K56+K63+K61+K57+K58</f>
        <v>38783843.6</v>
      </c>
      <c r="L55" s="33">
        <f>L56+L63+L61+L57+L58</f>
        <v>72600</v>
      </c>
      <c r="M55" s="33">
        <f>M56+M63+M61+M57+M58</f>
        <v>38856443.6</v>
      </c>
      <c r="N55" s="8">
        <f>N56+N63+N61+N57+N58</f>
        <v>39037.799999999996</v>
      </c>
    </row>
    <row r="56" spans="1:14" s="37" customFormat="1" ht="33" customHeight="1">
      <c r="A56" s="35" t="s">
        <v>95</v>
      </c>
      <c r="B56" s="35" t="s">
        <v>38</v>
      </c>
      <c r="C56" s="35" t="s">
        <v>39</v>
      </c>
      <c r="D56" s="36" t="s">
        <v>12</v>
      </c>
      <c r="E56" s="36"/>
      <c r="F56" s="36"/>
      <c r="G56" s="32">
        <f t="shared" si="0"/>
        <v>0</v>
      </c>
      <c r="H56" s="36"/>
      <c r="I56" s="36"/>
      <c r="J56" s="32">
        <f t="shared" si="1"/>
        <v>0</v>
      </c>
      <c r="K56" s="19">
        <f>20000000+350000+182000+7028800</f>
        <v>27560800</v>
      </c>
      <c r="L56" s="19"/>
      <c r="M56" s="19">
        <f>L56+K56</f>
        <v>27560800</v>
      </c>
      <c r="N56" s="16">
        <f>ROUND(M56/1000,1)+181.4</f>
        <v>27742.2</v>
      </c>
    </row>
    <row r="57" spans="1:14" s="37" customFormat="1" ht="32.25" customHeight="1">
      <c r="A57" s="35" t="s">
        <v>343</v>
      </c>
      <c r="B57" s="35" t="s">
        <v>344</v>
      </c>
      <c r="C57" s="35" t="s">
        <v>346</v>
      </c>
      <c r="D57" s="36" t="s">
        <v>345</v>
      </c>
      <c r="E57" s="36"/>
      <c r="F57" s="36"/>
      <c r="G57" s="32">
        <f t="shared" si="0"/>
        <v>0</v>
      </c>
      <c r="H57" s="36"/>
      <c r="I57" s="36"/>
      <c r="J57" s="32">
        <f t="shared" si="1"/>
        <v>0</v>
      </c>
      <c r="K57" s="19"/>
      <c r="L57" s="19">
        <v>15000</v>
      </c>
      <c r="M57" s="19">
        <f>L57+K57</f>
        <v>15000</v>
      </c>
      <c r="N57" s="16">
        <f t="shared" si="2"/>
        <v>15</v>
      </c>
    </row>
    <row r="58" spans="1:14" s="37" customFormat="1" ht="29.25" customHeight="1">
      <c r="A58" s="35" t="s">
        <v>347</v>
      </c>
      <c r="B58" s="35" t="s">
        <v>348</v>
      </c>
      <c r="C58" s="35"/>
      <c r="D58" s="36" t="s">
        <v>369</v>
      </c>
      <c r="E58" s="36"/>
      <c r="F58" s="36"/>
      <c r="G58" s="32">
        <f t="shared" si="0"/>
        <v>0</v>
      </c>
      <c r="H58" s="36"/>
      <c r="I58" s="36"/>
      <c r="J58" s="32">
        <f t="shared" si="1"/>
        <v>0</v>
      </c>
      <c r="K58" s="19">
        <f>K59+K60</f>
        <v>0</v>
      </c>
      <c r="L58" s="19">
        <f>L59+L60</f>
        <v>57600</v>
      </c>
      <c r="M58" s="19">
        <f>M59+M60</f>
        <v>57600</v>
      </c>
      <c r="N58" s="16">
        <f t="shared" si="2"/>
        <v>57.6</v>
      </c>
    </row>
    <row r="59" spans="1:14" s="44" customFormat="1" ht="46.5" customHeight="1">
      <c r="A59" s="38" t="s">
        <v>349</v>
      </c>
      <c r="B59" s="38" t="s">
        <v>350</v>
      </c>
      <c r="C59" s="38" t="s">
        <v>352</v>
      </c>
      <c r="D59" s="39" t="s">
        <v>351</v>
      </c>
      <c r="E59" s="39"/>
      <c r="F59" s="39"/>
      <c r="G59" s="32">
        <f t="shared" si="0"/>
        <v>0</v>
      </c>
      <c r="H59" s="39"/>
      <c r="I59" s="39"/>
      <c r="J59" s="32">
        <f t="shared" si="1"/>
        <v>0</v>
      </c>
      <c r="K59" s="18"/>
      <c r="L59" s="18">
        <v>35000</v>
      </c>
      <c r="M59" s="19">
        <f>L59+K59</f>
        <v>35000</v>
      </c>
      <c r="N59" s="7">
        <f t="shared" si="2"/>
        <v>35</v>
      </c>
    </row>
    <row r="60" spans="1:14" s="44" customFormat="1" ht="48" customHeight="1">
      <c r="A60" s="38" t="s">
        <v>353</v>
      </c>
      <c r="B60" s="38" t="s">
        <v>354</v>
      </c>
      <c r="C60" s="38" t="s">
        <v>355</v>
      </c>
      <c r="D60" s="39" t="s">
        <v>370</v>
      </c>
      <c r="E60" s="39"/>
      <c r="F60" s="39"/>
      <c r="G60" s="32">
        <f t="shared" si="0"/>
        <v>0</v>
      </c>
      <c r="H60" s="39"/>
      <c r="I60" s="39"/>
      <c r="J60" s="32">
        <f t="shared" si="1"/>
        <v>0</v>
      </c>
      <c r="K60" s="18"/>
      <c r="L60" s="18">
        <v>22600</v>
      </c>
      <c r="M60" s="19">
        <f>L60+K60</f>
        <v>22600</v>
      </c>
      <c r="N60" s="7">
        <f t="shared" si="2"/>
        <v>22.6</v>
      </c>
    </row>
    <row r="61" spans="1:14" s="37" customFormat="1" ht="32.25" customHeight="1">
      <c r="A61" s="35" t="s">
        <v>299</v>
      </c>
      <c r="B61" s="35" t="s">
        <v>272</v>
      </c>
      <c r="C61" s="35"/>
      <c r="D61" s="36" t="s">
        <v>368</v>
      </c>
      <c r="E61" s="36"/>
      <c r="F61" s="36"/>
      <c r="G61" s="32">
        <f t="shared" si="0"/>
        <v>0</v>
      </c>
      <c r="H61" s="36"/>
      <c r="I61" s="36"/>
      <c r="J61" s="32">
        <f t="shared" si="1"/>
        <v>0</v>
      </c>
      <c r="K61" s="19">
        <f>SUM(K62)</f>
        <v>1376043.6</v>
      </c>
      <c r="L61" s="19">
        <f>SUM(L62)</f>
        <v>0</v>
      </c>
      <c r="M61" s="19">
        <f>SUM(M62)</f>
        <v>1376043.6</v>
      </c>
      <c r="N61" s="19">
        <f>SUM(N62)</f>
        <v>1376</v>
      </c>
    </row>
    <row r="62" spans="1:14" s="44" customFormat="1" ht="53.25" customHeight="1">
      <c r="A62" s="38" t="s">
        <v>300</v>
      </c>
      <c r="B62" s="38" t="s">
        <v>279</v>
      </c>
      <c r="C62" s="38" t="s">
        <v>47</v>
      </c>
      <c r="D62" s="39" t="s">
        <v>270</v>
      </c>
      <c r="E62" s="39"/>
      <c r="F62" s="39"/>
      <c r="G62" s="32">
        <f t="shared" si="0"/>
        <v>0</v>
      </c>
      <c r="H62" s="39"/>
      <c r="I62" s="39"/>
      <c r="J62" s="32">
        <f t="shared" si="1"/>
        <v>0</v>
      </c>
      <c r="K62" s="18">
        <v>1376043.6</v>
      </c>
      <c r="L62" s="18"/>
      <c r="M62" s="18">
        <f>L62+K62</f>
        <v>1376043.6</v>
      </c>
      <c r="N62" s="7">
        <f t="shared" si="2"/>
        <v>1376</v>
      </c>
    </row>
    <row r="63" spans="1:14" s="37" customFormat="1" ht="33.75" customHeight="1">
      <c r="A63" s="35" t="s">
        <v>96</v>
      </c>
      <c r="B63" s="35" t="s">
        <v>1</v>
      </c>
      <c r="C63" s="35" t="s">
        <v>48</v>
      </c>
      <c r="D63" s="36" t="s">
        <v>17</v>
      </c>
      <c r="E63" s="36"/>
      <c r="F63" s="36"/>
      <c r="G63" s="32">
        <f t="shared" si="0"/>
        <v>0</v>
      </c>
      <c r="H63" s="36"/>
      <c r="I63" s="36"/>
      <c r="J63" s="32">
        <f t="shared" si="1"/>
        <v>0</v>
      </c>
      <c r="K63" s="19">
        <f>6847000+3000000</f>
        <v>9847000</v>
      </c>
      <c r="L63" s="19"/>
      <c r="M63" s="19">
        <f>L63+K63</f>
        <v>9847000</v>
      </c>
      <c r="N63" s="16">
        <f t="shared" si="2"/>
        <v>9847</v>
      </c>
    </row>
    <row r="64" spans="1:14" s="34" customFormat="1" ht="35.25" customHeight="1">
      <c r="A64" s="30" t="s">
        <v>97</v>
      </c>
      <c r="B64" s="30"/>
      <c r="C64" s="30"/>
      <c r="D64" s="3" t="s">
        <v>21</v>
      </c>
      <c r="E64" s="3"/>
      <c r="F64" s="3"/>
      <c r="G64" s="32">
        <f t="shared" si="0"/>
        <v>0</v>
      </c>
      <c r="H64" s="3"/>
      <c r="I64" s="3"/>
      <c r="J64" s="32">
        <f t="shared" si="1"/>
        <v>0</v>
      </c>
      <c r="K64" s="33">
        <f>K65+K66+K70+K68</f>
        <v>1179500</v>
      </c>
      <c r="L64" s="33">
        <f>L65+L66+L70+L68</f>
        <v>0</v>
      </c>
      <c r="M64" s="33">
        <f>M65+M66+M70+M68</f>
        <v>1179500</v>
      </c>
      <c r="N64" s="8">
        <f>N65+N66+N70+N68</f>
        <v>1179.5</v>
      </c>
    </row>
    <row r="65" spans="1:14" s="37" customFormat="1" ht="48" customHeight="1">
      <c r="A65" s="35" t="s">
        <v>98</v>
      </c>
      <c r="B65" s="35" t="s">
        <v>58</v>
      </c>
      <c r="C65" s="35" t="s">
        <v>26</v>
      </c>
      <c r="D65" s="36" t="s">
        <v>59</v>
      </c>
      <c r="E65" s="36"/>
      <c r="F65" s="36"/>
      <c r="G65" s="32">
        <f t="shared" si="0"/>
        <v>0</v>
      </c>
      <c r="H65" s="36"/>
      <c r="I65" s="36"/>
      <c r="J65" s="32">
        <f t="shared" si="1"/>
        <v>0</v>
      </c>
      <c r="K65" s="19">
        <f>700000-128000</f>
        <v>572000</v>
      </c>
      <c r="L65" s="19"/>
      <c r="M65" s="19">
        <f>L65+K65</f>
        <v>572000</v>
      </c>
      <c r="N65" s="16">
        <f t="shared" si="2"/>
        <v>572</v>
      </c>
    </row>
    <row r="66" spans="1:14" s="56" customFormat="1" ht="47.25" customHeight="1">
      <c r="A66" s="35" t="s">
        <v>99</v>
      </c>
      <c r="B66" s="55">
        <v>3030</v>
      </c>
      <c r="C66" s="55"/>
      <c r="D66" s="36" t="s">
        <v>371</v>
      </c>
      <c r="E66" s="36"/>
      <c r="F66" s="36"/>
      <c r="G66" s="32">
        <f t="shared" si="0"/>
        <v>0</v>
      </c>
      <c r="H66" s="36"/>
      <c r="I66" s="36"/>
      <c r="J66" s="32">
        <f t="shared" si="1"/>
        <v>0</v>
      </c>
      <c r="K66" s="19">
        <f>K67</f>
        <v>214000</v>
      </c>
      <c r="L66" s="19">
        <f>L67</f>
        <v>0</v>
      </c>
      <c r="M66" s="19">
        <f>M67</f>
        <v>214000</v>
      </c>
      <c r="N66" s="17">
        <f>N67</f>
        <v>214</v>
      </c>
    </row>
    <row r="67" spans="1:14" s="58" customFormat="1" ht="39.75" customHeight="1">
      <c r="A67" s="38" t="s">
        <v>100</v>
      </c>
      <c r="B67" s="57">
        <v>3031</v>
      </c>
      <c r="C67" s="57">
        <v>1030</v>
      </c>
      <c r="D67" s="39" t="s">
        <v>61</v>
      </c>
      <c r="E67" s="39"/>
      <c r="F67" s="39"/>
      <c r="G67" s="32">
        <f t="shared" si="0"/>
        <v>0</v>
      </c>
      <c r="H67" s="39"/>
      <c r="I67" s="39"/>
      <c r="J67" s="32">
        <f t="shared" si="1"/>
        <v>0</v>
      </c>
      <c r="K67" s="18">
        <v>214000</v>
      </c>
      <c r="L67" s="18"/>
      <c r="M67" s="18">
        <f>L67+K67</f>
        <v>214000</v>
      </c>
      <c r="N67" s="7">
        <f t="shared" si="2"/>
        <v>214</v>
      </c>
    </row>
    <row r="68" spans="1:14" s="58" customFormat="1" ht="45.75" customHeight="1">
      <c r="A68" s="35" t="s">
        <v>101</v>
      </c>
      <c r="B68" s="55">
        <v>3100</v>
      </c>
      <c r="C68" s="55"/>
      <c r="D68" s="36" t="s">
        <v>372</v>
      </c>
      <c r="E68" s="39"/>
      <c r="F68" s="39"/>
      <c r="G68" s="32">
        <f t="shared" si="0"/>
        <v>0</v>
      </c>
      <c r="H68" s="39"/>
      <c r="I68" s="39"/>
      <c r="J68" s="32">
        <f t="shared" si="1"/>
        <v>0</v>
      </c>
      <c r="K68" s="19">
        <f>K69</f>
        <v>18500</v>
      </c>
      <c r="L68" s="19">
        <f>L69</f>
        <v>0</v>
      </c>
      <c r="M68" s="19">
        <f>M69</f>
        <v>18500</v>
      </c>
      <c r="N68" s="17">
        <f>N69</f>
        <v>18.5</v>
      </c>
    </row>
    <row r="69" spans="1:14" s="58" customFormat="1" ht="50.25" customHeight="1">
      <c r="A69" s="38" t="s">
        <v>102</v>
      </c>
      <c r="B69" s="57">
        <v>3104</v>
      </c>
      <c r="C69" s="57">
        <v>1020</v>
      </c>
      <c r="D69" s="39" t="s">
        <v>14</v>
      </c>
      <c r="E69" s="39"/>
      <c r="F69" s="39"/>
      <c r="G69" s="32">
        <f t="shared" si="0"/>
        <v>0</v>
      </c>
      <c r="H69" s="39"/>
      <c r="I69" s="39"/>
      <c r="J69" s="32">
        <f t="shared" si="1"/>
        <v>0</v>
      </c>
      <c r="K69" s="18">
        <v>18500</v>
      </c>
      <c r="L69" s="18"/>
      <c r="M69" s="18">
        <f>L69+K69</f>
        <v>18500</v>
      </c>
      <c r="N69" s="7">
        <f t="shared" si="2"/>
        <v>18.5</v>
      </c>
    </row>
    <row r="70" spans="1:14" s="37" customFormat="1" ht="36.75" customHeight="1">
      <c r="A70" s="35" t="s">
        <v>214</v>
      </c>
      <c r="B70" s="55">
        <v>3240</v>
      </c>
      <c r="C70" s="55"/>
      <c r="D70" s="36" t="s">
        <v>373</v>
      </c>
      <c r="E70" s="36"/>
      <c r="F70" s="36"/>
      <c r="G70" s="32">
        <f t="shared" si="0"/>
        <v>0</v>
      </c>
      <c r="H70" s="36"/>
      <c r="I70" s="36"/>
      <c r="J70" s="32">
        <f t="shared" si="1"/>
        <v>0</v>
      </c>
      <c r="K70" s="19">
        <f>K71+K72</f>
        <v>375000</v>
      </c>
      <c r="L70" s="19">
        <f>L71+L72</f>
        <v>0</v>
      </c>
      <c r="M70" s="19">
        <f>M71+M72</f>
        <v>375000</v>
      </c>
      <c r="N70" s="17">
        <f>N71+N72</f>
        <v>375</v>
      </c>
    </row>
    <row r="71" spans="1:14" s="44" customFormat="1" ht="36.75" customHeight="1">
      <c r="A71" s="38" t="s">
        <v>204</v>
      </c>
      <c r="B71" s="57">
        <v>3241</v>
      </c>
      <c r="C71" s="57">
        <v>1090</v>
      </c>
      <c r="D71" s="39" t="s">
        <v>205</v>
      </c>
      <c r="E71" s="39"/>
      <c r="F71" s="39"/>
      <c r="G71" s="32">
        <f t="shared" si="0"/>
        <v>0</v>
      </c>
      <c r="H71" s="39"/>
      <c r="I71" s="39"/>
      <c r="J71" s="32">
        <f t="shared" si="1"/>
        <v>0</v>
      </c>
      <c r="K71" s="18">
        <v>300000</v>
      </c>
      <c r="L71" s="18"/>
      <c r="M71" s="18">
        <f>L71+K71</f>
        <v>300000</v>
      </c>
      <c r="N71" s="7">
        <f t="shared" si="2"/>
        <v>300</v>
      </c>
    </row>
    <row r="72" spans="1:14" s="44" customFormat="1" ht="34.5" customHeight="1">
      <c r="A72" s="38" t="s">
        <v>206</v>
      </c>
      <c r="B72" s="57">
        <v>3242</v>
      </c>
      <c r="C72" s="57">
        <v>1090</v>
      </c>
      <c r="D72" s="39" t="s">
        <v>207</v>
      </c>
      <c r="E72" s="39"/>
      <c r="F72" s="39"/>
      <c r="G72" s="32">
        <f t="shared" si="0"/>
        <v>0</v>
      </c>
      <c r="H72" s="39"/>
      <c r="I72" s="39"/>
      <c r="J72" s="32">
        <f t="shared" si="1"/>
        <v>0</v>
      </c>
      <c r="K72" s="18">
        <v>75000</v>
      </c>
      <c r="L72" s="18"/>
      <c r="M72" s="18">
        <f>L72+K72</f>
        <v>75000</v>
      </c>
      <c r="N72" s="7">
        <f t="shared" si="2"/>
        <v>75</v>
      </c>
    </row>
    <row r="73" spans="1:14" s="34" customFormat="1" ht="29.25" customHeight="1">
      <c r="A73" s="30" t="s">
        <v>103</v>
      </c>
      <c r="B73" s="30"/>
      <c r="C73" s="30"/>
      <c r="D73" s="3" t="s">
        <v>15</v>
      </c>
      <c r="E73" s="3"/>
      <c r="F73" s="3"/>
      <c r="G73" s="32">
        <f t="shared" si="0"/>
        <v>0</v>
      </c>
      <c r="H73" s="3"/>
      <c r="I73" s="3"/>
      <c r="J73" s="32">
        <f t="shared" si="1"/>
        <v>0</v>
      </c>
      <c r="K73" s="33">
        <f>K74+K75+K76+K77+K79</f>
        <v>3140450</v>
      </c>
      <c r="L73" s="33">
        <f>L74+L75+L76+L77+L79</f>
        <v>0</v>
      </c>
      <c r="M73" s="33">
        <f>M74+M75+M76+M77+M79</f>
        <v>3140450</v>
      </c>
      <c r="N73" s="8">
        <f>N74+N75+N76+N77+N79</f>
        <v>3140.5</v>
      </c>
    </row>
    <row r="74" spans="1:14" s="37" customFormat="1" ht="51.75" customHeight="1">
      <c r="A74" s="35" t="s">
        <v>70</v>
      </c>
      <c r="B74" s="35" t="s">
        <v>58</v>
      </c>
      <c r="C74" s="35" t="s">
        <v>26</v>
      </c>
      <c r="D74" s="36" t="s">
        <v>59</v>
      </c>
      <c r="E74" s="36"/>
      <c r="F74" s="36"/>
      <c r="G74" s="32">
        <f t="shared" si="0"/>
        <v>0</v>
      </c>
      <c r="H74" s="36"/>
      <c r="I74" s="36"/>
      <c r="J74" s="32">
        <f t="shared" si="1"/>
        <v>0</v>
      </c>
      <c r="K74" s="19">
        <v>10000</v>
      </c>
      <c r="L74" s="19"/>
      <c r="M74" s="19">
        <f>L74+K74</f>
        <v>10000</v>
      </c>
      <c r="N74" s="16">
        <f t="shared" si="2"/>
        <v>10</v>
      </c>
    </row>
    <row r="75" spans="1:14" s="37" customFormat="1" ht="54" customHeight="1">
      <c r="A75" s="35" t="s">
        <v>120</v>
      </c>
      <c r="B75" s="35" t="s">
        <v>36</v>
      </c>
      <c r="C75" s="35" t="s">
        <v>35</v>
      </c>
      <c r="D75" s="36" t="s">
        <v>6</v>
      </c>
      <c r="E75" s="36"/>
      <c r="F75" s="36"/>
      <c r="G75" s="32">
        <f t="shared" si="0"/>
        <v>0</v>
      </c>
      <c r="H75" s="36"/>
      <c r="I75" s="36"/>
      <c r="J75" s="32">
        <f t="shared" si="1"/>
        <v>0</v>
      </c>
      <c r="K75" s="19">
        <f>200000+12300</f>
        <v>212300</v>
      </c>
      <c r="L75" s="19"/>
      <c r="M75" s="19">
        <f>L75+K75</f>
        <v>212300</v>
      </c>
      <c r="N75" s="16">
        <f t="shared" si="2"/>
        <v>212.3</v>
      </c>
    </row>
    <row r="76" spans="1:14" s="37" customFormat="1" ht="31.5" customHeight="1">
      <c r="A76" s="35" t="s">
        <v>104</v>
      </c>
      <c r="B76" s="35" t="s">
        <v>42</v>
      </c>
      <c r="C76" s="35" t="s">
        <v>43</v>
      </c>
      <c r="D76" s="36" t="s">
        <v>5</v>
      </c>
      <c r="E76" s="36"/>
      <c r="F76" s="36"/>
      <c r="G76" s="32">
        <f t="shared" si="0"/>
        <v>0</v>
      </c>
      <c r="H76" s="36"/>
      <c r="I76" s="36"/>
      <c r="J76" s="32">
        <f t="shared" si="1"/>
        <v>0</v>
      </c>
      <c r="K76" s="19">
        <f>300000+850050+70100</f>
        <v>1220150</v>
      </c>
      <c r="L76" s="19"/>
      <c r="M76" s="19">
        <f>L76+K76</f>
        <v>1220150</v>
      </c>
      <c r="N76" s="16">
        <f t="shared" si="2"/>
        <v>1220.2</v>
      </c>
    </row>
    <row r="77" spans="1:14" s="37" customFormat="1" ht="28.5" customHeight="1">
      <c r="A77" s="35" t="s">
        <v>105</v>
      </c>
      <c r="B77" s="35" t="s">
        <v>7</v>
      </c>
      <c r="C77" s="35"/>
      <c r="D77" s="36" t="s">
        <v>361</v>
      </c>
      <c r="E77" s="36"/>
      <c r="F77" s="36"/>
      <c r="G77" s="32">
        <f t="shared" si="0"/>
        <v>0</v>
      </c>
      <c r="H77" s="36"/>
      <c r="I77" s="36"/>
      <c r="J77" s="32">
        <f t="shared" si="1"/>
        <v>0</v>
      </c>
      <c r="K77" s="19">
        <f>K78</f>
        <v>50000</v>
      </c>
      <c r="L77" s="19">
        <f>L78</f>
        <v>0</v>
      </c>
      <c r="M77" s="19">
        <f>M78</f>
        <v>50000</v>
      </c>
      <c r="N77" s="17">
        <f>N78</f>
        <v>50</v>
      </c>
    </row>
    <row r="78" spans="1:14" s="44" customFormat="1" ht="38.25" customHeight="1">
      <c r="A78" s="38" t="s">
        <v>208</v>
      </c>
      <c r="B78" s="38" t="s">
        <v>199</v>
      </c>
      <c r="C78" s="38" t="s">
        <v>44</v>
      </c>
      <c r="D78" s="39" t="s">
        <v>200</v>
      </c>
      <c r="E78" s="39"/>
      <c r="F78" s="39"/>
      <c r="G78" s="32">
        <f t="shared" si="0"/>
        <v>0</v>
      </c>
      <c r="H78" s="39"/>
      <c r="I78" s="39"/>
      <c r="J78" s="32">
        <f t="shared" si="1"/>
        <v>0</v>
      </c>
      <c r="K78" s="18">
        <v>50000</v>
      </c>
      <c r="L78" s="18"/>
      <c r="M78" s="18">
        <f>L78+K78</f>
        <v>50000</v>
      </c>
      <c r="N78" s="7">
        <f t="shared" si="2"/>
        <v>50</v>
      </c>
    </row>
    <row r="79" spans="1:14" s="37" customFormat="1" ht="32.25" customHeight="1">
      <c r="A79" s="35" t="s">
        <v>74</v>
      </c>
      <c r="B79" s="35" t="s">
        <v>1</v>
      </c>
      <c r="C79" s="35" t="s">
        <v>48</v>
      </c>
      <c r="D79" s="36" t="s">
        <v>17</v>
      </c>
      <c r="E79" s="36"/>
      <c r="F79" s="36"/>
      <c r="G79" s="32">
        <f t="shared" si="0"/>
        <v>0</v>
      </c>
      <c r="H79" s="36"/>
      <c r="I79" s="36"/>
      <c r="J79" s="32">
        <f t="shared" si="1"/>
        <v>0</v>
      </c>
      <c r="K79" s="19">
        <v>1648000</v>
      </c>
      <c r="L79" s="19"/>
      <c r="M79" s="19">
        <f>L79+K79</f>
        <v>1648000</v>
      </c>
      <c r="N79" s="16">
        <f t="shared" si="2"/>
        <v>1648</v>
      </c>
    </row>
    <row r="80" spans="1:14" s="34" customFormat="1" ht="35.25" customHeight="1">
      <c r="A80" s="30" t="s">
        <v>106</v>
      </c>
      <c r="B80" s="30"/>
      <c r="C80" s="30"/>
      <c r="D80" s="3" t="s">
        <v>16</v>
      </c>
      <c r="E80" s="3"/>
      <c r="F80" s="3"/>
      <c r="G80" s="32">
        <f t="shared" si="0"/>
        <v>0</v>
      </c>
      <c r="H80" s="3"/>
      <c r="I80" s="3"/>
      <c r="J80" s="32">
        <f t="shared" si="1"/>
        <v>0</v>
      </c>
      <c r="K80" s="33">
        <f>K81+K82+K87+K127+K134+K88+K118+K130</f>
        <v>149342843.59</v>
      </c>
      <c r="L80" s="33">
        <f>L81+L82+L87+L127+L134+L88+L118+L130</f>
        <v>-175600</v>
      </c>
      <c r="M80" s="33">
        <f>M81+M82+M87+M127+M134+M88+M118+M130</f>
        <v>149167243.59</v>
      </c>
      <c r="N80" s="8">
        <f>N81+N82+N87+N127+N134+N88+N118+N130</f>
        <v>149513.09999999998</v>
      </c>
    </row>
    <row r="81" spans="1:14" s="37" customFormat="1" ht="50.25" customHeight="1">
      <c r="A81" s="35" t="s">
        <v>107</v>
      </c>
      <c r="B81" s="35" t="s">
        <v>58</v>
      </c>
      <c r="C81" s="35" t="s">
        <v>26</v>
      </c>
      <c r="D81" s="36" t="s">
        <v>59</v>
      </c>
      <c r="E81" s="36"/>
      <c r="F81" s="36"/>
      <c r="G81" s="32">
        <f t="shared" si="0"/>
        <v>0</v>
      </c>
      <c r="H81" s="36"/>
      <c r="I81" s="36"/>
      <c r="J81" s="32">
        <f t="shared" si="1"/>
        <v>0</v>
      </c>
      <c r="K81" s="19">
        <f>200000-137500</f>
        <v>62500</v>
      </c>
      <c r="L81" s="19"/>
      <c r="M81" s="19">
        <f>L81+K81</f>
        <v>62500</v>
      </c>
      <c r="N81" s="16">
        <f t="shared" si="2"/>
        <v>62.5</v>
      </c>
    </row>
    <row r="82" spans="1:14" s="37" customFormat="1" ht="45" customHeight="1">
      <c r="A82" s="35" t="s">
        <v>108</v>
      </c>
      <c r="B82" s="35" t="s">
        <v>40</v>
      </c>
      <c r="C82" s="35"/>
      <c r="D82" s="36" t="s">
        <v>374</v>
      </c>
      <c r="E82" s="36"/>
      <c r="F82" s="36"/>
      <c r="G82" s="32">
        <f t="shared" si="0"/>
        <v>0</v>
      </c>
      <c r="H82" s="36"/>
      <c r="I82" s="36"/>
      <c r="J82" s="32">
        <f t="shared" si="1"/>
        <v>0</v>
      </c>
      <c r="K82" s="19">
        <f>K83+K85+K84+K86</f>
        <v>63520622</v>
      </c>
      <c r="L82" s="19">
        <f>L83+L85+L84+L86</f>
        <v>0</v>
      </c>
      <c r="M82" s="19">
        <f>M83+M85+M84+M86</f>
        <v>63520622</v>
      </c>
      <c r="N82" s="17">
        <f>N83+N85+N84+N86</f>
        <v>63936.6</v>
      </c>
    </row>
    <row r="83" spans="1:14" s="44" customFormat="1" ht="26.25" customHeight="1">
      <c r="A83" s="38" t="s">
        <v>109</v>
      </c>
      <c r="B83" s="38" t="s">
        <v>65</v>
      </c>
      <c r="C83" s="38" t="s">
        <v>41</v>
      </c>
      <c r="D83" s="39" t="s">
        <v>66</v>
      </c>
      <c r="E83" s="39"/>
      <c r="F83" s="39"/>
      <c r="G83" s="32">
        <f aca="true" t="shared" si="4" ref="G83:G148">ROUND(F83/1000,1)</f>
        <v>0</v>
      </c>
      <c r="H83" s="39"/>
      <c r="I83" s="39"/>
      <c r="J83" s="32">
        <f aca="true" t="shared" si="5" ref="J83:J148">ROUND(I83/1000,1)</f>
        <v>0</v>
      </c>
      <c r="K83" s="18">
        <f>20000000+15000000-150000-4100000+20000+350000</f>
        <v>31120000</v>
      </c>
      <c r="L83" s="18"/>
      <c r="M83" s="18">
        <f>L83+K83</f>
        <v>31120000</v>
      </c>
      <c r="N83" s="7">
        <f>ROUND(M83/1000,1)+4+92</f>
        <v>31216</v>
      </c>
    </row>
    <row r="84" spans="1:14" s="44" customFormat="1" ht="30" customHeight="1">
      <c r="A84" s="38" t="s">
        <v>260</v>
      </c>
      <c r="B84" s="38" t="s">
        <v>261</v>
      </c>
      <c r="C84" s="38" t="s">
        <v>41</v>
      </c>
      <c r="D84" s="59" t="s">
        <v>262</v>
      </c>
      <c r="E84" s="39"/>
      <c r="F84" s="39"/>
      <c r="G84" s="32">
        <f t="shared" si="4"/>
        <v>0</v>
      </c>
      <c r="H84" s="39"/>
      <c r="I84" s="39"/>
      <c r="J84" s="32">
        <f t="shared" si="5"/>
        <v>0</v>
      </c>
      <c r="K84" s="18">
        <v>222622</v>
      </c>
      <c r="L84" s="18"/>
      <c r="M84" s="18">
        <f>L84+K84</f>
        <v>222622</v>
      </c>
      <c r="N84" s="7">
        <f>ROUND(M84/1000,1)+320</f>
        <v>542.6</v>
      </c>
    </row>
    <row r="85" spans="1:14" s="44" customFormat="1" ht="40.5" customHeight="1">
      <c r="A85" s="38" t="s">
        <v>126</v>
      </c>
      <c r="B85" s="38" t="s">
        <v>127</v>
      </c>
      <c r="C85" s="38" t="s">
        <v>41</v>
      </c>
      <c r="D85" s="39" t="s">
        <v>128</v>
      </c>
      <c r="E85" s="39"/>
      <c r="F85" s="39"/>
      <c r="G85" s="32">
        <f t="shared" si="4"/>
        <v>0</v>
      </c>
      <c r="H85" s="39"/>
      <c r="I85" s="39"/>
      <c r="J85" s="32">
        <f t="shared" si="5"/>
        <v>0</v>
      </c>
      <c r="K85" s="18">
        <f>20000000+10000000</f>
        <v>30000000</v>
      </c>
      <c r="L85" s="18"/>
      <c r="M85" s="18">
        <f>L85+K85</f>
        <v>30000000</v>
      </c>
      <c r="N85" s="7">
        <f aca="true" t="shared" si="6" ref="N85:N147">ROUND(M85/1000,1)</f>
        <v>30000</v>
      </c>
    </row>
    <row r="86" spans="1:14" s="44" customFormat="1" ht="33" customHeight="1">
      <c r="A86" s="38" t="s">
        <v>263</v>
      </c>
      <c r="B86" s="38" t="s">
        <v>264</v>
      </c>
      <c r="C86" s="38" t="s">
        <v>41</v>
      </c>
      <c r="D86" s="39" t="s">
        <v>265</v>
      </c>
      <c r="E86" s="39"/>
      <c r="F86" s="39"/>
      <c r="G86" s="32">
        <f t="shared" si="4"/>
        <v>0</v>
      </c>
      <c r="H86" s="39"/>
      <c r="I86" s="39"/>
      <c r="J86" s="32">
        <f t="shared" si="5"/>
        <v>0</v>
      </c>
      <c r="K86" s="18">
        <v>2178000</v>
      </c>
      <c r="L86" s="18"/>
      <c r="M86" s="18">
        <f>L86+K86</f>
        <v>2178000</v>
      </c>
      <c r="N86" s="7">
        <f t="shared" si="6"/>
        <v>2178</v>
      </c>
    </row>
    <row r="87" spans="1:14" s="37" customFormat="1" ht="33" customHeight="1">
      <c r="A87" s="35" t="s">
        <v>110</v>
      </c>
      <c r="B87" s="35" t="s">
        <v>67</v>
      </c>
      <c r="C87" s="35" t="s">
        <v>41</v>
      </c>
      <c r="D87" s="36" t="s">
        <v>68</v>
      </c>
      <c r="E87" s="36"/>
      <c r="F87" s="36"/>
      <c r="G87" s="32">
        <f t="shared" si="4"/>
        <v>0</v>
      </c>
      <c r="H87" s="36"/>
      <c r="I87" s="36"/>
      <c r="J87" s="32">
        <f t="shared" si="5"/>
        <v>0</v>
      </c>
      <c r="K87" s="19">
        <f>37188104+9000000+2000000+7000000-1000000+3150000-7524305-825875-865089</f>
        <v>48122835</v>
      </c>
      <c r="L87" s="19">
        <f>-175600</f>
        <v>-175600</v>
      </c>
      <c r="M87" s="19">
        <f>L87+K87</f>
        <v>47947235</v>
      </c>
      <c r="N87" s="16">
        <f>ROUND(M87/1000,1)-75-15.1</f>
        <v>47857.1</v>
      </c>
    </row>
    <row r="88" spans="1:14" s="37" customFormat="1" ht="34.5" customHeight="1">
      <c r="A88" s="35" t="s">
        <v>135</v>
      </c>
      <c r="B88" s="35" t="s">
        <v>136</v>
      </c>
      <c r="C88" s="35" t="s">
        <v>52</v>
      </c>
      <c r="D88" s="3" t="s">
        <v>394</v>
      </c>
      <c r="E88" s="36"/>
      <c r="F88" s="36"/>
      <c r="G88" s="32">
        <f t="shared" si="4"/>
        <v>0</v>
      </c>
      <c r="H88" s="36"/>
      <c r="I88" s="36"/>
      <c r="J88" s="32">
        <f t="shared" si="5"/>
        <v>0</v>
      </c>
      <c r="K88" s="33">
        <f>K89+K95+K108</f>
        <v>25569194.13</v>
      </c>
      <c r="L88" s="33">
        <f>L89+L95+L108</f>
        <v>0</v>
      </c>
      <c r="M88" s="33">
        <f>M89+M95+M108</f>
        <v>25569194.13</v>
      </c>
      <c r="N88" s="8">
        <f>N89+N95+N108</f>
        <v>25589.2</v>
      </c>
    </row>
    <row r="89" spans="1:14" s="37" customFormat="1" ht="27.75" customHeight="1">
      <c r="A89" s="35"/>
      <c r="B89" s="35"/>
      <c r="C89" s="35"/>
      <c r="D89" s="60" t="s">
        <v>143</v>
      </c>
      <c r="E89" s="60" t="s">
        <v>143</v>
      </c>
      <c r="F89" s="36"/>
      <c r="G89" s="32">
        <f t="shared" si="4"/>
        <v>0</v>
      </c>
      <c r="H89" s="36"/>
      <c r="I89" s="36"/>
      <c r="J89" s="32">
        <f t="shared" si="5"/>
        <v>0</v>
      </c>
      <c r="K89" s="33">
        <f>SUM(K90:K94)</f>
        <v>5617344</v>
      </c>
      <c r="L89" s="33">
        <f>SUM(L90:L94)</f>
        <v>0</v>
      </c>
      <c r="M89" s="33">
        <f>SUM(M90:M94)</f>
        <v>5617344</v>
      </c>
      <c r="N89" s="8">
        <f>SUM(N90:N94)</f>
        <v>5617.3</v>
      </c>
    </row>
    <row r="90" spans="1:14" s="37" customFormat="1" ht="51.75" customHeight="1">
      <c r="A90" s="35"/>
      <c r="B90" s="35"/>
      <c r="C90" s="35"/>
      <c r="D90" s="36" t="s">
        <v>375</v>
      </c>
      <c r="E90" s="36" t="s">
        <v>310</v>
      </c>
      <c r="F90" s="36"/>
      <c r="G90" s="32">
        <f t="shared" si="4"/>
        <v>0</v>
      </c>
      <c r="H90" s="36"/>
      <c r="I90" s="36"/>
      <c r="J90" s="32">
        <f t="shared" si="5"/>
        <v>0</v>
      </c>
      <c r="K90" s="19">
        <v>650000</v>
      </c>
      <c r="L90" s="19"/>
      <c r="M90" s="19">
        <f>L90+K90</f>
        <v>650000</v>
      </c>
      <c r="N90" s="16">
        <f t="shared" si="6"/>
        <v>650</v>
      </c>
    </row>
    <row r="91" spans="1:14" s="37" customFormat="1" ht="68.25" customHeight="1">
      <c r="A91" s="35"/>
      <c r="B91" s="35"/>
      <c r="C91" s="35"/>
      <c r="D91" s="36" t="s">
        <v>376</v>
      </c>
      <c r="E91" s="36" t="s">
        <v>311</v>
      </c>
      <c r="F91" s="36"/>
      <c r="G91" s="32">
        <f t="shared" si="4"/>
        <v>0</v>
      </c>
      <c r="H91" s="36"/>
      <c r="I91" s="36"/>
      <c r="J91" s="32">
        <f t="shared" si="5"/>
        <v>0</v>
      </c>
      <c r="K91" s="19">
        <v>350000</v>
      </c>
      <c r="L91" s="19"/>
      <c r="M91" s="19">
        <v>350000</v>
      </c>
      <c r="N91" s="16">
        <f t="shared" si="6"/>
        <v>350</v>
      </c>
    </row>
    <row r="92" spans="1:14" s="37" customFormat="1" ht="63" customHeight="1">
      <c r="A92" s="35"/>
      <c r="B92" s="35"/>
      <c r="C92" s="35"/>
      <c r="D92" s="36" t="s">
        <v>338</v>
      </c>
      <c r="E92" s="36" t="s">
        <v>338</v>
      </c>
      <c r="F92" s="36"/>
      <c r="G92" s="32">
        <f t="shared" si="4"/>
        <v>0</v>
      </c>
      <c r="H92" s="36"/>
      <c r="I92" s="36"/>
      <c r="J92" s="32">
        <f t="shared" si="5"/>
        <v>0</v>
      </c>
      <c r="K92" s="19">
        <v>1337344</v>
      </c>
      <c r="L92" s="19"/>
      <c r="M92" s="19">
        <f>L92+K92</f>
        <v>1337344</v>
      </c>
      <c r="N92" s="16">
        <f t="shared" si="6"/>
        <v>1337.3</v>
      </c>
    </row>
    <row r="93" spans="1:14" s="37" customFormat="1" ht="51" customHeight="1">
      <c r="A93" s="35"/>
      <c r="B93" s="35"/>
      <c r="C93" s="35"/>
      <c r="D93" s="36" t="s">
        <v>308</v>
      </c>
      <c r="E93" s="36" t="s">
        <v>308</v>
      </c>
      <c r="F93" s="36"/>
      <c r="G93" s="32">
        <f t="shared" si="4"/>
        <v>0</v>
      </c>
      <c r="H93" s="36"/>
      <c r="I93" s="36"/>
      <c r="J93" s="32">
        <f t="shared" si="5"/>
        <v>0</v>
      </c>
      <c r="K93" s="19">
        <v>1300000</v>
      </c>
      <c r="L93" s="19"/>
      <c r="M93" s="19">
        <f>L93+K93</f>
        <v>1300000</v>
      </c>
      <c r="N93" s="16">
        <f t="shared" si="6"/>
        <v>1300</v>
      </c>
    </row>
    <row r="94" spans="1:14" s="37" customFormat="1" ht="51" customHeight="1">
      <c r="A94" s="35"/>
      <c r="B94" s="35"/>
      <c r="C94" s="35"/>
      <c r="D94" s="51" t="s">
        <v>336</v>
      </c>
      <c r="E94" s="51" t="s">
        <v>336</v>
      </c>
      <c r="F94" s="36"/>
      <c r="G94" s="32">
        <f t="shared" si="4"/>
        <v>0</v>
      </c>
      <c r="H94" s="36"/>
      <c r="I94" s="36"/>
      <c r="J94" s="32">
        <f t="shared" si="5"/>
        <v>0</v>
      </c>
      <c r="K94" s="19">
        <v>1980000</v>
      </c>
      <c r="L94" s="19"/>
      <c r="M94" s="19">
        <f>L94+K94</f>
        <v>1980000</v>
      </c>
      <c r="N94" s="16">
        <f t="shared" si="6"/>
        <v>1980</v>
      </c>
    </row>
    <row r="95" spans="1:14" s="37" customFormat="1" ht="27" customHeight="1">
      <c r="A95" s="35"/>
      <c r="B95" s="35"/>
      <c r="C95" s="35"/>
      <c r="D95" s="60" t="s">
        <v>187</v>
      </c>
      <c r="E95" s="60" t="s">
        <v>187</v>
      </c>
      <c r="F95" s="36"/>
      <c r="G95" s="32">
        <f t="shared" si="4"/>
        <v>0</v>
      </c>
      <c r="H95" s="36"/>
      <c r="I95" s="36"/>
      <c r="J95" s="32">
        <f t="shared" si="5"/>
        <v>0</v>
      </c>
      <c r="K95" s="33">
        <f>SUM(K96:K107)</f>
        <v>795000</v>
      </c>
      <c r="L95" s="33">
        <f>SUM(L96:L107)</f>
        <v>0</v>
      </c>
      <c r="M95" s="33">
        <f>SUM(M96:M107)</f>
        <v>795000</v>
      </c>
      <c r="N95" s="8">
        <f>SUM(N96:N107)</f>
        <v>795</v>
      </c>
    </row>
    <row r="96" spans="1:14" s="37" customFormat="1" ht="42" customHeight="1">
      <c r="A96" s="35"/>
      <c r="B96" s="35"/>
      <c r="C96" s="35"/>
      <c r="D96" s="36" t="s">
        <v>377</v>
      </c>
      <c r="E96" s="36" t="s">
        <v>194</v>
      </c>
      <c r="F96" s="36"/>
      <c r="G96" s="32">
        <f t="shared" si="4"/>
        <v>0</v>
      </c>
      <c r="H96" s="36"/>
      <c r="I96" s="36"/>
      <c r="J96" s="32">
        <f t="shared" si="5"/>
        <v>0</v>
      </c>
      <c r="K96" s="19">
        <v>50000</v>
      </c>
      <c r="L96" s="19"/>
      <c r="M96" s="19">
        <f aca="true" t="shared" si="7" ref="M96:M106">L96+K96</f>
        <v>50000</v>
      </c>
      <c r="N96" s="16">
        <f t="shared" si="6"/>
        <v>50</v>
      </c>
    </row>
    <row r="97" spans="1:14" s="37" customFormat="1" ht="30" customHeight="1">
      <c r="A97" s="35"/>
      <c r="B97" s="35"/>
      <c r="C97" s="35"/>
      <c r="D97" s="36" t="s">
        <v>378</v>
      </c>
      <c r="E97" s="36" t="s">
        <v>191</v>
      </c>
      <c r="F97" s="36"/>
      <c r="G97" s="32">
        <f t="shared" si="4"/>
        <v>0</v>
      </c>
      <c r="H97" s="36"/>
      <c r="I97" s="36"/>
      <c r="J97" s="32">
        <f t="shared" si="5"/>
        <v>0</v>
      </c>
      <c r="K97" s="19">
        <v>50000</v>
      </c>
      <c r="L97" s="19"/>
      <c r="M97" s="19">
        <f t="shared" si="7"/>
        <v>50000</v>
      </c>
      <c r="N97" s="16">
        <f t="shared" si="6"/>
        <v>50</v>
      </c>
    </row>
    <row r="98" spans="1:14" s="37" customFormat="1" ht="34.5" customHeight="1">
      <c r="A98" s="35"/>
      <c r="B98" s="35"/>
      <c r="C98" s="35"/>
      <c r="D98" s="36" t="s">
        <v>379</v>
      </c>
      <c r="E98" s="36" t="s">
        <v>188</v>
      </c>
      <c r="F98" s="36"/>
      <c r="G98" s="32">
        <f t="shared" si="4"/>
        <v>0</v>
      </c>
      <c r="H98" s="36"/>
      <c r="I98" s="36"/>
      <c r="J98" s="32">
        <f t="shared" si="5"/>
        <v>0</v>
      </c>
      <c r="K98" s="19">
        <v>50000</v>
      </c>
      <c r="L98" s="19"/>
      <c r="M98" s="19">
        <f t="shared" si="7"/>
        <v>50000</v>
      </c>
      <c r="N98" s="16">
        <f t="shared" si="6"/>
        <v>50</v>
      </c>
    </row>
    <row r="99" spans="1:14" s="37" customFormat="1" ht="36" customHeight="1">
      <c r="A99" s="35"/>
      <c r="B99" s="35"/>
      <c r="C99" s="35"/>
      <c r="D99" s="36" t="s">
        <v>380</v>
      </c>
      <c r="E99" s="36" t="s">
        <v>195</v>
      </c>
      <c r="F99" s="36"/>
      <c r="G99" s="32">
        <f t="shared" si="4"/>
        <v>0</v>
      </c>
      <c r="H99" s="36"/>
      <c r="I99" s="36"/>
      <c r="J99" s="32">
        <f t="shared" si="5"/>
        <v>0</v>
      </c>
      <c r="K99" s="19">
        <v>50000</v>
      </c>
      <c r="L99" s="19"/>
      <c r="M99" s="19">
        <f t="shared" si="7"/>
        <v>50000</v>
      </c>
      <c r="N99" s="16">
        <f t="shared" si="6"/>
        <v>50</v>
      </c>
    </row>
    <row r="100" spans="1:14" s="37" customFormat="1" ht="36" customHeight="1">
      <c r="A100" s="35"/>
      <c r="B100" s="35"/>
      <c r="C100" s="35"/>
      <c r="D100" s="36" t="s">
        <v>381</v>
      </c>
      <c r="E100" s="36" t="s">
        <v>190</v>
      </c>
      <c r="F100" s="36"/>
      <c r="G100" s="32">
        <f t="shared" si="4"/>
        <v>0</v>
      </c>
      <c r="H100" s="36"/>
      <c r="I100" s="36"/>
      <c r="J100" s="32">
        <f t="shared" si="5"/>
        <v>0</v>
      </c>
      <c r="K100" s="19">
        <v>50000</v>
      </c>
      <c r="L100" s="19"/>
      <c r="M100" s="19">
        <f t="shared" si="7"/>
        <v>50000</v>
      </c>
      <c r="N100" s="16">
        <f t="shared" si="6"/>
        <v>50</v>
      </c>
    </row>
    <row r="101" spans="1:14" s="37" customFormat="1" ht="35.25" customHeight="1">
      <c r="A101" s="35"/>
      <c r="B101" s="35"/>
      <c r="C101" s="35"/>
      <c r="D101" s="36" t="s">
        <v>382</v>
      </c>
      <c r="E101" s="36" t="s">
        <v>192</v>
      </c>
      <c r="F101" s="36"/>
      <c r="G101" s="32">
        <f t="shared" si="4"/>
        <v>0</v>
      </c>
      <c r="H101" s="36"/>
      <c r="I101" s="36"/>
      <c r="J101" s="32">
        <f t="shared" si="5"/>
        <v>0</v>
      </c>
      <c r="K101" s="19">
        <v>50000</v>
      </c>
      <c r="L101" s="19"/>
      <c r="M101" s="19">
        <f t="shared" si="7"/>
        <v>50000</v>
      </c>
      <c r="N101" s="16">
        <f t="shared" si="6"/>
        <v>50</v>
      </c>
    </row>
    <row r="102" spans="1:14" s="37" customFormat="1" ht="36" customHeight="1">
      <c r="A102" s="35"/>
      <c r="B102" s="35"/>
      <c r="C102" s="35"/>
      <c r="D102" s="36" t="s">
        <v>383</v>
      </c>
      <c r="E102" s="36" t="s">
        <v>193</v>
      </c>
      <c r="F102" s="36"/>
      <c r="G102" s="32">
        <f t="shared" si="4"/>
        <v>0</v>
      </c>
      <c r="H102" s="36"/>
      <c r="I102" s="36"/>
      <c r="J102" s="32">
        <f t="shared" si="5"/>
        <v>0</v>
      </c>
      <c r="K102" s="19">
        <v>50000</v>
      </c>
      <c r="L102" s="19"/>
      <c r="M102" s="19">
        <f t="shared" si="7"/>
        <v>50000</v>
      </c>
      <c r="N102" s="16">
        <f t="shared" si="6"/>
        <v>50</v>
      </c>
    </row>
    <row r="103" spans="1:14" s="37" customFormat="1" ht="34.5" customHeight="1">
      <c r="A103" s="35"/>
      <c r="B103" s="35"/>
      <c r="C103" s="35"/>
      <c r="D103" s="36" t="s">
        <v>384</v>
      </c>
      <c r="E103" s="36" t="s">
        <v>189</v>
      </c>
      <c r="F103" s="36"/>
      <c r="G103" s="32">
        <f t="shared" si="4"/>
        <v>0</v>
      </c>
      <c r="H103" s="36"/>
      <c r="I103" s="36"/>
      <c r="J103" s="32">
        <f t="shared" si="5"/>
        <v>0</v>
      </c>
      <c r="K103" s="19">
        <v>50000</v>
      </c>
      <c r="L103" s="19"/>
      <c r="M103" s="19">
        <f t="shared" si="7"/>
        <v>50000</v>
      </c>
      <c r="N103" s="16">
        <f t="shared" si="6"/>
        <v>50</v>
      </c>
    </row>
    <row r="104" spans="1:14" s="37" customFormat="1" ht="37.5" customHeight="1">
      <c r="A104" s="35"/>
      <c r="B104" s="35"/>
      <c r="C104" s="35"/>
      <c r="D104" s="36" t="s">
        <v>385</v>
      </c>
      <c r="E104" s="36" t="s">
        <v>330</v>
      </c>
      <c r="F104" s="36"/>
      <c r="G104" s="32">
        <f t="shared" si="4"/>
        <v>0</v>
      </c>
      <c r="H104" s="36"/>
      <c r="I104" s="36"/>
      <c r="J104" s="32">
        <f t="shared" si="5"/>
        <v>0</v>
      </c>
      <c r="K104" s="19">
        <v>33000</v>
      </c>
      <c r="L104" s="19"/>
      <c r="M104" s="19">
        <f t="shared" si="7"/>
        <v>33000</v>
      </c>
      <c r="N104" s="16">
        <f t="shared" si="6"/>
        <v>33</v>
      </c>
    </row>
    <row r="105" spans="1:14" s="37" customFormat="1" ht="33" customHeight="1">
      <c r="A105" s="35"/>
      <c r="B105" s="35"/>
      <c r="C105" s="35"/>
      <c r="D105" s="36" t="s">
        <v>386</v>
      </c>
      <c r="E105" s="36" t="s">
        <v>331</v>
      </c>
      <c r="F105" s="36"/>
      <c r="G105" s="32">
        <f t="shared" si="4"/>
        <v>0</v>
      </c>
      <c r="H105" s="36"/>
      <c r="I105" s="36"/>
      <c r="J105" s="32">
        <f t="shared" si="5"/>
        <v>0</v>
      </c>
      <c r="K105" s="19">
        <v>33000</v>
      </c>
      <c r="L105" s="19"/>
      <c r="M105" s="19">
        <f t="shared" si="7"/>
        <v>33000</v>
      </c>
      <c r="N105" s="16">
        <f t="shared" si="6"/>
        <v>33</v>
      </c>
    </row>
    <row r="106" spans="1:14" s="37" customFormat="1" ht="33" customHeight="1">
      <c r="A106" s="35"/>
      <c r="B106" s="35"/>
      <c r="C106" s="35"/>
      <c r="D106" s="36" t="s">
        <v>387</v>
      </c>
      <c r="E106" s="36" t="s">
        <v>332</v>
      </c>
      <c r="F106" s="36"/>
      <c r="G106" s="32">
        <f t="shared" si="4"/>
        <v>0</v>
      </c>
      <c r="H106" s="36"/>
      <c r="I106" s="36"/>
      <c r="J106" s="32">
        <f t="shared" si="5"/>
        <v>0</v>
      </c>
      <c r="K106" s="19">
        <v>34000</v>
      </c>
      <c r="L106" s="19"/>
      <c r="M106" s="19">
        <f t="shared" si="7"/>
        <v>34000</v>
      </c>
      <c r="N106" s="16">
        <f t="shared" si="6"/>
        <v>34</v>
      </c>
    </row>
    <row r="107" spans="1:14" s="37" customFormat="1" ht="56.25" customHeight="1">
      <c r="A107" s="35"/>
      <c r="B107" s="35"/>
      <c r="C107" s="35"/>
      <c r="D107" s="36" t="s">
        <v>309</v>
      </c>
      <c r="E107" s="36" t="s">
        <v>309</v>
      </c>
      <c r="F107" s="36"/>
      <c r="G107" s="32">
        <f t="shared" si="4"/>
        <v>0</v>
      </c>
      <c r="H107" s="36"/>
      <c r="I107" s="36"/>
      <c r="J107" s="32">
        <f t="shared" si="5"/>
        <v>0</v>
      </c>
      <c r="K107" s="19">
        <v>295000</v>
      </c>
      <c r="L107" s="19"/>
      <c r="M107" s="19">
        <f>L107+K107</f>
        <v>295000</v>
      </c>
      <c r="N107" s="16">
        <f t="shared" si="6"/>
        <v>295</v>
      </c>
    </row>
    <row r="108" spans="1:14" s="37" customFormat="1" ht="29.25" customHeight="1">
      <c r="A108" s="35"/>
      <c r="B108" s="35"/>
      <c r="C108" s="35"/>
      <c r="D108" s="3" t="s">
        <v>223</v>
      </c>
      <c r="E108" s="3" t="s">
        <v>223</v>
      </c>
      <c r="F108" s="36"/>
      <c r="G108" s="32">
        <f t="shared" si="4"/>
        <v>0</v>
      </c>
      <c r="H108" s="36"/>
      <c r="I108" s="36"/>
      <c r="J108" s="32">
        <f t="shared" si="5"/>
        <v>0</v>
      </c>
      <c r="K108" s="33">
        <f>SUM(K109:K117)</f>
        <v>19156850.13</v>
      </c>
      <c r="L108" s="33">
        <f>SUM(L109:L117)</f>
        <v>0</v>
      </c>
      <c r="M108" s="33">
        <f>SUM(M109:M117)</f>
        <v>19156850.13</v>
      </c>
      <c r="N108" s="8">
        <f>SUM(N109:N117)</f>
        <v>19176.9</v>
      </c>
    </row>
    <row r="109" spans="1:14" s="37" customFormat="1" ht="52.5" customHeight="1">
      <c r="A109" s="35"/>
      <c r="B109" s="35"/>
      <c r="C109" s="35"/>
      <c r="D109" s="36" t="s">
        <v>185</v>
      </c>
      <c r="E109" s="36" t="s">
        <v>185</v>
      </c>
      <c r="F109" s="36"/>
      <c r="G109" s="32">
        <f t="shared" si="4"/>
        <v>0</v>
      </c>
      <c r="H109" s="36"/>
      <c r="I109" s="36"/>
      <c r="J109" s="32">
        <f t="shared" si="5"/>
        <v>0</v>
      </c>
      <c r="K109" s="19">
        <v>250000</v>
      </c>
      <c r="L109" s="19"/>
      <c r="M109" s="19">
        <f aca="true" t="shared" si="8" ref="M109:M117">L109+K109</f>
        <v>250000</v>
      </c>
      <c r="N109" s="16">
        <f t="shared" si="6"/>
        <v>250</v>
      </c>
    </row>
    <row r="110" spans="1:14" s="37" customFormat="1" ht="69" customHeight="1">
      <c r="A110" s="35"/>
      <c r="B110" s="35"/>
      <c r="C110" s="35"/>
      <c r="D110" s="36" t="s">
        <v>319</v>
      </c>
      <c r="E110" s="36" t="s">
        <v>319</v>
      </c>
      <c r="F110" s="36"/>
      <c r="G110" s="32">
        <f t="shared" si="4"/>
        <v>0</v>
      </c>
      <c r="H110" s="36"/>
      <c r="I110" s="36"/>
      <c r="J110" s="32">
        <f t="shared" si="5"/>
        <v>0</v>
      </c>
      <c r="K110" s="19">
        <v>250000</v>
      </c>
      <c r="L110" s="19"/>
      <c r="M110" s="19">
        <f t="shared" si="8"/>
        <v>250000</v>
      </c>
      <c r="N110" s="16">
        <f t="shared" si="6"/>
        <v>250</v>
      </c>
    </row>
    <row r="111" spans="1:14" s="37" customFormat="1" ht="52.5" customHeight="1">
      <c r="A111" s="35"/>
      <c r="B111" s="35"/>
      <c r="C111" s="35"/>
      <c r="D111" s="36" t="s">
        <v>320</v>
      </c>
      <c r="E111" s="36" t="s">
        <v>320</v>
      </c>
      <c r="F111" s="36"/>
      <c r="G111" s="32">
        <f t="shared" si="4"/>
        <v>0</v>
      </c>
      <c r="H111" s="36"/>
      <c r="I111" s="36"/>
      <c r="J111" s="32">
        <f t="shared" si="5"/>
        <v>0</v>
      </c>
      <c r="K111" s="19">
        <v>240000</v>
      </c>
      <c r="L111" s="19"/>
      <c r="M111" s="19">
        <f t="shared" si="8"/>
        <v>240000</v>
      </c>
      <c r="N111" s="16">
        <f t="shared" si="6"/>
        <v>240</v>
      </c>
    </row>
    <row r="112" spans="1:14" s="37" customFormat="1" ht="48" customHeight="1">
      <c r="A112" s="35"/>
      <c r="B112" s="35"/>
      <c r="C112" s="35"/>
      <c r="D112" s="36" t="s">
        <v>321</v>
      </c>
      <c r="E112" s="36" t="s">
        <v>321</v>
      </c>
      <c r="F112" s="36"/>
      <c r="G112" s="32">
        <f t="shared" si="4"/>
        <v>0</v>
      </c>
      <c r="H112" s="36"/>
      <c r="I112" s="36"/>
      <c r="J112" s="32">
        <f t="shared" si="5"/>
        <v>0</v>
      </c>
      <c r="K112" s="19">
        <v>240000</v>
      </c>
      <c r="L112" s="19"/>
      <c r="M112" s="19">
        <f t="shared" si="8"/>
        <v>240000</v>
      </c>
      <c r="N112" s="16">
        <f t="shared" si="6"/>
        <v>240</v>
      </c>
    </row>
    <row r="113" spans="1:14" s="122" customFormat="1" ht="48" customHeight="1">
      <c r="A113" s="35"/>
      <c r="B113" s="35"/>
      <c r="C113" s="35"/>
      <c r="D113" s="36" t="s">
        <v>414</v>
      </c>
      <c r="E113" s="36"/>
      <c r="F113" s="36"/>
      <c r="G113" s="32"/>
      <c r="H113" s="36"/>
      <c r="I113" s="36"/>
      <c r="J113" s="32"/>
      <c r="K113" s="19"/>
      <c r="L113" s="19"/>
      <c r="M113" s="19"/>
      <c r="N113" s="16">
        <v>20</v>
      </c>
    </row>
    <row r="114" spans="1:14" s="37" customFormat="1" ht="78" customHeight="1">
      <c r="A114" s="35"/>
      <c r="B114" s="35"/>
      <c r="C114" s="35"/>
      <c r="D114" s="36" t="s">
        <v>339</v>
      </c>
      <c r="E114" s="36" t="s">
        <v>339</v>
      </c>
      <c r="F114" s="36"/>
      <c r="G114" s="32">
        <f t="shared" si="4"/>
        <v>0</v>
      </c>
      <c r="H114" s="36"/>
      <c r="I114" s="36"/>
      <c r="J114" s="32">
        <f t="shared" si="5"/>
        <v>0</v>
      </c>
      <c r="K114" s="19">
        <v>20000</v>
      </c>
      <c r="L114" s="19"/>
      <c r="M114" s="19">
        <f t="shared" si="8"/>
        <v>20000</v>
      </c>
      <c r="N114" s="16">
        <f t="shared" si="6"/>
        <v>20</v>
      </c>
    </row>
    <row r="115" spans="1:14" s="37" customFormat="1" ht="55.5" customHeight="1">
      <c r="A115" s="35"/>
      <c r="B115" s="35"/>
      <c r="C115" s="35"/>
      <c r="D115" s="36" t="s">
        <v>388</v>
      </c>
      <c r="E115" s="36" t="s">
        <v>340</v>
      </c>
      <c r="F115" s="36"/>
      <c r="G115" s="32">
        <f t="shared" si="4"/>
        <v>0</v>
      </c>
      <c r="H115" s="36"/>
      <c r="I115" s="36"/>
      <c r="J115" s="32">
        <f t="shared" si="5"/>
        <v>0</v>
      </c>
      <c r="K115" s="19">
        <f>2000000+13000000</f>
        <v>15000000</v>
      </c>
      <c r="L115" s="19"/>
      <c r="M115" s="19">
        <f t="shared" si="8"/>
        <v>15000000</v>
      </c>
      <c r="N115" s="16">
        <f t="shared" si="6"/>
        <v>15000</v>
      </c>
    </row>
    <row r="116" spans="1:14" s="37" customFormat="1" ht="57" customHeight="1">
      <c r="A116" s="35"/>
      <c r="B116" s="35"/>
      <c r="C116" s="35"/>
      <c r="D116" s="36" t="s">
        <v>280</v>
      </c>
      <c r="E116" s="36" t="s">
        <v>280</v>
      </c>
      <c r="F116" s="36"/>
      <c r="G116" s="32">
        <f t="shared" si="4"/>
        <v>0</v>
      </c>
      <c r="H116" s="36"/>
      <c r="I116" s="36"/>
      <c r="J116" s="32">
        <f t="shared" si="5"/>
        <v>0</v>
      </c>
      <c r="K116" s="19">
        <v>2887850.13</v>
      </c>
      <c r="L116" s="19"/>
      <c r="M116" s="19">
        <f t="shared" si="8"/>
        <v>2887850.13</v>
      </c>
      <c r="N116" s="16">
        <f t="shared" si="6"/>
        <v>2887.9</v>
      </c>
    </row>
    <row r="117" spans="1:14" s="37" customFormat="1" ht="51" customHeight="1">
      <c r="A117" s="35"/>
      <c r="B117" s="35"/>
      <c r="C117" s="35"/>
      <c r="D117" s="36" t="s">
        <v>329</v>
      </c>
      <c r="E117" s="36" t="s">
        <v>329</v>
      </c>
      <c r="F117" s="36"/>
      <c r="G117" s="32">
        <f t="shared" si="4"/>
        <v>0</v>
      </c>
      <c r="H117" s="36"/>
      <c r="I117" s="36"/>
      <c r="J117" s="32">
        <f t="shared" si="5"/>
        <v>0</v>
      </c>
      <c r="K117" s="19">
        <v>269000</v>
      </c>
      <c r="L117" s="19"/>
      <c r="M117" s="19">
        <f t="shared" si="8"/>
        <v>269000</v>
      </c>
      <c r="N117" s="16">
        <f t="shared" si="6"/>
        <v>269</v>
      </c>
    </row>
    <row r="118" spans="1:14" s="37" customFormat="1" ht="49.5" customHeight="1">
      <c r="A118" s="35" t="s">
        <v>137</v>
      </c>
      <c r="B118" s="35" t="s">
        <v>138</v>
      </c>
      <c r="C118" s="35" t="s">
        <v>52</v>
      </c>
      <c r="D118" s="3" t="s">
        <v>399</v>
      </c>
      <c r="E118" s="36"/>
      <c r="F118" s="36"/>
      <c r="G118" s="32">
        <f t="shared" si="4"/>
        <v>0</v>
      </c>
      <c r="H118" s="36"/>
      <c r="I118" s="36"/>
      <c r="J118" s="32">
        <f t="shared" si="5"/>
        <v>0</v>
      </c>
      <c r="K118" s="33">
        <f>K119+K124</f>
        <v>6426800</v>
      </c>
      <c r="L118" s="33">
        <f>L119+L124</f>
        <v>0</v>
      </c>
      <c r="M118" s="33">
        <f>M119+M124</f>
        <v>6426800</v>
      </c>
      <c r="N118" s="8">
        <f>N119+N124</f>
        <v>6426.8</v>
      </c>
    </row>
    <row r="119" spans="1:14" s="37" customFormat="1" ht="28.5" customHeight="1">
      <c r="A119" s="35"/>
      <c r="B119" s="35"/>
      <c r="C119" s="35"/>
      <c r="D119" s="60" t="s">
        <v>143</v>
      </c>
      <c r="E119" s="60" t="s">
        <v>143</v>
      </c>
      <c r="F119" s="36"/>
      <c r="G119" s="32">
        <f t="shared" si="4"/>
        <v>0</v>
      </c>
      <c r="H119" s="36"/>
      <c r="I119" s="36"/>
      <c r="J119" s="32">
        <f t="shared" si="5"/>
        <v>0</v>
      </c>
      <c r="K119" s="33">
        <f>K120+K121+K122+K123</f>
        <v>5076800</v>
      </c>
      <c r="L119" s="33">
        <f>L120+L121+L122+L123</f>
        <v>0</v>
      </c>
      <c r="M119" s="33">
        <f>M120+M121+M122+M123</f>
        <v>5076800</v>
      </c>
      <c r="N119" s="8">
        <f>N120+N121+N122+N123</f>
        <v>5076.8</v>
      </c>
    </row>
    <row r="120" spans="1:14" s="37" customFormat="1" ht="44.25" customHeight="1">
      <c r="A120" s="35"/>
      <c r="B120" s="35"/>
      <c r="C120" s="35"/>
      <c r="D120" s="36" t="s">
        <v>389</v>
      </c>
      <c r="E120" s="36" t="s">
        <v>219</v>
      </c>
      <c r="F120" s="36"/>
      <c r="G120" s="32">
        <f t="shared" si="4"/>
        <v>0</v>
      </c>
      <c r="H120" s="36"/>
      <c r="I120" s="36"/>
      <c r="J120" s="32">
        <f t="shared" si="5"/>
        <v>0</v>
      </c>
      <c r="K120" s="19">
        <v>1000000</v>
      </c>
      <c r="L120" s="19"/>
      <c r="M120" s="19">
        <f>L120+K120</f>
        <v>1000000</v>
      </c>
      <c r="N120" s="16">
        <f t="shared" si="6"/>
        <v>1000</v>
      </c>
    </row>
    <row r="121" spans="1:14" s="37" customFormat="1" ht="24.75" customHeight="1">
      <c r="A121" s="35"/>
      <c r="B121" s="35"/>
      <c r="C121" s="35"/>
      <c r="D121" s="36" t="s">
        <v>390</v>
      </c>
      <c r="E121" s="36" t="s">
        <v>222</v>
      </c>
      <c r="F121" s="36"/>
      <c r="G121" s="32">
        <f t="shared" si="4"/>
        <v>0</v>
      </c>
      <c r="H121" s="36"/>
      <c r="I121" s="36"/>
      <c r="J121" s="32">
        <f t="shared" si="5"/>
        <v>0</v>
      </c>
      <c r="K121" s="19">
        <v>3000000</v>
      </c>
      <c r="L121" s="19"/>
      <c r="M121" s="19">
        <f>L121+K121</f>
        <v>3000000</v>
      </c>
      <c r="N121" s="16">
        <f t="shared" si="6"/>
        <v>3000</v>
      </c>
    </row>
    <row r="122" spans="1:14" s="37" customFormat="1" ht="27.75" customHeight="1">
      <c r="A122" s="35"/>
      <c r="B122" s="35"/>
      <c r="C122" s="35"/>
      <c r="D122" s="36" t="s">
        <v>231</v>
      </c>
      <c r="E122" s="36" t="s">
        <v>231</v>
      </c>
      <c r="F122" s="36"/>
      <c r="G122" s="32">
        <f t="shared" si="4"/>
        <v>0</v>
      </c>
      <c r="H122" s="36"/>
      <c r="I122" s="36"/>
      <c r="J122" s="32">
        <f t="shared" si="5"/>
        <v>0</v>
      </c>
      <c r="K122" s="19">
        <v>376800</v>
      </c>
      <c r="L122" s="19"/>
      <c r="M122" s="19">
        <f>L122+K122</f>
        <v>376800</v>
      </c>
      <c r="N122" s="16">
        <f t="shared" si="6"/>
        <v>376.8</v>
      </c>
    </row>
    <row r="123" spans="1:14" s="37" customFormat="1" ht="75" customHeight="1">
      <c r="A123" s="35"/>
      <c r="B123" s="35"/>
      <c r="C123" s="35"/>
      <c r="D123" s="36" t="s">
        <v>337</v>
      </c>
      <c r="E123" s="36" t="s">
        <v>337</v>
      </c>
      <c r="F123" s="36"/>
      <c r="G123" s="32">
        <f t="shared" si="4"/>
        <v>0</v>
      </c>
      <c r="H123" s="36"/>
      <c r="I123" s="36"/>
      <c r="J123" s="32">
        <f t="shared" si="5"/>
        <v>0</v>
      </c>
      <c r="K123" s="19">
        <v>700000</v>
      </c>
      <c r="L123" s="19"/>
      <c r="M123" s="19">
        <f>L123+K123</f>
        <v>700000</v>
      </c>
      <c r="N123" s="16">
        <f t="shared" si="6"/>
        <v>700</v>
      </c>
    </row>
    <row r="124" spans="1:14" s="37" customFormat="1" ht="36" customHeight="1">
      <c r="A124" s="35"/>
      <c r="B124" s="35"/>
      <c r="C124" s="35"/>
      <c r="D124" s="3" t="s">
        <v>147</v>
      </c>
      <c r="E124" s="3" t="s">
        <v>147</v>
      </c>
      <c r="F124" s="36"/>
      <c r="G124" s="32">
        <f t="shared" si="4"/>
        <v>0</v>
      </c>
      <c r="H124" s="36"/>
      <c r="I124" s="36"/>
      <c r="J124" s="32">
        <f t="shared" si="5"/>
        <v>0</v>
      </c>
      <c r="K124" s="33">
        <f>K125+K126</f>
        <v>1350000</v>
      </c>
      <c r="L124" s="33">
        <f>L125+L126</f>
        <v>0</v>
      </c>
      <c r="M124" s="33">
        <f>M125+M126</f>
        <v>1350000</v>
      </c>
      <c r="N124" s="8">
        <f>N125+N126</f>
        <v>1350</v>
      </c>
    </row>
    <row r="125" spans="1:14" s="37" customFormat="1" ht="60" customHeight="1">
      <c r="A125" s="35"/>
      <c r="B125" s="35"/>
      <c r="C125" s="35"/>
      <c r="D125" s="36" t="s">
        <v>220</v>
      </c>
      <c r="E125" s="36" t="s">
        <v>220</v>
      </c>
      <c r="F125" s="36"/>
      <c r="G125" s="32">
        <f t="shared" si="4"/>
        <v>0</v>
      </c>
      <c r="H125" s="36"/>
      <c r="I125" s="36"/>
      <c r="J125" s="32">
        <f t="shared" si="5"/>
        <v>0</v>
      </c>
      <c r="K125" s="19">
        <v>1100000</v>
      </c>
      <c r="L125" s="19"/>
      <c r="M125" s="19">
        <f>L125+K125</f>
        <v>1100000</v>
      </c>
      <c r="N125" s="16">
        <f t="shared" si="6"/>
        <v>1100</v>
      </c>
    </row>
    <row r="126" spans="1:14" s="37" customFormat="1" ht="28.5" customHeight="1">
      <c r="A126" s="35"/>
      <c r="B126" s="35"/>
      <c r="C126" s="35"/>
      <c r="D126" s="36" t="s">
        <v>221</v>
      </c>
      <c r="E126" s="36" t="s">
        <v>221</v>
      </c>
      <c r="F126" s="36"/>
      <c r="G126" s="32">
        <f t="shared" si="4"/>
        <v>0</v>
      </c>
      <c r="H126" s="36"/>
      <c r="I126" s="36"/>
      <c r="J126" s="32">
        <f t="shared" si="5"/>
        <v>0</v>
      </c>
      <c r="K126" s="19">
        <v>250000</v>
      </c>
      <c r="L126" s="19"/>
      <c r="M126" s="19">
        <f>L126+K126</f>
        <v>250000</v>
      </c>
      <c r="N126" s="16">
        <f t="shared" si="6"/>
        <v>250</v>
      </c>
    </row>
    <row r="127" spans="1:14" s="34" customFormat="1" ht="39" customHeight="1">
      <c r="A127" s="30" t="s">
        <v>111</v>
      </c>
      <c r="B127" s="30" t="s">
        <v>69</v>
      </c>
      <c r="C127" s="30" t="s">
        <v>52</v>
      </c>
      <c r="D127" s="31" t="s">
        <v>391</v>
      </c>
      <c r="E127" s="31"/>
      <c r="F127" s="61"/>
      <c r="G127" s="32">
        <f t="shared" si="4"/>
        <v>0</v>
      </c>
      <c r="H127" s="61"/>
      <c r="I127" s="61"/>
      <c r="J127" s="32">
        <f t="shared" si="5"/>
        <v>0</v>
      </c>
      <c r="K127" s="33">
        <f>K128+K129</f>
        <v>3200000</v>
      </c>
      <c r="L127" s="33">
        <f>L128+L129</f>
        <v>0</v>
      </c>
      <c r="M127" s="33">
        <f>M128+M129</f>
        <v>3200000</v>
      </c>
      <c r="N127" s="8">
        <f>N128+N129</f>
        <v>3200</v>
      </c>
    </row>
    <row r="128" spans="1:14" s="44" customFormat="1" ht="37.5" customHeight="1">
      <c r="A128" s="38"/>
      <c r="B128" s="38"/>
      <c r="C128" s="38"/>
      <c r="D128" s="49" t="s">
        <v>179</v>
      </c>
      <c r="E128" s="49" t="s">
        <v>179</v>
      </c>
      <c r="F128" s="59"/>
      <c r="G128" s="32">
        <f t="shared" si="4"/>
        <v>0</v>
      </c>
      <c r="H128" s="59"/>
      <c r="I128" s="59"/>
      <c r="J128" s="32">
        <f t="shared" si="5"/>
        <v>0</v>
      </c>
      <c r="K128" s="18">
        <v>1200000</v>
      </c>
      <c r="L128" s="18"/>
      <c r="M128" s="18">
        <f>L128+K128</f>
        <v>1200000</v>
      </c>
      <c r="N128" s="7">
        <f t="shared" si="6"/>
        <v>1200</v>
      </c>
    </row>
    <row r="129" spans="1:14" s="44" customFormat="1" ht="40.5" customHeight="1">
      <c r="A129" s="38"/>
      <c r="B129" s="38"/>
      <c r="C129" s="38"/>
      <c r="D129" s="49" t="s">
        <v>197</v>
      </c>
      <c r="E129" s="49" t="s">
        <v>197</v>
      </c>
      <c r="F129" s="59"/>
      <c r="G129" s="32">
        <f t="shared" si="4"/>
        <v>0</v>
      </c>
      <c r="H129" s="59"/>
      <c r="I129" s="59"/>
      <c r="J129" s="32">
        <f t="shared" si="5"/>
        <v>0</v>
      </c>
      <c r="K129" s="18">
        <f>2000000</f>
        <v>2000000</v>
      </c>
      <c r="L129" s="18">
        <f>1000000-1000000</f>
        <v>0</v>
      </c>
      <c r="M129" s="18">
        <f>L129+K129</f>
        <v>2000000</v>
      </c>
      <c r="N129" s="7">
        <f t="shared" si="6"/>
        <v>2000</v>
      </c>
    </row>
    <row r="130" spans="1:14" s="37" customFormat="1" ht="34.5" customHeight="1">
      <c r="A130" s="35" t="s">
        <v>274</v>
      </c>
      <c r="B130" s="35" t="s">
        <v>272</v>
      </c>
      <c r="C130" s="35"/>
      <c r="D130" s="50" t="s">
        <v>368</v>
      </c>
      <c r="E130" s="50"/>
      <c r="F130" s="47"/>
      <c r="G130" s="32">
        <f t="shared" si="4"/>
        <v>0</v>
      </c>
      <c r="H130" s="47"/>
      <c r="I130" s="47"/>
      <c r="J130" s="32">
        <f t="shared" si="5"/>
        <v>0</v>
      </c>
      <c r="K130" s="52">
        <f>SUM(K133)+K131</f>
        <v>1220892.46</v>
      </c>
      <c r="L130" s="52">
        <f>SUM(L133)+L131</f>
        <v>0</v>
      </c>
      <c r="M130" s="52">
        <f>SUM(M133)+M131</f>
        <v>1220892.46</v>
      </c>
      <c r="N130" s="17">
        <f>SUM(N133)+N131</f>
        <v>1220.9</v>
      </c>
    </row>
    <row r="131" spans="1:14" s="37" customFormat="1" ht="57" customHeight="1">
      <c r="A131" s="46" t="s">
        <v>281</v>
      </c>
      <c r="B131" s="46" t="s">
        <v>282</v>
      </c>
      <c r="C131" s="38" t="s">
        <v>47</v>
      </c>
      <c r="D131" s="39" t="s">
        <v>392</v>
      </c>
      <c r="E131" s="49"/>
      <c r="F131" s="47"/>
      <c r="G131" s="32">
        <f t="shared" si="4"/>
        <v>0</v>
      </c>
      <c r="H131" s="47"/>
      <c r="I131" s="47"/>
      <c r="J131" s="32">
        <f t="shared" si="5"/>
        <v>0</v>
      </c>
      <c r="K131" s="54">
        <f>K132</f>
        <v>426739</v>
      </c>
      <c r="L131" s="54"/>
      <c r="M131" s="54">
        <f>L131+K131</f>
        <v>426739</v>
      </c>
      <c r="N131" s="7">
        <f t="shared" si="6"/>
        <v>426.7</v>
      </c>
    </row>
    <row r="132" spans="1:14" s="37" customFormat="1" ht="78" customHeight="1">
      <c r="A132" s="46"/>
      <c r="B132" s="46"/>
      <c r="C132" s="35"/>
      <c r="D132" s="50" t="s">
        <v>283</v>
      </c>
      <c r="E132" s="50" t="s">
        <v>283</v>
      </c>
      <c r="F132" s="47"/>
      <c r="G132" s="32">
        <f t="shared" si="4"/>
        <v>0</v>
      </c>
      <c r="H132" s="47"/>
      <c r="I132" s="47"/>
      <c r="J132" s="32">
        <f t="shared" si="5"/>
        <v>0</v>
      </c>
      <c r="K132" s="52">
        <v>426739</v>
      </c>
      <c r="L132" s="52"/>
      <c r="M132" s="52">
        <f>L132+K132</f>
        <v>426739</v>
      </c>
      <c r="N132" s="16">
        <f t="shared" si="6"/>
        <v>426.7</v>
      </c>
    </row>
    <row r="133" spans="1:14" s="44" customFormat="1" ht="49.5" customHeight="1">
      <c r="A133" s="38" t="s">
        <v>273</v>
      </c>
      <c r="B133" s="38" t="s">
        <v>279</v>
      </c>
      <c r="C133" s="38" t="s">
        <v>47</v>
      </c>
      <c r="D133" s="49" t="s">
        <v>270</v>
      </c>
      <c r="E133" s="49"/>
      <c r="F133" s="59"/>
      <c r="G133" s="32">
        <f t="shared" si="4"/>
        <v>0</v>
      </c>
      <c r="H133" s="59"/>
      <c r="I133" s="59"/>
      <c r="J133" s="32">
        <f t="shared" si="5"/>
        <v>0</v>
      </c>
      <c r="K133" s="54">
        <v>794153.46</v>
      </c>
      <c r="L133" s="54"/>
      <c r="M133" s="54">
        <f>L133+K133</f>
        <v>794153.46</v>
      </c>
      <c r="N133" s="7">
        <f t="shared" si="6"/>
        <v>794.2</v>
      </c>
    </row>
    <row r="134" spans="1:14" s="37" customFormat="1" ht="27.75" customHeight="1">
      <c r="A134" s="35" t="s">
        <v>112</v>
      </c>
      <c r="B134" s="55">
        <v>9770</v>
      </c>
      <c r="C134" s="35" t="s">
        <v>25</v>
      </c>
      <c r="D134" s="50" t="s">
        <v>215</v>
      </c>
      <c r="E134" s="50"/>
      <c r="F134" s="50"/>
      <c r="G134" s="32">
        <f t="shared" si="4"/>
        <v>0</v>
      </c>
      <c r="H134" s="50"/>
      <c r="I134" s="50"/>
      <c r="J134" s="32">
        <f t="shared" si="5"/>
        <v>0</v>
      </c>
      <c r="K134" s="19">
        <v>1220000</v>
      </c>
      <c r="L134" s="19"/>
      <c r="M134" s="19">
        <f>L134+K134</f>
        <v>1220000</v>
      </c>
      <c r="N134" s="16">
        <f t="shared" si="6"/>
        <v>1220</v>
      </c>
    </row>
    <row r="135" spans="1:14" s="34" customFormat="1" ht="36" customHeight="1">
      <c r="A135" s="30" t="s">
        <v>57</v>
      </c>
      <c r="B135" s="62"/>
      <c r="C135" s="62"/>
      <c r="D135" s="3" t="s">
        <v>19</v>
      </c>
      <c r="E135" s="3"/>
      <c r="F135" s="3"/>
      <c r="G135" s="32">
        <f t="shared" si="4"/>
        <v>0</v>
      </c>
      <c r="H135" s="3"/>
      <c r="I135" s="3"/>
      <c r="J135" s="32">
        <f t="shared" si="5"/>
        <v>0</v>
      </c>
      <c r="K135" s="33">
        <f>K136</f>
        <v>10000</v>
      </c>
      <c r="L135" s="33">
        <f>L136</f>
        <v>0</v>
      </c>
      <c r="M135" s="33">
        <f>M136</f>
        <v>10000</v>
      </c>
      <c r="N135" s="8">
        <f>N136</f>
        <v>10</v>
      </c>
    </row>
    <row r="136" spans="1:14" s="37" customFormat="1" ht="54.75" customHeight="1">
      <c r="A136" s="35" t="s">
        <v>0</v>
      </c>
      <c r="B136" s="35" t="s">
        <v>58</v>
      </c>
      <c r="C136" s="35" t="s">
        <v>26</v>
      </c>
      <c r="D136" s="36" t="s">
        <v>59</v>
      </c>
      <c r="E136" s="36"/>
      <c r="F136" s="36"/>
      <c r="G136" s="32">
        <f t="shared" si="4"/>
        <v>0</v>
      </c>
      <c r="H136" s="36"/>
      <c r="I136" s="36"/>
      <c r="J136" s="32">
        <f t="shared" si="5"/>
        <v>0</v>
      </c>
      <c r="K136" s="19">
        <f>20000-10000</f>
        <v>10000</v>
      </c>
      <c r="L136" s="19"/>
      <c r="M136" s="19">
        <f>L136+K136</f>
        <v>10000</v>
      </c>
      <c r="N136" s="16">
        <f t="shared" si="6"/>
        <v>10</v>
      </c>
    </row>
    <row r="137" spans="1:14" s="34" customFormat="1" ht="40.5" customHeight="1">
      <c r="A137" s="30" t="s">
        <v>13</v>
      </c>
      <c r="B137" s="30"/>
      <c r="C137" s="30"/>
      <c r="D137" s="3" t="s">
        <v>18</v>
      </c>
      <c r="E137" s="3"/>
      <c r="F137" s="3"/>
      <c r="G137" s="32">
        <f t="shared" si="4"/>
        <v>0</v>
      </c>
      <c r="H137" s="3"/>
      <c r="I137" s="3"/>
      <c r="J137" s="32">
        <f t="shared" si="5"/>
        <v>0</v>
      </c>
      <c r="K137" s="33" t="e">
        <f>K138+K241+K141+K160+K190+#REF!+K236+K239+K139</f>
        <v>#REF!</v>
      </c>
      <c r="L137" s="33" t="e">
        <f>L138+L241+L141+L160+L190+#REF!+L236+L239+L139</f>
        <v>#REF!</v>
      </c>
      <c r="M137" s="33" t="e">
        <f>M138+M241+M141+M160+M190+#REF!+M236+M239+M139</f>
        <v>#REF!</v>
      </c>
      <c r="N137" s="8">
        <f>N138+N241+N141+N160+N190+N236+N239+N139</f>
        <v>180022</v>
      </c>
    </row>
    <row r="138" spans="1:14" s="37" customFormat="1" ht="36" customHeight="1">
      <c r="A138" s="35" t="s">
        <v>113</v>
      </c>
      <c r="B138" s="35" t="s">
        <v>67</v>
      </c>
      <c r="C138" s="35" t="s">
        <v>41</v>
      </c>
      <c r="D138" s="36" t="s">
        <v>68</v>
      </c>
      <c r="E138" s="36"/>
      <c r="F138" s="36"/>
      <c r="G138" s="32">
        <f t="shared" si="4"/>
        <v>0</v>
      </c>
      <c r="H138" s="36"/>
      <c r="I138" s="36"/>
      <c r="J138" s="32">
        <f t="shared" si="5"/>
        <v>0</v>
      </c>
      <c r="K138" s="19">
        <f>60000000+30000000-3248000+263500</f>
        <v>87015500</v>
      </c>
      <c r="L138" s="19"/>
      <c r="M138" s="19">
        <f>L138+K138</f>
        <v>87015500</v>
      </c>
      <c r="N138" s="16">
        <f t="shared" si="6"/>
        <v>87015.5</v>
      </c>
    </row>
    <row r="139" spans="1:14" s="37" customFormat="1" ht="33.75" customHeight="1">
      <c r="A139" s="35" t="s">
        <v>301</v>
      </c>
      <c r="B139" s="35" t="s">
        <v>306</v>
      </c>
      <c r="C139" s="35"/>
      <c r="D139" s="36" t="s">
        <v>393</v>
      </c>
      <c r="E139" s="36"/>
      <c r="F139" s="36"/>
      <c r="G139" s="32">
        <f t="shared" si="4"/>
        <v>0</v>
      </c>
      <c r="H139" s="36"/>
      <c r="I139" s="36"/>
      <c r="J139" s="32">
        <f t="shared" si="5"/>
        <v>0</v>
      </c>
      <c r="K139" s="19">
        <f>K140</f>
        <v>500000</v>
      </c>
      <c r="L139" s="19">
        <f>L140</f>
        <v>0</v>
      </c>
      <c r="M139" s="19">
        <f>M140</f>
        <v>500000</v>
      </c>
      <c r="N139" s="16">
        <f t="shared" si="6"/>
        <v>500</v>
      </c>
    </row>
    <row r="140" spans="1:14" s="44" customFormat="1" ht="39" customHeight="1">
      <c r="A140" s="38" t="s">
        <v>302</v>
      </c>
      <c r="B140" s="38" t="s">
        <v>305</v>
      </c>
      <c r="C140" s="38" t="s">
        <v>304</v>
      </c>
      <c r="D140" s="39" t="s">
        <v>303</v>
      </c>
      <c r="E140" s="39"/>
      <c r="F140" s="39"/>
      <c r="G140" s="32">
        <f t="shared" si="4"/>
        <v>0</v>
      </c>
      <c r="H140" s="39"/>
      <c r="I140" s="39"/>
      <c r="J140" s="32">
        <f t="shared" si="5"/>
        <v>0</v>
      </c>
      <c r="K140" s="18">
        <v>500000</v>
      </c>
      <c r="L140" s="18"/>
      <c r="M140" s="18">
        <f>L140+K140</f>
        <v>500000</v>
      </c>
      <c r="N140" s="7">
        <f t="shared" si="6"/>
        <v>500</v>
      </c>
    </row>
    <row r="141" spans="1:146" s="34" customFormat="1" ht="28.5" customHeight="1">
      <c r="A141" s="28">
        <v>1517310</v>
      </c>
      <c r="B141" s="35" t="s">
        <v>136</v>
      </c>
      <c r="C141" s="35" t="s">
        <v>52</v>
      </c>
      <c r="D141" s="3" t="s">
        <v>394</v>
      </c>
      <c r="E141" s="3"/>
      <c r="F141" s="63"/>
      <c r="G141" s="32">
        <f t="shared" si="4"/>
        <v>0</v>
      </c>
      <c r="H141" s="63"/>
      <c r="I141" s="63"/>
      <c r="J141" s="32">
        <f t="shared" si="5"/>
        <v>0</v>
      </c>
      <c r="K141" s="33">
        <f>K142+K148</f>
        <v>9951000</v>
      </c>
      <c r="L141" s="33">
        <f>L142+L148</f>
        <v>0</v>
      </c>
      <c r="M141" s="33">
        <f>M142+M148</f>
        <v>9951000</v>
      </c>
      <c r="N141" s="8">
        <f>N142+N148</f>
        <v>9601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</row>
    <row r="142" spans="1:146" s="37" customFormat="1" ht="27.75" customHeight="1">
      <c r="A142" s="65"/>
      <c r="B142" s="66"/>
      <c r="C142" s="66"/>
      <c r="D142" s="60" t="s">
        <v>143</v>
      </c>
      <c r="E142" s="60" t="s">
        <v>143</v>
      </c>
      <c r="F142" s="63"/>
      <c r="G142" s="32">
        <f t="shared" si="4"/>
        <v>0</v>
      </c>
      <c r="H142" s="63"/>
      <c r="I142" s="63"/>
      <c r="J142" s="32">
        <f t="shared" si="5"/>
        <v>0</v>
      </c>
      <c r="K142" s="33">
        <f>SUM(K143:K147)</f>
        <v>5408500</v>
      </c>
      <c r="L142" s="33">
        <f>SUM(L143:L147)</f>
        <v>0</v>
      </c>
      <c r="M142" s="33">
        <f>SUM(M143:M147)</f>
        <v>5408500</v>
      </c>
      <c r="N142" s="8">
        <f>SUM(N143:N147)</f>
        <v>5458.5</v>
      </c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</row>
    <row r="143" spans="1:146" ht="30" customHeight="1">
      <c r="A143" s="65"/>
      <c r="B143" s="65"/>
      <c r="C143" s="65"/>
      <c r="D143" s="47" t="s">
        <v>144</v>
      </c>
      <c r="E143" s="47" t="s">
        <v>144</v>
      </c>
      <c r="F143" s="67">
        <v>9888427</v>
      </c>
      <c r="G143" s="32">
        <f t="shared" si="4"/>
        <v>9888.4</v>
      </c>
      <c r="H143" s="65">
        <v>97.9</v>
      </c>
      <c r="I143" s="67">
        <v>9684425</v>
      </c>
      <c r="J143" s="32">
        <f t="shared" si="5"/>
        <v>9684.4</v>
      </c>
      <c r="K143" s="19">
        <v>3000000</v>
      </c>
      <c r="L143" s="19"/>
      <c r="M143" s="19">
        <f>L143+K143</f>
        <v>3000000</v>
      </c>
      <c r="N143" s="16">
        <f t="shared" si="6"/>
        <v>3000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</row>
    <row r="144" spans="1:146" ht="36" customHeight="1">
      <c r="A144" s="66"/>
      <c r="B144" s="66"/>
      <c r="C144" s="66"/>
      <c r="D144" s="69" t="s">
        <v>145</v>
      </c>
      <c r="E144" s="69" t="s">
        <v>145</v>
      </c>
      <c r="F144" s="67">
        <v>2186292</v>
      </c>
      <c r="G144" s="32">
        <f t="shared" si="4"/>
        <v>2186.3</v>
      </c>
      <c r="H144" s="32">
        <v>20.23</v>
      </c>
      <c r="I144" s="67">
        <v>442271</v>
      </c>
      <c r="J144" s="32">
        <f t="shared" si="5"/>
        <v>442.3</v>
      </c>
      <c r="K144" s="19">
        <v>400000</v>
      </c>
      <c r="L144" s="19"/>
      <c r="M144" s="19">
        <f>L144+K144</f>
        <v>400000</v>
      </c>
      <c r="N144" s="16">
        <f t="shared" si="6"/>
        <v>400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</row>
    <row r="145" spans="1:146" s="124" customFormat="1" ht="48" customHeight="1">
      <c r="A145" s="66"/>
      <c r="B145" s="66"/>
      <c r="C145" s="66"/>
      <c r="D145" s="69" t="s">
        <v>409</v>
      </c>
      <c r="E145" s="69"/>
      <c r="F145" s="67"/>
      <c r="G145" s="32"/>
      <c r="H145" s="32"/>
      <c r="I145" s="67"/>
      <c r="J145" s="32"/>
      <c r="K145" s="19"/>
      <c r="L145" s="19"/>
      <c r="M145" s="19"/>
      <c r="N145" s="16">
        <v>50</v>
      </c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</row>
    <row r="146" spans="1:14" s="68" customFormat="1" ht="36.75" customHeight="1">
      <c r="A146" s="66"/>
      <c r="B146" s="66"/>
      <c r="C146" s="66"/>
      <c r="D146" s="69" t="s">
        <v>146</v>
      </c>
      <c r="E146" s="69" t="s">
        <v>146</v>
      </c>
      <c r="F146" s="67">
        <v>41125371</v>
      </c>
      <c r="G146" s="32">
        <f t="shared" si="4"/>
        <v>41125.4</v>
      </c>
      <c r="H146" s="32">
        <v>52.38</v>
      </c>
      <c r="I146" s="67">
        <v>21542607</v>
      </c>
      <c r="J146" s="32">
        <f t="shared" si="5"/>
        <v>21542.6</v>
      </c>
      <c r="K146" s="19">
        <v>2000000</v>
      </c>
      <c r="L146" s="19"/>
      <c r="M146" s="19">
        <f>L146+K146</f>
        <v>2000000</v>
      </c>
      <c r="N146" s="16">
        <f t="shared" si="6"/>
        <v>2000</v>
      </c>
    </row>
    <row r="147" spans="1:14" s="68" customFormat="1" ht="30.75" customHeight="1">
      <c r="A147" s="66"/>
      <c r="B147" s="66"/>
      <c r="C147" s="66"/>
      <c r="D147" s="69" t="s">
        <v>284</v>
      </c>
      <c r="E147" s="69" t="s">
        <v>284</v>
      </c>
      <c r="F147" s="67"/>
      <c r="G147" s="32">
        <f t="shared" si="4"/>
        <v>0</v>
      </c>
      <c r="H147" s="32"/>
      <c r="I147" s="67"/>
      <c r="J147" s="32">
        <f t="shared" si="5"/>
        <v>0</v>
      </c>
      <c r="K147" s="19">
        <v>8500</v>
      </c>
      <c r="L147" s="19"/>
      <c r="M147" s="19">
        <f>L147+K147</f>
        <v>8500</v>
      </c>
      <c r="N147" s="16">
        <f t="shared" si="6"/>
        <v>8.5</v>
      </c>
    </row>
    <row r="148" spans="1:146" s="37" customFormat="1" ht="32.25" customHeight="1">
      <c r="A148" s="65"/>
      <c r="B148" s="66"/>
      <c r="C148" s="66"/>
      <c r="D148" s="3" t="s">
        <v>147</v>
      </c>
      <c r="E148" s="3" t="s">
        <v>147</v>
      </c>
      <c r="F148" s="70"/>
      <c r="G148" s="32">
        <f t="shared" si="4"/>
        <v>0</v>
      </c>
      <c r="H148" s="63"/>
      <c r="I148" s="67"/>
      <c r="J148" s="32">
        <f t="shared" si="5"/>
        <v>0</v>
      </c>
      <c r="K148" s="33">
        <f>SUM(K149:K159)</f>
        <v>4542500</v>
      </c>
      <c r="L148" s="33">
        <f>SUM(L149:L159)</f>
        <v>0</v>
      </c>
      <c r="M148" s="33">
        <f>SUM(M149:M159)</f>
        <v>4542500</v>
      </c>
      <c r="N148" s="8">
        <f>SUM(N149:N159)</f>
        <v>4142.5</v>
      </c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</row>
    <row r="149" spans="1:14" s="68" customFormat="1" ht="37.5" customHeight="1">
      <c r="A149" s="66"/>
      <c r="B149" s="66"/>
      <c r="C149" s="66"/>
      <c r="D149" s="69" t="s">
        <v>356</v>
      </c>
      <c r="E149" s="69" t="s">
        <v>356</v>
      </c>
      <c r="F149" s="71"/>
      <c r="G149" s="32">
        <f aca="true" t="shared" si="9" ref="G149:G210">ROUND(F149/1000,1)</f>
        <v>0</v>
      </c>
      <c r="H149" s="32"/>
      <c r="I149" s="67"/>
      <c r="J149" s="32">
        <f aca="true" t="shared" si="10" ref="J149:J210">ROUND(I149/1000,1)</f>
        <v>0</v>
      </c>
      <c r="K149" s="19">
        <v>500000</v>
      </c>
      <c r="L149" s="19"/>
      <c r="M149" s="19">
        <f aca="true" t="shared" si="11" ref="M149:M159">L149+K149</f>
        <v>500000</v>
      </c>
      <c r="N149" s="16">
        <f>ROUND(M149/1000,1)-400</f>
        <v>100</v>
      </c>
    </row>
    <row r="150" spans="1:14" s="68" customFormat="1" ht="24.75" customHeight="1">
      <c r="A150" s="66"/>
      <c r="B150" s="66"/>
      <c r="C150" s="66"/>
      <c r="D150" s="69" t="s">
        <v>148</v>
      </c>
      <c r="E150" s="69" t="s">
        <v>148</v>
      </c>
      <c r="F150" s="67">
        <v>16481572</v>
      </c>
      <c r="G150" s="32">
        <f t="shared" si="9"/>
        <v>16481.6</v>
      </c>
      <c r="H150" s="32">
        <v>86.059</v>
      </c>
      <c r="I150" s="67">
        <v>14184034</v>
      </c>
      <c r="J150" s="32">
        <f t="shared" si="10"/>
        <v>14184</v>
      </c>
      <c r="K150" s="19">
        <v>2000000</v>
      </c>
      <c r="L150" s="19"/>
      <c r="M150" s="19">
        <f t="shared" si="11"/>
        <v>2000000</v>
      </c>
      <c r="N150" s="16">
        <f aca="true" t="shared" si="12" ref="N150:N210">ROUND(M150/1000,1)</f>
        <v>2000</v>
      </c>
    </row>
    <row r="151" spans="1:14" s="68" customFormat="1" ht="36" customHeight="1">
      <c r="A151" s="66"/>
      <c r="B151" s="66"/>
      <c r="C151" s="66"/>
      <c r="D151" s="50" t="s">
        <v>149</v>
      </c>
      <c r="E151" s="50" t="s">
        <v>149</v>
      </c>
      <c r="F151" s="71"/>
      <c r="G151" s="32">
        <f t="shared" si="9"/>
        <v>0</v>
      </c>
      <c r="H151" s="32"/>
      <c r="I151" s="67"/>
      <c r="J151" s="32">
        <f t="shared" si="10"/>
        <v>0</v>
      </c>
      <c r="K151" s="19">
        <v>500000</v>
      </c>
      <c r="L151" s="19"/>
      <c r="M151" s="19">
        <f t="shared" si="11"/>
        <v>500000</v>
      </c>
      <c r="N151" s="16">
        <f t="shared" si="12"/>
        <v>500</v>
      </c>
    </row>
    <row r="152" spans="1:14" s="68" customFormat="1" ht="31.5" customHeight="1">
      <c r="A152" s="66"/>
      <c r="B152" s="66"/>
      <c r="C152" s="66"/>
      <c r="D152" s="50" t="s">
        <v>150</v>
      </c>
      <c r="E152" s="50" t="s">
        <v>150</v>
      </c>
      <c r="F152" s="71"/>
      <c r="G152" s="32">
        <f t="shared" si="9"/>
        <v>0</v>
      </c>
      <c r="H152" s="32"/>
      <c r="I152" s="67"/>
      <c r="J152" s="32">
        <f t="shared" si="10"/>
        <v>0</v>
      </c>
      <c r="K152" s="19">
        <v>500000</v>
      </c>
      <c r="L152" s="19"/>
      <c r="M152" s="19">
        <f t="shared" si="11"/>
        <v>500000</v>
      </c>
      <c r="N152" s="16">
        <f t="shared" si="12"/>
        <v>500</v>
      </c>
    </row>
    <row r="153" spans="1:14" s="68" customFormat="1" ht="31.5" customHeight="1">
      <c r="A153" s="66"/>
      <c r="B153" s="66"/>
      <c r="C153" s="66"/>
      <c r="D153" s="50" t="s">
        <v>151</v>
      </c>
      <c r="E153" s="50" t="s">
        <v>151</v>
      </c>
      <c r="F153" s="71"/>
      <c r="G153" s="32">
        <f t="shared" si="9"/>
        <v>0</v>
      </c>
      <c r="H153" s="32"/>
      <c r="I153" s="67"/>
      <c r="J153" s="32">
        <f t="shared" si="10"/>
        <v>0</v>
      </c>
      <c r="K153" s="19">
        <v>500000</v>
      </c>
      <c r="L153" s="19"/>
      <c r="M153" s="19">
        <f t="shared" si="11"/>
        <v>500000</v>
      </c>
      <c r="N153" s="16">
        <f t="shared" si="12"/>
        <v>500</v>
      </c>
    </row>
    <row r="154" spans="1:14" s="68" customFormat="1" ht="36.75" customHeight="1">
      <c r="A154" s="66"/>
      <c r="B154" s="66"/>
      <c r="C154" s="66"/>
      <c r="D154" s="50" t="s">
        <v>152</v>
      </c>
      <c r="E154" s="50" t="s">
        <v>152</v>
      </c>
      <c r="F154" s="71"/>
      <c r="G154" s="32">
        <f t="shared" si="9"/>
        <v>0</v>
      </c>
      <c r="H154" s="32"/>
      <c r="I154" s="67"/>
      <c r="J154" s="32">
        <f t="shared" si="10"/>
        <v>0</v>
      </c>
      <c r="K154" s="19">
        <v>500000</v>
      </c>
      <c r="L154" s="19"/>
      <c r="M154" s="19">
        <f t="shared" si="11"/>
        <v>500000</v>
      </c>
      <c r="N154" s="16">
        <f t="shared" si="12"/>
        <v>500</v>
      </c>
    </row>
    <row r="155" spans="1:14" s="68" customFormat="1" ht="36.75" customHeight="1">
      <c r="A155" s="66"/>
      <c r="B155" s="66"/>
      <c r="C155" s="66"/>
      <c r="D155" s="50" t="s">
        <v>285</v>
      </c>
      <c r="E155" s="50" t="s">
        <v>285</v>
      </c>
      <c r="F155" s="71"/>
      <c r="G155" s="32">
        <f t="shared" si="9"/>
        <v>0</v>
      </c>
      <c r="H155" s="32"/>
      <c r="I155" s="67"/>
      <c r="J155" s="32">
        <f t="shared" si="10"/>
        <v>0</v>
      </c>
      <c r="K155" s="19">
        <v>8500</v>
      </c>
      <c r="L155" s="19"/>
      <c r="M155" s="19">
        <f t="shared" si="11"/>
        <v>8500</v>
      </c>
      <c r="N155" s="16">
        <f t="shared" si="12"/>
        <v>8.5</v>
      </c>
    </row>
    <row r="156" spans="1:14" s="68" customFormat="1" ht="36.75" customHeight="1">
      <c r="A156" s="66"/>
      <c r="B156" s="66"/>
      <c r="C156" s="66"/>
      <c r="D156" s="50" t="s">
        <v>286</v>
      </c>
      <c r="E156" s="50" t="s">
        <v>286</v>
      </c>
      <c r="F156" s="71"/>
      <c r="G156" s="32">
        <f t="shared" si="9"/>
        <v>0</v>
      </c>
      <c r="H156" s="32"/>
      <c r="I156" s="67"/>
      <c r="J156" s="32">
        <f t="shared" si="10"/>
        <v>0</v>
      </c>
      <c r="K156" s="19">
        <v>8500</v>
      </c>
      <c r="L156" s="19"/>
      <c r="M156" s="19">
        <f t="shared" si="11"/>
        <v>8500</v>
      </c>
      <c r="N156" s="16">
        <f t="shared" si="12"/>
        <v>8.5</v>
      </c>
    </row>
    <row r="157" spans="1:14" s="68" customFormat="1" ht="36.75" customHeight="1">
      <c r="A157" s="66"/>
      <c r="B157" s="66"/>
      <c r="C157" s="66"/>
      <c r="D157" s="50" t="s">
        <v>287</v>
      </c>
      <c r="E157" s="50" t="s">
        <v>287</v>
      </c>
      <c r="F157" s="71"/>
      <c r="G157" s="32">
        <f t="shared" si="9"/>
        <v>0</v>
      </c>
      <c r="H157" s="32"/>
      <c r="I157" s="67"/>
      <c r="J157" s="32">
        <f t="shared" si="10"/>
        <v>0</v>
      </c>
      <c r="K157" s="19">
        <v>8500</v>
      </c>
      <c r="L157" s="19"/>
      <c r="M157" s="19">
        <f t="shared" si="11"/>
        <v>8500</v>
      </c>
      <c r="N157" s="16">
        <f t="shared" si="12"/>
        <v>8.5</v>
      </c>
    </row>
    <row r="158" spans="1:14" s="68" customFormat="1" ht="36.75" customHeight="1">
      <c r="A158" s="66"/>
      <c r="B158" s="66"/>
      <c r="C158" s="66"/>
      <c r="D158" s="50" t="s">
        <v>288</v>
      </c>
      <c r="E158" s="50" t="s">
        <v>288</v>
      </c>
      <c r="F158" s="71"/>
      <c r="G158" s="32">
        <f t="shared" si="9"/>
        <v>0</v>
      </c>
      <c r="H158" s="32"/>
      <c r="I158" s="67"/>
      <c r="J158" s="32">
        <f t="shared" si="10"/>
        <v>0</v>
      </c>
      <c r="K158" s="19">
        <v>8500</v>
      </c>
      <c r="L158" s="19"/>
      <c r="M158" s="19">
        <f t="shared" si="11"/>
        <v>8500</v>
      </c>
      <c r="N158" s="16">
        <f t="shared" si="12"/>
        <v>8.5</v>
      </c>
    </row>
    <row r="159" spans="1:14" s="68" customFormat="1" ht="36.75" customHeight="1">
      <c r="A159" s="66"/>
      <c r="B159" s="66"/>
      <c r="C159" s="66"/>
      <c r="D159" s="50" t="s">
        <v>289</v>
      </c>
      <c r="E159" s="50" t="s">
        <v>289</v>
      </c>
      <c r="F159" s="71"/>
      <c r="G159" s="32">
        <f t="shared" si="9"/>
        <v>0</v>
      </c>
      <c r="H159" s="32"/>
      <c r="I159" s="67"/>
      <c r="J159" s="32">
        <f t="shared" si="10"/>
        <v>0</v>
      </c>
      <c r="K159" s="19">
        <v>8500</v>
      </c>
      <c r="L159" s="19"/>
      <c r="M159" s="19">
        <f t="shared" si="11"/>
        <v>8500</v>
      </c>
      <c r="N159" s="16">
        <f t="shared" si="12"/>
        <v>8.5</v>
      </c>
    </row>
    <row r="160" spans="1:146" s="34" customFormat="1" ht="34.5" customHeight="1">
      <c r="A160" s="28">
        <v>1517320</v>
      </c>
      <c r="B160" s="35" t="s">
        <v>139</v>
      </c>
      <c r="C160" s="35"/>
      <c r="D160" s="3" t="s">
        <v>395</v>
      </c>
      <c r="E160" s="3"/>
      <c r="F160" s="70"/>
      <c r="G160" s="32">
        <f t="shared" si="9"/>
        <v>0</v>
      </c>
      <c r="H160" s="63"/>
      <c r="I160" s="67"/>
      <c r="J160" s="32">
        <f t="shared" si="10"/>
        <v>0</v>
      </c>
      <c r="K160" s="33">
        <f>K161+K177+K185</f>
        <v>26291355</v>
      </c>
      <c r="L160" s="33">
        <f>L161+L177+L185</f>
        <v>0</v>
      </c>
      <c r="M160" s="33">
        <f>M161+M177+M185</f>
        <v>26291355</v>
      </c>
      <c r="N160" s="8">
        <f>N161+N177+N185</f>
        <v>23900.3</v>
      </c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</row>
    <row r="161" spans="1:146" s="78" customFormat="1" ht="34.5" customHeight="1">
      <c r="A161" s="72">
        <v>1517321</v>
      </c>
      <c r="B161" s="38" t="s">
        <v>140</v>
      </c>
      <c r="C161" s="38" t="s">
        <v>52</v>
      </c>
      <c r="D161" s="73" t="s">
        <v>396</v>
      </c>
      <c r="E161" s="74"/>
      <c r="F161" s="75"/>
      <c r="G161" s="32">
        <f t="shared" si="9"/>
        <v>0</v>
      </c>
      <c r="H161" s="76"/>
      <c r="I161" s="67"/>
      <c r="J161" s="32">
        <f t="shared" si="10"/>
        <v>0</v>
      </c>
      <c r="K161" s="76">
        <f>K162+K166</f>
        <v>12291355</v>
      </c>
      <c r="L161" s="76">
        <f>L162+L166</f>
        <v>0</v>
      </c>
      <c r="M161" s="76">
        <f>M162+M166</f>
        <v>12291355</v>
      </c>
      <c r="N161" s="20">
        <f>N162+N166</f>
        <v>9641.3</v>
      </c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</row>
    <row r="162" spans="1:146" s="37" customFormat="1" ht="27" customHeight="1">
      <c r="A162" s="65"/>
      <c r="B162" s="66"/>
      <c r="C162" s="66"/>
      <c r="D162" s="60" t="s">
        <v>143</v>
      </c>
      <c r="E162" s="60" t="s">
        <v>143</v>
      </c>
      <c r="F162" s="70"/>
      <c r="G162" s="32">
        <f t="shared" si="9"/>
        <v>0</v>
      </c>
      <c r="H162" s="63"/>
      <c r="I162" s="67"/>
      <c r="J162" s="32">
        <f t="shared" si="10"/>
        <v>0</v>
      </c>
      <c r="K162" s="33">
        <f>SUM(K163:K165)</f>
        <v>7850000</v>
      </c>
      <c r="L162" s="33">
        <f>SUM(L163:L165)</f>
        <v>0</v>
      </c>
      <c r="M162" s="33">
        <f>SUM(M163:M165)</f>
        <v>7850000</v>
      </c>
      <c r="N162" s="8">
        <f>SUM(N163:N165)</f>
        <v>4800</v>
      </c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</row>
    <row r="163" spans="1:146" ht="30" customHeight="1">
      <c r="A163" s="65"/>
      <c r="B163" s="65"/>
      <c r="C163" s="65"/>
      <c r="D163" s="69" t="s">
        <v>153</v>
      </c>
      <c r="E163" s="69" t="s">
        <v>153</v>
      </c>
      <c r="F163" s="79"/>
      <c r="G163" s="32">
        <f t="shared" si="9"/>
        <v>0</v>
      </c>
      <c r="H163" s="65"/>
      <c r="I163" s="67"/>
      <c r="J163" s="32">
        <f t="shared" si="10"/>
        <v>0</v>
      </c>
      <c r="K163" s="19">
        <f>500000+7000000</f>
        <v>7500000</v>
      </c>
      <c r="L163" s="19"/>
      <c r="M163" s="19">
        <f>L163+K163</f>
        <v>7500000</v>
      </c>
      <c r="N163" s="16">
        <f>ROUND(M163/1000,1)-3000-50</f>
        <v>4450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</row>
    <row r="164" spans="1:14" s="68" customFormat="1" ht="35.25" customHeight="1">
      <c r="A164" s="66"/>
      <c r="B164" s="66"/>
      <c r="C164" s="66"/>
      <c r="D164" s="69" t="s">
        <v>154</v>
      </c>
      <c r="E164" s="69" t="s">
        <v>154</v>
      </c>
      <c r="F164" s="67"/>
      <c r="G164" s="32">
        <f t="shared" si="9"/>
        <v>0</v>
      </c>
      <c r="H164" s="32"/>
      <c r="I164" s="67"/>
      <c r="J164" s="32">
        <f t="shared" si="10"/>
        <v>0</v>
      </c>
      <c r="K164" s="19">
        <v>250000</v>
      </c>
      <c r="L164" s="19"/>
      <c r="M164" s="19">
        <f aca="true" t="shared" si="13" ref="M164:M252">L164+K164</f>
        <v>250000</v>
      </c>
      <c r="N164" s="16">
        <f t="shared" si="12"/>
        <v>250</v>
      </c>
    </row>
    <row r="165" spans="1:14" s="68" customFormat="1" ht="36.75" customHeight="1">
      <c r="A165" s="66"/>
      <c r="B165" s="66"/>
      <c r="C165" s="66"/>
      <c r="D165" s="69" t="s">
        <v>335</v>
      </c>
      <c r="E165" s="69" t="s">
        <v>335</v>
      </c>
      <c r="F165" s="67"/>
      <c r="G165" s="32">
        <f t="shared" si="9"/>
        <v>0</v>
      </c>
      <c r="H165" s="32"/>
      <c r="I165" s="67"/>
      <c r="J165" s="32">
        <f t="shared" si="10"/>
        <v>0</v>
      </c>
      <c r="K165" s="19">
        <v>100000</v>
      </c>
      <c r="L165" s="19"/>
      <c r="M165" s="19">
        <f>L165+K165</f>
        <v>100000</v>
      </c>
      <c r="N165" s="16">
        <f t="shared" si="12"/>
        <v>100</v>
      </c>
    </row>
    <row r="166" spans="1:146" s="37" customFormat="1" ht="28.5" customHeight="1">
      <c r="A166" s="65"/>
      <c r="B166" s="66"/>
      <c r="C166" s="66"/>
      <c r="D166" s="3" t="s">
        <v>147</v>
      </c>
      <c r="E166" s="3" t="s">
        <v>147</v>
      </c>
      <c r="F166" s="70"/>
      <c r="G166" s="32">
        <f t="shared" si="9"/>
        <v>0</v>
      </c>
      <c r="H166" s="63"/>
      <c r="I166" s="67"/>
      <c r="J166" s="32">
        <f t="shared" si="10"/>
        <v>0</v>
      </c>
      <c r="K166" s="33">
        <f>SUM(K167:K176)</f>
        <v>4441355</v>
      </c>
      <c r="L166" s="33">
        <f>SUM(L167:L176)</f>
        <v>0</v>
      </c>
      <c r="M166" s="33">
        <f>SUM(M167:M176)</f>
        <v>4441355</v>
      </c>
      <c r="N166" s="8">
        <f>SUM(N167:N176)</f>
        <v>4841.3</v>
      </c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</row>
    <row r="167" spans="1:146" s="37" customFormat="1" ht="44.25" customHeight="1">
      <c r="A167" s="65"/>
      <c r="B167" s="66"/>
      <c r="C167" s="66"/>
      <c r="D167" s="47" t="s">
        <v>243</v>
      </c>
      <c r="E167" s="47" t="s">
        <v>243</v>
      </c>
      <c r="F167" s="70"/>
      <c r="G167" s="32">
        <f t="shared" si="9"/>
        <v>0</v>
      </c>
      <c r="H167" s="63"/>
      <c r="I167" s="67"/>
      <c r="J167" s="32">
        <f t="shared" si="10"/>
        <v>0</v>
      </c>
      <c r="K167" s="19">
        <v>221500</v>
      </c>
      <c r="L167" s="19"/>
      <c r="M167" s="19">
        <f t="shared" si="13"/>
        <v>221500</v>
      </c>
      <c r="N167" s="16">
        <f t="shared" si="12"/>
        <v>221.5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</row>
    <row r="168" spans="1:146" s="37" customFormat="1" ht="24" customHeight="1">
      <c r="A168" s="65"/>
      <c r="B168" s="66"/>
      <c r="C168" s="66"/>
      <c r="D168" s="47" t="s">
        <v>290</v>
      </c>
      <c r="E168" s="47" t="s">
        <v>290</v>
      </c>
      <c r="F168" s="70"/>
      <c r="G168" s="32">
        <f t="shared" si="9"/>
        <v>0</v>
      </c>
      <c r="H168" s="63"/>
      <c r="I168" s="67"/>
      <c r="J168" s="32">
        <f t="shared" si="10"/>
        <v>0</v>
      </c>
      <c r="K168" s="19">
        <v>8500</v>
      </c>
      <c r="L168" s="19"/>
      <c r="M168" s="19">
        <f t="shared" si="13"/>
        <v>8500</v>
      </c>
      <c r="N168" s="16">
        <f t="shared" si="12"/>
        <v>8.5</v>
      </c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</row>
    <row r="169" spans="1:146" s="37" customFormat="1" ht="24.75" customHeight="1">
      <c r="A169" s="65"/>
      <c r="B169" s="66"/>
      <c r="C169" s="66"/>
      <c r="D169" s="69" t="s">
        <v>291</v>
      </c>
      <c r="E169" s="69" t="s">
        <v>291</v>
      </c>
      <c r="F169" s="70"/>
      <c r="G169" s="32">
        <f t="shared" si="9"/>
        <v>0</v>
      </c>
      <c r="H169" s="63"/>
      <c r="I169" s="67"/>
      <c r="J169" s="32">
        <f t="shared" si="10"/>
        <v>0</v>
      </c>
      <c r="K169" s="19">
        <v>8500</v>
      </c>
      <c r="L169" s="19"/>
      <c r="M169" s="19">
        <f t="shared" si="13"/>
        <v>8500</v>
      </c>
      <c r="N169" s="16">
        <f t="shared" si="12"/>
        <v>8.5</v>
      </c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</row>
    <row r="170" spans="1:14" s="68" customFormat="1" ht="27" customHeight="1">
      <c r="A170" s="66"/>
      <c r="B170" s="66"/>
      <c r="C170" s="66"/>
      <c r="D170" s="47" t="s">
        <v>155</v>
      </c>
      <c r="E170" s="47" t="s">
        <v>155</v>
      </c>
      <c r="F170" s="67">
        <v>5382485</v>
      </c>
      <c r="G170" s="32">
        <f t="shared" si="9"/>
        <v>5382.5</v>
      </c>
      <c r="H170" s="32">
        <v>59</v>
      </c>
      <c r="I170" s="67">
        <v>3175713</v>
      </c>
      <c r="J170" s="32">
        <f t="shared" si="10"/>
        <v>3175.7</v>
      </c>
      <c r="K170" s="19">
        <f>50000+603355</f>
        <v>653355</v>
      </c>
      <c r="L170" s="19"/>
      <c r="M170" s="19">
        <f t="shared" si="13"/>
        <v>653355</v>
      </c>
      <c r="N170" s="16">
        <f>ROUND(M170/1000,1)-0.1</f>
        <v>653.3</v>
      </c>
    </row>
    <row r="171" spans="1:14" s="68" customFormat="1" ht="30" customHeight="1">
      <c r="A171" s="66"/>
      <c r="B171" s="66"/>
      <c r="C171" s="66"/>
      <c r="D171" s="47" t="s">
        <v>323</v>
      </c>
      <c r="E171" s="47" t="s">
        <v>323</v>
      </c>
      <c r="F171" s="67"/>
      <c r="G171" s="32">
        <f t="shared" si="9"/>
        <v>0</v>
      </c>
      <c r="H171" s="32"/>
      <c r="I171" s="67"/>
      <c r="J171" s="32">
        <f t="shared" si="10"/>
        <v>0</v>
      </c>
      <c r="K171" s="19">
        <v>500000</v>
      </c>
      <c r="L171" s="19"/>
      <c r="M171" s="19">
        <f t="shared" si="13"/>
        <v>500000</v>
      </c>
      <c r="N171" s="16">
        <f t="shared" si="12"/>
        <v>500</v>
      </c>
    </row>
    <row r="172" spans="1:14" s="68" customFormat="1" ht="54" customHeight="1">
      <c r="A172" s="66"/>
      <c r="B172" s="66"/>
      <c r="C172" s="66"/>
      <c r="D172" s="69" t="s">
        <v>292</v>
      </c>
      <c r="E172" s="69" t="s">
        <v>292</v>
      </c>
      <c r="F172" s="67"/>
      <c r="G172" s="32">
        <f t="shared" si="9"/>
        <v>0</v>
      </c>
      <c r="H172" s="32"/>
      <c r="I172" s="67"/>
      <c r="J172" s="32">
        <f t="shared" si="10"/>
        <v>0</v>
      </c>
      <c r="K172" s="19">
        <v>100000</v>
      </c>
      <c r="L172" s="19"/>
      <c r="M172" s="19">
        <f t="shared" si="13"/>
        <v>100000</v>
      </c>
      <c r="N172" s="16">
        <f t="shared" si="12"/>
        <v>100</v>
      </c>
    </row>
    <row r="173" spans="1:14" s="68" customFormat="1" ht="34.5" customHeight="1">
      <c r="A173" s="66"/>
      <c r="B173" s="66"/>
      <c r="C173" s="66"/>
      <c r="D173" s="69" t="s">
        <v>293</v>
      </c>
      <c r="E173" s="69" t="s">
        <v>293</v>
      </c>
      <c r="F173" s="67"/>
      <c r="G173" s="32">
        <f t="shared" si="9"/>
        <v>0</v>
      </c>
      <c r="H173" s="32"/>
      <c r="I173" s="67"/>
      <c r="J173" s="32">
        <f t="shared" si="10"/>
        <v>0</v>
      </c>
      <c r="K173" s="19">
        <v>8500</v>
      </c>
      <c r="L173" s="19"/>
      <c r="M173" s="19">
        <f t="shared" si="13"/>
        <v>8500</v>
      </c>
      <c r="N173" s="16">
        <f t="shared" si="12"/>
        <v>8.5</v>
      </c>
    </row>
    <row r="174" spans="1:14" s="68" customFormat="1" ht="45" customHeight="1">
      <c r="A174" s="66"/>
      <c r="B174" s="66"/>
      <c r="C174" s="66"/>
      <c r="D174" s="50" t="s">
        <v>156</v>
      </c>
      <c r="E174" s="50" t="s">
        <v>156</v>
      </c>
      <c r="F174" s="79"/>
      <c r="G174" s="32">
        <f t="shared" si="9"/>
        <v>0</v>
      </c>
      <c r="H174" s="32"/>
      <c r="I174" s="67"/>
      <c r="J174" s="32">
        <f t="shared" si="10"/>
        <v>0</v>
      </c>
      <c r="K174" s="19">
        <v>500000</v>
      </c>
      <c r="L174" s="19"/>
      <c r="M174" s="19">
        <f t="shared" si="13"/>
        <v>500000</v>
      </c>
      <c r="N174" s="16">
        <f t="shared" si="12"/>
        <v>500</v>
      </c>
    </row>
    <row r="175" spans="1:14" s="68" customFormat="1" ht="48" customHeight="1">
      <c r="A175" s="66"/>
      <c r="B175" s="66"/>
      <c r="C175" s="66"/>
      <c r="D175" s="50" t="s">
        <v>157</v>
      </c>
      <c r="E175" s="50" t="s">
        <v>157</v>
      </c>
      <c r="F175" s="67">
        <v>1026354</v>
      </c>
      <c r="G175" s="32">
        <f t="shared" si="9"/>
        <v>1026.4</v>
      </c>
      <c r="H175" s="32">
        <v>96.099</v>
      </c>
      <c r="I175" s="67">
        <v>986321</v>
      </c>
      <c r="J175" s="32">
        <f t="shared" si="10"/>
        <v>986.3</v>
      </c>
      <c r="K175" s="19">
        <v>986000</v>
      </c>
      <c r="L175" s="19"/>
      <c r="M175" s="19">
        <f t="shared" si="13"/>
        <v>986000</v>
      </c>
      <c r="N175" s="16">
        <f>ROUND(M175/1000,1)+400</f>
        <v>1386</v>
      </c>
    </row>
    <row r="176" spans="1:14" s="68" customFormat="1" ht="53.25" customHeight="1">
      <c r="A176" s="66"/>
      <c r="B176" s="66"/>
      <c r="C176" s="66"/>
      <c r="D176" s="50" t="s">
        <v>158</v>
      </c>
      <c r="E176" s="50" t="s">
        <v>158</v>
      </c>
      <c r="F176" s="67">
        <v>1479061</v>
      </c>
      <c r="G176" s="32">
        <f t="shared" si="9"/>
        <v>1479.1</v>
      </c>
      <c r="H176" s="32">
        <v>98.39</v>
      </c>
      <c r="I176" s="67">
        <v>1455282</v>
      </c>
      <c r="J176" s="32">
        <f t="shared" si="10"/>
        <v>1455.3</v>
      </c>
      <c r="K176" s="19">
        <v>1455000</v>
      </c>
      <c r="L176" s="19"/>
      <c r="M176" s="19">
        <f t="shared" si="13"/>
        <v>1455000</v>
      </c>
      <c r="N176" s="16">
        <f t="shared" si="12"/>
        <v>1455</v>
      </c>
    </row>
    <row r="177" spans="1:14" s="82" customFormat="1" ht="31.5" customHeight="1">
      <c r="A177" s="72">
        <v>1517322</v>
      </c>
      <c r="B177" s="38" t="s">
        <v>141</v>
      </c>
      <c r="C177" s="38" t="s">
        <v>52</v>
      </c>
      <c r="D177" s="73" t="s">
        <v>397</v>
      </c>
      <c r="E177" s="74"/>
      <c r="F177" s="80"/>
      <c r="G177" s="32">
        <f t="shared" si="9"/>
        <v>0</v>
      </c>
      <c r="H177" s="81"/>
      <c r="I177" s="67"/>
      <c r="J177" s="32">
        <f t="shared" si="10"/>
        <v>0</v>
      </c>
      <c r="K177" s="76">
        <f>K178+K180</f>
        <v>5500000</v>
      </c>
      <c r="L177" s="76">
        <f>L178+L180</f>
        <v>0</v>
      </c>
      <c r="M177" s="76">
        <f>M178+M180</f>
        <v>5500000</v>
      </c>
      <c r="N177" s="20">
        <f>N178+N180</f>
        <v>5759</v>
      </c>
    </row>
    <row r="178" spans="1:146" s="37" customFormat="1" ht="30" customHeight="1">
      <c r="A178" s="65"/>
      <c r="B178" s="66"/>
      <c r="C178" s="66"/>
      <c r="D178" s="60" t="s">
        <v>143</v>
      </c>
      <c r="E178" s="60" t="s">
        <v>143</v>
      </c>
      <c r="F178" s="70"/>
      <c r="G178" s="32">
        <f t="shared" si="9"/>
        <v>0</v>
      </c>
      <c r="H178" s="63"/>
      <c r="I178" s="67"/>
      <c r="J178" s="32">
        <f t="shared" si="10"/>
        <v>0</v>
      </c>
      <c r="K178" s="33">
        <f>K179</f>
        <v>500000</v>
      </c>
      <c r="L178" s="33">
        <f>L179</f>
        <v>0</v>
      </c>
      <c r="M178" s="33">
        <f>M179</f>
        <v>500000</v>
      </c>
      <c r="N178" s="8">
        <f>N179</f>
        <v>500</v>
      </c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</row>
    <row r="179" spans="1:14" s="68" customFormat="1" ht="30" customHeight="1">
      <c r="A179" s="28"/>
      <c r="B179" s="66"/>
      <c r="C179" s="66"/>
      <c r="D179" s="69" t="s">
        <v>250</v>
      </c>
      <c r="E179" s="69" t="s">
        <v>250</v>
      </c>
      <c r="F179" s="67"/>
      <c r="G179" s="32">
        <f t="shared" si="9"/>
        <v>0</v>
      </c>
      <c r="H179" s="32"/>
      <c r="I179" s="67"/>
      <c r="J179" s="32">
        <f t="shared" si="10"/>
        <v>0</v>
      </c>
      <c r="K179" s="19">
        <v>500000</v>
      </c>
      <c r="L179" s="19"/>
      <c r="M179" s="19">
        <f t="shared" si="13"/>
        <v>500000</v>
      </c>
      <c r="N179" s="16">
        <f t="shared" si="12"/>
        <v>500</v>
      </c>
    </row>
    <row r="180" spans="1:146" s="37" customFormat="1" ht="37.5" customHeight="1">
      <c r="A180" s="65"/>
      <c r="B180" s="66"/>
      <c r="C180" s="66"/>
      <c r="D180" s="3" t="s">
        <v>147</v>
      </c>
      <c r="E180" s="3" t="s">
        <v>147</v>
      </c>
      <c r="F180" s="70"/>
      <c r="G180" s="32">
        <f t="shared" si="9"/>
        <v>0</v>
      </c>
      <c r="H180" s="63"/>
      <c r="I180" s="67"/>
      <c r="J180" s="32">
        <f t="shared" si="10"/>
        <v>0</v>
      </c>
      <c r="K180" s="33">
        <f>SUM(K181:K184)</f>
        <v>5000000</v>
      </c>
      <c r="L180" s="33">
        <f>SUM(L181:L184)</f>
        <v>0</v>
      </c>
      <c r="M180" s="33">
        <f>SUM(M181:M184)</f>
        <v>5000000</v>
      </c>
      <c r="N180" s="8">
        <f>SUM(N181:N184)</f>
        <v>5259</v>
      </c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</row>
    <row r="181" spans="1:14" s="68" customFormat="1" ht="23.25" customHeight="1">
      <c r="A181" s="28"/>
      <c r="B181" s="66"/>
      <c r="C181" s="66"/>
      <c r="D181" s="69" t="s">
        <v>180</v>
      </c>
      <c r="E181" s="69" t="s">
        <v>180</v>
      </c>
      <c r="F181" s="83">
        <v>16272770</v>
      </c>
      <c r="G181" s="32">
        <f t="shared" si="9"/>
        <v>16272.8</v>
      </c>
      <c r="H181" s="84">
        <v>98.66</v>
      </c>
      <c r="I181" s="67">
        <v>16054529</v>
      </c>
      <c r="J181" s="32">
        <f t="shared" si="10"/>
        <v>16054.5</v>
      </c>
      <c r="K181" s="19">
        <v>2000000</v>
      </c>
      <c r="L181" s="19"/>
      <c r="M181" s="19">
        <f t="shared" si="13"/>
        <v>2000000</v>
      </c>
      <c r="N181" s="16">
        <f>ROUND(M181/1000,1)+300</f>
        <v>2300</v>
      </c>
    </row>
    <row r="182" spans="1:14" s="68" customFormat="1" ht="31.5" customHeight="1">
      <c r="A182" s="28"/>
      <c r="B182" s="66"/>
      <c r="C182" s="66"/>
      <c r="D182" s="36" t="s">
        <v>159</v>
      </c>
      <c r="E182" s="36" t="s">
        <v>159</v>
      </c>
      <c r="F182" s="83"/>
      <c r="G182" s="32">
        <f t="shared" si="9"/>
        <v>0</v>
      </c>
      <c r="H182" s="85"/>
      <c r="I182" s="67"/>
      <c r="J182" s="32">
        <f t="shared" si="10"/>
        <v>0</v>
      </c>
      <c r="K182" s="19">
        <v>1000000</v>
      </c>
      <c r="L182" s="19"/>
      <c r="M182" s="19">
        <f t="shared" si="13"/>
        <v>1000000</v>
      </c>
      <c r="N182" s="16">
        <f>ROUND(M182/1000,1)-741</f>
        <v>259</v>
      </c>
    </row>
    <row r="183" spans="1:14" s="68" customFormat="1" ht="32.25" customHeight="1">
      <c r="A183" s="28"/>
      <c r="B183" s="66"/>
      <c r="C183" s="66"/>
      <c r="D183" s="36" t="s">
        <v>160</v>
      </c>
      <c r="E183" s="36" t="s">
        <v>160</v>
      </c>
      <c r="F183" s="83"/>
      <c r="G183" s="32">
        <f t="shared" si="9"/>
        <v>0</v>
      </c>
      <c r="H183" s="85"/>
      <c r="I183" s="67"/>
      <c r="J183" s="32">
        <f t="shared" si="10"/>
        <v>0</v>
      </c>
      <c r="K183" s="19">
        <v>1000000</v>
      </c>
      <c r="L183" s="19"/>
      <c r="M183" s="19">
        <f t="shared" si="13"/>
        <v>1000000</v>
      </c>
      <c r="N183" s="16">
        <f>ROUND(M183/1000,1)+350</f>
        <v>1350</v>
      </c>
    </row>
    <row r="184" spans="1:146" ht="51.75" customHeight="1">
      <c r="A184" s="28"/>
      <c r="B184" s="66"/>
      <c r="C184" s="66"/>
      <c r="D184" s="50" t="s">
        <v>181</v>
      </c>
      <c r="E184" s="50" t="s">
        <v>181</v>
      </c>
      <c r="F184" s="71"/>
      <c r="G184" s="32">
        <f t="shared" si="9"/>
        <v>0</v>
      </c>
      <c r="H184" s="32"/>
      <c r="I184" s="67"/>
      <c r="J184" s="32">
        <f t="shared" si="10"/>
        <v>0</v>
      </c>
      <c r="K184" s="19">
        <v>1000000</v>
      </c>
      <c r="L184" s="19"/>
      <c r="M184" s="19">
        <f t="shared" si="13"/>
        <v>1000000</v>
      </c>
      <c r="N184" s="16">
        <f>ROUND(M184/1000,1)+350</f>
        <v>1350</v>
      </c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</row>
    <row r="185" spans="1:146" s="88" customFormat="1" ht="30.75" customHeight="1">
      <c r="A185" s="72">
        <v>1517325</v>
      </c>
      <c r="B185" s="38" t="s">
        <v>142</v>
      </c>
      <c r="C185" s="38" t="s">
        <v>52</v>
      </c>
      <c r="D185" s="73" t="s">
        <v>398</v>
      </c>
      <c r="E185" s="86"/>
      <c r="F185" s="87"/>
      <c r="G185" s="32">
        <f t="shared" si="9"/>
        <v>0</v>
      </c>
      <c r="H185" s="81"/>
      <c r="I185" s="67"/>
      <c r="J185" s="32">
        <f t="shared" si="10"/>
        <v>0</v>
      </c>
      <c r="K185" s="76">
        <f>K186</f>
        <v>8500000</v>
      </c>
      <c r="L185" s="76">
        <f>L186</f>
        <v>0</v>
      </c>
      <c r="M185" s="76">
        <f>M186</f>
        <v>8500000</v>
      </c>
      <c r="N185" s="20">
        <f>N186</f>
        <v>8500</v>
      </c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</row>
    <row r="186" spans="1:146" s="37" customFormat="1" ht="34.5" customHeight="1">
      <c r="A186" s="65"/>
      <c r="B186" s="66"/>
      <c r="C186" s="66"/>
      <c r="D186" s="3" t="s">
        <v>147</v>
      </c>
      <c r="E186" s="3" t="s">
        <v>147</v>
      </c>
      <c r="F186" s="70"/>
      <c r="G186" s="32">
        <f t="shared" si="9"/>
        <v>0</v>
      </c>
      <c r="H186" s="63"/>
      <c r="I186" s="67"/>
      <c r="J186" s="32">
        <f t="shared" si="10"/>
        <v>0</v>
      </c>
      <c r="K186" s="33">
        <f>SUM(K187:K189)</f>
        <v>8500000</v>
      </c>
      <c r="L186" s="33">
        <f>SUM(L187:L189)</f>
        <v>0</v>
      </c>
      <c r="M186" s="33">
        <f>SUM(M187:M189)</f>
        <v>8500000</v>
      </c>
      <c r="N186" s="8">
        <f>SUM(N187:N189)</f>
        <v>8500</v>
      </c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</row>
    <row r="187" spans="1:14" s="68" customFormat="1" ht="32.25" customHeight="1">
      <c r="A187" s="66"/>
      <c r="B187" s="66"/>
      <c r="C187" s="66"/>
      <c r="D187" s="69" t="s">
        <v>161</v>
      </c>
      <c r="E187" s="69" t="s">
        <v>161</v>
      </c>
      <c r="F187" s="71">
        <v>8134171</v>
      </c>
      <c r="G187" s="32">
        <f t="shared" si="9"/>
        <v>8134.2</v>
      </c>
      <c r="H187" s="32">
        <v>49.28</v>
      </c>
      <c r="I187" s="67">
        <v>4008946</v>
      </c>
      <c r="J187" s="32">
        <f t="shared" si="10"/>
        <v>4008.9</v>
      </c>
      <c r="K187" s="19">
        <v>2000000</v>
      </c>
      <c r="L187" s="19"/>
      <c r="M187" s="19">
        <f t="shared" si="13"/>
        <v>2000000</v>
      </c>
      <c r="N187" s="16">
        <f t="shared" si="12"/>
        <v>2000</v>
      </c>
    </row>
    <row r="188" spans="1:14" s="68" customFormat="1" ht="31.5" customHeight="1">
      <c r="A188" s="66"/>
      <c r="B188" s="66"/>
      <c r="C188" s="66"/>
      <c r="D188" s="69" t="s">
        <v>162</v>
      </c>
      <c r="E188" s="69" t="s">
        <v>162</v>
      </c>
      <c r="F188" s="79">
        <v>33898627</v>
      </c>
      <c r="G188" s="32">
        <f t="shared" si="9"/>
        <v>33898.6</v>
      </c>
      <c r="H188" s="32">
        <v>70.78</v>
      </c>
      <c r="I188" s="67">
        <v>23996736</v>
      </c>
      <c r="J188" s="32">
        <f t="shared" si="10"/>
        <v>23996.7</v>
      </c>
      <c r="K188" s="19">
        <v>4000000</v>
      </c>
      <c r="L188" s="19"/>
      <c r="M188" s="19">
        <f t="shared" si="13"/>
        <v>4000000</v>
      </c>
      <c r="N188" s="16">
        <f t="shared" si="12"/>
        <v>4000</v>
      </c>
    </row>
    <row r="189" spans="1:14" s="68" customFormat="1" ht="42.75" customHeight="1">
      <c r="A189" s="66"/>
      <c r="B189" s="66"/>
      <c r="C189" s="66"/>
      <c r="D189" s="69" t="s">
        <v>182</v>
      </c>
      <c r="E189" s="69" t="s">
        <v>182</v>
      </c>
      <c r="F189" s="67"/>
      <c r="G189" s="32">
        <f t="shared" si="9"/>
        <v>0</v>
      </c>
      <c r="H189" s="32"/>
      <c r="I189" s="67"/>
      <c r="J189" s="32">
        <f t="shared" si="10"/>
        <v>0</v>
      </c>
      <c r="K189" s="19">
        <v>2500000</v>
      </c>
      <c r="L189" s="19"/>
      <c r="M189" s="19">
        <f t="shared" si="13"/>
        <v>2500000</v>
      </c>
      <c r="N189" s="16">
        <f t="shared" si="12"/>
        <v>2500</v>
      </c>
    </row>
    <row r="190" spans="1:146" ht="49.5" customHeight="1">
      <c r="A190" s="28">
        <v>1517330</v>
      </c>
      <c r="B190" s="35" t="s">
        <v>138</v>
      </c>
      <c r="C190" s="35" t="s">
        <v>52</v>
      </c>
      <c r="D190" s="31" t="s">
        <v>399</v>
      </c>
      <c r="E190" s="61"/>
      <c r="F190" s="71"/>
      <c r="G190" s="32">
        <f t="shared" si="9"/>
        <v>0</v>
      </c>
      <c r="H190" s="32"/>
      <c r="I190" s="67"/>
      <c r="J190" s="32">
        <f t="shared" si="10"/>
        <v>0</v>
      </c>
      <c r="K190" s="33">
        <f>K191+K215</f>
        <v>35538486</v>
      </c>
      <c r="L190" s="33">
        <f>L191+L215</f>
        <v>0</v>
      </c>
      <c r="M190" s="33">
        <f>M191+M215</f>
        <v>35538486</v>
      </c>
      <c r="N190" s="8">
        <f>N191+N215</f>
        <v>38979.5</v>
      </c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</row>
    <row r="191" spans="1:146" ht="32.25" customHeight="1">
      <c r="A191" s="89"/>
      <c r="B191" s="66"/>
      <c r="C191" s="66"/>
      <c r="D191" s="60" t="s">
        <v>143</v>
      </c>
      <c r="E191" s="60" t="s">
        <v>143</v>
      </c>
      <c r="F191" s="70"/>
      <c r="G191" s="32">
        <f t="shared" si="9"/>
        <v>0</v>
      </c>
      <c r="H191" s="90"/>
      <c r="I191" s="67"/>
      <c r="J191" s="32">
        <f t="shared" si="10"/>
        <v>0</v>
      </c>
      <c r="K191" s="33">
        <f>SUM(K192:K214)</f>
        <v>15588986</v>
      </c>
      <c r="L191" s="33">
        <f>SUM(L192:L214)</f>
        <v>0</v>
      </c>
      <c r="M191" s="33">
        <f>SUM(M192:M214)</f>
        <v>15588986</v>
      </c>
      <c r="N191" s="8">
        <f>SUM(N192:N214)</f>
        <v>16189.000000000002</v>
      </c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</row>
    <row r="192" spans="1:146" s="124" customFormat="1" ht="33" customHeight="1">
      <c r="A192" s="89"/>
      <c r="B192" s="66"/>
      <c r="C192" s="66"/>
      <c r="D192" s="36" t="s">
        <v>413</v>
      </c>
      <c r="E192" s="36"/>
      <c r="F192" s="70"/>
      <c r="G192" s="32"/>
      <c r="H192" s="90"/>
      <c r="I192" s="67"/>
      <c r="J192" s="32"/>
      <c r="K192" s="19"/>
      <c r="L192" s="19"/>
      <c r="M192" s="19"/>
      <c r="N192" s="16">
        <v>500</v>
      </c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  <c r="EO192" s="123"/>
      <c r="EP192" s="123"/>
    </row>
    <row r="193" spans="1:146" ht="35.25" customHeight="1">
      <c r="A193" s="65"/>
      <c r="B193" s="65"/>
      <c r="C193" s="65"/>
      <c r="D193" s="69" t="s">
        <v>163</v>
      </c>
      <c r="E193" s="69" t="s">
        <v>163</v>
      </c>
      <c r="F193" s="79">
        <v>28556946</v>
      </c>
      <c r="G193" s="32">
        <f t="shared" si="9"/>
        <v>28556.9</v>
      </c>
      <c r="H193" s="91">
        <v>74.44</v>
      </c>
      <c r="I193" s="67">
        <v>21259016.2</v>
      </c>
      <c r="J193" s="32">
        <f t="shared" si="10"/>
        <v>21259</v>
      </c>
      <c r="K193" s="19">
        <v>3000000</v>
      </c>
      <c r="L193" s="19"/>
      <c r="M193" s="19">
        <f t="shared" si="13"/>
        <v>3000000</v>
      </c>
      <c r="N193" s="16">
        <f t="shared" si="12"/>
        <v>3000</v>
      </c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</row>
    <row r="194" spans="1:146" ht="51" customHeight="1">
      <c r="A194" s="65"/>
      <c r="B194" s="65"/>
      <c r="C194" s="65"/>
      <c r="D194" s="50" t="s">
        <v>164</v>
      </c>
      <c r="E194" s="50" t="s">
        <v>164</v>
      </c>
      <c r="F194" s="67"/>
      <c r="G194" s="32">
        <f t="shared" si="9"/>
        <v>0</v>
      </c>
      <c r="H194" s="65"/>
      <c r="I194" s="67"/>
      <c r="J194" s="32">
        <f t="shared" si="10"/>
        <v>0</v>
      </c>
      <c r="K194" s="19">
        <f>2659000-1111500-448500-100000</f>
        <v>999000</v>
      </c>
      <c r="L194" s="19"/>
      <c r="M194" s="19">
        <f t="shared" si="13"/>
        <v>999000</v>
      </c>
      <c r="N194" s="16">
        <f t="shared" si="12"/>
        <v>999</v>
      </c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</row>
    <row r="195" spans="1:14" s="68" customFormat="1" ht="31.5" customHeight="1">
      <c r="A195" s="66"/>
      <c r="B195" s="66"/>
      <c r="C195" s="66"/>
      <c r="D195" s="69" t="s">
        <v>196</v>
      </c>
      <c r="E195" s="69" t="s">
        <v>196</v>
      </c>
      <c r="F195" s="67"/>
      <c r="G195" s="32">
        <f t="shared" si="9"/>
        <v>0</v>
      </c>
      <c r="H195" s="32"/>
      <c r="I195" s="67"/>
      <c r="J195" s="32">
        <f t="shared" si="10"/>
        <v>0</v>
      </c>
      <c r="K195" s="19">
        <v>870000</v>
      </c>
      <c r="L195" s="19"/>
      <c r="M195" s="19">
        <f t="shared" si="13"/>
        <v>870000</v>
      </c>
      <c r="N195" s="16">
        <f t="shared" si="12"/>
        <v>870</v>
      </c>
    </row>
    <row r="196" spans="1:14" s="68" customFormat="1" ht="40.5">
      <c r="A196" s="66"/>
      <c r="B196" s="66"/>
      <c r="C196" s="66"/>
      <c r="D196" s="50" t="s">
        <v>240</v>
      </c>
      <c r="E196" s="50" t="s">
        <v>240</v>
      </c>
      <c r="F196" s="67"/>
      <c r="G196" s="32">
        <f t="shared" si="9"/>
        <v>0</v>
      </c>
      <c r="H196" s="32"/>
      <c r="I196" s="67"/>
      <c r="J196" s="32">
        <f t="shared" si="10"/>
        <v>0</v>
      </c>
      <c r="K196" s="19">
        <v>100000</v>
      </c>
      <c r="L196" s="19"/>
      <c r="M196" s="19">
        <f t="shared" si="13"/>
        <v>100000</v>
      </c>
      <c r="N196" s="16">
        <f t="shared" si="12"/>
        <v>100</v>
      </c>
    </row>
    <row r="197" spans="1:14" s="68" customFormat="1" ht="33.75" customHeight="1">
      <c r="A197" s="66"/>
      <c r="B197" s="66"/>
      <c r="C197" s="66"/>
      <c r="D197" s="50" t="s">
        <v>249</v>
      </c>
      <c r="E197" s="50" t="s">
        <v>249</v>
      </c>
      <c r="F197" s="67"/>
      <c r="G197" s="32">
        <f t="shared" si="9"/>
        <v>0</v>
      </c>
      <c r="H197" s="32"/>
      <c r="I197" s="67"/>
      <c r="J197" s="32">
        <f t="shared" si="10"/>
        <v>0</v>
      </c>
      <c r="K197" s="19">
        <v>300000</v>
      </c>
      <c r="L197" s="19"/>
      <c r="M197" s="19">
        <f t="shared" si="13"/>
        <v>300000</v>
      </c>
      <c r="N197" s="16">
        <f t="shared" si="12"/>
        <v>300</v>
      </c>
    </row>
    <row r="198" spans="1:14" s="68" customFormat="1" ht="39.75" customHeight="1">
      <c r="A198" s="66"/>
      <c r="B198" s="66"/>
      <c r="C198" s="66"/>
      <c r="D198" s="50" t="s">
        <v>317</v>
      </c>
      <c r="E198" s="50" t="s">
        <v>317</v>
      </c>
      <c r="F198" s="67"/>
      <c r="G198" s="32">
        <f t="shared" si="9"/>
        <v>0</v>
      </c>
      <c r="H198" s="32"/>
      <c r="I198" s="67"/>
      <c r="J198" s="32">
        <f t="shared" si="10"/>
        <v>0</v>
      </c>
      <c r="K198" s="19">
        <v>70000</v>
      </c>
      <c r="L198" s="19"/>
      <c r="M198" s="19">
        <f t="shared" si="13"/>
        <v>70000</v>
      </c>
      <c r="N198" s="16">
        <f t="shared" si="12"/>
        <v>70</v>
      </c>
    </row>
    <row r="199" spans="1:14" s="68" customFormat="1" ht="52.5" customHeight="1">
      <c r="A199" s="66"/>
      <c r="B199" s="66"/>
      <c r="C199" s="66"/>
      <c r="D199" s="50" t="s">
        <v>316</v>
      </c>
      <c r="E199" s="50" t="s">
        <v>316</v>
      </c>
      <c r="F199" s="67"/>
      <c r="G199" s="32">
        <f t="shared" si="9"/>
        <v>0</v>
      </c>
      <c r="H199" s="32"/>
      <c r="I199" s="67"/>
      <c r="J199" s="32">
        <f t="shared" si="10"/>
        <v>0</v>
      </c>
      <c r="K199" s="19">
        <v>90000</v>
      </c>
      <c r="L199" s="19"/>
      <c r="M199" s="19">
        <f>L199+K199</f>
        <v>90000</v>
      </c>
      <c r="N199" s="16">
        <f t="shared" si="12"/>
        <v>90</v>
      </c>
    </row>
    <row r="200" spans="1:14" s="68" customFormat="1" ht="32.25" customHeight="1">
      <c r="A200" s="66"/>
      <c r="B200" s="66"/>
      <c r="C200" s="66"/>
      <c r="D200" s="50" t="s">
        <v>294</v>
      </c>
      <c r="E200" s="50" t="s">
        <v>294</v>
      </c>
      <c r="F200" s="67"/>
      <c r="G200" s="32">
        <f t="shared" si="9"/>
        <v>0</v>
      </c>
      <c r="H200" s="32"/>
      <c r="I200" s="67"/>
      <c r="J200" s="32">
        <f t="shared" si="10"/>
        <v>0</v>
      </c>
      <c r="K200" s="19">
        <v>50000</v>
      </c>
      <c r="L200" s="19"/>
      <c r="M200" s="19">
        <f t="shared" si="13"/>
        <v>50000</v>
      </c>
      <c r="N200" s="16">
        <f t="shared" si="12"/>
        <v>50</v>
      </c>
    </row>
    <row r="201" spans="1:14" s="68" customFormat="1" ht="39" customHeight="1">
      <c r="A201" s="66"/>
      <c r="B201" s="66"/>
      <c r="C201" s="66"/>
      <c r="D201" s="50" t="s">
        <v>295</v>
      </c>
      <c r="E201" s="50" t="s">
        <v>295</v>
      </c>
      <c r="F201" s="67"/>
      <c r="G201" s="32">
        <f t="shared" si="9"/>
        <v>0</v>
      </c>
      <c r="H201" s="32"/>
      <c r="I201" s="67"/>
      <c r="J201" s="32">
        <f t="shared" si="10"/>
        <v>0</v>
      </c>
      <c r="K201" s="19">
        <v>50000</v>
      </c>
      <c r="L201" s="19"/>
      <c r="M201" s="19">
        <f t="shared" si="13"/>
        <v>50000</v>
      </c>
      <c r="N201" s="16">
        <f t="shared" si="12"/>
        <v>50</v>
      </c>
    </row>
    <row r="202" spans="1:14" s="68" customFormat="1" ht="36" customHeight="1">
      <c r="A202" s="66"/>
      <c r="B202" s="66"/>
      <c r="C202" s="66"/>
      <c r="D202" s="69" t="s">
        <v>400</v>
      </c>
      <c r="E202" s="69" t="s">
        <v>296</v>
      </c>
      <c r="F202" s="67"/>
      <c r="G202" s="32">
        <f t="shared" si="9"/>
        <v>0</v>
      </c>
      <c r="H202" s="32"/>
      <c r="I202" s="67"/>
      <c r="J202" s="32">
        <f t="shared" si="10"/>
        <v>0</v>
      </c>
      <c r="K202" s="19">
        <v>61400</v>
      </c>
      <c r="L202" s="19"/>
      <c r="M202" s="19">
        <f t="shared" si="13"/>
        <v>61400</v>
      </c>
      <c r="N202" s="16">
        <f t="shared" si="12"/>
        <v>61.4</v>
      </c>
    </row>
    <row r="203" spans="1:14" s="68" customFormat="1" ht="40.5">
      <c r="A203" s="66"/>
      <c r="B203" s="66"/>
      <c r="C203" s="66"/>
      <c r="D203" s="69" t="s">
        <v>401</v>
      </c>
      <c r="E203" s="69" t="s">
        <v>297</v>
      </c>
      <c r="F203" s="67"/>
      <c r="G203" s="32">
        <f t="shared" si="9"/>
        <v>0</v>
      </c>
      <c r="H203" s="32"/>
      <c r="I203" s="67"/>
      <c r="J203" s="32">
        <f t="shared" si="10"/>
        <v>0</v>
      </c>
      <c r="K203" s="19">
        <v>102445</v>
      </c>
      <c r="L203" s="19"/>
      <c r="M203" s="19">
        <f t="shared" si="13"/>
        <v>102445</v>
      </c>
      <c r="N203" s="16">
        <f t="shared" si="12"/>
        <v>102.4</v>
      </c>
    </row>
    <row r="204" spans="1:14" s="68" customFormat="1" ht="40.5">
      <c r="A204" s="66"/>
      <c r="B204" s="66"/>
      <c r="C204" s="66"/>
      <c r="D204" s="69" t="s">
        <v>402</v>
      </c>
      <c r="E204" s="69" t="s">
        <v>298</v>
      </c>
      <c r="F204" s="67"/>
      <c r="G204" s="32">
        <f t="shared" si="9"/>
        <v>0</v>
      </c>
      <c r="H204" s="32"/>
      <c r="I204" s="67"/>
      <c r="J204" s="32">
        <f t="shared" si="10"/>
        <v>0</v>
      </c>
      <c r="K204" s="19">
        <v>71000</v>
      </c>
      <c r="L204" s="19"/>
      <c r="M204" s="19">
        <f t="shared" si="13"/>
        <v>71000</v>
      </c>
      <c r="N204" s="16">
        <f t="shared" si="12"/>
        <v>71</v>
      </c>
    </row>
    <row r="205" spans="1:14" s="68" customFormat="1" ht="38.25" customHeight="1">
      <c r="A205" s="66"/>
      <c r="B205" s="66"/>
      <c r="C205" s="66"/>
      <c r="D205" s="69" t="s">
        <v>318</v>
      </c>
      <c r="E205" s="69" t="s">
        <v>318</v>
      </c>
      <c r="F205" s="67"/>
      <c r="G205" s="32">
        <f t="shared" si="9"/>
        <v>0</v>
      </c>
      <c r="H205" s="32"/>
      <c r="I205" s="67"/>
      <c r="J205" s="32">
        <f t="shared" si="10"/>
        <v>0</v>
      </c>
      <c r="K205" s="19">
        <v>55000</v>
      </c>
      <c r="L205" s="19"/>
      <c r="M205" s="19">
        <f t="shared" si="13"/>
        <v>55000</v>
      </c>
      <c r="N205" s="16">
        <f>ROUND(M205/1000,1)+100</f>
        <v>155</v>
      </c>
    </row>
    <row r="206" spans="1:14" s="68" customFormat="1" ht="33.75" customHeight="1">
      <c r="A206" s="66"/>
      <c r="B206" s="66"/>
      <c r="C206" s="66"/>
      <c r="D206" s="50" t="s">
        <v>165</v>
      </c>
      <c r="E206" s="50" t="s">
        <v>165</v>
      </c>
      <c r="F206" s="67"/>
      <c r="G206" s="32">
        <f t="shared" si="9"/>
        <v>0</v>
      </c>
      <c r="H206" s="32"/>
      <c r="I206" s="67"/>
      <c r="J206" s="32">
        <f t="shared" si="10"/>
        <v>0</v>
      </c>
      <c r="K206" s="19">
        <v>5000000</v>
      </c>
      <c r="L206" s="19"/>
      <c r="M206" s="19">
        <f t="shared" si="13"/>
        <v>5000000</v>
      </c>
      <c r="N206" s="16">
        <f t="shared" si="12"/>
        <v>5000</v>
      </c>
    </row>
    <row r="207" spans="1:14" s="68" customFormat="1" ht="30.75" customHeight="1">
      <c r="A207" s="66"/>
      <c r="B207" s="66"/>
      <c r="C207" s="66"/>
      <c r="D207" s="50" t="s">
        <v>232</v>
      </c>
      <c r="E207" s="50" t="s">
        <v>232</v>
      </c>
      <c r="F207" s="67"/>
      <c r="G207" s="32">
        <f t="shared" si="9"/>
        <v>0</v>
      </c>
      <c r="H207" s="32"/>
      <c r="I207" s="67"/>
      <c r="J207" s="32">
        <f t="shared" si="10"/>
        <v>0</v>
      </c>
      <c r="K207" s="19">
        <v>998774</v>
      </c>
      <c r="L207" s="19"/>
      <c r="M207" s="19">
        <f t="shared" si="13"/>
        <v>998774</v>
      </c>
      <c r="N207" s="16">
        <f t="shared" si="12"/>
        <v>998.8</v>
      </c>
    </row>
    <row r="208" spans="1:14" s="68" customFormat="1" ht="27.75" customHeight="1">
      <c r="A208" s="66"/>
      <c r="B208" s="66"/>
      <c r="C208" s="66"/>
      <c r="D208" s="50" t="s">
        <v>233</v>
      </c>
      <c r="E208" s="50" t="s">
        <v>233</v>
      </c>
      <c r="F208" s="67"/>
      <c r="G208" s="32">
        <f t="shared" si="9"/>
        <v>0</v>
      </c>
      <c r="H208" s="32"/>
      <c r="I208" s="67"/>
      <c r="J208" s="32">
        <f t="shared" si="10"/>
        <v>0</v>
      </c>
      <c r="K208" s="19">
        <v>489680</v>
      </c>
      <c r="L208" s="19"/>
      <c r="M208" s="19">
        <f t="shared" si="13"/>
        <v>489680</v>
      </c>
      <c r="N208" s="16">
        <f t="shared" si="12"/>
        <v>489.7</v>
      </c>
    </row>
    <row r="209" spans="1:14" s="68" customFormat="1" ht="34.5" customHeight="1">
      <c r="A209" s="66"/>
      <c r="B209" s="66"/>
      <c r="C209" s="66"/>
      <c r="D209" s="50" t="s">
        <v>234</v>
      </c>
      <c r="E209" s="50" t="s">
        <v>234</v>
      </c>
      <c r="F209" s="67"/>
      <c r="G209" s="32">
        <f t="shared" si="9"/>
        <v>0</v>
      </c>
      <c r="H209" s="32"/>
      <c r="I209" s="67"/>
      <c r="J209" s="32">
        <f t="shared" si="10"/>
        <v>0</v>
      </c>
      <c r="K209" s="19">
        <v>498116</v>
      </c>
      <c r="L209" s="19"/>
      <c r="M209" s="19">
        <f t="shared" si="13"/>
        <v>498116</v>
      </c>
      <c r="N209" s="16">
        <f t="shared" si="12"/>
        <v>498.1</v>
      </c>
    </row>
    <row r="210" spans="1:14" s="68" customFormat="1" ht="40.5">
      <c r="A210" s="66"/>
      <c r="B210" s="66"/>
      <c r="C210" s="66"/>
      <c r="D210" s="50" t="s">
        <v>235</v>
      </c>
      <c r="E210" s="50" t="s">
        <v>235</v>
      </c>
      <c r="F210" s="67"/>
      <c r="G210" s="32">
        <f t="shared" si="9"/>
        <v>0</v>
      </c>
      <c r="H210" s="32"/>
      <c r="I210" s="67"/>
      <c r="J210" s="32">
        <f t="shared" si="10"/>
        <v>0</v>
      </c>
      <c r="K210" s="19">
        <v>409160</v>
      </c>
      <c r="L210" s="19"/>
      <c r="M210" s="19">
        <f t="shared" si="13"/>
        <v>409160</v>
      </c>
      <c r="N210" s="16">
        <f t="shared" si="12"/>
        <v>409.2</v>
      </c>
    </row>
    <row r="211" spans="1:14" s="68" customFormat="1" ht="27.75" customHeight="1">
      <c r="A211" s="66"/>
      <c r="B211" s="66"/>
      <c r="C211" s="66"/>
      <c r="D211" s="50" t="s">
        <v>236</v>
      </c>
      <c r="E211" s="50" t="s">
        <v>236</v>
      </c>
      <c r="F211" s="67"/>
      <c r="G211" s="32">
        <f aca="true" t="shared" si="14" ref="G211:G257">ROUND(F211/1000,1)</f>
        <v>0</v>
      </c>
      <c r="H211" s="32"/>
      <c r="I211" s="67"/>
      <c r="J211" s="32">
        <f aca="true" t="shared" si="15" ref="J211:J257">ROUND(I211/1000,1)</f>
        <v>0</v>
      </c>
      <c r="K211" s="19">
        <v>998900</v>
      </c>
      <c r="L211" s="19"/>
      <c r="M211" s="19">
        <f t="shared" si="13"/>
        <v>998900</v>
      </c>
      <c r="N211" s="16">
        <f aca="true" t="shared" si="16" ref="N211:N253">ROUND(M211/1000,1)</f>
        <v>998.9</v>
      </c>
    </row>
    <row r="212" spans="1:14" s="68" customFormat="1" ht="30" customHeight="1">
      <c r="A212" s="66"/>
      <c r="B212" s="66"/>
      <c r="C212" s="66"/>
      <c r="D212" s="50" t="s">
        <v>237</v>
      </c>
      <c r="E212" s="50" t="s">
        <v>237</v>
      </c>
      <c r="F212" s="67"/>
      <c r="G212" s="32">
        <f t="shared" si="14"/>
        <v>0</v>
      </c>
      <c r="H212" s="32"/>
      <c r="I212" s="67"/>
      <c r="J212" s="32">
        <f t="shared" si="15"/>
        <v>0</v>
      </c>
      <c r="K212" s="19">
        <v>482174</v>
      </c>
      <c r="L212" s="19"/>
      <c r="M212" s="19">
        <f t="shared" si="13"/>
        <v>482174</v>
      </c>
      <c r="N212" s="16">
        <f t="shared" si="16"/>
        <v>482.2</v>
      </c>
    </row>
    <row r="213" spans="1:14" s="68" customFormat="1" ht="27" customHeight="1">
      <c r="A213" s="66"/>
      <c r="B213" s="66"/>
      <c r="C213" s="66"/>
      <c r="D213" s="50" t="s">
        <v>238</v>
      </c>
      <c r="E213" s="50" t="s">
        <v>238</v>
      </c>
      <c r="F213" s="67"/>
      <c r="G213" s="32">
        <f t="shared" si="14"/>
        <v>0</v>
      </c>
      <c r="H213" s="32"/>
      <c r="I213" s="67"/>
      <c r="J213" s="32">
        <f t="shared" si="15"/>
        <v>0</v>
      </c>
      <c r="K213" s="19">
        <v>425207</v>
      </c>
      <c r="L213" s="19"/>
      <c r="M213" s="19">
        <f t="shared" si="13"/>
        <v>425207</v>
      </c>
      <c r="N213" s="16">
        <f t="shared" si="16"/>
        <v>425.2</v>
      </c>
    </row>
    <row r="214" spans="1:14" s="68" customFormat="1" ht="27.75" customHeight="1">
      <c r="A214" s="66"/>
      <c r="B214" s="66"/>
      <c r="C214" s="66"/>
      <c r="D214" s="50" t="s">
        <v>239</v>
      </c>
      <c r="E214" s="50" t="s">
        <v>239</v>
      </c>
      <c r="F214" s="67"/>
      <c r="G214" s="32">
        <f t="shared" si="14"/>
        <v>0</v>
      </c>
      <c r="H214" s="32"/>
      <c r="I214" s="67"/>
      <c r="J214" s="32">
        <f t="shared" si="15"/>
        <v>0</v>
      </c>
      <c r="K214" s="19">
        <v>468130</v>
      </c>
      <c r="L214" s="19"/>
      <c r="M214" s="19">
        <f t="shared" si="13"/>
        <v>468130</v>
      </c>
      <c r="N214" s="16">
        <f t="shared" si="16"/>
        <v>468.1</v>
      </c>
    </row>
    <row r="215" spans="1:14" s="68" customFormat="1" ht="28.5" customHeight="1">
      <c r="A215" s="66"/>
      <c r="B215" s="66"/>
      <c r="C215" s="66"/>
      <c r="D215" s="3" t="s">
        <v>147</v>
      </c>
      <c r="E215" s="3" t="s">
        <v>147</v>
      </c>
      <c r="F215" s="92"/>
      <c r="G215" s="32">
        <f t="shared" si="14"/>
        <v>0</v>
      </c>
      <c r="H215" s="92"/>
      <c r="I215" s="67"/>
      <c r="J215" s="32">
        <f t="shared" si="15"/>
        <v>0</v>
      </c>
      <c r="K215" s="93">
        <f>SUM(K216:K235)</f>
        <v>19949500</v>
      </c>
      <c r="L215" s="93">
        <f>SUM(L216:L235)</f>
        <v>0</v>
      </c>
      <c r="M215" s="93">
        <f>SUM(M216:M235)</f>
        <v>19949500</v>
      </c>
      <c r="N215" s="21">
        <f>SUM(N216:N235)</f>
        <v>22790.5</v>
      </c>
    </row>
    <row r="216" spans="1:14" s="68" customFormat="1" ht="70.5" customHeight="1">
      <c r="A216" s="66"/>
      <c r="B216" s="66"/>
      <c r="C216" s="66"/>
      <c r="D216" s="69" t="s">
        <v>313</v>
      </c>
      <c r="E216" s="69" t="s">
        <v>313</v>
      </c>
      <c r="F216" s="92"/>
      <c r="G216" s="32">
        <f t="shared" si="14"/>
        <v>0</v>
      </c>
      <c r="H216" s="92"/>
      <c r="I216" s="67"/>
      <c r="J216" s="32">
        <f t="shared" si="15"/>
        <v>0</v>
      </c>
      <c r="K216" s="94">
        <v>8500</v>
      </c>
      <c r="L216" s="94"/>
      <c r="M216" s="19">
        <f t="shared" si="13"/>
        <v>8500</v>
      </c>
      <c r="N216" s="16">
        <f t="shared" si="16"/>
        <v>8.5</v>
      </c>
    </row>
    <row r="217" spans="1:14" s="68" customFormat="1" ht="49.5" customHeight="1">
      <c r="A217" s="66"/>
      <c r="B217" s="66"/>
      <c r="C217" s="66"/>
      <c r="D217" s="69" t="s">
        <v>322</v>
      </c>
      <c r="E217" s="69" t="s">
        <v>322</v>
      </c>
      <c r="F217" s="92"/>
      <c r="G217" s="32">
        <f t="shared" si="14"/>
        <v>0</v>
      </c>
      <c r="H217" s="92"/>
      <c r="I217" s="67"/>
      <c r="J217" s="32">
        <f t="shared" si="15"/>
        <v>0</v>
      </c>
      <c r="K217" s="94">
        <v>100000</v>
      </c>
      <c r="L217" s="94"/>
      <c r="M217" s="19">
        <f t="shared" si="13"/>
        <v>100000</v>
      </c>
      <c r="N217" s="16">
        <f t="shared" si="16"/>
        <v>100</v>
      </c>
    </row>
    <row r="218" spans="1:14" s="68" customFormat="1" ht="36" customHeight="1">
      <c r="A218" s="66"/>
      <c r="B218" s="66"/>
      <c r="C218" s="66"/>
      <c r="D218" s="69" t="s">
        <v>166</v>
      </c>
      <c r="E218" s="69" t="s">
        <v>166</v>
      </c>
      <c r="F218" s="67"/>
      <c r="G218" s="32">
        <f t="shared" si="14"/>
        <v>0</v>
      </c>
      <c r="H218" s="32"/>
      <c r="I218" s="67"/>
      <c r="J218" s="32">
        <f t="shared" si="15"/>
        <v>0</v>
      </c>
      <c r="K218" s="19">
        <f>100000+1000</f>
        <v>101000</v>
      </c>
      <c r="L218" s="19"/>
      <c r="M218" s="19">
        <f t="shared" si="13"/>
        <v>101000</v>
      </c>
      <c r="N218" s="16">
        <f t="shared" si="16"/>
        <v>101</v>
      </c>
    </row>
    <row r="219" spans="1:14" s="68" customFormat="1" ht="39" customHeight="1">
      <c r="A219" s="66"/>
      <c r="B219" s="66"/>
      <c r="C219" s="66"/>
      <c r="D219" s="50" t="s">
        <v>244</v>
      </c>
      <c r="E219" s="50" t="s">
        <v>244</v>
      </c>
      <c r="F219" s="67"/>
      <c r="G219" s="32">
        <f t="shared" si="14"/>
        <v>0</v>
      </c>
      <c r="H219" s="32"/>
      <c r="I219" s="67"/>
      <c r="J219" s="32">
        <f t="shared" si="15"/>
        <v>0</v>
      </c>
      <c r="K219" s="19">
        <v>240000</v>
      </c>
      <c r="L219" s="19"/>
      <c r="M219" s="19">
        <f t="shared" si="13"/>
        <v>240000</v>
      </c>
      <c r="N219" s="16">
        <f t="shared" si="16"/>
        <v>240</v>
      </c>
    </row>
    <row r="220" spans="1:14" s="123" customFormat="1" ht="39" customHeight="1">
      <c r="A220" s="66"/>
      <c r="B220" s="66"/>
      <c r="C220" s="66"/>
      <c r="D220" s="50" t="s">
        <v>410</v>
      </c>
      <c r="E220" s="50"/>
      <c r="F220" s="67"/>
      <c r="G220" s="32"/>
      <c r="H220" s="32"/>
      <c r="I220" s="67"/>
      <c r="J220" s="32"/>
      <c r="K220" s="19"/>
      <c r="L220" s="19"/>
      <c r="M220" s="19"/>
      <c r="N220" s="16">
        <v>500</v>
      </c>
    </row>
    <row r="221" spans="1:14" s="123" customFormat="1" ht="39" customHeight="1">
      <c r="A221" s="66"/>
      <c r="B221" s="66"/>
      <c r="C221" s="66"/>
      <c r="D221" s="50" t="s">
        <v>411</v>
      </c>
      <c r="E221" s="50"/>
      <c r="F221" s="67"/>
      <c r="G221" s="32"/>
      <c r="H221" s="32"/>
      <c r="I221" s="67"/>
      <c r="J221" s="32"/>
      <c r="K221" s="19"/>
      <c r="L221" s="19"/>
      <c r="M221" s="19"/>
      <c r="N221" s="16">
        <v>291</v>
      </c>
    </row>
    <row r="222" spans="1:14" s="123" customFormat="1" ht="39" customHeight="1">
      <c r="A222" s="66"/>
      <c r="B222" s="66"/>
      <c r="C222" s="66"/>
      <c r="D222" s="50" t="s">
        <v>412</v>
      </c>
      <c r="E222" s="50"/>
      <c r="F222" s="67"/>
      <c r="G222" s="32"/>
      <c r="H222" s="32"/>
      <c r="I222" s="67"/>
      <c r="J222" s="32"/>
      <c r="K222" s="19"/>
      <c r="L222" s="19"/>
      <c r="M222" s="19"/>
      <c r="N222" s="16">
        <v>400</v>
      </c>
    </row>
    <row r="223" spans="1:14" s="68" customFormat="1" ht="39" customHeight="1">
      <c r="A223" s="66"/>
      <c r="B223" s="66"/>
      <c r="C223" s="66"/>
      <c r="D223" s="50" t="s">
        <v>268</v>
      </c>
      <c r="E223" s="50"/>
      <c r="F223" s="67"/>
      <c r="G223" s="32"/>
      <c r="H223" s="32"/>
      <c r="I223" s="67"/>
      <c r="J223" s="32"/>
      <c r="K223" s="19"/>
      <c r="L223" s="19"/>
      <c r="M223" s="19"/>
      <c r="N223" s="16">
        <v>100</v>
      </c>
    </row>
    <row r="224" spans="1:14" s="68" customFormat="1" ht="39" customHeight="1">
      <c r="A224" s="66"/>
      <c r="B224" s="66"/>
      <c r="C224" s="66"/>
      <c r="D224" s="69" t="s">
        <v>183</v>
      </c>
      <c r="E224" s="69" t="s">
        <v>183</v>
      </c>
      <c r="F224" s="79">
        <v>7995986</v>
      </c>
      <c r="G224" s="32">
        <f t="shared" si="14"/>
        <v>7996</v>
      </c>
      <c r="H224" s="32">
        <v>95.32</v>
      </c>
      <c r="I224" s="67">
        <v>7621986</v>
      </c>
      <c r="J224" s="32">
        <f t="shared" si="15"/>
        <v>7622</v>
      </c>
      <c r="K224" s="19">
        <v>500000</v>
      </c>
      <c r="L224" s="19"/>
      <c r="M224" s="19">
        <f t="shared" si="13"/>
        <v>500000</v>
      </c>
      <c r="N224" s="16">
        <f>ROUND(M224/1000,1)+2000</f>
        <v>2500</v>
      </c>
    </row>
    <row r="225" spans="1:14" s="68" customFormat="1" ht="33.75" customHeight="1">
      <c r="A225" s="66"/>
      <c r="B225" s="66"/>
      <c r="C225" s="66"/>
      <c r="D225" s="50" t="s">
        <v>184</v>
      </c>
      <c r="E225" s="50" t="s">
        <v>184</v>
      </c>
      <c r="F225" s="79">
        <v>5617491</v>
      </c>
      <c r="G225" s="32">
        <f t="shared" si="14"/>
        <v>5617.5</v>
      </c>
      <c r="H225" s="32">
        <v>98</v>
      </c>
      <c r="I225" s="67">
        <v>5506604</v>
      </c>
      <c r="J225" s="32">
        <f t="shared" si="15"/>
        <v>5506.6</v>
      </c>
      <c r="K225" s="19">
        <v>3000000</v>
      </c>
      <c r="L225" s="19"/>
      <c r="M225" s="19">
        <f t="shared" si="13"/>
        <v>3000000</v>
      </c>
      <c r="N225" s="16">
        <f t="shared" si="16"/>
        <v>3000</v>
      </c>
    </row>
    <row r="226" spans="1:14" s="68" customFormat="1" ht="34.5" customHeight="1">
      <c r="A226" s="66"/>
      <c r="B226" s="66"/>
      <c r="C226" s="66"/>
      <c r="D226" s="50" t="s">
        <v>167</v>
      </c>
      <c r="E226" s="50" t="s">
        <v>167</v>
      </c>
      <c r="F226" s="67">
        <v>9995386</v>
      </c>
      <c r="G226" s="32">
        <f t="shared" si="14"/>
        <v>9995.4</v>
      </c>
      <c r="H226" s="32">
        <v>22.026</v>
      </c>
      <c r="I226" s="67">
        <v>2201600</v>
      </c>
      <c r="J226" s="32">
        <f t="shared" si="15"/>
        <v>2201.6</v>
      </c>
      <c r="K226" s="19">
        <v>500000</v>
      </c>
      <c r="L226" s="19"/>
      <c r="M226" s="19">
        <f t="shared" si="13"/>
        <v>500000</v>
      </c>
      <c r="N226" s="16">
        <f>ROUND(M226/1000,1)-450</f>
        <v>50</v>
      </c>
    </row>
    <row r="227" spans="1:14" s="68" customFormat="1" ht="34.5" customHeight="1">
      <c r="A227" s="66"/>
      <c r="B227" s="66"/>
      <c r="C227" s="66"/>
      <c r="D227" s="50" t="s">
        <v>168</v>
      </c>
      <c r="E227" s="50" t="s">
        <v>168</v>
      </c>
      <c r="F227" s="79">
        <v>31834622</v>
      </c>
      <c r="G227" s="32">
        <f t="shared" si="14"/>
        <v>31834.6</v>
      </c>
      <c r="H227" s="32">
        <v>73.179</v>
      </c>
      <c r="I227" s="67">
        <v>23296543.2</v>
      </c>
      <c r="J227" s="32">
        <f t="shared" si="15"/>
        <v>23296.5</v>
      </c>
      <c r="K227" s="19">
        <v>7000000</v>
      </c>
      <c r="L227" s="19"/>
      <c r="M227" s="19">
        <f t="shared" si="13"/>
        <v>7000000</v>
      </c>
      <c r="N227" s="16">
        <f t="shared" si="16"/>
        <v>7000</v>
      </c>
    </row>
    <row r="228" spans="1:14" s="68" customFormat="1" ht="43.5" customHeight="1">
      <c r="A228" s="66"/>
      <c r="B228" s="66"/>
      <c r="C228" s="66"/>
      <c r="D228" s="69" t="s">
        <v>169</v>
      </c>
      <c r="E228" s="69" t="s">
        <v>169</v>
      </c>
      <c r="F228" s="79">
        <v>14670250</v>
      </c>
      <c r="G228" s="32">
        <f t="shared" si="14"/>
        <v>14670.3</v>
      </c>
      <c r="H228" s="32">
        <v>50.836</v>
      </c>
      <c r="I228" s="67">
        <v>7457874</v>
      </c>
      <c r="J228" s="32">
        <f t="shared" si="15"/>
        <v>7457.9</v>
      </c>
      <c r="K228" s="19">
        <v>500000</v>
      </c>
      <c r="L228" s="19"/>
      <c r="M228" s="19">
        <f t="shared" si="13"/>
        <v>500000</v>
      </c>
      <c r="N228" s="16">
        <f t="shared" si="16"/>
        <v>500</v>
      </c>
    </row>
    <row r="229" spans="1:14" s="68" customFormat="1" ht="33.75" customHeight="1">
      <c r="A229" s="66"/>
      <c r="B229" s="66"/>
      <c r="C229" s="66"/>
      <c r="D229" s="69" t="s">
        <v>334</v>
      </c>
      <c r="E229" s="69" t="s">
        <v>334</v>
      </c>
      <c r="F229" s="79"/>
      <c r="G229" s="32">
        <f t="shared" si="14"/>
        <v>0</v>
      </c>
      <c r="H229" s="32"/>
      <c r="I229" s="67"/>
      <c r="J229" s="32">
        <f t="shared" si="15"/>
        <v>0</v>
      </c>
      <c r="K229" s="19">
        <v>1000000</v>
      </c>
      <c r="L229" s="19"/>
      <c r="M229" s="19">
        <f t="shared" si="13"/>
        <v>1000000</v>
      </c>
      <c r="N229" s="16">
        <f t="shared" si="16"/>
        <v>1000</v>
      </c>
    </row>
    <row r="230" spans="1:14" s="68" customFormat="1" ht="46.5" customHeight="1">
      <c r="A230" s="66"/>
      <c r="B230" s="66"/>
      <c r="C230" s="66"/>
      <c r="D230" s="50" t="s">
        <v>341</v>
      </c>
      <c r="E230" s="50" t="s">
        <v>341</v>
      </c>
      <c r="F230" s="79">
        <v>1581853</v>
      </c>
      <c r="G230" s="32">
        <f t="shared" si="14"/>
        <v>1581.9</v>
      </c>
      <c r="H230" s="32">
        <v>100</v>
      </c>
      <c r="I230" s="67">
        <v>1581853</v>
      </c>
      <c r="J230" s="32">
        <f t="shared" si="15"/>
        <v>1581.9</v>
      </c>
      <c r="K230" s="19">
        <v>500000</v>
      </c>
      <c r="L230" s="19"/>
      <c r="M230" s="19">
        <f t="shared" si="13"/>
        <v>500000</v>
      </c>
      <c r="N230" s="16">
        <f t="shared" si="16"/>
        <v>500</v>
      </c>
    </row>
    <row r="231" spans="1:14" s="68" customFormat="1" ht="42" customHeight="1">
      <c r="A231" s="66"/>
      <c r="B231" s="66"/>
      <c r="C231" s="66"/>
      <c r="D231" s="50" t="s">
        <v>342</v>
      </c>
      <c r="E231" s="50" t="s">
        <v>342</v>
      </c>
      <c r="F231" s="79"/>
      <c r="G231" s="32">
        <f t="shared" si="14"/>
        <v>0</v>
      </c>
      <c r="H231" s="32"/>
      <c r="I231" s="67"/>
      <c r="J231" s="32">
        <f t="shared" si="15"/>
        <v>0</v>
      </c>
      <c r="K231" s="19">
        <v>500000</v>
      </c>
      <c r="L231" s="19"/>
      <c r="M231" s="19">
        <f t="shared" si="13"/>
        <v>500000</v>
      </c>
      <c r="N231" s="16">
        <f t="shared" si="16"/>
        <v>500</v>
      </c>
    </row>
    <row r="232" spans="1:14" s="68" customFormat="1" ht="47.25" customHeight="1">
      <c r="A232" s="66"/>
      <c r="B232" s="66"/>
      <c r="C232" s="66"/>
      <c r="D232" s="50" t="s">
        <v>170</v>
      </c>
      <c r="E232" s="50" t="s">
        <v>170</v>
      </c>
      <c r="F232" s="71"/>
      <c r="G232" s="32">
        <f t="shared" si="14"/>
        <v>0</v>
      </c>
      <c r="H232" s="32"/>
      <c r="I232" s="67"/>
      <c r="J232" s="32">
        <f t="shared" si="15"/>
        <v>0</v>
      </c>
      <c r="K232" s="19">
        <v>1500000</v>
      </c>
      <c r="L232" s="19"/>
      <c r="M232" s="19">
        <f t="shared" si="13"/>
        <v>1500000</v>
      </c>
      <c r="N232" s="16">
        <f t="shared" si="16"/>
        <v>1500</v>
      </c>
    </row>
    <row r="233" spans="1:14" s="68" customFormat="1" ht="54.75" customHeight="1">
      <c r="A233" s="66"/>
      <c r="B233" s="66"/>
      <c r="C233" s="66"/>
      <c r="D233" s="50" t="s">
        <v>171</v>
      </c>
      <c r="E233" s="50" t="s">
        <v>171</v>
      </c>
      <c r="F233" s="71"/>
      <c r="G233" s="32">
        <f t="shared" si="14"/>
        <v>0</v>
      </c>
      <c r="H233" s="32"/>
      <c r="I233" s="67"/>
      <c r="J233" s="32">
        <f t="shared" si="15"/>
        <v>0</v>
      </c>
      <c r="K233" s="19">
        <v>1500000</v>
      </c>
      <c r="L233" s="19"/>
      <c r="M233" s="19">
        <f t="shared" si="13"/>
        <v>1500000</v>
      </c>
      <c r="N233" s="16">
        <f t="shared" si="16"/>
        <v>1500</v>
      </c>
    </row>
    <row r="234" spans="1:14" s="68" customFormat="1" ht="60.75" customHeight="1">
      <c r="A234" s="66"/>
      <c r="B234" s="66"/>
      <c r="C234" s="66"/>
      <c r="D234" s="50" t="s">
        <v>172</v>
      </c>
      <c r="E234" s="50" t="s">
        <v>172</v>
      </c>
      <c r="F234" s="71"/>
      <c r="G234" s="32">
        <f t="shared" si="14"/>
        <v>0</v>
      </c>
      <c r="H234" s="32"/>
      <c r="I234" s="95"/>
      <c r="J234" s="32">
        <f t="shared" si="15"/>
        <v>0</v>
      </c>
      <c r="K234" s="19">
        <v>1500000</v>
      </c>
      <c r="L234" s="19"/>
      <c r="M234" s="19">
        <f t="shared" si="13"/>
        <v>1500000</v>
      </c>
      <c r="N234" s="16">
        <f t="shared" si="16"/>
        <v>1500</v>
      </c>
    </row>
    <row r="235" spans="1:146" ht="39" customHeight="1">
      <c r="A235" s="66"/>
      <c r="B235" s="66"/>
      <c r="C235" s="66"/>
      <c r="D235" s="50" t="s">
        <v>173</v>
      </c>
      <c r="E235" s="50" t="s">
        <v>173</v>
      </c>
      <c r="F235" s="71"/>
      <c r="G235" s="32">
        <f t="shared" si="14"/>
        <v>0</v>
      </c>
      <c r="H235" s="32"/>
      <c r="I235" s="95"/>
      <c r="J235" s="32">
        <f t="shared" si="15"/>
        <v>0</v>
      </c>
      <c r="K235" s="19">
        <v>1500000</v>
      </c>
      <c r="L235" s="19"/>
      <c r="M235" s="19">
        <f t="shared" si="13"/>
        <v>1500000</v>
      </c>
      <c r="N235" s="16">
        <f t="shared" si="16"/>
        <v>1500</v>
      </c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</row>
    <row r="236" spans="1:146" s="29" customFormat="1" ht="33" customHeight="1">
      <c r="A236" s="30" t="s">
        <v>241</v>
      </c>
      <c r="B236" s="30" t="s">
        <v>69</v>
      </c>
      <c r="C236" s="30" t="s">
        <v>52</v>
      </c>
      <c r="D236" s="31" t="s">
        <v>391</v>
      </c>
      <c r="E236" s="31"/>
      <c r="F236" s="96"/>
      <c r="G236" s="32">
        <f t="shared" si="14"/>
        <v>0</v>
      </c>
      <c r="H236" s="97"/>
      <c r="I236" s="98"/>
      <c r="J236" s="32">
        <f t="shared" si="15"/>
        <v>0</v>
      </c>
      <c r="K236" s="33">
        <f>K237+K238</f>
        <v>650000</v>
      </c>
      <c r="L236" s="33">
        <f>L237+L238</f>
        <v>0</v>
      </c>
      <c r="M236" s="33">
        <f>M237+M238</f>
        <v>650000</v>
      </c>
      <c r="N236" s="8">
        <f>N237+N238</f>
        <v>650</v>
      </c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</row>
    <row r="237" spans="1:146" s="88" customFormat="1" ht="37.5" customHeight="1">
      <c r="A237" s="38"/>
      <c r="B237" s="38"/>
      <c r="C237" s="38"/>
      <c r="D237" s="49" t="s">
        <v>242</v>
      </c>
      <c r="E237" s="49" t="s">
        <v>242</v>
      </c>
      <c r="F237" s="87"/>
      <c r="G237" s="32">
        <f t="shared" si="14"/>
        <v>0</v>
      </c>
      <c r="H237" s="81"/>
      <c r="I237" s="100"/>
      <c r="J237" s="32">
        <f t="shared" si="15"/>
        <v>0</v>
      </c>
      <c r="K237" s="18">
        <v>150000</v>
      </c>
      <c r="L237" s="18"/>
      <c r="M237" s="18">
        <f t="shared" si="13"/>
        <v>150000</v>
      </c>
      <c r="N237" s="7">
        <f t="shared" si="16"/>
        <v>150</v>
      </c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</row>
    <row r="238" spans="1:146" s="88" customFormat="1" ht="32.25" customHeight="1">
      <c r="A238" s="38"/>
      <c r="B238" s="38"/>
      <c r="C238" s="38"/>
      <c r="D238" s="49" t="s">
        <v>251</v>
      </c>
      <c r="E238" s="49" t="s">
        <v>251</v>
      </c>
      <c r="F238" s="87"/>
      <c r="G238" s="32">
        <f t="shared" si="14"/>
        <v>0</v>
      </c>
      <c r="H238" s="81"/>
      <c r="I238" s="100"/>
      <c r="J238" s="32">
        <f t="shared" si="15"/>
        <v>0</v>
      </c>
      <c r="K238" s="18">
        <v>500000</v>
      </c>
      <c r="L238" s="18"/>
      <c r="M238" s="18">
        <f t="shared" si="13"/>
        <v>500000</v>
      </c>
      <c r="N238" s="7">
        <f t="shared" si="16"/>
        <v>500</v>
      </c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</row>
    <row r="239" spans="1:14" s="37" customFormat="1" ht="30.75" customHeight="1">
      <c r="A239" s="35" t="s">
        <v>275</v>
      </c>
      <c r="B239" s="35" t="s">
        <v>272</v>
      </c>
      <c r="C239" s="35"/>
      <c r="D239" s="36" t="s">
        <v>368</v>
      </c>
      <c r="E239" s="36"/>
      <c r="F239" s="101"/>
      <c r="G239" s="32">
        <f t="shared" si="14"/>
        <v>0</v>
      </c>
      <c r="H239" s="36"/>
      <c r="I239" s="36"/>
      <c r="J239" s="32">
        <f t="shared" si="15"/>
        <v>0</v>
      </c>
      <c r="K239" s="52">
        <f>SUM(K240)</f>
        <v>289538</v>
      </c>
      <c r="L239" s="102">
        <f>SUM(L240)</f>
        <v>0</v>
      </c>
      <c r="M239" s="102">
        <f>SUM(M240)</f>
        <v>289538</v>
      </c>
      <c r="N239" s="16">
        <f>SUM(N240)</f>
        <v>289.5</v>
      </c>
    </row>
    <row r="240" spans="1:14" s="44" customFormat="1" ht="48.75" customHeight="1">
      <c r="A240" s="38" t="s">
        <v>276</v>
      </c>
      <c r="B240" s="38" t="s">
        <v>279</v>
      </c>
      <c r="C240" s="38" t="s">
        <v>47</v>
      </c>
      <c r="D240" s="39" t="s">
        <v>270</v>
      </c>
      <c r="E240" s="39"/>
      <c r="F240" s="103"/>
      <c r="G240" s="32">
        <f t="shared" si="14"/>
        <v>0</v>
      </c>
      <c r="H240" s="39"/>
      <c r="I240" s="39"/>
      <c r="J240" s="32">
        <f t="shared" si="15"/>
        <v>0</v>
      </c>
      <c r="K240" s="54">
        <v>289538</v>
      </c>
      <c r="L240" s="104"/>
      <c r="M240" s="104">
        <f>L240+K240</f>
        <v>289538</v>
      </c>
      <c r="N240" s="7">
        <f t="shared" si="16"/>
        <v>289.5</v>
      </c>
    </row>
    <row r="241" spans="1:14" s="37" customFormat="1" ht="30.75" customHeight="1">
      <c r="A241" s="35" t="s">
        <v>75</v>
      </c>
      <c r="B241" s="35" t="s">
        <v>1</v>
      </c>
      <c r="C241" s="35" t="s">
        <v>48</v>
      </c>
      <c r="D241" s="36" t="s">
        <v>17</v>
      </c>
      <c r="E241" s="36"/>
      <c r="F241" s="101"/>
      <c r="G241" s="32">
        <f t="shared" si="14"/>
        <v>0</v>
      </c>
      <c r="H241" s="36"/>
      <c r="I241" s="36"/>
      <c r="J241" s="32">
        <f t="shared" si="15"/>
        <v>0</v>
      </c>
      <c r="K241" s="19">
        <f>18557000-160000+529155</f>
        <v>18926155</v>
      </c>
      <c r="L241" s="102"/>
      <c r="M241" s="102">
        <f t="shared" si="13"/>
        <v>18926155</v>
      </c>
      <c r="N241" s="16">
        <f>ROUND(M241/1000,1)+160</f>
        <v>19086.2</v>
      </c>
    </row>
    <row r="242" spans="1:14" s="37" customFormat="1" ht="35.25" customHeight="1">
      <c r="A242" s="30" t="s">
        <v>325</v>
      </c>
      <c r="B242" s="62"/>
      <c r="C242" s="62"/>
      <c r="D242" s="3" t="s">
        <v>324</v>
      </c>
      <c r="E242" s="3"/>
      <c r="F242" s="3"/>
      <c r="G242" s="32">
        <f t="shared" si="14"/>
        <v>0</v>
      </c>
      <c r="H242" s="3"/>
      <c r="I242" s="3"/>
      <c r="J242" s="32">
        <f t="shared" si="15"/>
        <v>0</v>
      </c>
      <c r="K242" s="33">
        <f>K243</f>
        <v>140000</v>
      </c>
      <c r="L242" s="33">
        <f>L243</f>
        <v>0</v>
      </c>
      <c r="M242" s="33">
        <f>M243</f>
        <v>140000</v>
      </c>
      <c r="N242" s="8">
        <f>N243</f>
        <v>140</v>
      </c>
    </row>
    <row r="243" spans="1:14" s="37" customFormat="1" ht="35.25" customHeight="1">
      <c r="A243" s="35" t="s">
        <v>326</v>
      </c>
      <c r="B243" s="35" t="s">
        <v>327</v>
      </c>
      <c r="C243" s="35" t="s">
        <v>52</v>
      </c>
      <c r="D243" s="36" t="s">
        <v>328</v>
      </c>
      <c r="E243" s="36"/>
      <c r="F243" s="36"/>
      <c r="G243" s="32">
        <f t="shared" si="14"/>
        <v>0</v>
      </c>
      <c r="H243" s="36"/>
      <c r="I243" s="36"/>
      <c r="J243" s="32">
        <f t="shared" si="15"/>
        <v>0</v>
      </c>
      <c r="K243" s="19">
        <v>140000</v>
      </c>
      <c r="L243" s="19"/>
      <c r="M243" s="19">
        <f t="shared" si="13"/>
        <v>140000</v>
      </c>
      <c r="N243" s="16">
        <f t="shared" si="16"/>
        <v>140</v>
      </c>
    </row>
    <row r="244" spans="1:14" s="34" customFormat="1" ht="44.25" customHeight="1">
      <c r="A244" s="30" t="s">
        <v>114</v>
      </c>
      <c r="B244" s="62"/>
      <c r="C244" s="62"/>
      <c r="D244" s="3" t="s">
        <v>24</v>
      </c>
      <c r="E244" s="3"/>
      <c r="F244" s="3"/>
      <c r="G244" s="32">
        <f t="shared" si="14"/>
        <v>0</v>
      </c>
      <c r="H244" s="3"/>
      <c r="I244" s="3"/>
      <c r="J244" s="32">
        <f t="shared" si="15"/>
        <v>0</v>
      </c>
      <c r="K244" s="33">
        <f>K245</f>
        <v>40000</v>
      </c>
      <c r="L244" s="33">
        <f>L245</f>
        <v>0</v>
      </c>
      <c r="M244" s="33">
        <f>M245</f>
        <v>40000</v>
      </c>
      <c r="N244" s="8">
        <f>N245</f>
        <v>40</v>
      </c>
    </row>
    <row r="245" spans="1:14" s="44" customFormat="1" ht="48" customHeight="1">
      <c r="A245" s="35" t="s">
        <v>115</v>
      </c>
      <c r="B245" s="35" t="s">
        <v>58</v>
      </c>
      <c r="C245" s="35" t="s">
        <v>26</v>
      </c>
      <c r="D245" s="36" t="s">
        <v>59</v>
      </c>
      <c r="E245" s="36"/>
      <c r="F245" s="36"/>
      <c r="G245" s="32">
        <f t="shared" si="14"/>
        <v>0</v>
      </c>
      <c r="H245" s="36"/>
      <c r="I245" s="36"/>
      <c r="J245" s="32">
        <f t="shared" si="15"/>
        <v>0</v>
      </c>
      <c r="K245" s="19">
        <v>40000</v>
      </c>
      <c r="L245" s="19"/>
      <c r="M245" s="19">
        <f t="shared" si="13"/>
        <v>40000</v>
      </c>
      <c r="N245" s="16">
        <f t="shared" si="16"/>
        <v>40</v>
      </c>
    </row>
    <row r="246" spans="1:14" s="34" customFormat="1" ht="39.75" customHeight="1">
      <c r="A246" s="30" t="s">
        <v>116</v>
      </c>
      <c r="B246" s="30"/>
      <c r="C246" s="30"/>
      <c r="D246" s="3" t="s">
        <v>22</v>
      </c>
      <c r="E246" s="3"/>
      <c r="F246" s="3"/>
      <c r="G246" s="32">
        <f t="shared" si="14"/>
        <v>0</v>
      </c>
      <c r="H246" s="3"/>
      <c r="I246" s="3"/>
      <c r="J246" s="32">
        <f t="shared" si="15"/>
        <v>0</v>
      </c>
      <c r="K246" s="33">
        <f>K247+K248+K249+K250</f>
        <v>273500</v>
      </c>
      <c r="L246" s="33">
        <f>L247+L248+L249+L250</f>
        <v>0</v>
      </c>
      <c r="M246" s="33">
        <f>M247+M248+M249+M250</f>
        <v>273500</v>
      </c>
      <c r="N246" s="8">
        <f>N247+N248+N249+N250</f>
        <v>273.5</v>
      </c>
    </row>
    <row r="247" spans="1:14" s="34" customFormat="1" ht="51" customHeight="1">
      <c r="A247" s="35" t="s">
        <v>117</v>
      </c>
      <c r="B247" s="35" t="s">
        <v>58</v>
      </c>
      <c r="C247" s="35" t="s">
        <v>26</v>
      </c>
      <c r="D247" s="36" t="s">
        <v>59</v>
      </c>
      <c r="E247" s="36"/>
      <c r="F247" s="36"/>
      <c r="G247" s="32">
        <f t="shared" si="14"/>
        <v>0</v>
      </c>
      <c r="H247" s="36"/>
      <c r="I247" s="36"/>
      <c r="J247" s="32">
        <f t="shared" si="15"/>
        <v>0</v>
      </c>
      <c r="K247" s="19">
        <f>150000-130500</f>
        <v>19500</v>
      </c>
      <c r="L247" s="19"/>
      <c r="M247" s="19">
        <f t="shared" si="13"/>
        <v>19500</v>
      </c>
      <c r="N247" s="16">
        <f t="shared" si="16"/>
        <v>19.5</v>
      </c>
    </row>
    <row r="248" spans="1:14" s="37" customFormat="1" ht="30" customHeight="1">
      <c r="A248" s="45" t="s">
        <v>129</v>
      </c>
      <c r="B248" s="45" t="s">
        <v>130</v>
      </c>
      <c r="C248" s="45" t="s">
        <v>47</v>
      </c>
      <c r="D248" s="36" t="s">
        <v>133</v>
      </c>
      <c r="E248" s="36"/>
      <c r="F248" s="36"/>
      <c r="G248" s="32">
        <f t="shared" si="14"/>
        <v>0</v>
      </c>
      <c r="H248" s="36"/>
      <c r="I248" s="36"/>
      <c r="J248" s="32">
        <f t="shared" si="15"/>
        <v>0</v>
      </c>
      <c r="K248" s="19">
        <f>25000+25000</f>
        <v>50000</v>
      </c>
      <c r="L248" s="19"/>
      <c r="M248" s="19">
        <f t="shared" si="13"/>
        <v>50000</v>
      </c>
      <c r="N248" s="16">
        <f t="shared" si="16"/>
        <v>50</v>
      </c>
    </row>
    <row r="249" spans="1:14" s="37" customFormat="1" ht="57.75" customHeight="1">
      <c r="A249" s="45" t="s">
        <v>131</v>
      </c>
      <c r="B249" s="45" t="s">
        <v>132</v>
      </c>
      <c r="C249" s="45" t="s">
        <v>47</v>
      </c>
      <c r="D249" s="36" t="s">
        <v>134</v>
      </c>
      <c r="E249" s="36"/>
      <c r="F249" s="36"/>
      <c r="G249" s="32">
        <f t="shared" si="14"/>
        <v>0</v>
      </c>
      <c r="H249" s="36"/>
      <c r="I249" s="36"/>
      <c r="J249" s="32">
        <f t="shared" si="15"/>
        <v>0</v>
      </c>
      <c r="K249" s="19">
        <v>25000</v>
      </c>
      <c r="L249" s="19"/>
      <c r="M249" s="19">
        <f t="shared" si="13"/>
        <v>25000</v>
      </c>
      <c r="N249" s="16">
        <f t="shared" si="16"/>
        <v>25</v>
      </c>
    </row>
    <row r="250" spans="1:14" s="37" customFormat="1" ht="47.25" customHeight="1">
      <c r="A250" s="45" t="s">
        <v>266</v>
      </c>
      <c r="B250" s="45" t="s">
        <v>267</v>
      </c>
      <c r="C250" s="45" t="s">
        <v>25</v>
      </c>
      <c r="D250" s="47" t="s">
        <v>359</v>
      </c>
      <c r="E250" s="36"/>
      <c r="F250" s="36"/>
      <c r="G250" s="32">
        <f t="shared" si="14"/>
        <v>0</v>
      </c>
      <c r="H250" s="36"/>
      <c r="I250" s="36"/>
      <c r="J250" s="32">
        <f t="shared" si="15"/>
        <v>0</v>
      </c>
      <c r="K250" s="19">
        <v>179000</v>
      </c>
      <c r="L250" s="19"/>
      <c r="M250" s="19">
        <f t="shared" si="13"/>
        <v>179000</v>
      </c>
      <c r="N250" s="16">
        <f t="shared" si="16"/>
        <v>179</v>
      </c>
    </row>
    <row r="251" spans="1:14" s="34" customFormat="1" ht="34.5" customHeight="1">
      <c r="A251" s="30" t="s">
        <v>118</v>
      </c>
      <c r="B251" s="30"/>
      <c r="C251" s="30"/>
      <c r="D251" s="3" t="s">
        <v>23</v>
      </c>
      <c r="E251" s="3"/>
      <c r="F251" s="3"/>
      <c r="G251" s="32">
        <f t="shared" si="14"/>
        <v>0</v>
      </c>
      <c r="H251" s="3"/>
      <c r="I251" s="3"/>
      <c r="J251" s="32">
        <f t="shared" si="15"/>
        <v>0</v>
      </c>
      <c r="K251" s="33">
        <f>K252+K253</f>
        <v>575800</v>
      </c>
      <c r="L251" s="33">
        <f>L252+L253</f>
        <v>0</v>
      </c>
      <c r="M251" s="33">
        <f>M252+M253</f>
        <v>575800</v>
      </c>
      <c r="N251" s="8">
        <f>N252+N253</f>
        <v>575.8</v>
      </c>
    </row>
    <row r="252" spans="1:14" s="37" customFormat="1" ht="51.75" customHeight="1">
      <c r="A252" s="35" t="s">
        <v>119</v>
      </c>
      <c r="B252" s="35" t="s">
        <v>58</v>
      </c>
      <c r="C252" s="35" t="s">
        <v>26</v>
      </c>
      <c r="D252" s="36" t="s">
        <v>59</v>
      </c>
      <c r="E252" s="36"/>
      <c r="F252" s="36"/>
      <c r="G252" s="32">
        <f t="shared" si="14"/>
        <v>0</v>
      </c>
      <c r="H252" s="36"/>
      <c r="I252" s="36"/>
      <c r="J252" s="32">
        <f t="shared" si="15"/>
        <v>0</v>
      </c>
      <c r="K252" s="19">
        <f>184000-123000</f>
        <v>61000</v>
      </c>
      <c r="L252" s="19"/>
      <c r="M252" s="19">
        <f t="shared" si="13"/>
        <v>61000</v>
      </c>
      <c r="N252" s="16">
        <f t="shared" si="16"/>
        <v>61</v>
      </c>
    </row>
    <row r="253" spans="1:14" s="37" customFormat="1" ht="27" customHeight="1">
      <c r="A253" s="35" t="s">
        <v>216</v>
      </c>
      <c r="B253" s="35" t="s">
        <v>217</v>
      </c>
      <c r="C253" s="35" t="s">
        <v>25</v>
      </c>
      <c r="D253" s="36" t="s">
        <v>218</v>
      </c>
      <c r="E253" s="36"/>
      <c r="F253" s="36"/>
      <c r="G253" s="32">
        <f t="shared" si="14"/>
        <v>0</v>
      </c>
      <c r="H253" s="36"/>
      <c r="I253" s="36"/>
      <c r="J253" s="32">
        <f t="shared" si="15"/>
        <v>0</v>
      </c>
      <c r="K253" s="19">
        <v>514800</v>
      </c>
      <c r="L253" s="19"/>
      <c r="M253" s="19">
        <f>K253+L253</f>
        <v>514800</v>
      </c>
      <c r="N253" s="16">
        <f t="shared" si="16"/>
        <v>514.8</v>
      </c>
    </row>
    <row r="254" spans="1:14" s="34" customFormat="1" ht="29.25" customHeight="1">
      <c r="A254" s="105"/>
      <c r="B254" s="62"/>
      <c r="C254" s="62"/>
      <c r="D254" s="3" t="s">
        <v>403</v>
      </c>
      <c r="E254" s="3"/>
      <c r="F254" s="3"/>
      <c r="G254" s="32">
        <f t="shared" si="14"/>
        <v>0</v>
      </c>
      <c r="H254" s="3"/>
      <c r="I254" s="3"/>
      <c r="J254" s="32">
        <f t="shared" si="15"/>
        <v>0</v>
      </c>
      <c r="K254" s="33" t="e">
        <f>K17+K40+K55+K64+K73+K80+K135+K137+K242+K244+K246+K251</f>
        <v>#REF!</v>
      </c>
      <c r="L254" s="33" t="e">
        <f>L17+L40+L55+L64+L73+L80+L135+L137+L242+L244+L246+L251</f>
        <v>#REF!</v>
      </c>
      <c r="M254" s="33" t="e">
        <f>M17+M40+M55+M64+M73+M80+M135+M137+M242+M244+M246+M251</f>
        <v>#REF!</v>
      </c>
      <c r="N254" s="8">
        <f>N17+N40+N55+N64+N73+N80+N135+N137+N242+N244+N246+N251</f>
        <v>462648.69999999995</v>
      </c>
    </row>
    <row r="255" spans="1:14" ht="27.75" customHeight="1">
      <c r="A255" s="106"/>
      <c r="B255" s="107"/>
      <c r="C255" s="107"/>
      <c r="D255" s="4" t="s">
        <v>404</v>
      </c>
      <c r="E255" s="108"/>
      <c r="F255" s="108"/>
      <c r="G255" s="32">
        <f t="shared" si="14"/>
        <v>0</v>
      </c>
      <c r="H255" s="108"/>
      <c r="I255" s="108"/>
      <c r="J255" s="32">
        <f t="shared" si="15"/>
        <v>0</v>
      </c>
      <c r="K255" s="33"/>
      <c r="L255" s="33"/>
      <c r="M255" s="33"/>
      <c r="N255" s="6">
        <v>6084.1</v>
      </c>
    </row>
    <row r="256" spans="1:14" ht="27.75" customHeight="1">
      <c r="A256" s="106"/>
      <c r="B256" s="107"/>
      <c r="C256" s="107"/>
      <c r="D256" s="4" t="s">
        <v>405</v>
      </c>
      <c r="E256" s="108"/>
      <c r="F256" s="108"/>
      <c r="G256" s="32">
        <f t="shared" si="14"/>
        <v>0</v>
      </c>
      <c r="H256" s="108"/>
      <c r="I256" s="108"/>
      <c r="J256" s="32">
        <f t="shared" si="15"/>
        <v>0</v>
      </c>
      <c r="K256" s="109"/>
      <c r="L256" s="109"/>
      <c r="M256" s="109"/>
      <c r="N256" s="6">
        <v>73.4</v>
      </c>
    </row>
    <row r="257" spans="1:14" ht="27.75" customHeight="1">
      <c r="A257" s="106"/>
      <c r="B257" s="107"/>
      <c r="C257" s="107"/>
      <c r="D257" s="5" t="s">
        <v>148</v>
      </c>
      <c r="E257" s="108"/>
      <c r="F257" s="108"/>
      <c r="G257" s="32">
        <f t="shared" si="14"/>
        <v>0</v>
      </c>
      <c r="H257" s="108"/>
      <c r="I257" s="108"/>
      <c r="J257" s="32">
        <f t="shared" si="15"/>
        <v>0</v>
      </c>
      <c r="K257" s="110"/>
      <c r="L257" s="111"/>
      <c r="M257" s="111"/>
      <c r="N257" s="7">
        <v>73.4</v>
      </c>
    </row>
    <row r="258" spans="1:11" ht="20.25">
      <c r="A258" s="132"/>
      <c r="B258" s="132"/>
      <c r="C258" s="132"/>
      <c r="D258" s="132"/>
      <c r="E258" s="132"/>
      <c r="F258" s="14"/>
      <c r="G258" s="14"/>
      <c r="H258" s="14"/>
      <c r="I258" s="133"/>
      <c r="J258" s="133"/>
      <c r="K258" s="133"/>
    </row>
    <row r="259" spans="1:11" ht="20.25">
      <c r="A259" s="23"/>
      <c r="K259" s="112"/>
    </row>
    <row r="260" spans="1:11" ht="22.5" customHeight="1">
      <c r="A260" s="23"/>
      <c r="K260" s="112"/>
    </row>
    <row r="261" spans="1:11" ht="27">
      <c r="A261" s="113"/>
      <c r="B261" s="114"/>
      <c r="C261" s="115"/>
      <c r="D261" s="119" t="s">
        <v>415</v>
      </c>
      <c r="E261" s="116"/>
      <c r="F261" s="116"/>
      <c r="G261" s="116"/>
      <c r="H261" s="116"/>
      <c r="I261" s="117"/>
      <c r="J261" s="125" t="s">
        <v>416</v>
      </c>
      <c r="K261" s="9"/>
    </row>
    <row r="262" spans="4:14" ht="27.75" customHeight="1">
      <c r="D262" s="120"/>
      <c r="N262" s="121"/>
    </row>
    <row r="263" ht="27.75" customHeight="1">
      <c r="D263" s="126" t="s">
        <v>417</v>
      </c>
    </row>
    <row r="264" ht="27.75" customHeight="1">
      <c r="D264" s="24" t="s">
        <v>418</v>
      </c>
    </row>
    <row r="265" ht="27.75" customHeight="1"/>
    <row r="266" ht="27.75" customHeight="1"/>
    <row r="267" ht="27.75" customHeight="1"/>
    <row r="268" ht="27.75" customHeight="1"/>
    <row r="269" ht="27.75" customHeight="1"/>
  </sheetData>
  <sheetProtection/>
  <mergeCells count="23">
    <mergeCell ref="G5:N5"/>
    <mergeCell ref="G7:N7"/>
    <mergeCell ref="E13:E15"/>
    <mergeCell ref="F13:F15"/>
    <mergeCell ref="G13:G15"/>
    <mergeCell ref="G1:N1"/>
    <mergeCell ref="A10:N10"/>
    <mergeCell ref="D11:N11"/>
    <mergeCell ref="J13:J15"/>
    <mergeCell ref="N13:N15"/>
    <mergeCell ref="M13:M15"/>
    <mergeCell ref="K13:K15"/>
    <mergeCell ref="L13:L15"/>
    <mergeCell ref="G2:N2"/>
    <mergeCell ref="G3:N3"/>
    <mergeCell ref="A258:E258"/>
    <mergeCell ref="I258:K258"/>
    <mergeCell ref="A13:A15"/>
    <mergeCell ref="B13:B15"/>
    <mergeCell ref="C13:C15"/>
    <mergeCell ref="I13:I15"/>
    <mergeCell ref="D13:D15"/>
    <mergeCell ref="H13:H15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18" fitToWidth="1" horizontalDpi="600" verticalDpi="600" orientation="landscape" paperSize="9" scale="55" r:id="rId1"/>
  <headerFooter alignWithMargins="0">
    <oddHeader>&amp;R&amp;22
</oddHeader>
  </headerFooter>
  <rowBreaks count="6" manualBreakCount="6">
    <brk id="72" max="13" man="1"/>
    <brk id="88" max="13" man="1"/>
    <brk id="149" max="13" man="1"/>
    <brk id="172" max="13" man="1"/>
    <brk id="214" max="13" man="1"/>
    <brk id="2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2018-04-26T12:59:08Z</cp:lastPrinted>
  <dcterms:created xsi:type="dcterms:W3CDTF">2014-01-17T10:52:16Z</dcterms:created>
  <dcterms:modified xsi:type="dcterms:W3CDTF">2018-04-26T12:59:39Z</dcterms:modified>
  <cp:category/>
  <cp:version/>
  <cp:contentType/>
  <cp:contentStatus/>
</cp:coreProperties>
</file>