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5" windowWidth="12390" windowHeight="8955" tabRatio="246" activeTab="0"/>
  </bookViews>
  <sheets>
    <sheet name="dodatok" sheetId="1" r:id="rId1"/>
  </sheets>
  <definedNames>
    <definedName name="_xlfn.AGGREGATE" hidden="1">#NAME?</definedName>
    <definedName name="_xlnm.Print_Titles" localSheetId="0">'dodatok'!$16:$16</definedName>
    <definedName name="_xlnm.Print_Area" localSheetId="0">'dodatok'!$A$1:$N$275</definedName>
  </definedNames>
  <calcPr fullCalcOnLoad="1"/>
</workbook>
</file>

<file path=xl/sharedStrings.xml><?xml version="1.0" encoding="utf-8"?>
<sst xmlns="http://schemas.openxmlformats.org/spreadsheetml/2006/main" count="665" uniqueCount="439">
  <si>
    <t>1410160</t>
  </si>
  <si>
    <t>7640</t>
  </si>
  <si>
    <t>7420</t>
  </si>
  <si>
    <t>7426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</si>
  <si>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</si>
  <si>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</si>
  <si>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</si>
  <si>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</si>
  <si>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Інші заходи у сфері електротранспорту</t>
  </si>
  <si>
    <t>Утримання та навчально-тренувальна робота комунальних дитячо-юнацьких спортивних шкіл</t>
  </si>
  <si>
    <t>Управління  освіти і науки Сумської міської ради</t>
  </si>
  <si>
    <t xml:space="preserve">Відділ охорони здоров’я Сумської міської ради  </t>
  </si>
  <si>
    <t>Багатопрофільна стаціонарна медична допомога населенню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</si>
  <si>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</si>
  <si>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</si>
  <si>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</si>
  <si>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</si>
  <si>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</si>
  <si>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</si>
  <si>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</si>
  <si>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</si>
  <si>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</si>
  <si>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</si>
  <si>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</si>
  <si>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</si>
  <si>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</si>
  <si>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</si>
  <si>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</si>
  <si>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</si>
  <si>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</si>
  <si>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</si>
  <si>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</si>
  <si>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</si>
  <si>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</si>
  <si>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</si>
  <si>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</si>
  <si>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</si>
  <si>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</si>
  <si>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</si>
  <si>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</si>
  <si>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</si>
  <si>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</si>
  <si>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</si>
  <si>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</si>
  <si>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</si>
  <si>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</si>
  <si>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</si>
  <si>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</si>
  <si>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</si>
  <si>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</si>
  <si>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</si>
  <si>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</si>
  <si>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</si>
  <si>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</si>
  <si>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</si>
  <si>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</si>
  <si>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</si>
  <si>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</si>
  <si>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</si>
  <si>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</si>
  <si>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</si>
  <si>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</si>
  <si>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</si>
  <si>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</si>
  <si>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</si>
  <si>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</si>
  <si>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</si>
  <si>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</si>
  <si>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</si>
  <si>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</si>
  <si>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</si>
  <si>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</si>
  <si>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</si>
  <si>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</si>
  <si>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</si>
  <si>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</si>
  <si>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</si>
  <si>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</si>
  <si>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</si>
  <si>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</si>
  <si>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</si>
  <si>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</si>
  <si>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</si>
  <si>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</si>
  <si>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</si>
  <si>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0217420</t>
  </si>
  <si>
    <t>0217670</t>
  </si>
  <si>
    <t>0610000</t>
  </si>
  <si>
    <t>0610160</t>
  </si>
  <si>
    <t>0611010</t>
  </si>
  <si>
    <t>0611020</t>
  </si>
  <si>
    <t>0615030</t>
  </si>
  <si>
    <t>0615031</t>
  </si>
  <si>
    <t>0617640</t>
  </si>
  <si>
    <t>0710000</t>
  </si>
  <si>
    <t>0712010</t>
  </si>
  <si>
    <t>0717640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</si>
  <si>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</si>
  <si>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</si>
  <si>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</si>
  <si>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</si>
  <si>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</si>
  <si>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</si>
  <si>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</si>
  <si>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</si>
  <si>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</si>
  <si>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</si>
  <si>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</si>
  <si>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</si>
  <si>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</si>
  <si>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</si>
  <si>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</si>
  <si>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</si>
  <si>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</si>
  <si>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</si>
  <si>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</si>
  <si>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3110000</t>
  </si>
  <si>
    <t>3110160</t>
  </si>
  <si>
    <t>3710000</t>
  </si>
  <si>
    <t>3710160</t>
  </si>
  <si>
    <t>1011100</t>
  </si>
  <si>
    <t>0611070</t>
  </si>
  <si>
    <t>0611090</t>
  </si>
  <si>
    <t>0611160</t>
  </si>
  <si>
    <t>1160</t>
  </si>
  <si>
    <t>0217426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</si>
  <si>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</si>
  <si>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</si>
  <si>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</si>
  <si>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</si>
  <si>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</si>
  <si>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</si>
  <si>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</si>
  <si>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</si>
  <si>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</si>
  <si>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</si>
  <si>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</si>
  <si>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</si>
  <si>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</si>
  <si>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</si>
  <si>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</si>
  <si>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</si>
  <si>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</si>
  <si>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</si>
  <si>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</si>
  <si>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</si>
  <si>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доріг та ліній освітлення 12 МР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</si>
  <si>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</si>
  <si>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</si>
  <si>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</si>
  <si>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</si>
  <si>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</si>
  <si>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</si>
  <si>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</si>
  <si>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</si>
  <si>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</si>
  <si>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</si>
  <si>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</si>
  <si>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</si>
  <si>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</si>
  <si>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</si>
  <si>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</si>
  <si>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</si>
  <si>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t>Будівництво кладовища в районі 40-ї підстанції</t>
  </si>
  <si>
    <t>Полігон для складування твердих побутових відходів на території В. Бобрицької сільської ради Краснопільського району (3 черга)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</si>
  <si>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</si>
  <si>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</si>
  <si>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</si>
  <si>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</si>
  <si>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</si>
  <si>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</si>
  <si>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</si>
  <si>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</si>
  <si>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</si>
  <si>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</si>
  <si>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</si>
  <si>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</si>
  <si>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</si>
  <si>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</si>
  <si>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</si>
  <si>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</si>
  <si>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</si>
  <si>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</si>
  <si>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</si>
  <si>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</si>
  <si>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</si>
  <si>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</si>
  <si>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</si>
  <si>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</si>
  <si>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</si>
  <si>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10 по вул. СКД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</si>
  <si>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</si>
  <si>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1/1 по вул. Харківська</t>
  </si>
  <si>
    <t>Влаштування пандусів до житлового будинку      № 144/2 по вул. Герасима Кондратьєва</t>
  </si>
  <si>
    <t>Влаштування пандусів до житлового будинку      № 8 по вул. Інтернаціоналістів</t>
  </si>
  <si>
    <t>Влаштування пандусів до житлового будинку      № 33 по вул. Івана Сірка</t>
  </si>
  <si>
    <t>Спортивні майданчики для міні-футболу, бадмінтону для дітей та молоді в ДП «Казка»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</si>
  <si>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</si>
  <si>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</si>
  <si>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</si>
  <si>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</si>
  <si>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</si>
  <si>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</si>
  <si>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</si>
  <si>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</si>
  <si>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</si>
  <si>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</si>
  <si>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</si>
  <si>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</si>
  <si>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</si>
  <si>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</si>
  <si>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</si>
  <si>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</si>
  <si>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0453</t>
  </si>
  <si>
    <t>0813240</t>
  </si>
  <si>
    <t>Інші субвенції з місцевого бюджету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</si>
  <si>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</si>
  <si>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</si>
  <si>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</si>
  <si>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</si>
  <si>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</si>
  <si>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</si>
  <si>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</si>
  <si>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</si>
  <si>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</si>
  <si>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</si>
  <si>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</si>
  <si>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</si>
  <si>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</si>
  <si>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</si>
  <si>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</si>
  <si>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</si>
  <si>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</si>
  <si>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</si>
  <si>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</si>
  <si>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</si>
  <si>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</si>
  <si>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</si>
  <si>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</si>
  <si>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</si>
  <si>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</si>
  <si>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</si>
  <si>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</si>
  <si>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</si>
  <si>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</si>
  <si>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</si>
  <si>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</si>
  <si>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</si>
  <si>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</si>
  <si>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</si>
  <si>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</si>
  <si>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</si>
  <si>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</si>
  <si>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</si>
  <si>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</si>
  <si>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</si>
  <si>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</si>
  <si>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</si>
  <si>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</si>
  <si>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</si>
  <si>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</si>
  <si>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</si>
  <si>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</si>
  <si>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</si>
  <si>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</si>
  <si>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</si>
  <si>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</si>
  <si>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</si>
  <si>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</si>
  <si>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</si>
  <si>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</si>
  <si>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</si>
  <si>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</si>
  <si>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</si>
  <si>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</si>
  <si>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</si>
  <si>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</si>
  <si>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</si>
  <si>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</si>
  <si>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</si>
  <si>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</si>
  <si>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</si>
  <si>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Реконструкція каналізаційного залізобетонного самотічного колектора Д-600-1000, який проходить по вул. Пушкіна, Садова, Засумська та Ярослава Мудрого (Пролетарська) до КНС 2 від вул. Степана Бандери (Баумана)  до вул. Лугової (коригування)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</si>
  <si>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</si>
  <si>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</si>
  <si>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</si>
  <si>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</si>
  <si>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</si>
  <si>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</si>
  <si>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</si>
  <si>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</si>
  <si>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харчоблоку КУ «Сумська спеціалізована школа І ступеня № 30 «Унікум» по вул. Рибалка, 7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</si>
  <si>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</si>
  <si>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</si>
  <si>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</si>
  <si>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</si>
  <si>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</si>
  <si>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</si>
  <si>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</si>
  <si>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</si>
  <si>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</si>
  <si>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</si>
  <si>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</si>
  <si>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</si>
  <si>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</si>
  <si>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</si>
  <si>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</si>
  <si>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</si>
  <si>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</si>
  <si>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Будівництво каналізації фекальної по                      вул. Нижньолепехівській, вул. Лепехівській, вул. Ново-Лепехівській, вул. Андрія Шептицького, вул. Жуковського,                            вул. Косівщинській,  вул. Нахімова,                                 вул. Дарвіна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</si>
  <si>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</si>
  <si>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</si>
  <si>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</si>
  <si>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</si>
  <si>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</si>
  <si>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</si>
  <si>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</si>
  <si>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</si>
  <si>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</si>
  <si>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</si>
  <si>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</si>
  <si>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1-го поверху КУ «ССШ № 3» по вул. 20 років Перемоги,9</t>
  </si>
  <si>
    <t>Управління архітектури та містобудування Сумської міської ради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</si>
  <si>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</si>
  <si>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</si>
  <si>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</si>
  <si>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</si>
  <si>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Реконструкція хлорного господарства на очисних спорудах м. Суми з переведенням на гіпохлорит натрію</t>
  </si>
  <si>
    <t>Влаштування пандуса до житлового будинку      № 20 по вул. Пушкіна</t>
  </si>
  <si>
    <t>Влаштування пандуса до житлового будинку      № 29 по вул. М.Лушпи</t>
  </si>
  <si>
    <t>Влаштування пандуса до житлового будинку      № 31 по вул. Холодногірська</t>
  </si>
  <si>
    <t>0219770</t>
  </si>
  <si>
    <t>Реконструкція кабельної лінії до опор по вул. Героїв Сумщини</t>
  </si>
  <si>
    <t xml:space="preserve">Будівництво дитячого майданчика на території ДНЗ № 25 «Білосніжка» по вул. Лесі Українки, 2/1 </t>
  </si>
  <si>
    <t>Будівництво свердловини №15 на нижню крейду з розширеним контуром на Лепехівському водозаборі м.Суми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</si>
  <si>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</si>
  <si>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Будівництво огородження території І поясу  зони санітарної охорони  водозабору та окремо збудованих  свердловин  на  Ново-Оболонському  водозаборі в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</si>
  <si>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</si>
  <si>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Реконструкція каналізаційного залізобетонного самотічного колектора Д=1000 мм, який проходить по яру між               пров. Степана Тимошенка (пров. Урицького) та вул. Панфілова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</si>
  <si>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</si>
  <si>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</si>
  <si>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</si>
  <si>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</si>
  <si>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</si>
  <si>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</si>
  <si>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</si>
  <si>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</si>
  <si>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</si>
  <si>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</si>
  <si>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</si>
  <si>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</si>
  <si>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</si>
  <si>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</si>
  <si>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</si>
  <si>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</si>
  <si>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</si>
  <si>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</si>
  <si>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</si>
  <si>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</si>
  <si>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</si>
  <si>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</si>
  <si>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</si>
  <si>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</si>
  <si>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</si>
  <si>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Реконструкція аварійного самотічного  колектора Д-400 по вул. Білопільський шлях від КНС-4 до району Тепличного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</si>
  <si>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</si>
  <si>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</si>
  <si>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</si>
  <si>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r>
      <t>Реконструкція дороги від Пришибської площі до вул. Прокоф</t>
    </r>
    <r>
      <rPr>
        <sz val="16"/>
        <rFont val="Arial Cyr"/>
        <family val="0"/>
      </rPr>
      <t>'</t>
    </r>
    <r>
      <rPr>
        <sz val="16"/>
        <rFont val="Times New Roman"/>
        <family val="1"/>
      </rPr>
      <t>єва з влаштуванням зливової каналізації</t>
    </r>
  </si>
  <si>
    <t>Здійснення соціальної роботи з вразливими категоріями населення, в т.ч.:</t>
  </si>
  <si>
    <t>Iншi заклади та заходи в галузі культури і мистецтва, в т.ч.:</t>
  </si>
  <si>
    <t>Проведення спортивної роботи в регіоні, в т.ч.:</t>
  </si>
  <si>
    <t>Розвиток дитячо-юнацького та резервного спорту, в т.ч.:</t>
  </si>
  <si>
    <t>Інші заходи з розвитку фізичної культури та спорту, в т.ч.:</t>
  </si>
  <si>
    <t>Забезпечення надання послуг з перевезення пасажирів електротранспортом, в т.ч.:</t>
  </si>
  <si>
    <t>Внески до статутного капіталу суб’єктів господарювання, в т.ч.:</t>
  </si>
  <si>
    <t>Інші програми, заклади та заходи у сфері освіти, в т.ч.:</t>
  </si>
  <si>
    <t xml:space="preserve">Виконання інвестиційних проектів, в т.ч.: </t>
  </si>
  <si>
    <t>Первинна медична допомога населенню, в т.ч.: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</si>
  <si>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громадян, в т.ч.: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</si>
  <si>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обслуговування, в т.ч.:</t>
  </si>
  <si>
    <t xml:space="preserve">Інші заклади та заходи, в т.ч.: </t>
  </si>
  <si>
    <t>Утримання та ефективна експлуатація об’єктів житлово-комунального господарства, в т.ч.:</t>
  </si>
  <si>
    <t>Будівництво  зливної каналізації по вул. Косівщинській, вул. Кавалерідзе, вул. Нахімова, вул. Дарвіна, вул. Жуковського, вул. Макаренка</t>
  </si>
  <si>
    <t>Будівництво каналізації фекальної по вул. Нижньолепехівській, вул. Лепехівській, вул. Ново-Лепехівській, вул. Андрія Шептицького, вул. Жуковського, вул. Косівщинській,  вул. Нахімова, вул. Дарвіна</t>
  </si>
  <si>
    <t>Влаштування пандусів до житлового будинку № 8 по вул. Інтернаціоналістів</t>
  </si>
  <si>
    <t>Влаштування пандусів до житлового будинку № 25 по вул. Інтернаціоналістів</t>
  </si>
  <si>
    <t>Влаштування пандусів до житлового будинку № 65/Б по вул. Інтернаціоналістів</t>
  </si>
  <si>
    <t>Влаштування пандусів до житлового будинку № 33 по вул. Івана Сірка</t>
  </si>
  <si>
    <t>Влаштування пандусів до житлового будинку № 10 по вул. СКД</t>
  </si>
  <si>
    <t>Влаштування пандусів до житлового будинку № 1/1 по вул. Харківська</t>
  </si>
  <si>
    <t>Влаштування пандусів до житлового будинку № 144/2 по вул. Герасима Кондратьєва</t>
  </si>
  <si>
    <t>Влаштування пандусів до житлового будинку № 2/6 по вул. Котляревського</t>
  </si>
  <si>
    <t>Влаштування пандуса до житлового будинку № 20 по вул. Пушкіна</t>
  </si>
  <si>
    <t>Влаштування пандуса до житлового будинку № 29 по вул. М.Лушпи</t>
  </si>
  <si>
    <t>Влаштування пандуса до житлового будинку № 31 по вул. Холодногірська</t>
  </si>
  <si>
    <t>Реконструкція каналізаційного залізобетонного самотічного колектора Д=1000 мм, який проходить по яру між пров. Степана Тимошенка (пров. Урицького) та вул. Панфілова</t>
  </si>
  <si>
    <t>Будівництво об'єктів житлово-комунального господарства, в т.ч.:</t>
  </si>
  <si>
    <t>Будівництво інших об'єктів соціальної та виробничої інфраструктури комунальної власності, в т.ч.:</t>
  </si>
  <si>
    <t>Будівництво міського пляжу в парку ім. І.М. Кожедуба</t>
  </si>
  <si>
    <t>Будівництво скейт-парку в міському парку ім. І.М. Кожедуба</t>
  </si>
  <si>
    <t>Проектування, реставрація та охорона пам'яток архітектури, в т.ч.:</t>
  </si>
  <si>
    <t>Співфінансування інвестиційних проектів, що реалізуються за рахунок коштів державного фонду регіонального розвитку, в т.ч.:</t>
  </si>
  <si>
    <t xml:space="preserve">Реалізація державних та місцевих житлових програм, в т.ч.: </t>
  </si>
  <si>
    <t>Будівництво об'єктів соціально-культурного призначення, в т.ч.:</t>
  </si>
  <si>
    <t>Будівництво освітніх установ та закладів, в т.ч.:</t>
  </si>
  <si>
    <t>Будівництво медичних установ та закладів, в т.ч.:</t>
  </si>
  <si>
    <t>Будівництво споруд, установ та закладів фізичної культури і спорту, в т.ч.:</t>
  </si>
  <si>
    <t>Будівництво спортивного майданчика по вул. Роменській, 81</t>
  </si>
  <si>
    <t>Будівництво спортивного майданчика по вул. Роменській, 88</t>
  </si>
  <si>
    <t>Будівництво спортивного майданчика по вул. Роменській, 100А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</si>
  <si>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16"/>
        <color indexed="10"/>
        <rFont val="Times New Roman"/>
        <family val="1"/>
      </rPr>
      <t xml:space="preserve"> </t>
    </r>
  </si>
  <si>
    <t>Всього за рахунок коштів бюджету розвитку міського бюджету:</t>
  </si>
  <si>
    <t>Видатки, передбачені на проведення природоохоронних заходів:</t>
  </si>
  <si>
    <t>Утримання та розвиток транспортної інфраструктури, в т.ч.: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</si>
  <si>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(ТПКВКМБ)/Назва об’єктів відповідно  до проектно- кошторисної документації тощо</t>
  </si>
  <si>
    <t>тис. грн.</t>
  </si>
  <si>
    <t>Перелік об'єктів, видатки на які у 2018 році</t>
  </si>
  <si>
    <t>будуть проводитися за рахунок коштів бюджету розвитку та інших коштів міського бюджету</t>
  </si>
  <si>
    <t>Реконструкція підпірної стінки на території Сумської гімназії № 1</t>
  </si>
  <si>
    <t>Інші програми, заклади та заходи у сфері охорони здоров’я, в т.ч.:</t>
  </si>
  <si>
    <t>Інші програми та заходи у сфері охорони здоров’я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</si>
  <si>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</si>
  <si>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Прокоф'єва в м. Суми з переврізкою в збудований напірний колектор</t>
  </si>
  <si>
    <t>Будівництво дитячого майданчика в районі житлового будинку № 51 А по вул. Інтернаціоналістів</t>
  </si>
  <si>
    <t>Будівництво дитячого майданчика в районі ЖК «Зарічний»</t>
  </si>
  <si>
    <t>Будівництво дитячого майданчика в районі житлового будинку № 18 по вул. СКД</t>
  </si>
  <si>
    <t>Сумський міський голова</t>
  </si>
  <si>
    <t>О.М. Лисенко</t>
  </si>
  <si>
    <t>Виконавець: Липова С.А.</t>
  </si>
  <si>
    <t>___________</t>
  </si>
  <si>
    <t xml:space="preserve">до рішення Сумської міської ради «Про внесення змін   до  </t>
  </si>
  <si>
    <t xml:space="preserve">рішення  Сумської  міської   ради  від 21 грудня 2017 року </t>
  </si>
  <si>
    <t xml:space="preserve">№ 2910-МР «Про  Програму   економічного і  соціального </t>
  </si>
  <si>
    <t xml:space="preserve">розвитку   м.  Суми  на  2018 рік   та   основних напрямів </t>
  </si>
  <si>
    <t>розвитку на 2019-2020 роки» (зі змінами)»</t>
  </si>
  <si>
    <t>Реконструкція житлового будинку з влаштуванням пандусу по вул. Харківська, 1/1 (4-й під’їзд)</t>
  </si>
  <si>
    <t>від 23 травня 2018 року  № 3448 - МР</t>
  </si>
  <si>
    <t xml:space="preserve">                                    Додаток  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</si>
</sst>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4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2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56" fillId="0" borderId="7" applyNumberFormat="0" applyFill="0" applyAlignment="0" applyProtection="0"/>
    <xf numFmtId="0" fontId="12" fillId="0" borderId="8" applyNumberFormat="0" applyFill="0" applyAlignment="0" applyProtection="0"/>
    <xf numFmtId="0" fontId="57" fillId="47" borderId="9" applyNumberFormat="0" applyAlignment="0" applyProtection="0"/>
    <xf numFmtId="0" fontId="10" fillId="48" borderId="10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9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" fillId="3" borderId="0" applyNumberFormat="0" applyBorder="0" applyAlignment="0" applyProtection="0"/>
    <xf numFmtId="0" fontId="6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2" fillId="50" borderId="14" applyNumberFormat="0" applyAlignment="0" applyProtection="0"/>
    <xf numFmtId="0" fontId="18" fillId="0" borderId="15" applyNumberFormat="0" applyFill="0" applyAlignment="0" applyProtection="0"/>
    <xf numFmtId="0" fontId="63" fillId="54" borderId="0" applyNumberFormat="0" applyBorder="0" applyAlignment="0" applyProtection="0"/>
    <xf numFmtId="0" fontId="19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62">
    <xf numFmtId="0" fontId="0" fillId="0" borderId="0" xfId="0" applyAlignment="1">
      <alignment/>
    </xf>
    <xf numFmtId="3" fontId="33" fillId="0" borderId="16" xfId="0" applyNumberFormat="1" applyFont="1" applyFill="1" applyBorder="1" applyAlignment="1">
      <alignment horizontal="center" vertical="center"/>
    </xf>
    <xf numFmtId="200" fontId="33" fillId="0" borderId="16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4" fillId="0" borderId="16" xfId="0" applyNumberFormat="1" applyFont="1" applyFill="1" applyBorder="1" applyAlignment="1" applyProtection="1">
      <alignment/>
      <protection/>
    </xf>
    <xf numFmtId="0" fontId="35" fillId="0" borderId="16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200" fontId="34" fillId="0" borderId="16" xfId="0" applyNumberFormat="1" applyFont="1" applyFill="1" applyBorder="1" applyAlignment="1">
      <alignment vertical="center"/>
    </xf>
    <xf numFmtId="200" fontId="35" fillId="0" borderId="16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center"/>
    </xf>
    <xf numFmtId="0" fontId="32" fillId="0" borderId="0" xfId="0" applyNumberFormat="1" applyFont="1" applyFill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 vertical="center" textRotation="180"/>
    </xf>
    <xf numFmtId="0" fontId="31" fillId="0" borderId="0" xfId="0" applyNumberFormat="1" applyFont="1" applyFill="1" applyBorder="1" applyAlignment="1" applyProtection="1">
      <alignment horizontal="center" vertical="top" wrapText="1"/>
      <protection/>
    </xf>
    <xf numFmtId="49" fontId="27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 vertical="top"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4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49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 vertical="center"/>
    </xf>
    <xf numFmtId="49" fontId="34" fillId="0" borderId="16" xfId="0" applyNumberFormat="1" applyFont="1" applyFill="1" applyBorder="1" applyAlignment="1" applyProtection="1">
      <alignment horizontal="center" vertical="center"/>
      <protection/>
    </xf>
    <xf numFmtId="4" fontId="34" fillId="0" borderId="16" xfId="0" applyNumberFormat="1" applyFont="1" applyFill="1" applyBorder="1" applyAlignment="1">
      <alignment horizontal="right" vertical="center"/>
    </xf>
    <xf numFmtId="200" fontId="34" fillId="0" borderId="16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49" fontId="33" fillId="0" borderId="16" xfId="0" applyNumberFormat="1" applyFont="1" applyFill="1" applyBorder="1" applyAlignment="1" applyProtection="1">
      <alignment horizontal="center" vertical="center"/>
      <protection/>
    </xf>
    <xf numFmtId="0" fontId="33" fillId="0" borderId="16" xfId="0" applyFont="1" applyFill="1" applyBorder="1" applyAlignment="1">
      <alignment horizontal="left" vertical="center" wrapText="1"/>
    </xf>
    <xf numFmtId="4" fontId="33" fillId="0" borderId="16" xfId="0" applyNumberFormat="1" applyFont="1" applyFill="1" applyBorder="1" applyAlignment="1">
      <alignment horizontal="right" vertical="center"/>
    </xf>
    <xf numFmtId="200" fontId="33" fillId="0" borderId="16" xfId="0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200" fontId="33" fillId="0" borderId="16" xfId="0" applyNumberFormat="1" applyFont="1" applyFill="1" applyBorder="1" applyAlignment="1">
      <alignment horizontal="right" vertical="center"/>
    </xf>
    <xf numFmtId="49" fontId="35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16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right" vertical="center" wrapText="1"/>
    </xf>
    <xf numFmtId="4" fontId="35" fillId="0" borderId="16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horizontal="right" vertical="center"/>
    </xf>
    <xf numFmtId="0" fontId="33" fillId="0" borderId="16" xfId="0" applyFont="1" applyFill="1" applyBorder="1" applyAlignment="1">
      <alignment horizontal="right" vertical="center" wrapText="1"/>
    </xf>
    <xf numFmtId="0" fontId="33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vertical="center"/>
    </xf>
    <xf numFmtId="49" fontId="33" fillId="0" borderId="16" xfId="0" applyNumberFormat="1" applyFont="1" applyFill="1" applyBorder="1" applyAlignment="1">
      <alignment horizontal="center" vertical="center"/>
    </xf>
    <xf numFmtId="49" fontId="35" fillId="0" borderId="16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wrapText="1"/>
    </xf>
    <xf numFmtId="49" fontId="34" fillId="0" borderId="16" xfId="0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horizontal="justify" vertical="center"/>
    </xf>
    <xf numFmtId="4" fontId="33" fillId="0" borderId="16" xfId="0" applyNumberFormat="1" applyFont="1" applyFill="1" applyBorder="1" applyAlignment="1">
      <alignment horizontal="center" vertical="center"/>
    </xf>
    <xf numFmtId="4" fontId="35" fillId="0" borderId="16" xfId="0" applyNumberFormat="1" applyFont="1" applyFill="1" applyBorder="1" applyAlignment="1">
      <alignment horizontal="center" vertical="center"/>
    </xf>
    <xf numFmtId="49" fontId="33" fillId="0" borderId="17" xfId="0" applyNumberFormat="1" applyFont="1" applyFill="1" applyBorder="1" applyAlignment="1" applyProtection="1">
      <alignment horizontal="center" vertical="center"/>
      <protection/>
    </xf>
    <xf numFmtId="0" fontId="33" fillId="0" borderId="16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vertical="center"/>
    </xf>
    <xf numFmtId="49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>
      <alignment vertical="center"/>
    </xf>
    <xf numFmtId="0" fontId="35" fillId="0" borderId="16" xfId="0" applyNumberFormat="1" applyFont="1" applyFill="1" applyBorder="1" applyAlignment="1" applyProtection="1">
      <alignment horizontal="center" vertical="center"/>
      <protection/>
    </xf>
    <xf numFmtId="0" fontId="34" fillId="0" borderId="16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wrapText="1"/>
    </xf>
    <xf numFmtId="0" fontId="35" fillId="0" borderId="16" xfId="0" applyFont="1" applyFill="1" applyBorder="1" applyAlignment="1">
      <alignment wrapText="1"/>
    </xf>
    <xf numFmtId="0" fontId="34" fillId="0" borderId="16" xfId="0" applyNumberFormat="1" applyFont="1" applyFill="1" applyBorder="1" applyAlignment="1" applyProtection="1">
      <alignment horizontal="center" vertical="center"/>
      <protection/>
    </xf>
    <xf numFmtId="4" fontId="34" fillId="0" borderId="16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3" fillId="0" borderId="1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/>
    </xf>
    <xf numFmtId="0" fontId="33" fillId="0" borderId="16" xfId="0" applyFont="1" applyFill="1" applyBorder="1" applyAlignment="1">
      <alignment horizontal="justify" vertical="center" wrapText="1"/>
    </xf>
    <xf numFmtId="3" fontId="34" fillId="0" borderId="16" xfId="0" applyNumberFormat="1" applyFont="1" applyFill="1" applyBorder="1" applyAlignment="1">
      <alignment horizontal="center" vertical="center"/>
    </xf>
    <xf numFmtId="3" fontId="33" fillId="0" borderId="16" xfId="0" applyNumberFormat="1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vertical="center" wrapText="1"/>
    </xf>
    <xf numFmtId="0" fontId="36" fillId="0" borderId="16" xfId="0" applyFont="1" applyFill="1" applyBorder="1" applyAlignment="1">
      <alignment/>
    </xf>
    <xf numFmtId="3" fontId="36" fillId="0" borderId="16" xfId="0" applyNumberFormat="1" applyFont="1" applyFill="1" applyBorder="1" applyAlignment="1">
      <alignment horizontal="right" vertical="center"/>
    </xf>
    <xf numFmtId="4" fontId="36" fillId="0" borderId="16" xfId="0" applyNumberFormat="1" applyFont="1" applyFill="1" applyBorder="1" applyAlignment="1">
      <alignment horizontal="right" vertical="center"/>
    </xf>
    <xf numFmtId="200" fontId="36" fillId="0" borderId="16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Alignment="1">
      <alignment horizontal="right" vertical="center"/>
    </xf>
    <xf numFmtId="0" fontId="34" fillId="0" borderId="16" xfId="0" applyFont="1" applyFill="1" applyBorder="1" applyAlignment="1">
      <alignment horizontal="left" vertical="center"/>
    </xf>
    <xf numFmtId="3" fontId="33" fillId="0" borderId="16" xfId="0" applyNumberFormat="1" applyFont="1" applyFill="1" applyBorder="1" applyAlignment="1">
      <alignment horizontal="center" vertical="center" wrapText="1"/>
    </xf>
    <xf numFmtId="200" fontId="33" fillId="0" borderId="16" xfId="0" applyNumberFormat="1" applyFont="1" applyFill="1" applyBorder="1" applyAlignment="1">
      <alignment horizontal="center" vertical="center"/>
    </xf>
    <xf numFmtId="3" fontId="35" fillId="0" borderId="16" xfId="0" applyNumberFormat="1" applyFont="1" applyFill="1" applyBorder="1" applyAlignment="1">
      <alignment horizontal="center" vertical="center"/>
    </xf>
    <xf numFmtId="200" fontId="35" fillId="0" borderId="16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3" fontId="33" fillId="0" borderId="16" xfId="95" applyNumberFormat="1" applyFont="1" applyFill="1" applyBorder="1" applyAlignment="1">
      <alignment horizontal="center" vertical="center"/>
      <protection/>
    </xf>
    <xf numFmtId="200" fontId="33" fillId="0" borderId="16" xfId="95" applyNumberFormat="1" applyFont="1" applyFill="1" applyBorder="1" applyAlignment="1">
      <alignment horizontal="center" vertical="center"/>
      <protection/>
    </xf>
    <xf numFmtId="4" fontId="33" fillId="0" borderId="16" xfId="95" applyNumberFormat="1" applyFont="1" applyFill="1" applyBorder="1" applyAlignment="1">
      <alignment horizontal="center" vertical="center"/>
      <protection/>
    </xf>
    <xf numFmtId="3" fontId="35" fillId="0" borderId="16" xfId="0" applyNumberFormat="1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33" fillId="0" borderId="16" xfId="0" applyFont="1" applyFill="1" applyBorder="1" applyAlignment="1">
      <alignment horizontal="center" wrapText="1"/>
    </xf>
    <xf numFmtId="3" fontId="34" fillId="0" borderId="16" xfId="0" applyNumberFormat="1" applyFont="1" applyFill="1" applyBorder="1" applyAlignment="1">
      <alignment horizontal="right" vertical="center"/>
    </xf>
    <xf numFmtId="203" fontId="33" fillId="0" borderId="16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3" fontId="34" fillId="0" borderId="16" xfId="0" applyNumberFormat="1" applyFont="1" applyFill="1" applyBorder="1" applyAlignment="1">
      <alignment horizontal="center" vertical="center" wrapText="1"/>
    </xf>
    <xf numFmtId="4" fontId="34" fillId="0" borderId="16" xfId="0" applyNumberFormat="1" applyFont="1" applyFill="1" applyBorder="1" applyAlignment="1">
      <alignment horizontal="right" vertical="center" wrapText="1"/>
    </xf>
    <xf numFmtId="200" fontId="34" fillId="0" borderId="16" xfId="0" applyNumberFormat="1" applyFont="1" applyFill="1" applyBorder="1" applyAlignment="1">
      <alignment horizontal="right" vertical="center" wrapText="1"/>
    </xf>
    <xf numFmtId="4" fontId="33" fillId="0" borderId="16" xfId="0" applyNumberFormat="1" applyFont="1" applyFill="1" applyBorder="1" applyAlignment="1">
      <alignment horizontal="right" vertical="center" wrapText="1"/>
    </xf>
    <xf numFmtId="0" fontId="66" fillId="0" borderId="16" xfId="0" applyFont="1" applyFill="1" applyBorder="1" applyAlignment="1">
      <alignment horizontal="center" wrapText="1"/>
    </xf>
    <xf numFmtId="0" fontId="67" fillId="0" borderId="16" xfId="0" applyFont="1" applyFill="1" applyBorder="1" applyAlignment="1">
      <alignment vertical="center" wrapText="1"/>
    </xf>
    <xf numFmtId="3" fontId="67" fillId="0" borderId="16" xfId="0" applyNumberFormat="1" applyFont="1" applyFill="1" applyBorder="1" applyAlignment="1">
      <alignment horizontal="center"/>
    </xf>
    <xf numFmtId="200" fontId="67" fillId="0" borderId="16" xfId="0" applyNumberFormat="1" applyFont="1" applyFill="1" applyBorder="1" applyAlignment="1">
      <alignment horizontal="center" vertical="center" wrapText="1"/>
    </xf>
    <xf numFmtId="2" fontId="67" fillId="0" borderId="16" xfId="0" applyNumberFormat="1" applyFont="1" applyFill="1" applyBorder="1" applyAlignment="1">
      <alignment horizontal="center" vertical="center" wrapText="1"/>
    </xf>
    <xf numFmtId="4" fontId="67" fillId="0" borderId="16" xfId="0" applyNumberFormat="1" applyFont="1" applyFill="1" applyBorder="1" applyAlignment="1">
      <alignment horizontal="right" vertical="center"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2" fontId="33" fillId="0" borderId="16" xfId="0" applyNumberFormat="1" applyFont="1" applyFill="1" applyBorder="1" applyAlignment="1">
      <alignment horizontal="center" vertical="center" wrapText="1"/>
    </xf>
    <xf numFmtId="3" fontId="34" fillId="0" borderId="16" xfId="0" applyNumberFormat="1" applyFont="1" applyFill="1" applyBorder="1" applyAlignment="1">
      <alignment horizontal="center"/>
    </xf>
    <xf numFmtId="200" fontId="34" fillId="0" borderId="16" xfId="0" applyNumberFormat="1" applyFont="1" applyFill="1" applyBorder="1" applyAlignment="1">
      <alignment horizontal="center" vertical="center" wrapText="1"/>
    </xf>
    <xf numFmtId="2" fontId="34" fillId="0" borderId="16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3" fontId="33" fillId="0" borderId="16" xfId="0" applyNumberFormat="1" applyFont="1" applyFill="1" applyBorder="1" applyAlignment="1">
      <alignment horizontal="left" vertical="center" wrapText="1"/>
    </xf>
    <xf numFmtId="4" fontId="33" fillId="0" borderId="16" xfId="0" applyNumberFormat="1" applyFont="1" applyFill="1" applyBorder="1" applyAlignment="1">
      <alignment vertical="center"/>
    </xf>
    <xf numFmtId="3" fontId="35" fillId="0" borderId="16" xfId="0" applyNumberFormat="1" applyFont="1" applyFill="1" applyBorder="1" applyAlignment="1">
      <alignment horizontal="left" vertical="center" wrapText="1"/>
    </xf>
    <xf numFmtId="4" fontId="35" fillId="0" borderId="16" xfId="0" applyNumberFormat="1" applyFont="1" applyFill="1" applyBorder="1" applyAlignment="1">
      <alignment vertical="center"/>
    </xf>
    <xf numFmtId="49" fontId="39" fillId="0" borderId="16" xfId="0" applyNumberFormat="1" applyFont="1" applyFill="1" applyBorder="1" applyAlignment="1" applyProtection="1">
      <alignment horizontal="center" vertical="center"/>
      <protection/>
    </xf>
    <xf numFmtId="49" fontId="29" fillId="0" borderId="16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29" fillId="0" borderId="16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16" xfId="0" applyFont="1" applyFill="1" applyBorder="1" applyAlignment="1">
      <alignment horizontal="right"/>
    </xf>
    <xf numFmtId="49" fontId="29" fillId="0" borderId="0" xfId="0" applyNumberFormat="1" applyFont="1" applyFill="1" applyAlignment="1" applyProtection="1">
      <alignment horizontal="center"/>
      <protection/>
    </xf>
    <xf numFmtId="0" fontId="29" fillId="0" borderId="0" xfId="0" applyNumberFormat="1" applyFont="1" applyFill="1" applyAlignment="1" applyProtection="1">
      <alignment horizontal="center"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Border="1" applyAlignment="1">
      <alignment horizontal="right"/>
    </xf>
    <xf numFmtId="2" fontId="29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0" fontId="24" fillId="0" borderId="0" xfId="0" applyNumberFormat="1" applyFont="1" applyFill="1" applyAlignment="1" applyProtection="1">
      <alignment horizontal="center"/>
      <protection/>
    </xf>
    <xf numFmtId="0" fontId="24" fillId="0" borderId="0" xfId="0" applyNumberFormat="1" applyFont="1" applyFill="1" applyAlignment="1" applyProtection="1">
      <alignment/>
      <protection/>
    </xf>
    <xf numFmtId="4" fontId="24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 vertical="top"/>
    </xf>
    <xf numFmtId="0" fontId="26" fillId="0" borderId="0" xfId="0" applyFont="1" applyFill="1" applyBorder="1" applyAlignment="1">
      <alignment vertical="center" textRotation="180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49" fontId="27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Border="1" applyAlignment="1">
      <alignment horizontal="right"/>
    </xf>
    <xf numFmtId="0" fontId="35" fillId="0" borderId="16" xfId="0" applyFont="1" applyFill="1" applyBorder="1" applyAlignment="1">
      <alignment horizontal="justify" vertical="center"/>
    </xf>
    <xf numFmtId="0" fontId="36" fillId="0" borderId="16" xfId="0" applyFont="1" applyFill="1" applyBorder="1" applyAlignment="1">
      <alignment wrapText="1"/>
    </xf>
    <xf numFmtId="0" fontId="34" fillId="0" borderId="0" xfId="0" applyFont="1" applyFill="1" applyAlignment="1">
      <alignment horizontal="right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NumberFormat="1" applyFont="1" applyFill="1" applyAlignment="1" applyProtection="1">
      <alignment horizontal="center"/>
      <protection/>
    </xf>
    <xf numFmtId="4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1" fontId="26" fillId="0" borderId="0" xfId="0" applyNumberFormat="1" applyFont="1" applyFill="1" applyBorder="1" applyAlignment="1">
      <alignment horizontal="left" vertical="center"/>
    </xf>
    <xf numFmtId="0" fontId="40" fillId="0" borderId="0" xfId="0" applyNumberFormat="1" applyFont="1" applyFill="1" applyAlignment="1" applyProtection="1">
      <alignment horizontal="left"/>
      <protection/>
    </xf>
    <xf numFmtId="0" fontId="30" fillId="0" borderId="0" xfId="0" applyNumberFormat="1" applyFont="1" applyFill="1" applyAlignment="1" applyProtection="1">
      <alignment horizontal="left"/>
      <protection/>
    </xf>
    <xf numFmtId="0" fontId="32" fillId="0" borderId="0" xfId="0" applyNumberFormat="1" applyFont="1" applyFill="1" applyAlignment="1" applyProtection="1">
      <alignment horizontal="left"/>
      <protection/>
    </xf>
    <xf numFmtId="0" fontId="30" fillId="0" borderId="0" xfId="0" applyNumberFormat="1" applyFont="1" applyFill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Font="1" applyFill="1" applyBorder="1" applyAlignment="1">
      <alignment horizontal="left" vertical="distributed" wrapText="1"/>
    </xf>
    <xf numFmtId="49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376"/>
  <sheetViews>
    <sheetView showGridLines="0" showZeros="0" tabSelected="1" view="pageBreakPreview" zoomScale="50" zoomScaleNormal="70" zoomScaleSheetLayoutView="50" zoomScalePageLayoutView="0" workbookViewId="0" topLeftCell="D1">
      <selection activeCell="G2" sqref="G2"/>
    </sheetView>
  </sheetViews>
  <sheetFormatPr defaultColWidth="9.16015625" defaultRowHeight="12.75"/>
  <cols>
    <col min="1" max="1" width="19.33203125" style="140" hidden="1" customWidth="1"/>
    <col min="2" max="2" width="17.33203125" style="141" hidden="1" customWidth="1"/>
    <col min="3" max="3" width="17.16015625" style="141" hidden="1" customWidth="1"/>
    <col min="4" max="4" width="152.83203125" style="142" customWidth="1"/>
    <col min="5" max="5" width="136.16015625" style="142" hidden="1" customWidth="1"/>
    <col min="6" max="6" width="26.83203125" style="142" hidden="1" customWidth="1"/>
    <col min="7" max="7" width="30.5" style="142" customWidth="1"/>
    <col min="8" max="8" width="29.5" style="142" customWidth="1"/>
    <col min="9" max="9" width="19.5" style="142" hidden="1" customWidth="1"/>
    <col min="10" max="10" width="36.16015625" style="142" customWidth="1"/>
    <col min="11" max="11" width="35.5" style="143" hidden="1" customWidth="1"/>
    <col min="12" max="12" width="25.16015625" style="12" hidden="1" customWidth="1"/>
    <col min="13" max="13" width="31.5" style="12" hidden="1" customWidth="1"/>
    <col min="14" max="14" width="32.16015625" style="13" customWidth="1"/>
    <col min="15" max="16384" width="9.16015625" style="12" customWidth="1"/>
  </cols>
  <sheetData>
    <row r="1" spans="1:14" ht="28.5" customHeight="1">
      <c r="A1" s="15"/>
      <c r="B1" s="16"/>
      <c r="C1" s="16"/>
      <c r="D1" s="17"/>
      <c r="E1" s="17"/>
      <c r="F1" s="17"/>
      <c r="G1" s="155" t="s">
        <v>438</v>
      </c>
      <c r="H1" s="155"/>
      <c r="I1" s="155"/>
      <c r="J1" s="155"/>
      <c r="K1" s="155"/>
      <c r="L1" s="155"/>
      <c r="M1" s="155"/>
      <c r="N1" s="155"/>
    </row>
    <row r="2" spans="1:14" ht="30" customHeight="1">
      <c r="A2" s="15"/>
      <c r="B2" s="16"/>
      <c r="C2" s="16"/>
      <c r="D2" s="17"/>
      <c r="E2" s="17"/>
      <c r="F2" s="17"/>
      <c r="G2" s="154" t="s">
        <v>431</v>
      </c>
      <c r="H2" s="153"/>
      <c r="I2" s="153"/>
      <c r="J2" s="153"/>
      <c r="K2" s="153"/>
      <c r="L2" s="153"/>
      <c r="M2" s="153"/>
      <c r="N2" s="153"/>
    </row>
    <row r="3" spans="1:14" ht="27.75">
      <c r="A3" s="15"/>
      <c r="B3" s="16"/>
      <c r="C3" s="16"/>
      <c r="D3" s="17"/>
      <c r="E3" s="17"/>
      <c r="F3" s="17"/>
      <c r="G3" s="154" t="s">
        <v>432</v>
      </c>
      <c r="H3" s="153"/>
      <c r="I3" s="153"/>
      <c r="J3" s="153"/>
      <c r="K3" s="153"/>
      <c r="L3" s="153"/>
      <c r="M3" s="153"/>
      <c r="N3" s="153"/>
    </row>
    <row r="4" spans="1:14" ht="27.75">
      <c r="A4" s="15"/>
      <c r="B4" s="16"/>
      <c r="C4" s="16"/>
      <c r="D4" s="17"/>
      <c r="E4" s="17"/>
      <c r="F4" s="17"/>
      <c r="G4" s="156" t="s">
        <v>433</v>
      </c>
      <c r="H4" s="156"/>
      <c r="I4" s="156"/>
      <c r="J4" s="156"/>
      <c r="K4" s="156"/>
      <c r="L4" s="156"/>
      <c r="M4" s="156"/>
      <c r="N4" s="156"/>
    </row>
    <row r="5" spans="1:14" ht="27.75">
      <c r="A5" s="15"/>
      <c r="B5" s="16"/>
      <c r="C5" s="16"/>
      <c r="D5" s="17"/>
      <c r="E5" s="17"/>
      <c r="F5" s="17"/>
      <c r="G5" s="156" t="s">
        <v>434</v>
      </c>
      <c r="H5" s="156"/>
      <c r="I5" s="156"/>
      <c r="J5" s="156"/>
      <c r="K5" s="156"/>
      <c r="L5" s="156"/>
      <c r="M5" s="156"/>
      <c r="N5" s="156"/>
    </row>
    <row r="6" spans="1:14" s="20" customFormat="1" ht="27.75">
      <c r="A6" s="15"/>
      <c r="B6" s="16"/>
      <c r="C6" s="16"/>
      <c r="D6" s="18"/>
      <c r="E6" s="18"/>
      <c r="F6" s="18"/>
      <c r="G6" s="156" t="s">
        <v>435</v>
      </c>
      <c r="H6" s="156"/>
      <c r="I6" s="156"/>
      <c r="J6" s="156"/>
      <c r="K6" s="156"/>
      <c r="L6" s="156"/>
      <c r="M6" s="156"/>
      <c r="N6" s="156"/>
    </row>
    <row r="7" spans="1:14" s="20" customFormat="1" ht="27.75">
      <c r="A7" s="15"/>
      <c r="B7" s="16"/>
      <c r="C7" s="16"/>
      <c r="D7" s="18"/>
      <c r="E7" s="18"/>
      <c r="F7" s="18"/>
      <c r="G7" s="156" t="s">
        <v>437</v>
      </c>
      <c r="H7" s="156"/>
      <c r="I7" s="156"/>
      <c r="J7" s="156"/>
      <c r="K7" s="156"/>
      <c r="L7" s="156"/>
      <c r="M7" s="156"/>
      <c r="N7" s="156"/>
    </row>
    <row r="8" spans="1:14" s="20" customFormat="1" ht="30.75">
      <c r="A8" s="15"/>
      <c r="B8" s="16"/>
      <c r="C8" s="16"/>
      <c r="D8" s="18"/>
      <c r="E8" s="18"/>
      <c r="F8" s="18"/>
      <c r="G8" s="18"/>
      <c r="H8" s="19"/>
      <c r="I8" s="10"/>
      <c r="J8" s="10"/>
      <c r="K8" s="10"/>
      <c r="L8" s="10"/>
      <c r="M8" s="10"/>
      <c r="N8" s="13"/>
    </row>
    <row r="9" spans="1:14" s="20" customFormat="1" ht="27.75" customHeight="1">
      <c r="A9" s="15"/>
      <c r="B9" s="16"/>
      <c r="C9" s="16"/>
      <c r="D9" s="18"/>
      <c r="E9" s="18"/>
      <c r="F9" s="18"/>
      <c r="G9" s="18"/>
      <c r="H9" s="19"/>
      <c r="I9" s="19"/>
      <c r="J9" s="19"/>
      <c r="K9" s="19"/>
      <c r="N9" s="13"/>
    </row>
    <row r="10" spans="1:14" ht="27.75" customHeight="1">
      <c r="A10" s="11"/>
      <c r="B10" s="11"/>
      <c r="C10" s="11"/>
      <c r="D10" s="157" t="s">
        <v>417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ht="27.75" customHeight="1">
      <c r="A11" s="14"/>
      <c r="B11" s="14"/>
      <c r="C11" s="14"/>
      <c r="D11" s="157" t="s">
        <v>418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</row>
    <row r="12" spans="1:14" ht="42" customHeight="1">
      <c r="A12" s="15"/>
      <c r="B12" s="16"/>
      <c r="C12" s="16"/>
      <c r="D12" s="21"/>
      <c r="E12" s="21"/>
      <c r="F12" s="21"/>
      <c r="G12" s="21"/>
      <c r="H12" s="21"/>
      <c r="I12" s="21"/>
      <c r="J12" s="21"/>
      <c r="K12" s="22"/>
      <c r="M12" s="9"/>
      <c r="N12" s="146" t="s">
        <v>416</v>
      </c>
    </row>
    <row r="13" spans="1:14" s="115" customFormat="1" ht="36.75" customHeight="1">
      <c r="A13" s="159" t="s">
        <v>50</v>
      </c>
      <c r="B13" s="160" t="s">
        <v>51</v>
      </c>
      <c r="C13" s="160" t="s">
        <v>27</v>
      </c>
      <c r="D13" s="160" t="s">
        <v>415</v>
      </c>
      <c r="E13" s="161" t="s">
        <v>174</v>
      </c>
      <c r="F13" s="160" t="s">
        <v>175</v>
      </c>
      <c r="G13" s="160" t="s">
        <v>175</v>
      </c>
      <c r="H13" s="160" t="s">
        <v>176</v>
      </c>
      <c r="I13" s="160" t="s">
        <v>177</v>
      </c>
      <c r="J13" s="160" t="s">
        <v>177</v>
      </c>
      <c r="K13" s="160" t="s">
        <v>178</v>
      </c>
      <c r="L13" s="161" t="s">
        <v>224</v>
      </c>
      <c r="M13" s="161" t="s">
        <v>225</v>
      </c>
      <c r="N13" s="160" t="s">
        <v>178</v>
      </c>
    </row>
    <row r="14" spans="1:14" s="115" customFormat="1" ht="42" customHeight="1">
      <c r="A14" s="159"/>
      <c r="B14" s="160"/>
      <c r="C14" s="160"/>
      <c r="D14" s="160"/>
      <c r="E14" s="161"/>
      <c r="F14" s="160"/>
      <c r="G14" s="160"/>
      <c r="H14" s="160"/>
      <c r="I14" s="160"/>
      <c r="J14" s="160"/>
      <c r="K14" s="160"/>
      <c r="L14" s="161"/>
      <c r="M14" s="161"/>
      <c r="N14" s="160"/>
    </row>
    <row r="15" spans="1:14" s="115" customFormat="1" ht="45.75" customHeight="1">
      <c r="A15" s="159"/>
      <c r="B15" s="160"/>
      <c r="C15" s="160"/>
      <c r="D15" s="160"/>
      <c r="E15" s="161"/>
      <c r="F15" s="160"/>
      <c r="G15" s="160"/>
      <c r="H15" s="160"/>
      <c r="I15" s="160"/>
      <c r="J15" s="160"/>
      <c r="K15" s="160"/>
      <c r="L15" s="161"/>
      <c r="M15" s="161"/>
      <c r="N15" s="160"/>
    </row>
    <row r="16" spans="1:14" s="9" customFormat="1" ht="23.25" customHeight="1">
      <c r="A16" s="25"/>
      <c r="B16" s="26"/>
      <c r="C16" s="26"/>
      <c r="D16" s="26">
        <v>1</v>
      </c>
      <c r="E16" s="26"/>
      <c r="F16" s="26"/>
      <c r="G16" s="26">
        <v>2</v>
      </c>
      <c r="H16" s="26">
        <v>3</v>
      </c>
      <c r="I16" s="26"/>
      <c r="J16" s="26">
        <v>4</v>
      </c>
      <c r="K16" s="26"/>
      <c r="L16" s="27"/>
      <c r="M16" s="27"/>
      <c r="N16" s="28">
        <v>5</v>
      </c>
    </row>
    <row r="17" spans="1:14" s="32" customFormat="1" ht="34.5" customHeight="1">
      <c r="A17" s="29" t="s">
        <v>76</v>
      </c>
      <c r="B17" s="29"/>
      <c r="C17" s="29"/>
      <c r="D17" s="63" t="s">
        <v>20</v>
      </c>
      <c r="E17" s="63"/>
      <c r="F17" s="63"/>
      <c r="G17" s="2">
        <f>ROUND(F17/1000,1)</f>
        <v>0</v>
      </c>
      <c r="H17" s="63"/>
      <c r="I17" s="63"/>
      <c r="J17" s="2">
        <f>ROUND(I17/1000,1)</f>
        <v>0</v>
      </c>
      <c r="K17" s="30">
        <f>K18+K19+K22+K26+K28+K30+K34+K32+K24+K21+K33+K36+K39+K37+K38</f>
        <v>46523894</v>
      </c>
      <c r="L17" s="30">
        <f>L18+L19+L22+L26+L28+L30+L34+L32+L24+L21+L33+L36+L39+L37+L38</f>
        <v>0</v>
      </c>
      <c r="M17" s="30">
        <f>M18+M19+M22+M26+M28+M30+M34+M32+M24+M21+M33+M36+M39+M37+M38</f>
        <v>46523894</v>
      </c>
      <c r="N17" s="31">
        <f>N18+N19+N22+N26+N28+N30+N34+N32+N24+N21+N33+N36+N39+N37+N38</f>
        <v>46523.90000000001</v>
      </c>
    </row>
    <row r="18" spans="1:14" s="37" customFormat="1" ht="47.25" customHeight="1">
      <c r="A18" s="33" t="s">
        <v>77</v>
      </c>
      <c r="B18" s="33" t="s">
        <v>58</v>
      </c>
      <c r="C18" s="33" t="s">
        <v>26</v>
      </c>
      <c r="D18" s="34" t="s">
        <v>59</v>
      </c>
      <c r="E18" s="34"/>
      <c r="F18" s="34"/>
      <c r="G18" s="2">
        <f aca="true" t="shared" si="0" ref="G18:G83">ROUND(F18/1000,1)</f>
        <v>0</v>
      </c>
      <c r="H18" s="34"/>
      <c r="I18" s="34"/>
      <c r="J18" s="2">
        <f aca="true" t="shared" si="1" ref="J18:J83">ROUND(I18/1000,1)</f>
        <v>0</v>
      </c>
      <c r="K18" s="35">
        <f>4000000-1295000+302014</f>
        <v>3007014</v>
      </c>
      <c r="L18" s="35"/>
      <c r="M18" s="35">
        <f>L18+K18</f>
        <v>3007014</v>
      </c>
      <c r="N18" s="36">
        <f aca="true" t="shared" si="2" ref="N18:N83">ROUND(M18/1000,1)</f>
        <v>3007</v>
      </c>
    </row>
    <row r="19" spans="1:14" s="37" customFormat="1" ht="30" customHeight="1">
      <c r="A19" s="33" t="s">
        <v>78</v>
      </c>
      <c r="B19" s="33" t="s">
        <v>62</v>
      </c>
      <c r="C19" s="33"/>
      <c r="D19" s="34" t="s">
        <v>369</v>
      </c>
      <c r="E19" s="34"/>
      <c r="F19" s="34"/>
      <c r="G19" s="2">
        <f t="shared" si="0"/>
        <v>0</v>
      </c>
      <c r="H19" s="34"/>
      <c r="I19" s="34"/>
      <c r="J19" s="2">
        <f t="shared" si="1"/>
        <v>0</v>
      </c>
      <c r="K19" s="35">
        <f>K20</f>
        <v>20500</v>
      </c>
      <c r="L19" s="35">
        <f>L20</f>
        <v>0</v>
      </c>
      <c r="M19" s="35">
        <f>M20</f>
        <v>20500</v>
      </c>
      <c r="N19" s="38">
        <f>N20</f>
        <v>20.5</v>
      </c>
    </row>
    <row r="20" spans="1:14" s="43" customFormat="1" ht="46.5" customHeight="1">
      <c r="A20" s="39" t="s">
        <v>79</v>
      </c>
      <c r="B20" s="39" t="s">
        <v>63</v>
      </c>
      <c r="C20" s="39" t="s">
        <v>49</v>
      </c>
      <c r="D20" s="40" t="s">
        <v>64</v>
      </c>
      <c r="E20" s="41"/>
      <c r="F20" s="41"/>
      <c r="G20" s="87">
        <f t="shared" si="0"/>
        <v>0</v>
      </c>
      <c r="H20" s="41"/>
      <c r="I20" s="41"/>
      <c r="J20" s="87">
        <f t="shared" si="1"/>
        <v>0</v>
      </c>
      <c r="K20" s="42">
        <v>20500</v>
      </c>
      <c r="L20" s="42"/>
      <c r="M20" s="42">
        <f>L20+K20</f>
        <v>20500</v>
      </c>
      <c r="N20" s="8">
        <f t="shared" si="2"/>
        <v>20.5</v>
      </c>
    </row>
    <row r="21" spans="1:14" s="45" customFormat="1" ht="48" customHeight="1">
      <c r="A21" s="33" t="s">
        <v>246</v>
      </c>
      <c r="B21" s="33" t="s">
        <v>247</v>
      </c>
      <c r="C21" s="33" t="s">
        <v>245</v>
      </c>
      <c r="D21" s="34" t="s">
        <v>244</v>
      </c>
      <c r="E21" s="44"/>
      <c r="F21" s="44"/>
      <c r="G21" s="2">
        <f t="shared" si="0"/>
        <v>0</v>
      </c>
      <c r="H21" s="44"/>
      <c r="I21" s="44"/>
      <c r="J21" s="2">
        <f t="shared" si="1"/>
        <v>0</v>
      </c>
      <c r="K21" s="35">
        <v>28500</v>
      </c>
      <c r="L21" s="35"/>
      <c r="M21" s="35">
        <f>L21+K21</f>
        <v>28500</v>
      </c>
      <c r="N21" s="36">
        <f t="shared" si="2"/>
        <v>28.5</v>
      </c>
    </row>
    <row r="22" spans="1:14" s="37" customFormat="1" ht="33.75" customHeight="1">
      <c r="A22" s="33" t="s">
        <v>80</v>
      </c>
      <c r="B22" s="33" t="s">
        <v>7</v>
      </c>
      <c r="C22" s="33"/>
      <c r="D22" s="34" t="s">
        <v>370</v>
      </c>
      <c r="E22" s="34"/>
      <c r="F22" s="34"/>
      <c r="G22" s="2">
        <f t="shared" si="0"/>
        <v>0</v>
      </c>
      <c r="H22" s="34"/>
      <c r="I22" s="34"/>
      <c r="J22" s="2">
        <f t="shared" si="1"/>
        <v>0</v>
      </c>
      <c r="K22" s="35">
        <f>K23</f>
        <v>20500</v>
      </c>
      <c r="L22" s="35">
        <f>L23</f>
        <v>0</v>
      </c>
      <c r="M22" s="35">
        <f>M23</f>
        <v>20500</v>
      </c>
      <c r="N22" s="38">
        <f>N23</f>
        <v>20.5</v>
      </c>
    </row>
    <row r="23" spans="1:14" s="46" customFormat="1" ht="29.25" customHeight="1">
      <c r="A23" s="39" t="s">
        <v>198</v>
      </c>
      <c r="B23" s="39" t="s">
        <v>199</v>
      </c>
      <c r="C23" s="39" t="s">
        <v>44</v>
      </c>
      <c r="D23" s="40" t="s">
        <v>200</v>
      </c>
      <c r="E23" s="40"/>
      <c r="F23" s="40"/>
      <c r="G23" s="87">
        <f t="shared" si="0"/>
        <v>0</v>
      </c>
      <c r="H23" s="40"/>
      <c r="I23" s="40"/>
      <c r="J23" s="87">
        <f t="shared" si="1"/>
        <v>0</v>
      </c>
      <c r="K23" s="42">
        <f>49000-28500</f>
        <v>20500</v>
      </c>
      <c r="L23" s="42"/>
      <c r="M23" s="42">
        <f>L23+K23</f>
        <v>20500</v>
      </c>
      <c r="N23" s="8">
        <f t="shared" si="2"/>
        <v>20.5</v>
      </c>
    </row>
    <row r="24" spans="1:14" s="37" customFormat="1" ht="32.25" customHeight="1">
      <c r="A24" s="33" t="s">
        <v>226</v>
      </c>
      <c r="B24" s="33" t="s">
        <v>228</v>
      </c>
      <c r="C24" s="33"/>
      <c r="D24" s="34" t="s">
        <v>371</v>
      </c>
      <c r="E24" s="34"/>
      <c r="F24" s="34"/>
      <c r="G24" s="2">
        <f t="shared" si="0"/>
        <v>0</v>
      </c>
      <c r="H24" s="34"/>
      <c r="I24" s="34"/>
      <c r="J24" s="2">
        <f t="shared" si="1"/>
        <v>0</v>
      </c>
      <c r="K24" s="35">
        <f>K25</f>
        <v>177000</v>
      </c>
      <c r="L24" s="35">
        <f>L25</f>
        <v>0</v>
      </c>
      <c r="M24" s="35">
        <f>M25</f>
        <v>177000</v>
      </c>
      <c r="N24" s="38">
        <f>N25</f>
        <v>177</v>
      </c>
    </row>
    <row r="25" spans="1:14" s="46" customFormat="1" ht="39.75" customHeight="1">
      <c r="A25" s="39" t="s">
        <v>227</v>
      </c>
      <c r="B25" s="39" t="s">
        <v>229</v>
      </c>
      <c r="C25" s="39" t="s">
        <v>45</v>
      </c>
      <c r="D25" s="40" t="s">
        <v>230</v>
      </c>
      <c r="E25" s="40"/>
      <c r="F25" s="40"/>
      <c r="G25" s="87">
        <f t="shared" si="0"/>
        <v>0</v>
      </c>
      <c r="H25" s="40"/>
      <c r="I25" s="40"/>
      <c r="J25" s="87">
        <f t="shared" si="1"/>
        <v>0</v>
      </c>
      <c r="K25" s="42">
        <v>177000</v>
      </c>
      <c r="L25" s="42"/>
      <c r="M25" s="42">
        <f>L25+K25</f>
        <v>177000</v>
      </c>
      <c r="N25" s="8">
        <f t="shared" si="2"/>
        <v>177</v>
      </c>
    </row>
    <row r="26" spans="1:14" s="37" customFormat="1" ht="40.5" customHeight="1">
      <c r="A26" s="47" t="s">
        <v>81</v>
      </c>
      <c r="B26" s="47" t="s">
        <v>55</v>
      </c>
      <c r="C26" s="47"/>
      <c r="D26" s="34" t="s">
        <v>372</v>
      </c>
      <c r="E26" s="34"/>
      <c r="F26" s="34"/>
      <c r="G26" s="2">
        <f t="shared" si="0"/>
        <v>0</v>
      </c>
      <c r="H26" s="34"/>
      <c r="I26" s="34"/>
      <c r="J26" s="2">
        <f t="shared" si="1"/>
        <v>0</v>
      </c>
      <c r="K26" s="35">
        <f>K27</f>
        <v>200000</v>
      </c>
      <c r="L26" s="35">
        <f>L27</f>
        <v>0</v>
      </c>
      <c r="M26" s="35">
        <f>M27</f>
        <v>200000</v>
      </c>
      <c r="N26" s="38">
        <f>N27</f>
        <v>200</v>
      </c>
    </row>
    <row r="27" spans="1:14" s="43" customFormat="1" ht="43.5" customHeight="1">
      <c r="A27" s="48" t="s">
        <v>82</v>
      </c>
      <c r="B27" s="48" t="s">
        <v>56</v>
      </c>
      <c r="C27" s="48" t="s">
        <v>45</v>
      </c>
      <c r="D27" s="40" t="s">
        <v>9</v>
      </c>
      <c r="E27" s="41"/>
      <c r="F27" s="41"/>
      <c r="G27" s="87">
        <f t="shared" si="0"/>
        <v>0</v>
      </c>
      <c r="H27" s="41"/>
      <c r="I27" s="41"/>
      <c r="J27" s="87">
        <f t="shared" si="1"/>
        <v>0</v>
      </c>
      <c r="K27" s="42">
        <v>200000</v>
      </c>
      <c r="L27" s="42"/>
      <c r="M27" s="42">
        <f>L27+K27</f>
        <v>200000</v>
      </c>
      <c r="N27" s="8">
        <f t="shared" si="2"/>
        <v>200</v>
      </c>
    </row>
    <row r="28" spans="1:14" s="46" customFormat="1" ht="35.25" customHeight="1">
      <c r="A28" s="47" t="s">
        <v>83</v>
      </c>
      <c r="B28" s="47" t="s">
        <v>46</v>
      </c>
      <c r="C28" s="47"/>
      <c r="D28" s="34" t="s">
        <v>373</v>
      </c>
      <c r="E28" s="34"/>
      <c r="F28" s="34"/>
      <c r="G28" s="2">
        <f t="shared" si="0"/>
        <v>0</v>
      </c>
      <c r="H28" s="34"/>
      <c r="I28" s="34"/>
      <c r="J28" s="2">
        <f t="shared" si="1"/>
        <v>0</v>
      </c>
      <c r="K28" s="35">
        <f>K29</f>
        <v>20000</v>
      </c>
      <c r="L28" s="35">
        <f>L29</f>
        <v>0</v>
      </c>
      <c r="M28" s="35">
        <f>M29</f>
        <v>20000</v>
      </c>
      <c r="N28" s="38">
        <f>N29</f>
        <v>20</v>
      </c>
    </row>
    <row r="29" spans="1:14" s="46" customFormat="1" ht="55.5" customHeight="1">
      <c r="A29" s="48" t="s">
        <v>84</v>
      </c>
      <c r="B29" s="48" t="s">
        <v>53</v>
      </c>
      <c r="C29" s="48" t="s">
        <v>45</v>
      </c>
      <c r="D29" s="40" t="s">
        <v>54</v>
      </c>
      <c r="E29" s="40"/>
      <c r="F29" s="40"/>
      <c r="G29" s="87">
        <f t="shared" si="0"/>
        <v>0</v>
      </c>
      <c r="H29" s="40"/>
      <c r="I29" s="40"/>
      <c r="J29" s="87">
        <f t="shared" si="1"/>
        <v>0</v>
      </c>
      <c r="K29" s="42">
        <v>20000</v>
      </c>
      <c r="L29" s="42"/>
      <c r="M29" s="42">
        <f>L29+K29</f>
        <v>20000</v>
      </c>
      <c r="N29" s="8">
        <f t="shared" si="2"/>
        <v>20</v>
      </c>
    </row>
    <row r="30" spans="1:14" s="37" customFormat="1" ht="35.25" customHeight="1">
      <c r="A30" s="47" t="s">
        <v>85</v>
      </c>
      <c r="B30" s="47" t="s">
        <v>2</v>
      </c>
      <c r="C30" s="47"/>
      <c r="D30" s="34" t="s">
        <v>374</v>
      </c>
      <c r="E30" s="34"/>
      <c r="F30" s="34"/>
      <c r="G30" s="2">
        <f t="shared" si="0"/>
        <v>0</v>
      </c>
      <c r="H30" s="34"/>
      <c r="I30" s="34"/>
      <c r="J30" s="2">
        <f t="shared" si="1"/>
        <v>0</v>
      </c>
      <c r="K30" s="35">
        <f>K31</f>
        <v>1490000</v>
      </c>
      <c r="L30" s="35">
        <f>L31</f>
        <v>0</v>
      </c>
      <c r="M30" s="35">
        <f>M31</f>
        <v>1490000</v>
      </c>
      <c r="N30" s="38">
        <f>N31</f>
        <v>1490</v>
      </c>
    </row>
    <row r="31" spans="1:14" s="46" customFormat="1" ht="29.25" customHeight="1">
      <c r="A31" s="48" t="s">
        <v>125</v>
      </c>
      <c r="B31" s="48" t="s">
        <v>3</v>
      </c>
      <c r="C31" s="48" t="s">
        <v>213</v>
      </c>
      <c r="D31" s="40" t="s">
        <v>8</v>
      </c>
      <c r="E31" s="40"/>
      <c r="F31" s="40"/>
      <c r="G31" s="87">
        <f t="shared" si="0"/>
        <v>0</v>
      </c>
      <c r="H31" s="40"/>
      <c r="I31" s="40"/>
      <c r="J31" s="87">
        <f t="shared" si="1"/>
        <v>0</v>
      </c>
      <c r="K31" s="42">
        <f>810000+680000</f>
        <v>1490000</v>
      </c>
      <c r="L31" s="42"/>
      <c r="M31" s="42">
        <f aca="true" t="shared" si="3" ref="M31:M39">L31+K31</f>
        <v>1490000</v>
      </c>
      <c r="N31" s="8">
        <f t="shared" si="2"/>
        <v>1490</v>
      </c>
    </row>
    <row r="32" spans="1:14" s="37" customFormat="1" ht="34.5" customHeight="1">
      <c r="A32" s="47" t="s">
        <v>209</v>
      </c>
      <c r="B32" s="47" t="s">
        <v>210</v>
      </c>
      <c r="C32" s="47" t="s">
        <v>212</v>
      </c>
      <c r="D32" s="34" t="s">
        <v>211</v>
      </c>
      <c r="E32" s="34"/>
      <c r="F32" s="34"/>
      <c r="G32" s="2">
        <f t="shared" si="0"/>
        <v>0</v>
      </c>
      <c r="H32" s="34"/>
      <c r="I32" s="34"/>
      <c r="J32" s="2">
        <f t="shared" si="1"/>
        <v>0</v>
      </c>
      <c r="K32" s="35">
        <f>4897000+3385000</f>
        <v>8282000</v>
      </c>
      <c r="L32" s="35"/>
      <c r="M32" s="35">
        <f t="shared" si="3"/>
        <v>8282000</v>
      </c>
      <c r="N32" s="36">
        <f t="shared" si="2"/>
        <v>8282</v>
      </c>
    </row>
    <row r="33" spans="1:14" s="37" customFormat="1" ht="30" customHeight="1">
      <c r="A33" s="47" t="s">
        <v>251</v>
      </c>
      <c r="B33" s="47" t="s">
        <v>252</v>
      </c>
      <c r="C33" s="47" t="s">
        <v>254</v>
      </c>
      <c r="D33" s="49" t="s">
        <v>253</v>
      </c>
      <c r="E33" s="34"/>
      <c r="F33" s="34"/>
      <c r="G33" s="2">
        <f t="shared" si="0"/>
        <v>0</v>
      </c>
      <c r="H33" s="34"/>
      <c r="I33" s="34"/>
      <c r="J33" s="2">
        <f t="shared" si="1"/>
        <v>0</v>
      </c>
      <c r="K33" s="35">
        <v>16800</v>
      </c>
      <c r="L33" s="35"/>
      <c r="M33" s="35">
        <f t="shared" si="3"/>
        <v>16800</v>
      </c>
      <c r="N33" s="36">
        <f t="shared" si="2"/>
        <v>16.8</v>
      </c>
    </row>
    <row r="34" spans="1:14" s="46" customFormat="1" ht="35.25" customHeight="1">
      <c r="A34" s="47" t="s">
        <v>86</v>
      </c>
      <c r="B34" s="47" t="s">
        <v>4</v>
      </c>
      <c r="C34" s="47" t="s">
        <v>47</v>
      </c>
      <c r="D34" s="34" t="s">
        <v>375</v>
      </c>
      <c r="E34" s="34" t="s">
        <v>186</v>
      </c>
      <c r="F34" s="34"/>
      <c r="G34" s="2">
        <f t="shared" si="0"/>
        <v>0</v>
      </c>
      <c r="H34" s="34"/>
      <c r="I34" s="34"/>
      <c r="J34" s="2">
        <f t="shared" si="1"/>
        <v>0</v>
      </c>
      <c r="K34" s="35">
        <f>4220000+24220000+800000</f>
        <v>29240000</v>
      </c>
      <c r="L34" s="35"/>
      <c r="M34" s="35">
        <f t="shared" si="3"/>
        <v>29240000</v>
      </c>
      <c r="N34" s="36">
        <f>N35</f>
        <v>29240</v>
      </c>
    </row>
    <row r="35" spans="1:14" s="46" customFormat="1" ht="33.75" customHeight="1">
      <c r="A35" s="48"/>
      <c r="B35" s="48"/>
      <c r="C35" s="48"/>
      <c r="D35" s="40" t="s">
        <v>186</v>
      </c>
      <c r="E35" s="40"/>
      <c r="F35" s="40"/>
      <c r="G35" s="87">
        <f t="shared" si="0"/>
        <v>0</v>
      </c>
      <c r="H35" s="40"/>
      <c r="I35" s="40"/>
      <c r="J35" s="87">
        <f t="shared" si="1"/>
        <v>0</v>
      </c>
      <c r="K35" s="42">
        <f>K34</f>
        <v>29240000</v>
      </c>
      <c r="L35" s="42"/>
      <c r="M35" s="42">
        <f t="shared" si="3"/>
        <v>29240000</v>
      </c>
      <c r="N35" s="8">
        <f t="shared" si="2"/>
        <v>29240</v>
      </c>
    </row>
    <row r="36" spans="1:14" s="46" customFormat="1" ht="29.25" customHeight="1">
      <c r="A36" s="47" t="s">
        <v>255</v>
      </c>
      <c r="B36" s="47" t="s">
        <v>256</v>
      </c>
      <c r="C36" s="47" t="s">
        <v>257</v>
      </c>
      <c r="D36" s="49" t="s">
        <v>258</v>
      </c>
      <c r="E36" s="34"/>
      <c r="F36" s="34"/>
      <c r="G36" s="2">
        <f t="shared" si="0"/>
        <v>0</v>
      </c>
      <c r="H36" s="34"/>
      <c r="I36" s="34"/>
      <c r="J36" s="2">
        <f t="shared" si="1"/>
        <v>0</v>
      </c>
      <c r="K36" s="35">
        <v>55900</v>
      </c>
      <c r="L36" s="35"/>
      <c r="M36" s="35">
        <f t="shared" si="3"/>
        <v>55900</v>
      </c>
      <c r="N36" s="36">
        <f t="shared" si="2"/>
        <v>55.9</v>
      </c>
    </row>
    <row r="37" spans="1:14" s="46" customFormat="1" ht="33.75" customHeight="1">
      <c r="A37" s="47" t="s">
        <v>310</v>
      </c>
      <c r="B37" s="47" t="s">
        <v>313</v>
      </c>
      <c r="C37" s="47" t="s">
        <v>257</v>
      </c>
      <c r="D37" s="34" t="s">
        <v>312</v>
      </c>
      <c r="E37" s="34"/>
      <c r="F37" s="34"/>
      <c r="G37" s="2">
        <f t="shared" si="0"/>
        <v>0</v>
      </c>
      <c r="H37" s="34"/>
      <c r="I37" s="34"/>
      <c r="J37" s="2">
        <f t="shared" si="1"/>
        <v>0</v>
      </c>
      <c r="K37" s="35">
        <v>57900</v>
      </c>
      <c r="L37" s="35"/>
      <c r="M37" s="35">
        <f t="shared" si="3"/>
        <v>57900</v>
      </c>
      <c r="N37" s="36">
        <f t="shared" si="2"/>
        <v>57.9</v>
      </c>
    </row>
    <row r="38" spans="1:14" s="46" customFormat="1" ht="29.25" customHeight="1">
      <c r="A38" s="47" t="s">
        <v>331</v>
      </c>
      <c r="B38" s="47" t="s">
        <v>217</v>
      </c>
      <c r="C38" s="47" t="s">
        <v>25</v>
      </c>
      <c r="D38" s="34" t="s">
        <v>215</v>
      </c>
      <c r="E38" s="34"/>
      <c r="F38" s="34"/>
      <c r="G38" s="2">
        <f t="shared" si="0"/>
        <v>0</v>
      </c>
      <c r="H38" s="34"/>
      <c r="I38" s="34"/>
      <c r="J38" s="2">
        <f t="shared" si="1"/>
        <v>0</v>
      </c>
      <c r="K38" s="35">
        <v>344000</v>
      </c>
      <c r="L38" s="35"/>
      <c r="M38" s="35">
        <f t="shared" si="3"/>
        <v>344000</v>
      </c>
      <c r="N38" s="36">
        <f t="shared" si="2"/>
        <v>344</v>
      </c>
    </row>
    <row r="39" spans="1:14" s="46" customFormat="1" ht="45.75" customHeight="1">
      <c r="A39" s="47" t="s">
        <v>277</v>
      </c>
      <c r="B39" s="47" t="s">
        <v>266</v>
      </c>
      <c r="C39" s="47" t="s">
        <v>25</v>
      </c>
      <c r="D39" s="49" t="s">
        <v>276</v>
      </c>
      <c r="E39" s="34"/>
      <c r="F39" s="34"/>
      <c r="G39" s="2">
        <f t="shared" si="0"/>
        <v>0</v>
      </c>
      <c r="H39" s="34"/>
      <c r="I39" s="34"/>
      <c r="J39" s="2">
        <f t="shared" si="1"/>
        <v>0</v>
      </c>
      <c r="K39" s="35">
        <f>2563780+1000000</f>
        <v>3563780</v>
      </c>
      <c r="L39" s="35"/>
      <c r="M39" s="35">
        <f t="shared" si="3"/>
        <v>3563780</v>
      </c>
      <c r="N39" s="36">
        <f t="shared" si="2"/>
        <v>3563.8</v>
      </c>
    </row>
    <row r="40" spans="1:14" s="32" customFormat="1" ht="42" customHeight="1">
      <c r="A40" s="50" t="s">
        <v>87</v>
      </c>
      <c r="B40" s="50"/>
      <c r="C40" s="50"/>
      <c r="D40" s="3" t="s">
        <v>10</v>
      </c>
      <c r="E40" s="3"/>
      <c r="F40" s="3"/>
      <c r="G40" s="2">
        <f t="shared" si="0"/>
        <v>0</v>
      </c>
      <c r="H40" s="3"/>
      <c r="I40" s="3"/>
      <c r="J40" s="2">
        <f t="shared" si="1"/>
        <v>0</v>
      </c>
      <c r="K40" s="30">
        <f>K41+K42+K43+K44+K45+K47+K49+K53+K51+K54+K46</f>
        <v>42192617.42</v>
      </c>
      <c r="L40" s="30">
        <f>L41+L42+L43+L44+L45+L47+L49+L53+L51+L54+L46</f>
        <v>2801800</v>
      </c>
      <c r="M40" s="30">
        <f>M41+M42+M43+M44+M45+M47+M49+M53+M51+M54+M46</f>
        <v>44994417.42</v>
      </c>
      <c r="N40" s="31">
        <f>N41+N42+N43+N44+N45+N47+N49+N53+N51+N54+N46</f>
        <v>45086.3</v>
      </c>
    </row>
    <row r="41" spans="1:14" s="37" customFormat="1" ht="46.5" customHeight="1">
      <c r="A41" s="33" t="s">
        <v>88</v>
      </c>
      <c r="B41" s="33" t="s">
        <v>58</v>
      </c>
      <c r="C41" s="33" t="s">
        <v>26</v>
      </c>
      <c r="D41" s="34" t="s">
        <v>59</v>
      </c>
      <c r="E41" s="34"/>
      <c r="F41" s="34"/>
      <c r="G41" s="2">
        <f t="shared" si="0"/>
        <v>0</v>
      </c>
      <c r="H41" s="34"/>
      <c r="I41" s="34"/>
      <c r="J41" s="2">
        <f t="shared" si="1"/>
        <v>0</v>
      </c>
      <c r="K41" s="35">
        <v>16000</v>
      </c>
      <c r="L41" s="35"/>
      <c r="M41" s="35">
        <f aca="true" t="shared" si="4" ref="M41:M46">L41+K41</f>
        <v>16000</v>
      </c>
      <c r="N41" s="36">
        <f t="shared" si="2"/>
        <v>16</v>
      </c>
    </row>
    <row r="42" spans="1:14" s="37" customFormat="1" ht="30" customHeight="1">
      <c r="A42" s="33" t="s">
        <v>89</v>
      </c>
      <c r="B42" s="33" t="s">
        <v>28</v>
      </c>
      <c r="C42" s="33" t="s">
        <v>29</v>
      </c>
      <c r="D42" s="34" t="s">
        <v>71</v>
      </c>
      <c r="E42" s="34"/>
      <c r="F42" s="34"/>
      <c r="G42" s="2">
        <f t="shared" si="0"/>
        <v>0</v>
      </c>
      <c r="H42" s="34"/>
      <c r="I42" s="34"/>
      <c r="J42" s="2">
        <f t="shared" si="1"/>
        <v>0</v>
      </c>
      <c r="K42" s="35">
        <f>3500000+40000+300269+455116.65</f>
        <v>4295385.65</v>
      </c>
      <c r="L42" s="35">
        <v>15000</v>
      </c>
      <c r="M42" s="35">
        <f t="shared" si="4"/>
        <v>4310385.65</v>
      </c>
      <c r="N42" s="36">
        <f>ROUND(M42/1000,1)</f>
        <v>4310.4</v>
      </c>
    </row>
    <row r="43" spans="1:14" s="37" customFormat="1" ht="74.25" customHeight="1">
      <c r="A43" s="33" t="s">
        <v>90</v>
      </c>
      <c r="B43" s="33" t="s">
        <v>30</v>
      </c>
      <c r="C43" s="33" t="s">
        <v>31</v>
      </c>
      <c r="D43" s="34" t="s">
        <v>72</v>
      </c>
      <c r="E43" s="34"/>
      <c r="F43" s="34"/>
      <c r="G43" s="2">
        <f t="shared" si="0"/>
        <v>0</v>
      </c>
      <c r="H43" s="34"/>
      <c r="I43" s="34"/>
      <c r="J43" s="2">
        <f t="shared" si="1"/>
        <v>0</v>
      </c>
      <c r="K43" s="35">
        <f>7400000+469705+50000+9851742-39059</f>
        <v>17732388</v>
      </c>
      <c r="L43" s="35">
        <f>-61050+9900+30000</f>
        <v>-21150</v>
      </c>
      <c r="M43" s="35">
        <f t="shared" si="4"/>
        <v>17711238</v>
      </c>
      <c r="N43" s="36">
        <f>ROUND(M43/1000,1)+150+91.8-150+0.1</f>
        <v>17803.1</v>
      </c>
    </row>
    <row r="44" spans="1:14" s="37" customFormat="1" ht="75" customHeight="1">
      <c r="A44" s="33" t="s">
        <v>121</v>
      </c>
      <c r="B44" s="33" t="s">
        <v>32</v>
      </c>
      <c r="C44" s="33" t="s">
        <v>33</v>
      </c>
      <c r="D44" s="34" t="s">
        <v>60</v>
      </c>
      <c r="E44" s="34"/>
      <c r="F44" s="34"/>
      <c r="G44" s="2">
        <f t="shared" si="0"/>
        <v>0</v>
      </c>
      <c r="H44" s="34"/>
      <c r="I44" s="34"/>
      <c r="J44" s="2">
        <f t="shared" si="1"/>
        <v>0</v>
      </c>
      <c r="K44" s="35">
        <v>100000</v>
      </c>
      <c r="L44" s="35"/>
      <c r="M44" s="35">
        <f t="shared" si="4"/>
        <v>100000</v>
      </c>
      <c r="N44" s="36">
        <f t="shared" si="2"/>
        <v>100</v>
      </c>
    </row>
    <row r="45" spans="1:14" s="37" customFormat="1" ht="51.75" customHeight="1">
      <c r="A45" s="33" t="s">
        <v>122</v>
      </c>
      <c r="B45" s="33" t="s">
        <v>34</v>
      </c>
      <c r="C45" s="33" t="s">
        <v>35</v>
      </c>
      <c r="D45" s="34" t="s">
        <v>73</v>
      </c>
      <c r="E45" s="34"/>
      <c r="F45" s="34"/>
      <c r="G45" s="2">
        <f t="shared" si="0"/>
        <v>0</v>
      </c>
      <c r="H45" s="34"/>
      <c r="I45" s="34"/>
      <c r="J45" s="2">
        <f t="shared" si="1"/>
        <v>0</v>
      </c>
      <c r="K45" s="35">
        <f>400000+30000</f>
        <v>430000</v>
      </c>
      <c r="L45" s="35"/>
      <c r="M45" s="35">
        <f t="shared" si="4"/>
        <v>430000</v>
      </c>
      <c r="N45" s="36">
        <f t="shared" si="2"/>
        <v>430</v>
      </c>
    </row>
    <row r="46" spans="1:14" s="37" customFormat="1" ht="38.25" customHeight="1">
      <c r="A46" s="33" t="s">
        <v>355</v>
      </c>
      <c r="B46" s="33" t="s">
        <v>356</v>
      </c>
      <c r="C46" s="33" t="s">
        <v>358</v>
      </c>
      <c r="D46" s="34" t="s">
        <v>357</v>
      </c>
      <c r="E46" s="34"/>
      <c r="F46" s="34"/>
      <c r="G46" s="2">
        <f t="shared" si="0"/>
        <v>0</v>
      </c>
      <c r="H46" s="34"/>
      <c r="I46" s="34"/>
      <c r="J46" s="2">
        <f t="shared" si="1"/>
        <v>0</v>
      </c>
      <c r="K46" s="35">
        <v>2300000</v>
      </c>
      <c r="L46" s="35">
        <v>2700000</v>
      </c>
      <c r="M46" s="35">
        <f t="shared" si="4"/>
        <v>5000000</v>
      </c>
      <c r="N46" s="36">
        <f>ROUND(M46/1000,1)</f>
        <v>5000</v>
      </c>
    </row>
    <row r="47" spans="1:14" s="37" customFormat="1" ht="33" customHeight="1">
      <c r="A47" s="33" t="s">
        <v>123</v>
      </c>
      <c r="B47" s="33" t="s">
        <v>124</v>
      </c>
      <c r="C47" s="33"/>
      <c r="D47" s="34" t="s">
        <v>376</v>
      </c>
      <c r="E47" s="34"/>
      <c r="F47" s="34"/>
      <c r="G47" s="2">
        <f t="shared" si="0"/>
        <v>0</v>
      </c>
      <c r="H47" s="34"/>
      <c r="I47" s="34"/>
      <c r="J47" s="2">
        <f t="shared" si="1"/>
        <v>0</v>
      </c>
      <c r="K47" s="35">
        <f>K48</f>
        <v>180000</v>
      </c>
      <c r="L47" s="35">
        <f>L48</f>
        <v>107950</v>
      </c>
      <c r="M47" s="35">
        <f>M48</f>
        <v>287950</v>
      </c>
      <c r="N47" s="38">
        <f>N48</f>
        <v>288</v>
      </c>
    </row>
    <row r="48" spans="1:14" s="46" customFormat="1" ht="34.5" customHeight="1">
      <c r="A48" s="39" t="s">
        <v>201</v>
      </c>
      <c r="B48" s="39" t="s">
        <v>202</v>
      </c>
      <c r="C48" s="39" t="s">
        <v>37</v>
      </c>
      <c r="D48" s="51" t="s">
        <v>203</v>
      </c>
      <c r="E48" s="40"/>
      <c r="F48" s="40"/>
      <c r="G48" s="87">
        <f t="shared" si="0"/>
        <v>0</v>
      </c>
      <c r="H48" s="40"/>
      <c r="I48" s="40"/>
      <c r="J48" s="87">
        <f t="shared" si="1"/>
        <v>0</v>
      </c>
      <c r="K48" s="42">
        <v>180000</v>
      </c>
      <c r="L48" s="42">
        <v>107950</v>
      </c>
      <c r="M48" s="42">
        <f>L48+K48</f>
        <v>287950</v>
      </c>
      <c r="N48" s="8">
        <f t="shared" si="2"/>
        <v>288</v>
      </c>
    </row>
    <row r="49" spans="1:14" s="37" customFormat="1" ht="34.5" customHeight="1">
      <c r="A49" s="33" t="s">
        <v>91</v>
      </c>
      <c r="B49" s="33" t="s">
        <v>55</v>
      </c>
      <c r="C49" s="33"/>
      <c r="D49" s="52" t="s">
        <v>372</v>
      </c>
      <c r="E49" s="52"/>
      <c r="F49" s="52"/>
      <c r="G49" s="2">
        <f t="shared" si="0"/>
        <v>0</v>
      </c>
      <c r="H49" s="52"/>
      <c r="I49" s="52"/>
      <c r="J49" s="2">
        <f t="shared" si="1"/>
        <v>0</v>
      </c>
      <c r="K49" s="35">
        <f>K50</f>
        <v>100000</v>
      </c>
      <c r="L49" s="35">
        <f>L50</f>
        <v>0</v>
      </c>
      <c r="M49" s="35">
        <f>M50</f>
        <v>100000</v>
      </c>
      <c r="N49" s="38">
        <f>N50</f>
        <v>100</v>
      </c>
    </row>
    <row r="50" spans="1:14" s="46" customFormat="1" ht="47.25" customHeight="1">
      <c r="A50" s="39" t="s">
        <v>92</v>
      </c>
      <c r="B50" s="39" t="s">
        <v>56</v>
      </c>
      <c r="C50" s="39" t="s">
        <v>45</v>
      </c>
      <c r="D50" s="51" t="s">
        <v>9</v>
      </c>
      <c r="E50" s="51"/>
      <c r="F50" s="51"/>
      <c r="G50" s="87">
        <f t="shared" si="0"/>
        <v>0</v>
      </c>
      <c r="H50" s="51"/>
      <c r="I50" s="51"/>
      <c r="J50" s="87">
        <f t="shared" si="1"/>
        <v>0</v>
      </c>
      <c r="K50" s="42">
        <v>100000</v>
      </c>
      <c r="L50" s="42"/>
      <c r="M50" s="42">
        <f>L50+K50</f>
        <v>100000</v>
      </c>
      <c r="N50" s="8">
        <f t="shared" si="2"/>
        <v>100</v>
      </c>
    </row>
    <row r="51" spans="1:14" s="46" customFormat="1" ht="30.75" customHeight="1">
      <c r="A51" s="33" t="s">
        <v>270</v>
      </c>
      <c r="B51" s="33" t="s">
        <v>271</v>
      </c>
      <c r="C51" s="33"/>
      <c r="D51" s="53" t="s">
        <v>377</v>
      </c>
      <c r="E51" s="34"/>
      <c r="F51" s="34"/>
      <c r="G51" s="2">
        <f t="shared" si="0"/>
        <v>0</v>
      </c>
      <c r="H51" s="34"/>
      <c r="I51" s="34"/>
      <c r="J51" s="2">
        <f t="shared" si="1"/>
        <v>0</v>
      </c>
      <c r="K51" s="54">
        <f>SUM(K52)</f>
        <v>2087424.77</v>
      </c>
      <c r="L51" s="54">
        <f>SUM(L52)</f>
        <v>0</v>
      </c>
      <c r="M51" s="54">
        <f>SUM(M52)</f>
        <v>2087424.77</v>
      </c>
      <c r="N51" s="38">
        <f>SUM(N52)</f>
        <v>2087.4</v>
      </c>
    </row>
    <row r="52" spans="1:14" s="46" customFormat="1" ht="48.75" customHeight="1">
      <c r="A52" s="39" t="s">
        <v>268</v>
      </c>
      <c r="B52" s="39" t="s">
        <v>278</v>
      </c>
      <c r="C52" s="39" t="s">
        <v>47</v>
      </c>
      <c r="D52" s="144" t="s">
        <v>269</v>
      </c>
      <c r="E52" s="40"/>
      <c r="F52" s="40"/>
      <c r="G52" s="87">
        <f t="shared" si="0"/>
        <v>0</v>
      </c>
      <c r="H52" s="40"/>
      <c r="I52" s="40"/>
      <c r="J52" s="87">
        <f t="shared" si="1"/>
        <v>0</v>
      </c>
      <c r="K52" s="55">
        <v>2087424.77</v>
      </c>
      <c r="L52" s="55"/>
      <c r="M52" s="55">
        <f>L52+K52</f>
        <v>2087424.77</v>
      </c>
      <c r="N52" s="8">
        <f t="shared" si="2"/>
        <v>2087.4</v>
      </c>
    </row>
    <row r="53" spans="1:14" s="46" customFormat="1" ht="32.25" customHeight="1">
      <c r="A53" s="33" t="s">
        <v>93</v>
      </c>
      <c r="B53" s="33" t="s">
        <v>1</v>
      </c>
      <c r="C53" s="33" t="s">
        <v>48</v>
      </c>
      <c r="D53" s="34" t="s">
        <v>17</v>
      </c>
      <c r="E53" s="34"/>
      <c r="F53" s="34"/>
      <c r="G53" s="2">
        <f t="shared" si="0"/>
        <v>0</v>
      </c>
      <c r="H53" s="34"/>
      <c r="I53" s="34"/>
      <c r="J53" s="2">
        <f t="shared" si="1"/>
        <v>0</v>
      </c>
      <c r="K53" s="35">
        <f>11768000+900000+283419</f>
        <v>12951419</v>
      </c>
      <c r="L53" s="35"/>
      <c r="M53" s="35">
        <f>L53+K53</f>
        <v>12951419</v>
      </c>
      <c r="N53" s="36">
        <f t="shared" si="2"/>
        <v>12951.4</v>
      </c>
    </row>
    <row r="54" spans="1:14" s="46" customFormat="1" ht="51.75" customHeight="1">
      <c r="A54" s="33" t="s">
        <v>305</v>
      </c>
      <c r="B54" s="33" t="s">
        <v>266</v>
      </c>
      <c r="C54" s="33" t="s">
        <v>25</v>
      </c>
      <c r="D54" s="34" t="s">
        <v>276</v>
      </c>
      <c r="E54" s="34"/>
      <c r="F54" s="34"/>
      <c r="G54" s="2">
        <f t="shared" si="0"/>
        <v>0</v>
      </c>
      <c r="H54" s="34"/>
      <c r="I54" s="34"/>
      <c r="J54" s="2">
        <f t="shared" si="1"/>
        <v>0</v>
      </c>
      <c r="K54" s="35">
        <v>2000000</v>
      </c>
      <c r="L54" s="35"/>
      <c r="M54" s="35">
        <f>L54+K54</f>
        <v>2000000</v>
      </c>
      <c r="N54" s="36">
        <f t="shared" si="2"/>
        <v>2000</v>
      </c>
    </row>
    <row r="55" spans="1:14" s="32" customFormat="1" ht="34.5" customHeight="1">
      <c r="A55" s="29" t="s">
        <v>94</v>
      </c>
      <c r="B55" s="29"/>
      <c r="C55" s="29"/>
      <c r="D55" s="3" t="s">
        <v>11</v>
      </c>
      <c r="E55" s="3"/>
      <c r="F55" s="3"/>
      <c r="G55" s="2">
        <f t="shared" si="0"/>
        <v>0</v>
      </c>
      <c r="H55" s="3"/>
      <c r="I55" s="3"/>
      <c r="J55" s="2">
        <f t="shared" si="1"/>
        <v>0</v>
      </c>
      <c r="K55" s="30">
        <f>K56+K65+K63+K57+K58</f>
        <v>39037872.6</v>
      </c>
      <c r="L55" s="30">
        <f>L56+L65+L63+L57+L58</f>
        <v>27000</v>
      </c>
      <c r="M55" s="30">
        <f>M56+M65+M63+M57+M58</f>
        <v>39064872.6</v>
      </c>
      <c r="N55" s="31">
        <f>N56+N65+N63+N57+N58+N61</f>
        <v>43565.299999999996</v>
      </c>
    </row>
    <row r="56" spans="1:14" s="37" customFormat="1" ht="40.5" customHeight="1">
      <c r="A56" s="33" t="s">
        <v>95</v>
      </c>
      <c r="B56" s="33" t="s">
        <v>38</v>
      </c>
      <c r="C56" s="33" t="s">
        <v>39</v>
      </c>
      <c r="D56" s="34" t="s">
        <v>12</v>
      </c>
      <c r="E56" s="34"/>
      <c r="F56" s="34"/>
      <c r="G56" s="2">
        <f t="shared" si="0"/>
        <v>0</v>
      </c>
      <c r="H56" s="34"/>
      <c r="I56" s="34"/>
      <c r="J56" s="2">
        <f t="shared" si="1"/>
        <v>0</v>
      </c>
      <c r="K56" s="35">
        <f>20000000+350000+182000+7028800+181429</f>
        <v>27742229</v>
      </c>
      <c r="L56" s="35">
        <v>15000</v>
      </c>
      <c r="M56" s="35">
        <f>L56+K56</f>
        <v>27757229</v>
      </c>
      <c r="N56" s="36">
        <f>ROUND(M56/1000,1)+950+144</f>
        <v>28851.2</v>
      </c>
    </row>
    <row r="57" spans="1:14" s="37" customFormat="1" ht="35.25" customHeight="1">
      <c r="A57" s="33" t="s">
        <v>341</v>
      </c>
      <c r="B57" s="33" t="s">
        <v>342</v>
      </c>
      <c r="C57" s="33" t="s">
        <v>344</v>
      </c>
      <c r="D57" s="34" t="s">
        <v>343</v>
      </c>
      <c r="E57" s="34"/>
      <c r="F57" s="34"/>
      <c r="G57" s="2">
        <f t="shared" si="0"/>
        <v>0</v>
      </c>
      <c r="H57" s="34"/>
      <c r="I57" s="34"/>
      <c r="J57" s="2">
        <f t="shared" si="1"/>
        <v>0</v>
      </c>
      <c r="K57" s="35">
        <v>15000</v>
      </c>
      <c r="L57" s="35"/>
      <c r="M57" s="35">
        <f>L57+K57</f>
        <v>15000</v>
      </c>
      <c r="N57" s="36">
        <f t="shared" si="2"/>
        <v>15</v>
      </c>
    </row>
    <row r="58" spans="1:14" s="37" customFormat="1" ht="29.25" customHeight="1">
      <c r="A58" s="33" t="s">
        <v>345</v>
      </c>
      <c r="B58" s="33" t="s">
        <v>346</v>
      </c>
      <c r="C58" s="33"/>
      <c r="D58" s="34" t="s">
        <v>378</v>
      </c>
      <c r="E58" s="34"/>
      <c r="F58" s="34"/>
      <c r="G58" s="2">
        <f t="shared" si="0"/>
        <v>0</v>
      </c>
      <c r="H58" s="34"/>
      <c r="I58" s="34"/>
      <c r="J58" s="2">
        <f t="shared" si="1"/>
        <v>0</v>
      </c>
      <c r="K58" s="35">
        <f>K59+K60</f>
        <v>57600</v>
      </c>
      <c r="L58" s="35">
        <f>L59+L60</f>
        <v>12000</v>
      </c>
      <c r="M58" s="35">
        <f>M59+M60</f>
        <v>69600</v>
      </c>
      <c r="N58" s="38">
        <f>N59+N60</f>
        <v>69.6</v>
      </c>
    </row>
    <row r="59" spans="1:14" s="46" customFormat="1" ht="51" customHeight="1">
      <c r="A59" s="39" t="s">
        <v>347</v>
      </c>
      <c r="B59" s="39" t="s">
        <v>348</v>
      </c>
      <c r="C59" s="39" t="s">
        <v>350</v>
      </c>
      <c r="D59" s="40" t="s">
        <v>349</v>
      </c>
      <c r="E59" s="40"/>
      <c r="F59" s="40"/>
      <c r="G59" s="87">
        <f t="shared" si="0"/>
        <v>0</v>
      </c>
      <c r="H59" s="40"/>
      <c r="I59" s="40"/>
      <c r="J59" s="87">
        <f t="shared" si="1"/>
        <v>0</v>
      </c>
      <c r="K59" s="42">
        <v>35000</v>
      </c>
      <c r="L59" s="42"/>
      <c r="M59" s="42">
        <f>L59+K59</f>
        <v>35000</v>
      </c>
      <c r="N59" s="8">
        <f t="shared" si="2"/>
        <v>35</v>
      </c>
    </row>
    <row r="60" spans="1:14" s="46" customFormat="1" ht="57.75" customHeight="1">
      <c r="A60" s="39" t="s">
        <v>351</v>
      </c>
      <c r="B60" s="39" t="s">
        <v>352</v>
      </c>
      <c r="C60" s="39" t="s">
        <v>353</v>
      </c>
      <c r="D60" s="40" t="s">
        <v>354</v>
      </c>
      <c r="E60" s="40"/>
      <c r="F60" s="40"/>
      <c r="G60" s="87">
        <f t="shared" si="0"/>
        <v>0</v>
      </c>
      <c r="H60" s="40"/>
      <c r="I60" s="40"/>
      <c r="J60" s="87">
        <f t="shared" si="1"/>
        <v>0</v>
      </c>
      <c r="K60" s="42">
        <v>22600</v>
      </c>
      <c r="L60" s="42">
        <v>12000</v>
      </c>
      <c r="M60" s="42">
        <f>L60+K60</f>
        <v>34600</v>
      </c>
      <c r="N60" s="8">
        <f t="shared" si="2"/>
        <v>34.6</v>
      </c>
    </row>
    <row r="61" spans="1:14" s="37" customFormat="1" ht="30.75" customHeight="1">
      <c r="A61" s="33"/>
      <c r="B61" s="33"/>
      <c r="C61" s="33"/>
      <c r="D61" s="34" t="s">
        <v>420</v>
      </c>
      <c r="E61" s="34"/>
      <c r="F61" s="34"/>
      <c r="G61" s="2"/>
      <c r="H61" s="34"/>
      <c r="I61" s="34"/>
      <c r="J61" s="2"/>
      <c r="K61" s="35"/>
      <c r="L61" s="35"/>
      <c r="M61" s="35"/>
      <c r="N61" s="36">
        <f>N62</f>
        <v>3406.5</v>
      </c>
    </row>
    <row r="62" spans="1:14" s="46" customFormat="1" ht="26.25" customHeight="1">
      <c r="A62" s="39"/>
      <c r="B62" s="39"/>
      <c r="C62" s="39"/>
      <c r="D62" s="40" t="s">
        <v>421</v>
      </c>
      <c r="E62" s="40"/>
      <c r="F62" s="40"/>
      <c r="G62" s="87"/>
      <c r="H62" s="40"/>
      <c r="I62" s="40"/>
      <c r="J62" s="87"/>
      <c r="K62" s="42"/>
      <c r="L62" s="42"/>
      <c r="M62" s="42"/>
      <c r="N62" s="8">
        <v>3406.5</v>
      </c>
    </row>
    <row r="63" spans="1:14" s="37" customFormat="1" ht="32.25" customHeight="1">
      <c r="A63" s="33" t="s">
        <v>297</v>
      </c>
      <c r="B63" s="33" t="s">
        <v>271</v>
      </c>
      <c r="C63" s="33"/>
      <c r="D63" s="34" t="s">
        <v>377</v>
      </c>
      <c r="E63" s="34"/>
      <c r="F63" s="34"/>
      <c r="G63" s="2">
        <f t="shared" si="0"/>
        <v>0</v>
      </c>
      <c r="H63" s="34"/>
      <c r="I63" s="34"/>
      <c r="J63" s="2">
        <f t="shared" si="1"/>
        <v>0</v>
      </c>
      <c r="K63" s="35">
        <f>SUM(K64)</f>
        <v>1376043.6</v>
      </c>
      <c r="L63" s="35">
        <f>SUM(L64)</f>
        <v>0</v>
      </c>
      <c r="M63" s="35">
        <f>SUM(M64)</f>
        <v>1376043.6</v>
      </c>
      <c r="N63" s="38">
        <f>SUM(N64)</f>
        <v>1376</v>
      </c>
    </row>
    <row r="64" spans="1:14" s="46" customFormat="1" ht="51.75" customHeight="1">
      <c r="A64" s="39" t="s">
        <v>298</v>
      </c>
      <c r="B64" s="39" t="s">
        <v>278</v>
      </c>
      <c r="C64" s="39" t="s">
        <v>47</v>
      </c>
      <c r="D64" s="40" t="s">
        <v>269</v>
      </c>
      <c r="E64" s="40"/>
      <c r="F64" s="40"/>
      <c r="G64" s="87">
        <f t="shared" si="0"/>
        <v>0</v>
      </c>
      <c r="H64" s="40"/>
      <c r="I64" s="40"/>
      <c r="J64" s="87">
        <f t="shared" si="1"/>
        <v>0</v>
      </c>
      <c r="K64" s="42">
        <v>1376043.6</v>
      </c>
      <c r="L64" s="42"/>
      <c r="M64" s="42">
        <f>L64+K64</f>
        <v>1376043.6</v>
      </c>
      <c r="N64" s="8">
        <f t="shared" si="2"/>
        <v>1376</v>
      </c>
    </row>
    <row r="65" spans="1:14" s="37" customFormat="1" ht="30.75" customHeight="1">
      <c r="A65" s="33" t="s">
        <v>96</v>
      </c>
      <c r="B65" s="33" t="s">
        <v>1</v>
      </c>
      <c r="C65" s="33" t="s">
        <v>48</v>
      </c>
      <c r="D65" s="34" t="s">
        <v>17</v>
      </c>
      <c r="E65" s="34"/>
      <c r="F65" s="34"/>
      <c r="G65" s="2">
        <f t="shared" si="0"/>
        <v>0</v>
      </c>
      <c r="H65" s="34"/>
      <c r="I65" s="34"/>
      <c r="J65" s="2">
        <f t="shared" si="1"/>
        <v>0</v>
      </c>
      <c r="K65" s="35">
        <f>6847000+3000000</f>
        <v>9847000</v>
      </c>
      <c r="L65" s="35"/>
      <c r="M65" s="35">
        <f>L65+K65</f>
        <v>9847000</v>
      </c>
      <c r="N65" s="36">
        <f t="shared" si="2"/>
        <v>9847</v>
      </c>
    </row>
    <row r="66" spans="1:14" s="32" customFormat="1" ht="36.75" customHeight="1">
      <c r="A66" s="29" t="s">
        <v>97</v>
      </c>
      <c r="B66" s="29"/>
      <c r="C66" s="29"/>
      <c r="D66" s="3" t="s">
        <v>21</v>
      </c>
      <c r="E66" s="3"/>
      <c r="F66" s="3"/>
      <c r="G66" s="2">
        <f t="shared" si="0"/>
        <v>0</v>
      </c>
      <c r="H66" s="3"/>
      <c r="I66" s="3"/>
      <c r="J66" s="2">
        <f t="shared" si="1"/>
        <v>0</v>
      </c>
      <c r="K66" s="30">
        <f>K67+K68+K72+K70</f>
        <v>1179500</v>
      </c>
      <c r="L66" s="30">
        <f>L67+L68+L72+L70</f>
        <v>0</v>
      </c>
      <c r="M66" s="30">
        <f>M67+M68+M72+M70</f>
        <v>1179500</v>
      </c>
      <c r="N66" s="31">
        <f>N67+N68+N72+N70</f>
        <v>1179.5</v>
      </c>
    </row>
    <row r="67" spans="1:14" s="37" customFormat="1" ht="57" customHeight="1">
      <c r="A67" s="56" t="s">
        <v>98</v>
      </c>
      <c r="B67" s="56" t="s">
        <v>58</v>
      </c>
      <c r="C67" s="56" t="s">
        <v>26</v>
      </c>
      <c r="D67" s="34" t="s">
        <v>59</v>
      </c>
      <c r="E67" s="34"/>
      <c r="F67" s="34"/>
      <c r="G67" s="2">
        <f t="shared" si="0"/>
        <v>0</v>
      </c>
      <c r="H67" s="34"/>
      <c r="I67" s="34"/>
      <c r="J67" s="2">
        <f t="shared" si="1"/>
        <v>0</v>
      </c>
      <c r="K67" s="35">
        <f>700000-128000</f>
        <v>572000</v>
      </c>
      <c r="L67" s="35"/>
      <c r="M67" s="35">
        <f>L67+K67</f>
        <v>572000</v>
      </c>
      <c r="N67" s="36">
        <f t="shared" si="2"/>
        <v>572</v>
      </c>
    </row>
    <row r="68" spans="1:14" s="58" customFormat="1" ht="53.25" customHeight="1">
      <c r="A68" s="33" t="s">
        <v>99</v>
      </c>
      <c r="B68" s="57">
        <v>3030</v>
      </c>
      <c r="C68" s="57"/>
      <c r="D68" s="34" t="s">
        <v>379</v>
      </c>
      <c r="E68" s="34"/>
      <c r="F68" s="34"/>
      <c r="G68" s="2">
        <f t="shared" si="0"/>
        <v>0</v>
      </c>
      <c r="H68" s="34"/>
      <c r="I68" s="34"/>
      <c r="J68" s="2">
        <f t="shared" si="1"/>
        <v>0</v>
      </c>
      <c r="K68" s="35">
        <f>K69</f>
        <v>214000</v>
      </c>
      <c r="L68" s="35">
        <f>L69</f>
        <v>0</v>
      </c>
      <c r="M68" s="35">
        <f>M69</f>
        <v>214000</v>
      </c>
      <c r="N68" s="38">
        <f>N69</f>
        <v>214</v>
      </c>
    </row>
    <row r="69" spans="1:14" s="61" customFormat="1" ht="41.25" customHeight="1">
      <c r="A69" s="59" t="s">
        <v>100</v>
      </c>
      <c r="B69" s="60">
        <v>3031</v>
      </c>
      <c r="C69" s="60">
        <v>1030</v>
      </c>
      <c r="D69" s="40" t="s">
        <v>61</v>
      </c>
      <c r="E69" s="40"/>
      <c r="F69" s="40"/>
      <c r="G69" s="87">
        <f t="shared" si="0"/>
        <v>0</v>
      </c>
      <c r="H69" s="40"/>
      <c r="I69" s="40"/>
      <c r="J69" s="87">
        <f t="shared" si="1"/>
        <v>0</v>
      </c>
      <c r="K69" s="42">
        <v>214000</v>
      </c>
      <c r="L69" s="42"/>
      <c r="M69" s="42">
        <f>L69+K69</f>
        <v>214000</v>
      </c>
      <c r="N69" s="8">
        <f t="shared" si="2"/>
        <v>214</v>
      </c>
    </row>
    <row r="70" spans="1:14" s="61" customFormat="1" ht="54.75" customHeight="1">
      <c r="A70" s="33" t="s">
        <v>101</v>
      </c>
      <c r="B70" s="57">
        <v>3100</v>
      </c>
      <c r="C70" s="57"/>
      <c r="D70" s="34" t="s">
        <v>380</v>
      </c>
      <c r="E70" s="40"/>
      <c r="F70" s="40"/>
      <c r="G70" s="2">
        <f t="shared" si="0"/>
        <v>0</v>
      </c>
      <c r="H70" s="40"/>
      <c r="I70" s="40"/>
      <c r="J70" s="2">
        <f t="shared" si="1"/>
        <v>0</v>
      </c>
      <c r="K70" s="35">
        <f>K71</f>
        <v>18500</v>
      </c>
      <c r="L70" s="35">
        <f>L71</f>
        <v>0</v>
      </c>
      <c r="M70" s="35">
        <f>M71</f>
        <v>18500</v>
      </c>
      <c r="N70" s="38">
        <f>N71</f>
        <v>18.5</v>
      </c>
    </row>
    <row r="71" spans="1:14" s="61" customFormat="1" ht="54.75" customHeight="1">
      <c r="A71" s="39" t="s">
        <v>102</v>
      </c>
      <c r="B71" s="62">
        <v>3104</v>
      </c>
      <c r="C71" s="62">
        <v>1020</v>
      </c>
      <c r="D71" s="40" t="s">
        <v>14</v>
      </c>
      <c r="E71" s="40"/>
      <c r="F71" s="40"/>
      <c r="G71" s="87">
        <f t="shared" si="0"/>
        <v>0</v>
      </c>
      <c r="H71" s="40"/>
      <c r="I71" s="40"/>
      <c r="J71" s="87">
        <f t="shared" si="1"/>
        <v>0</v>
      </c>
      <c r="K71" s="42">
        <v>18500</v>
      </c>
      <c r="L71" s="42"/>
      <c r="M71" s="42">
        <f>L71+K71</f>
        <v>18500</v>
      </c>
      <c r="N71" s="8">
        <f t="shared" si="2"/>
        <v>18.5</v>
      </c>
    </row>
    <row r="72" spans="1:14" s="37" customFormat="1" ht="35.25" customHeight="1">
      <c r="A72" s="33" t="s">
        <v>214</v>
      </c>
      <c r="B72" s="57">
        <v>3240</v>
      </c>
      <c r="C72" s="57"/>
      <c r="D72" s="34" t="s">
        <v>381</v>
      </c>
      <c r="E72" s="34"/>
      <c r="F72" s="34"/>
      <c r="G72" s="2">
        <f t="shared" si="0"/>
        <v>0</v>
      </c>
      <c r="H72" s="34"/>
      <c r="I72" s="34"/>
      <c r="J72" s="2">
        <f t="shared" si="1"/>
        <v>0</v>
      </c>
      <c r="K72" s="35">
        <f>K73+K74</f>
        <v>375000</v>
      </c>
      <c r="L72" s="35">
        <f>L73+L74</f>
        <v>0</v>
      </c>
      <c r="M72" s="35">
        <f>M73+M74</f>
        <v>375000</v>
      </c>
      <c r="N72" s="38">
        <f>N73+N74</f>
        <v>375</v>
      </c>
    </row>
    <row r="73" spans="1:14" s="46" customFormat="1" ht="53.25" customHeight="1">
      <c r="A73" s="39" t="s">
        <v>204</v>
      </c>
      <c r="B73" s="62">
        <v>3241</v>
      </c>
      <c r="C73" s="62">
        <v>1090</v>
      </c>
      <c r="D73" s="40" t="s">
        <v>205</v>
      </c>
      <c r="E73" s="40"/>
      <c r="F73" s="40"/>
      <c r="G73" s="87">
        <f t="shared" si="0"/>
        <v>0</v>
      </c>
      <c r="H73" s="40"/>
      <c r="I73" s="40"/>
      <c r="J73" s="87">
        <f t="shared" si="1"/>
        <v>0</v>
      </c>
      <c r="K73" s="42">
        <v>300000</v>
      </c>
      <c r="L73" s="42"/>
      <c r="M73" s="42">
        <f>L73+K73</f>
        <v>300000</v>
      </c>
      <c r="N73" s="8">
        <f t="shared" si="2"/>
        <v>300</v>
      </c>
    </row>
    <row r="74" spans="1:14" s="46" customFormat="1" ht="36" customHeight="1">
      <c r="A74" s="39" t="s">
        <v>206</v>
      </c>
      <c r="B74" s="62">
        <v>3242</v>
      </c>
      <c r="C74" s="62">
        <v>1090</v>
      </c>
      <c r="D74" s="40" t="s">
        <v>207</v>
      </c>
      <c r="E74" s="40"/>
      <c r="F74" s="40"/>
      <c r="G74" s="87">
        <f t="shared" si="0"/>
        <v>0</v>
      </c>
      <c r="H74" s="40"/>
      <c r="I74" s="40"/>
      <c r="J74" s="87">
        <f t="shared" si="1"/>
        <v>0</v>
      </c>
      <c r="K74" s="42">
        <v>75000</v>
      </c>
      <c r="L74" s="42"/>
      <c r="M74" s="42">
        <f>L74+K74</f>
        <v>75000</v>
      </c>
      <c r="N74" s="8">
        <f t="shared" si="2"/>
        <v>75</v>
      </c>
    </row>
    <row r="75" spans="1:14" s="32" customFormat="1" ht="33.75" customHeight="1">
      <c r="A75" s="29" t="s">
        <v>103</v>
      </c>
      <c r="B75" s="29"/>
      <c r="C75" s="29"/>
      <c r="D75" s="3" t="s">
        <v>15</v>
      </c>
      <c r="E75" s="3"/>
      <c r="F75" s="3"/>
      <c r="G75" s="2">
        <f t="shared" si="0"/>
        <v>0</v>
      </c>
      <c r="H75" s="3"/>
      <c r="I75" s="3"/>
      <c r="J75" s="2">
        <f t="shared" si="1"/>
        <v>0</v>
      </c>
      <c r="K75" s="30">
        <f>K76+K77+K78+K79+K81</f>
        <v>3140450</v>
      </c>
      <c r="L75" s="30">
        <f>L76+L77+L78+L79+L81</f>
        <v>0</v>
      </c>
      <c r="M75" s="30">
        <f>M76+M77+M78+M79+M81</f>
        <v>3140450</v>
      </c>
      <c r="N75" s="31">
        <f>N76+N77+N78+N79+N81</f>
        <v>3140.5</v>
      </c>
    </row>
    <row r="76" spans="1:14" s="37" customFormat="1" ht="53.25" customHeight="1">
      <c r="A76" s="33" t="s">
        <v>70</v>
      </c>
      <c r="B76" s="33" t="s">
        <v>58</v>
      </c>
      <c r="C76" s="33" t="s">
        <v>26</v>
      </c>
      <c r="D76" s="34" t="s">
        <v>59</v>
      </c>
      <c r="E76" s="34"/>
      <c r="F76" s="34"/>
      <c r="G76" s="2">
        <f t="shared" si="0"/>
        <v>0</v>
      </c>
      <c r="H76" s="34"/>
      <c r="I76" s="34"/>
      <c r="J76" s="2">
        <f t="shared" si="1"/>
        <v>0</v>
      </c>
      <c r="K76" s="35">
        <v>10000</v>
      </c>
      <c r="L76" s="35"/>
      <c r="M76" s="35">
        <f>L76+K76</f>
        <v>10000</v>
      </c>
      <c r="N76" s="36">
        <f t="shared" si="2"/>
        <v>10</v>
      </c>
    </row>
    <row r="77" spans="1:14" s="37" customFormat="1" ht="51" customHeight="1">
      <c r="A77" s="33" t="s">
        <v>120</v>
      </c>
      <c r="B77" s="33" t="s">
        <v>36</v>
      </c>
      <c r="C77" s="33" t="s">
        <v>35</v>
      </c>
      <c r="D77" s="34" t="s">
        <v>6</v>
      </c>
      <c r="E77" s="34"/>
      <c r="F77" s="34"/>
      <c r="G77" s="2">
        <f t="shared" si="0"/>
        <v>0</v>
      </c>
      <c r="H77" s="34"/>
      <c r="I77" s="34"/>
      <c r="J77" s="2">
        <f t="shared" si="1"/>
        <v>0</v>
      </c>
      <c r="K77" s="35">
        <f>200000+12300</f>
        <v>212300</v>
      </c>
      <c r="L77" s="35"/>
      <c r="M77" s="35">
        <f>L77+K77</f>
        <v>212300</v>
      </c>
      <c r="N77" s="36">
        <f t="shared" si="2"/>
        <v>212.3</v>
      </c>
    </row>
    <row r="78" spans="1:14" s="37" customFormat="1" ht="31.5" customHeight="1">
      <c r="A78" s="33" t="s">
        <v>104</v>
      </c>
      <c r="B78" s="33" t="s">
        <v>42</v>
      </c>
      <c r="C78" s="33" t="s">
        <v>43</v>
      </c>
      <c r="D78" s="34" t="s">
        <v>5</v>
      </c>
      <c r="E78" s="34"/>
      <c r="F78" s="34"/>
      <c r="G78" s="2">
        <f t="shared" si="0"/>
        <v>0</v>
      </c>
      <c r="H78" s="34"/>
      <c r="I78" s="34"/>
      <c r="J78" s="2">
        <f t="shared" si="1"/>
        <v>0</v>
      </c>
      <c r="K78" s="35">
        <f>300000+850050+70100</f>
        <v>1220150</v>
      </c>
      <c r="L78" s="35"/>
      <c r="M78" s="35">
        <f>L78+K78</f>
        <v>1220150</v>
      </c>
      <c r="N78" s="36">
        <f t="shared" si="2"/>
        <v>1220.2</v>
      </c>
    </row>
    <row r="79" spans="1:14" s="37" customFormat="1" ht="37.5" customHeight="1">
      <c r="A79" s="33" t="s">
        <v>105</v>
      </c>
      <c r="B79" s="33" t="s">
        <v>7</v>
      </c>
      <c r="C79" s="33"/>
      <c r="D79" s="34" t="s">
        <v>370</v>
      </c>
      <c r="E79" s="34"/>
      <c r="F79" s="34"/>
      <c r="G79" s="2">
        <f t="shared" si="0"/>
        <v>0</v>
      </c>
      <c r="H79" s="34"/>
      <c r="I79" s="34"/>
      <c r="J79" s="2">
        <f t="shared" si="1"/>
        <v>0</v>
      </c>
      <c r="K79" s="35">
        <f>K80</f>
        <v>50000</v>
      </c>
      <c r="L79" s="35">
        <f>L80</f>
        <v>0</v>
      </c>
      <c r="M79" s="35">
        <f>M80</f>
        <v>50000</v>
      </c>
      <c r="N79" s="38">
        <f>N80</f>
        <v>50</v>
      </c>
    </row>
    <row r="80" spans="1:14" s="46" customFormat="1" ht="36.75" customHeight="1">
      <c r="A80" s="39" t="s">
        <v>208</v>
      </c>
      <c r="B80" s="39" t="s">
        <v>199</v>
      </c>
      <c r="C80" s="39" t="s">
        <v>44</v>
      </c>
      <c r="D80" s="40" t="s">
        <v>200</v>
      </c>
      <c r="E80" s="40"/>
      <c r="F80" s="40"/>
      <c r="G80" s="87">
        <f t="shared" si="0"/>
        <v>0</v>
      </c>
      <c r="H80" s="40"/>
      <c r="I80" s="40"/>
      <c r="J80" s="87">
        <f t="shared" si="1"/>
        <v>0</v>
      </c>
      <c r="K80" s="42">
        <v>50000</v>
      </c>
      <c r="L80" s="42"/>
      <c r="M80" s="42">
        <f>L80+K80</f>
        <v>50000</v>
      </c>
      <c r="N80" s="8">
        <f t="shared" si="2"/>
        <v>50</v>
      </c>
    </row>
    <row r="81" spans="1:14" s="37" customFormat="1" ht="27.75" customHeight="1">
      <c r="A81" s="33" t="s">
        <v>74</v>
      </c>
      <c r="B81" s="33" t="s">
        <v>1</v>
      </c>
      <c r="C81" s="33" t="s">
        <v>48</v>
      </c>
      <c r="D81" s="34" t="s">
        <v>17</v>
      </c>
      <c r="E81" s="34"/>
      <c r="F81" s="34"/>
      <c r="G81" s="2">
        <f t="shared" si="0"/>
        <v>0</v>
      </c>
      <c r="H81" s="34"/>
      <c r="I81" s="34"/>
      <c r="J81" s="2">
        <f t="shared" si="1"/>
        <v>0</v>
      </c>
      <c r="K81" s="35">
        <v>1648000</v>
      </c>
      <c r="L81" s="35"/>
      <c r="M81" s="35">
        <f>L81+K81</f>
        <v>1648000</v>
      </c>
      <c r="N81" s="36">
        <f t="shared" si="2"/>
        <v>1648</v>
      </c>
    </row>
    <row r="82" spans="1:14" s="32" customFormat="1" ht="44.25" customHeight="1">
      <c r="A82" s="29" t="s">
        <v>106</v>
      </c>
      <c r="B82" s="29"/>
      <c r="C82" s="29"/>
      <c r="D82" s="3" t="s">
        <v>16</v>
      </c>
      <c r="E82" s="3"/>
      <c r="F82" s="3"/>
      <c r="G82" s="2">
        <f t="shared" si="0"/>
        <v>0</v>
      </c>
      <c r="H82" s="3"/>
      <c r="I82" s="3"/>
      <c r="J82" s="2">
        <f t="shared" si="1"/>
        <v>0</v>
      </c>
      <c r="K82" s="30">
        <f>K83+K84+K89+K132+K139+K90+K123+K135</f>
        <v>149513126.94</v>
      </c>
      <c r="L82" s="30">
        <f>L83+L84+L89+L132+L139+L90+L123+L135</f>
        <v>-297115</v>
      </c>
      <c r="M82" s="30">
        <f>M83+M84+M89+M132+M139+M90+M123+M135</f>
        <v>149216011.94</v>
      </c>
      <c r="N82" s="31">
        <f>N83+N84+N89+N132+N139+N90+N123+N135</f>
        <v>150548.69999999998</v>
      </c>
    </row>
    <row r="83" spans="1:14" s="37" customFormat="1" ht="48.75" customHeight="1">
      <c r="A83" s="33" t="s">
        <v>107</v>
      </c>
      <c r="B83" s="33" t="s">
        <v>58</v>
      </c>
      <c r="C83" s="33" t="s">
        <v>26</v>
      </c>
      <c r="D83" s="34" t="s">
        <v>59</v>
      </c>
      <c r="E83" s="34"/>
      <c r="F83" s="34"/>
      <c r="G83" s="2">
        <f t="shared" si="0"/>
        <v>0</v>
      </c>
      <c r="H83" s="34"/>
      <c r="I83" s="34"/>
      <c r="J83" s="2">
        <f t="shared" si="1"/>
        <v>0</v>
      </c>
      <c r="K83" s="35">
        <f>200000-137500</f>
        <v>62500</v>
      </c>
      <c r="L83" s="35"/>
      <c r="M83" s="35">
        <f>L83+K83</f>
        <v>62500</v>
      </c>
      <c r="N83" s="36">
        <f t="shared" si="2"/>
        <v>62.5</v>
      </c>
    </row>
    <row r="84" spans="1:14" s="37" customFormat="1" ht="37.5" customHeight="1">
      <c r="A84" s="33" t="s">
        <v>108</v>
      </c>
      <c r="B84" s="33" t="s">
        <v>40</v>
      </c>
      <c r="C84" s="33"/>
      <c r="D84" s="34" t="s">
        <v>382</v>
      </c>
      <c r="E84" s="34"/>
      <c r="F84" s="34"/>
      <c r="G84" s="2">
        <f aca="true" t="shared" si="5" ref="G84:G150">ROUND(F84/1000,1)</f>
        <v>0</v>
      </c>
      <c r="H84" s="34"/>
      <c r="I84" s="34"/>
      <c r="J84" s="2">
        <f aca="true" t="shared" si="6" ref="J84:J150">ROUND(I84/1000,1)</f>
        <v>0</v>
      </c>
      <c r="K84" s="35">
        <f>K85+K87+K86+K88</f>
        <v>63936622</v>
      </c>
      <c r="L84" s="35">
        <f>L85+L87+L86+L88</f>
        <v>0</v>
      </c>
      <c r="M84" s="35">
        <f>M85+M87+M86+M88</f>
        <v>63936622</v>
      </c>
      <c r="N84" s="38">
        <f>N85+N87+N86+N88</f>
        <v>64019.9</v>
      </c>
    </row>
    <row r="85" spans="1:14" s="46" customFormat="1" ht="27.75" customHeight="1">
      <c r="A85" s="39" t="s">
        <v>109</v>
      </c>
      <c r="B85" s="39" t="s">
        <v>65</v>
      </c>
      <c r="C85" s="39" t="s">
        <v>41</v>
      </c>
      <c r="D85" s="40" t="s">
        <v>66</v>
      </c>
      <c r="E85" s="40"/>
      <c r="F85" s="40"/>
      <c r="G85" s="87">
        <f t="shared" si="5"/>
        <v>0</v>
      </c>
      <c r="H85" s="40"/>
      <c r="I85" s="40"/>
      <c r="J85" s="87">
        <f t="shared" si="6"/>
        <v>0</v>
      </c>
      <c r="K85" s="42">
        <f>20000000+15000000-150000-4100000+20000+350000+96000</f>
        <v>31216000</v>
      </c>
      <c r="L85" s="42"/>
      <c r="M85" s="42">
        <f>L85+K85</f>
        <v>31216000</v>
      </c>
      <c r="N85" s="8">
        <f>ROUND(M85/1000,1)+118.3</f>
        <v>31334.3</v>
      </c>
    </row>
    <row r="86" spans="1:14" s="46" customFormat="1" ht="40.5" customHeight="1">
      <c r="A86" s="39" t="s">
        <v>259</v>
      </c>
      <c r="B86" s="39" t="s">
        <v>260</v>
      </c>
      <c r="C86" s="39" t="s">
        <v>41</v>
      </c>
      <c r="D86" s="51" t="s">
        <v>261</v>
      </c>
      <c r="E86" s="40"/>
      <c r="F86" s="40"/>
      <c r="G86" s="87">
        <f t="shared" si="5"/>
        <v>0</v>
      </c>
      <c r="H86" s="40"/>
      <c r="I86" s="40"/>
      <c r="J86" s="87">
        <f t="shared" si="6"/>
        <v>0</v>
      </c>
      <c r="K86" s="42">
        <f>222622+320000</f>
        <v>542622</v>
      </c>
      <c r="L86" s="42"/>
      <c r="M86" s="42">
        <f>L86+K86</f>
        <v>542622</v>
      </c>
      <c r="N86" s="8">
        <f aca="true" t="shared" si="7" ref="N86:N150">ROUND(M86/1000,1)</f>
        <v>542.6</v>
      </c>
    </row>
    <row r="87" spans="1:14" s="46" customFormat="1" ht="34.5" customHeight="1">
      <c r="A87" s="39" t="s">
        <v>126</v>
      </c>
      <c r="B87" s="39" t="s">
        <v>127</v>
      </c>
      <c r="C87" s="39" t="s">
        <v>41</v>
      </c>
      <c r="D87" s="40" t="s">
        <v>128</v>
      </c>
      <c r="E87" s="40"/>
      <c r="F87" s="40"/>
      <c r="G87" s="87">
        <f t="shared" si="5"/>
        <v>0</v>
      </c>
      <c r="H87" s="40"/>
      <c r="I87" s="40"/>
      <c r="J87" s="87">
        <f t="shared" si="6"/>
        <v>0</v>
      </c>
      <c r="K87" s="42">
        <f>20000000+10000000</f>
        <v>30000000</v>
      </c>
      <c r="L87" s="42"/>
      <c r="M87" s="42">
        <f>L87+K87</f>
        <v>30000000</v>
      </c>
      <c r="N87" s="8">
        <f>ROUND(M87/1000,1)-35</f>
        <v>29965</v>
      </c>
    </row>
    <row r="88" spans="1:14" s="46" customFormat="1" ht="55.5" customHeight="1">
      <c r="A88" s="39" t="s">
        <v>262</v>
      </c>
      <c r="B88" s="39" t="s">
        <v>263</v>
      </c>
      <c r="C88" s="39" t="s">
        <v>41</v>
      </c>
      <c r="D88" s="40" t="s">
        <v>264</v>
      </c>
      <c r="E88" s="40"/>
      <c r="F88" s="40"/>
      <c r="G88" s="87">
        <f t="shared" si="5"/>
        <v>0</v>
      </c>
      <c r="H88" s="40"/>
      <c r="I88" s="40"/>
      <c r="J88" s="87">
        <f t="shared" si="6"/>
        <v>0</v>
      </c>
      <c r="K88" s="42">
        <v>2178000</v>
      </c>
      <c r="L88" s="42"/>
      <c r="M88" s="42">
        <f>L88+K88</f>
        <v>2178000</v>
      </c>
      <c r="N88" s="8">
        <f t="shared" si="7"/>
        <v>2178</v>
      </c>
    </row>
    <row r="89" spans="1:14" s="37" customFormat="1" ht="37.5" customHeight="1">
      <c r="A89" s="33" t="s">
        <v>110</v>
      </c>
      <c r="B89" s="33" t="s">
        <v>67</v>
      </c>
      <c r="C89" s="33" t="s">
        <v>41</v>
      </c>
      <c r="D89" s="34" t="s">
        <v>68</v>
      </c>
      <c r="E89" s="34"/>
      <c r="F89" s="34"/>
      <c r="G89" s="2">
        <f t="shared" si="5"/>
        <v>0</v>
      </c>
      <c r="H89" s="34"/>
      <c r="I89" s="34"/>
      <c r="J89" s="2">
        <f t="shared" si="6"/>
        <v>0</v>
      </c>
      <c r="K89" s="35">
        <f>37188104+9000000+2000000+7000000-1000000+3150000-7524305-825875-865089-265716.65</f>
        <v>47857118.35</v>
      </c>
      <c r="L89" s="35">
        <v>-297115</v>
      </c>
      <c r="M89" s="35">
        <f>L89+K89</f>
        <v>47560003.35</v>
      </c>
      <c r="N89" s="36">
        <f>ROUND(M89/1000,1)-824-46.6</f>
        <v>46689.4</v>
      </c>
    </row>
    <row r="90" spans="1:14" s="37" customFormat="1" ht="40.5" customHeight="1">
      <c r="A90" s="33" t="s">
        <v>135</v>
      </c>
      <c r="B90" s="33" t="s">
        <v>136</v>
      </c>
      <c r="C90" s="33" t="s">
        <v>52</v>
      </c>
      <c r="D90" s="3" t="s">
        <v>397</v>
      </c>
      <c r="E90" s="34"/>
      <c r="F90" s="34"/>
      <c r="G90" s="2">
        <f t="shared" si="5"/>
        <v>0</v>
      </c>
      <c r="H90" s="34"/>
      <c r="I90" s="34"/>
      <c r="J90" s="2">
        <f t="shared" si="6"/>
        <v>0</v>
      </c>
      <c r="K90" s="30">
        <f>K91+K99+K113</f>
        <v>25589194.13</v>
      </c>
      <c r="L90" s="30">
        <f>L91+L99+L113</f>
        <v>0</v>
      </c>
      <c r="M90" s="30">
        <f>M91+M99+M113</f>
        <v>25589194.13</v>
      </c>
      <c r="N90" s="31">
        <f>N91+N99+N113</f>
        <v>27709.2</v>
      </c>
    </row>
    <row r="91" spans="1:14" s="37" customFormat="1" ht="27.75" customHeight="1">
      <c r="A91" s="33"/>
      <c r="B91" s="33"/>
      <c r="C91" s="33"/>
      <c r="D91" s="83" t="s">
        <v>143</v>
      </c>
      <c r="E91" s="83" t="s">
        <v>143</v>
      </c>
      <c r="F91" s="34"/>
      <c r="G91" s="2">
        <f t="shared" si="5"/>
        <v>0</v>
      </c>
      <c r="H91" s="34"/>
      <c r="I91" s="34"/>
      <c r="J91" s="2">
        <f t="shared" si="6"/>
        <v>0</v>
      </c>
      <c r="K91" s="30">
        <f>SUM(K92:K98)</f>
        <v>5617344</v>
      </c>
      <c r="L91" s="30">
        <f>SUM(L92:L98)</f>
        <v>0</v>
      </c>
      <c r="M91" s="30">
        <f>SUM(M92:M98)</f>
        <v>5617344</v>
      </c>
      <c r="N91" s="31">
        <f>SUM(N92:N98)</f>
        <v>6217.3</v>
      </c>
    </row>
    <row r="92" spans="1:14" s="37" customFormat="1" ht="50.25" customHeight="1">
      <c r="A92" s="33"/>
      <c r="B92" s="33"/>
      <c r="C92" s="33"/>
      <c r="D92" s="34" t="s">
        <v>383</v>
      </c>
      <c r="E92" s="34" t="s">
        <v>308</v>
      </c>
      <c r="F92" s="34"/>
      <c r="G92" s="2">
        <f t="shared" si="5"/>
        <v>0</v>
      </c>
      <c r="H92" s="34"/>
      <c r="I92" s="34"/>
      <c r="J92" s="2">
        <f t="shared" si="6"/>
        <v>0</v>
      </c>
      <c r="K92" s="35">
        <v>650000</v>
      </c>
      <c r="L92" s="35"/>
      <c r="M92" s="35">
        <f>L92+K92</f>
        <v>650000</v>
      </c>
      <c r="N92" s="36">
        <f t="shared" si="7"/>
        <v>650</v>
      </c>
    </row>
    <row r="93" spans="1:14" s="37" customFormat="1" ht="78.75" customHeight="1">
      <c r="A93" s="33"/>
      <c r="B93" s="33"/>
      <c r="C93" s="33"/>
      <c r="D93" s="34" t="s">
        <v>384</v>
      </c>
      <c r="E93" s="34" t="s">
        <v>309</v>
      </c>
      <c r="F93" s="34"/>
      <c r="G93" s="2">
        <f t="shared" si="5"/>
        <v>0</v>
      </c>
      <c r="H93" s="34"/>
      <c r="I93" s="34"/>
      <c r="J93" s="2">
        <f t="shared" si="6"/>
        <v>0</v>
      </c>
      <c r="K93" s="35">
        <v>350000</v>
      </c>
      <c r="L93" s="35"/>
      <c r="M93" s="35">
        <v>350000</v>
      </c>
      <c r="N93" s="36">
        <f t="shared" si="7"/>
        <v>350</v>
      </c>
    </row>
    <row r="94" spans="1:14" s="37" customFormat="1" ht="63.75" customHeight="1">
      <c r="A94" s="33"/>
      <c r="B94" s="33"/>
      <c r="C94" s="33"/>
      <c r="D94" s="34" t="s">
        <v>422</v>
      </c>
      <c r="E94" s="34"/>
      <c r="F94" s="34"/>
      <c r="G94" s="2"/>
      <c r="H94" s="34"/>
      <c r="I94" s="34"/>
      <c r="J94" s="2"/>
      <c r="K94" s="35"/>
      <c r="L94" s="35"/>
      <c r="M94" s="35"/>
      <c r="N94" s="36">
        <v>350</v>
      </c>
    </row>
    <row r="95" spans="1:14" s="37" customFormat="1" ht="65.25" customHeight="1">
      <c r="A95" s="33"/>
      <c r="B95" s="33"/>
      <c r="C95" s="33"/>
      <c r="D95" s="34" t="s">
        <v>423</v>
      </c>
      <c r="E95" s="34"/>
      <c r="F95" s="34"/>
      <c r="G95" s="2"/>
      <c r="H95" s="34"/>
      <c r="I95" s="34"/>
      <c r="J95" s="2"/>
      <c r="K95" s="35"/>
      <c r="L95" s="35"/>
      <c r="M95" s="35"/>
      <c r="N95" s="36">
        <v>250</v>
      </c>
    </row>
    <row r="96" spans="1:14" s="37" customFormat="1" ht="55.5" customHeight="1">
      <c r="A96" s="33"/>
      <c r="B96" s="33"/>
      <c r="C96" s="33"/>
      <c r="D96" s="34" t="s">
        <v>336</v>
      </c>
      <c r="E96" s="34" t="s">
        <v>336</v>
      </c>
      <c r="F96" s="34"/>
      <c r="G96" s="2">
        <f t="shared" si="5"/>
        <v>0</v>
      </c>
      <c r="H96" s="34"/>
      <c r="I96" s="34"/>
      <c r="J96" s="2">
        <f t="shared" si="6"/>
        <v>0</v>
      </c>
      <c r="K96" s="35">
        <v>1337344</v>
      </c>
      <c r="L96" s="35"/>
      <c r="M96" s="35">
        <f>L96+K96</f>
        <v>1337344</v>
      </c>
      <c r="N96" s="36">
        <f t="shared" si="7"/>
        <v>1337.3</v>
      </c>
    </row>
    <row r="97" spans="1:14" s="37" customFormat="1" ht="45" customHeight="1">
      <c r="A97" s="33"/>
      <c r="B97" s="33"/>
      <c r="C97" s="33"/>
      <c r="D97" s="34" t="s">
        <v>306</v>
      </c>
      <c r="E97" s="34" t="s">
        <v>306</v>
      </c>
      <c r="F97" s="34"/>
      <c r="G97" s="2">
        <f t="shared" si="5"/>
        <v>0</v>
      </c>
      <c r="H97" s="34"/>
      <c r="I97" s="34"/>
      <c r="J97" s="2">
        <f t="shared" si="6"/>
        <v>0</v>
      </c>
      <c r="K97" s="35">
        <v>1300000</v>
      </c>
      <c r="L97" s="35"/>
      <c r="M97" s="35">
        <f>L97+K97</f>
        <v>1300000</v>
      </c>
      <c r="N97" s="36">
        <f t="shared" si="7"/>
        <v>1300</v>
      </c>
    </row>
    <row r="98" spans="1:14" s="37" customFormat="1" ht="52.5" customHeight="1">
      <c r="A98" s="33"/>
      <c r="B98" s="33"/>
      <c r="C98" s="33"/>
      <c r="D98" s="53" t="s">
        <v>334</v>
      </c>
      <c r="E98" s="53" t="s">
        <v>334</v>
      </c>
      <c r="F98" s="34"/>
      <c r="G98" s="2">
        <f t="shared" si="5"/>
        <v>0</v>
      </c>
      <c r="H98" s="34"/>
      <c r="I98" s="34"/>
      <c r="J98" s="2">
        <f t="shared" si="6"/>
        <v>0</v>
      </c>
      <c r="K98" s="35">
        <v>1980000</v>
      </c>
      <c r="L98" s="35"/>
      <c r="M98" s="35">
        <f>L98+K98</f>
        <v>1980000</v>
      </c>
      <c r="N98" s="36">
        <f t="shared" si="7"/>
        <v>1980</v>
      </c>
    </row>
    <row r="99" spans="1:14" s="37" customFormat="1" ht="33" customHeight="1">
      <c r="A99" s="33"/>
      <c r="B99" s="33"/>
      <c r="C99" s="33"/>
      <c r="D99" s="83" t="s">
        <v>187</v>
      </c>
      <c r="E99" s="83" t="s">
        <v>187</v>
      </c>
      <c r="F99" s="34"/>
      <c r="G99" s="2">
        <f t="shared" si="5"/>
        <v>0</v>
      </c>
      <c r="H99" s="34"/>
      <c r="I99" s="34"/>
      <c r="J99" s="2">
        <f t="shared" si="6"/>
        <v>0</v>
      </c>
      <c r="K99" s="30">
        <f>SUM(K100:K112)</f>
        <v>795000</v>
      </c>
      <c r="L99" s="30">
        <f>SUM(L100:L112)</f>
        <v>0</v>
      </c>
      <c r="M99" s="30">
        <f>SUM(M100:M112)</f>
        <v>795000</v>
      </c>
      <c r="N99" s="31">
        <f>SUM(N100:N112)</f>
        <v>795</v>
      </c>
    </row>
    <row r="100" spans="1:14" s="37" customFormat="1" ht="36" customHeight="1">
      <c r="A100" s="33"/>
      <c r="B100" s="33"/>
      <c r="C100" s="33"/>
      <c r="D100" s="34" t="s">
        <v>385</v>
      </c>
      <c r="E100" s="34" t="s">
        <v>194</v>
      </c>
      <c r="F100" s="34"/>
      <c r="G100" s="2">
        <f t="shared" si="5"/>
        <v>0</v>
      </c>
      <c r="H100" s="34"/>
      <c r="I100" s="34"/>
      <c r="J100" s="2">
        <f t="shared" si="6"/>
        <v>0</v>
      </c>
      <c r="K100" s="35">
        <v>50000</v>
      </c>
      <c r="L100" s="35"/>
      <c r="M100" s="35">
        <f aca="true" t="shared" si="8" ref="M100:M111">L100+K100</f>
        <v>50000</v>
      </c>
      <c r="N100" s="36">
        <f aca="true" t="shared" si="9" ref="N100:N108">ROUND(M100/1000,1)-15</f>
        <v>35</v>
      </c>
    </row>
    <row r="101" spans="1:14" s="37" customFormat="1" ht="42" customHeight="1">
      <c r="A101" s="33"/>
      <c r="B101" s="33"/>
      <c r="C101" s="33"/>
      <c r="D101" s="34" t="s">
        <v>386</v>
      </c>
      <c r="E101" s="34" t="s">
        <v>191</v>
      </c>
      <c r="F101" s="34"/>
      <c r="G101" s="2">
        <f t="shared" si="5"/>
        <v>0</v>
      </c>
      <c r="H101" s="34"/>
      <c r="I101" s="34"/>
      <c r="J101" s="2">
        <f t="shared" si="6"/>
        <v>0</v>
      </c>
      <c r="K101" s="35">
        <v>50000</v>
      </c>
      <c r="L101" s="35"/>
      <c r="M101" s="35">
        <f t="shared" si="8"/>
        <v>50000</v>
      </c>
      <c r="N101" s="36">
        <f t="shared" si="9"/>
        <v>35</v>
      </c>
    </row>
    <row r="102" spans="1:14" s="37" customFormat="1" ht="42" customHeight="1">
      <c r="A102" s="33"/>
      <c r="B102" s="33"/>
      <c r="C102" s="33"/>
      <c r="D102" s="34" t="s">
        <v>387</v>
      </c>
      <c r="E102" s="34" t="s">
        <v>188</v>
      </c>
      <c r="F102" s="34"/>
      <c r="G102" s="2">
        <f t="shared" si="5"/>
        <v>0</v>
      </c>
      <c r="H102" s="34"/>
      <c r="I102" s="34"/>
      <c r="J102" s="2">
        <f t="shared" si="6"/>
        <v>0</v>
      </c>
      <c r="K102" s="35">
        <v>50000</v>
      </c>
      <c r="L102" s="35"/>
      <c r="M102" s="35">
        <f t="shared" si="8"/>
        <v>50000</v>
      </c>
      <c r="N102" s="36">
        <f t="shared" si="9"/>
        <v>35</v>
      </c>
    </row>
    <row r="103" spans="1:14" s="37" customFormat="1" ht="42" customHeight="1">
      <c r="A103" s="33"/>
      <c r="B103" s="33"/>
      <c r="C103" s="33"/>
      <c r="D103" s="34" t="s">
        <v>388</v>
      </c>
      <c r="E103" s="34" t="s">
        <v>195</v>
      </c>
      <c r="F103" s="34"/>
      <c r="G103" s="2">
        <f t="shared" si="5"/>
        <v>0</v>
      </c>
      <c r="H103" s="34"/>
      <c r="I103" s="34"/>
      <c r="J103" s="2">
        <f t="shared" si="6"/>
        <v>0</v>
      </c>
      <c r="K103" s="35">
        <v>50000</v>
      </c>
      <c r="L103" s="35"/>
      <c r="M103" s="35">
        <f t="shared" si="8"/>
        <v>50000</v>
      </c>
      <c r="N103" s="36">
        <f t="shared" si="9"/>
        <v>35</v>
      </c>
    </row>
    <row r="104" spans="1:14" s="37" customFormat="1" ht="42" customHeight="1">
      <c r="A104" s="33"/>
      <c r="B104" s="33"/>
      <c r="C104" s="33"/>
      <c r="D104" s="34" t="s">
        <v>389</v>
      </c>
      <c r="E104" s="34" t="s">
        <v>190</v>
      </c>
      <c r="F104" s="34"/>
      <c r="G104" s="2">
        <f t="shared" si="5"/>
        <v>0</v>
      </c>
      <c r="H104" s="34"/>
      <c r="I104" s="34"/>
      <c r="J104" s="2">
        <f t="shared" si="6"/>
        <v>0</v>
      </c>
      <c r="K104" s="35">
        <v>50000</v>
      </c>
      <c r="L104" s="35"/>
      <c r="M104" s="35">
        <f t="shared" si="8"/>
        <v>50000</v>
      </c>
      <c r="N104" s="36">
        <f t="shared" si="9"/>
        <v>35</v>
      </c>
    </row>
    <row r="105" spans="1:14" s="37" customFormat="1" ht="42" customHeight="1">
      <c r="A105" s="33"/>
      <c r="B105" s="33"/>
      <c r="C105" s="33"/>
      <c r="D105" s="34" t="s">
        <v>390</v>
      </c>
      <c r="E105" s="34" t="s">
        <v>192</v>
      </c>
      <c r="F105" s="34"/>
      <c r="G105" s="2">
        <f t="shared" si="5"/>
        <v>0</v>
      </c>
      <c r="H105" s="34"/>
      <c r="I105" s="34"/>
      <c r="J105" s="2">
        <f t="shared" si="6"/>
        <v>0</v>
      </c>
      <c r="K105" s="35">
        <v>50000</v>
      </c>
      <c r="L105" s="35"/>
      <c r="M105" s="35">
        <f t="shared" si="8"/>
        <v>50000</v>
      </c>
      <c r="N105" s="36">
        <f t="shared" si="9"/>
        <v>35</v>
      </c>
    </row>
    <row r="106" spans="1:14" s="37" customFormat="1" ht="42" customHeight="1">
      <c r="A106" s="33"/>
      <c r="B106" s="33"/>
      <c r="C106" s="33"/>
      <c r="D106" s="34" t="s">
        <v>436</v>
      </c>
      <c r="E106" s="34"/>
      <c r="F106" s="34"/>
      <c r="G106" s="2"/>
      <c r="H106" s="34"/>
      <c r="I106" s="34"/>
      <c r="J106" s="2"/>
      <c r="K106" s="35"/>
      <c r="L106" s="35"/>
      <c r="M106" s="35"/>
      <c r="N106" s="36">
        <v>130</v>
      </c>
    </row>
    <row r="107" spans="1:14" s="37" customFormat="1" ht="42" customHeight="1">
      <c r="A107" s="33"/>
      <c r="B107" s="33"/>
      <c r="C107" s="33"/>
      <c r="D107" s="34" t="s">
        <v>391</v>
      </c>
      <c r="E107" s="34" t="s">
        <v>193</v>
      </c>
      <c r="F107" s="34"/>
      <c r="G107" s="2">
        <f t="shared" si="5"/>
        <v>0</v>
      </c>
      <c r="H107" s="34"/>
      <c r="I107" s="34"/>
      <c r="J107" s="2">
        <f t="shared" si="6"/>
        <v>0</v>
      </c>
      <c r="K107" s="35">
        <v>50000</v>
      </c>
      <c r="L107" s="35"/>
      <c r="M107" s="35">
        <f t="shared" si="8"/>
        <v>50000</v>
      </c>
      <c r="N107" s="36">
        <f t="shared" si="9"/>
        <v>35</v>
      </c>
    </row>
    <row r="108" spans="1:14" s="37" customFormat="1" ht="42" customHeight="1">
      <c r="A108" s="33"/>
      <c r="B108" s="33"/>
      <c r="C108" s="33"/>
      <c r="D108" s="34" t="s">
        <v>392</v>
      </c>
      <c r="E108" s="34" t="s">
        <v>189</v>
      </c>
      <c r="F108" s="34"/>
      <c r="G108" s="2">
        <f t="shared" si="5"/>
        <v>0</v>
      </c>
      <c r="H108" s="34"/>
      <c r="I108" s="34"/>
      <c r="J108" s="2">
        <f t="shared" si="6"/>
        <v>0</v>
      </c>
      <c r="K108" s="35">
        <v>50000</v>
      </c>
      <c r="L108" s="35"/>
      <c r="M108" s="35">
        <f t="shared" si="8"/>
        <v>50000</v>
      </c>
      <c r="N108" s="36">
        <f t="shared" si="9"/>
        <v>35</v>
      </c>
    </row>
    <row r="109" spans="1:14" s="37" customFormat="1" ht="42" customHeight="1">
      <c r="A109" s="33"/>
      <c r="B109" s="33"/>
      <c r="C109" s="33"/>
      <c r="D109" s="34" t="s">
        <v>393</v>
      </c>
      <c r="E109" s="34" t="s">
        <v>328</v>
      </c>
      <c r="F109" s="34"/>
      <c r="G109" s="2">
        <f t="shared" si="5"/>
        <v>0</v>
      </c>
      <c r="H109" s="34"/>
      <c r="I109" s="34"/>
      <c r="J109" s="2">
        <f t="shared" si="6"/>
        <v>0</v>
      </c>
      <c r="K109" s="35">
        <v>33000</v>
      </c>
      <c r="L109" s="35"/>
      <c r="M109" s="35">
        <f t="shared" si="8"/>
        <v>33000</v>
      </c>
      <c r="N109" s="36">
        <f>ROUND(M109/1000,1)-3</f>
        <v>30</v>
      </c>
    </row>
    <row r="110" spans="1:14" s="37" customFormat="1" ht="42" customHeight="1">
      <c r="A110" s="33"/>
      <c r="B110" s="33"/>
      <c r="C110" s="33"/>
      <c r="D110" s="34" t="s">
        <v>394</v>
      </c>
      <c r="E110" s="34" t="s">
        <v>329</v>
      </c>
      <c r="F110" s="34"/>
      <c r="G110" s="2">
        <f t="shared" si="5"/>
        <v>0</v>
      </c>
      <c r="H110" s="34"/>
      <c r="I110" s="34"/>
      <c r="J110" s="2">
        <f t="shared" si="6"/>
        <v>0</v>
      </c>
      <c r="K110" s="35">
        <v>33000</v>
      </c>
      <c r="L110" s="35"/>
      <c r="M110" s="35">
        <f t="shared" si="8"/>
        <v>33000</v>
      </c>
      <c r="N110" s="36">
        <f>ROUND(M110/1000,1)-3</f>
        <v>30</v>
      </c>
    </row>
    <row r="111" spans="1:14" s="37" customFormat="1" ht="42" customHeight="1">
      <c r="A111" s="33"/>
      <c r="B111" s="33"/>
      <c r="C111" s="33"/>
      <c r="D111" s="34" t="s">
        <v>395</v>
      </c>
      <c r="E111" s="34" t="s">
        <v>330</v>
      </c>
      <c r="F111" s="34"/>
      <c r="G111" s="2">
        <f t="shared" si="5"/>
        <v>0</v>
      </c>
      <c r="H111" s="34"/>
      <c r="I111" s="34"/>
      <c r="J111" s="2">
        <f t="shared" si="6"/>
        <v>0</v>
      </c>
      <c r="K111" s="35">
        <v>34000</v>
      </c>
      <c r="L111" s="35"/>
      <c r="M111" s="35">
        <f t="shared" si="8"/>
        <v>34000</v>
      </c>
      <c r="N111" s="36">
        <f>ROUND(M111/1000,1)-4</f>
        <v>30</v>
      </c>
    </row>
    <row r="112" spans="1:14" s="37" customFormat="1" ht="48.75" customHeight="1">
      <c r="A112" s="33"/>
      <c r="B112" s="33"/>
      <c r="C112" s="33"/>
      <c r="D112" s="34" t="s">
        <v>307</v>
      </c>
      <c r="E112" s="34" t="s">
        <v>307</v>
      </c>
      <c r="F112" s="34"/>
      <c r="G112" s="2">
        <f t="shared" si="5"/>
        <v>0</v>
      </c>
      <c r="H112" s="34"/>
      <c r="I112" s="34"/>
      <c r="J112" s="2">
        <f t="shared" si="6"/>
        <v>0</v>
      </c>
      <c r="K112" s="35">
        <v>295000</v>
      </c>
      <c r="L112" s="35"/>
      <c r="M112" s="35">
        <f>L112+K112</f>
        <v>295000</v>
      </c>
      <c r="N112" s="36">
        <f t="shared" si="7"/>
        <v>295</v>
      </c>
    </row>
    <row r="113" spans="1:14" s="37" customFormat="1" ht="30.75" customHeight="1">
      <c r="A113" s="33"/>
      <c r="B113" s="33"/>
      <c r="C113" s="33"/>
      <c r="D113" s="3" t="s">
        <v>223</v>
      </c>
      <c r="E113" s="3" t="s">
        <v>223</v>
      </c>
      <c r="F113" s="34"/>
      <c r="G113" s="2">
        <f t="shared" si="5"/>
        <v>0</v>
      </c>
      <c r="H113" s="34"/>
      <c r="I113" s="34"/>
      <c r="J113" s="2">
        <f t="shared" si="6"/>
        <v>0</v>
      </c>
      <c r="K113" s="30">
        <f>SUM(K114:K122)</f>
        <v>19176850.13</v>
      </c>
      <c r="L113" s="30">
        <f>SUM(L114:L122)</f>
        <v>0</v>
      </c>
      <c r="M113" s="30">
        <f>SUM(M114:M122)</f>
        <v>19176850.13</v>
      </c>
      <c r="N113" s="31">
        <f>SUM(N114:N122)</f>
        <v>20696.9</v>
      </c>
    </row>
    <row r="114" spans="1:14" s="37" customFormat="1" ht="55.5" customHeight="1">
      <c r="A114" s="33"/>
      <c r="B114" s="33"/>
      <c r="C114" s="33"/>
      <c r="D114" s="34" t="s">
        <v>185</v>
      </c>
      <c r="E114" s="34" t="s">
        <v>185</v>
      </c>
      <c r="F114" s="34"/>
      <c r="G114" s="2">
        <f t="shared" si="5"/>
        <v>0</v>
      </c>
      <c r="H114" s="34"/>
      <c r="I114" s="34"/>
      <c r="J114" s="2">
        <f t="shared" si="6"/>
        <v>0</v>
      </c>
      <c r="K114" s="35">
        <v>250000</v>
      </c>
      <c r="L114" s="35"/>
      <c r="M114" s="35">
        <f aca="true" t="shared" si="10" ref="M114:M122">L114+K114</f>
        <v>250000</v>
      </c>
      <c r="N114" s="36">
        <f t="shared" si="7"/>
        <v>250</v>
      </c>
    </row>
    <row r="115" spans="1:14" s="37" customFormat="1" ht="78" customHeight="1">
      <c r="A115" s="33"/>
      <c r="B115" s="33"/>
      <c r="C115" s="33"/>
      <c r="D115" s="34" t="s">
        <v>317</v>
      </c>
      <c r="E115" s="34" t="s">
        <v>317</v>
      </c>
      <c r="F115" s="34"/>
      <c r="G115" s="2">
        <f t="shared" si="5"/>
        <v>0</v>
      </c>
      <c r="H115" s="34"/>
      <c r="I115" s="34"/>
      <c r="J115" s="2">
        <f t="shared" si="6"/>
        <v>0</v>
      </c>
      <c r="K115" s="35">
        <v>250000</v>
      </c>
      <c r="L115" s="35"/>
      <c r="M115" s="35">
        <f t="shared" si="10"/>
        <v>250000</v>
      </c>
      <c r="N115" s="36">
        <f t="shared" si="7"/>
        <v>250</v>
      </c>
    </row>
    <row r="116" spans="1:14" s="37" customFormat="1" ht="61.5" customHeight="1">
      <c r="A116" s="33"/>
      <c r="B116" s="33"/>
      <c r="C116" s="33"/>
      <c r="D116" s="34" t="s">
        <v>318</v>
      </c>
      <c r="E116" s="34" t="s">
        <v>318</v>
      </c>
      <c r="F116" s="34"/>
      <c r="G116" s="2">
        <f t="shared" si="5"/>
        <v>0</v>
      </c>
      <c r="H116" s="34"/>
      <c r="I116" s="34"/>
      <c r="J116" s="2">
        <f t="shared" si="6"/>
        <v>0</v>
      </c>
      <c r="K116" s="35">
        <v>240000</v>
      </c>
      <c r="L116" s="35"/>
      <c r="M116" s="35">
        <f t="shared" si="10"/>
        <v>240000</v>
      </c>
      <c r="N116" s="36">
        <f t="shared" si="7"/>
        <v>240</v>
      </c>
    </row>
    <row r="117" spans="1:14" s="37" customFormat="1" ht="51" customHeight="1">
      <c r="A117" s="33"/>
      <c r="B117" s="33"/>
      <c r="C117" s="33"/>
      <c r="D117" s="34" t="s">
        <v>319</v>
      </c>
      <c r="E117" s="34" t="s">
        <v>319</v>
      </c>
      <c r="F117" s="34"/>
      <c r="G117" s="2">
        <f t="shared" si="5"/>
        <v>0</v>
      </c>
      <c r="H117" s="34"/>
      <c r="I117" s="34"/>
      <c r="J117" s="2">
        <f t="shared" si="6"/>
        <v>0</v>
      </c>
      <c r="K117" s="35">
        <v>240000</v>
      </c>
      <c r="L117" s="35"/>
      <c r="M117" s="35">
        <f t="shared" si="10"/>
        <v>240000</v>
      </c>
      <c r="N117" s="36">
        <f t="shared" si="7"/>
        <v>240</v>
      </c>
    </row>
    <row r="118" spans="1:14" s="37" customFormat="1" ht="54" customHeight="1">
      <c r="A118" s="33"/>
      <c r="B118" s="33"/>
      <c r="C118" s="33"/>
      <c r="D118" s="34" t="s">
        <v>364</v>
      </c>
      <c r="E118" s="34" t="s">
        <v>364</v>
      </c>
      <c r="F118" s="34"/>
      <c r="G118" s="2">
        <f t="shared" si="5"/>
        <v>0</v>
      </c>
      <c r="H118" s="34"/>
      <c r="I118" s="34"/>
      <c r="J118" s="2">
        <f t="shared" si="6"/>
        <v>0</v>
      </c>
      <c r="K118" s="35">
        <v>20000</v>
      </c>
      <c r="L118" s="35"/>
      <c r="M118" s="35">
        <f t="shared" si="10"/>
        <v>20000</v>
      </c>
      <c r="N118" s="36">
        <f t="shared" si="7"/>
        <v>20</v>
      </c>
    </row>
    <row r="119" spans="1:14" s="37" customFormat="1" ht="81" customHeight="1">
      <c r="A119" s="33"/>
      <c r="B119" s="33"/>
      <c r="C119" s="33"/>
      <c r="D119" s="34" t="s">
        <v>337</v>
      </c>
      <c r="E119" s="34" t="s">
        <v>337</v>
      </c>
      <c r="F119" s="34"/>
      <c r="G119" s="2">
        <f t="shared" si="5"/>
        <v>0</v>
      </c>
      <c r="H119" s="34"/>
      <c r="I119" s="34"/>
      <c r="J119" s="2">
        <f t="shared" si="6"/>
        <v>0</v>
      </c>
      <c r="K119" s="35">
        <v>20000</v>
      </c>
      <c r="L119" s="35"/>
      <c r="M119" s="35">
        <f t="shared" si="10"/>
        <v>20000</v>
      </c>
      <c r="N119" s="36">
        <f>ROUND(M119/1000,1)+1520</f>
        <v>1540</v>
      </c>
    </row>
    <row r="120" spans="1:14" s="37" customFormat="1" ht="64.5" customHeight="1">
      <c r="A120" s="33"/>
      <c r="B120" s="33"/>
      <c r="C120" s="33"/>
      <c r="D120" s="34" t="s">
        <v>396</v>
      </c>
      <c r="E120" s="34" t="s">
        <v>338</v>
      </c>
      <c r="F120" s="34"/>
      <c r="G120" s="2">
        <f t="shared" si="5"/>
        <v>0</v>
      </c>
      <c r="H120" s="34"/>
      <c r="I120" s="34"/>
      <c r="J120" s="2">
        <f t="shared" si="6"/>
        <v>0</v>
      </c>
      <c r="K120" s="35">
        <f>2000000+13000000</f>
        <v>15000000</v>
      </c>
      <c r="L120" s="35"/>
      <c r="M120" s="35">
        <f t="shared" si="10"/>
        <v>15000000</v>
      </c>
      <c r="N120" s="36">
        <f t="shared" si="7"/>
        <v>15000</v>
      </c>
    </row>
    <row r="121" spans="1:14" s="37" customFormat="1" ht="63" customHeight="1">
      <c r="A121" s="33"/>
      <c r="B121" s="33"/>
      <c r="C121" s="33"/>
      <c r="D121" s="34" t="s">
        <v>279</v>
      </c>
      <c r="E121" s="34" t="s">
        <v>279</v>
      </c>
      <c r="F121" s="34"/>
      <c r="G121" s="2">
        <f t="shared" si="5"/>
        <v>0</v>
      </c>
      <c r="H121" s="34"/>
      <c r="I121" s="34"/>
      <c r="J121" s="2">
        <f t="shared" si="6"/>
        <v>0</v>
      </c>
      <c r="K121" s="35">
        <v>2887850.13</v>
      </c>
      <c r="L121" s="35"/>
      <c r="M121" s="35">
        <f t="shared" si="10"/>
        <v>2887850.13</v>
      </c>
      <c r="N121" s="36">
        <f t="shared" si="7"/>
        <v>2887.9</v>
      </c>
    </row>
    <row r="122" spans="1:14" s="37" customFormat="1" ht="55.5" customHeight="1">
      <c r="A122" s="33"/>
      <c r="B122" s="33"/>
      <c r="C122" s="33"/>
      <c r="D122" s="34" t="s">
        <v>327</v>
      </c>
      <c r="E122" s="34" t="s">
        <v>327</v>
      </c>
      <c r="F122" s="34"/>
      <c r="G122" s="2">
        <f t="shared" si="5"/>
        <v>0</v>
      </c>
      <c r="H122" s="34"/>
      <c r="I122" s="34"/>
      <c r="J122" s="2">
        <f t="shared" si="6"/>
        <v>0</v>
      </c>
      <c r="K122" s="35">
        <v>269000</v>
      </c>
      <c r="L122" s="35"/>
      <c r="M122" s="35">
        <f t="shared" si="10"/>
        <v>269000</v>
      </c>
      <c r="N122" s="36">
        <f t="shared" si="7"/>
        <v>269</v>
      </c>
    </row>
    <row r="123" spans="1:14" s="37" customFormat="1" ht="55.5" customHeight="1">
      <c r="A123" s="33" t="s">
        <v>137</v>
      </c>
      <c r="B123" s="33" t="s">
        <v>138</v>
      </c>
      <c r="C123" s="33" t="s">
        <v>52</v>
      </c>
      <c r="D123" s="3" t="s">
        <v>398</v>
      </c>
      <c r="E123" s="34"/>
      <c r="F123" s="34"/>
      <c r="G123" s="2">
        <f t="shared" si="5"/>
        <v>0</v>
      </c>
      <c r="H123" s="34"/>
      <c r="I123" s="34"/>
      <c r="J123" s="2">
        <f t="shared" si="6"/>
        <v>0</v>
      </c>
      <c r="K123" s="30">
        <f>K124+K129</f>
        <v>6426800</v>
      </c>
      <c r="L123" s="30">
        <f>L124+L129</f>
        <v>0</v>
      </c>
      <c r="M123" s="30">
        <f>M124+M129</f>
        <v>6426800</v>
      </c>
      <c r="N123" s="31">
        <f>N124+N129</f>
        <v>6426.8</v>
      </c>
    </row>
    <row r="124" spans="1:14" s="37" customFormat="1" ht="27" customHeight="1">
      <c r="A124" s="33"/>
      <c r="B124" s="33"/>
      <c r="C124" s="33"/>
      <c r="D124" s="83" t="s">
        <v>143</v>
      </c>
      <c r="E124" s="83" t="s">
        <v>143</v>
      </c>
      <c r="F124" s="34"/>
      <c r="G124" s="2">
        <f t="shared" si="5"/>
        <v>0</v>
      </c>
      <c r="H124" s="34"/>
      <c r="I124" s="34"/>
      <c r="J124" s="2">
        <f t="shared" si="6"/>
        <v>0</v>
      </c>
      <c r="K124" s="30">
        <f>K125+K126+K127+K128</f>
        <v>5076800</v>
      </c>
      <c r="L124" s="30">
        <f>L125+L126+L127+L128</f>
        <v>0</v>
      </c>
      <c r="M124" s="30">
        <f>M125+M126+M127+M128</f>
        <v>5076800</v>
      </c>
      <c r="N124" s="31">
        <f>N125+N126+N127+N128</f>
        <v>5076.8</v>
      </c>
    </row>
    <row r="125" spans="1:14" s="37" customFormat="1" ht="30.75" customHeight="1">
      <c r="A125" s="33"/>
      <c r="B125" s="33"/>
      <c r="C125" s="33"/>
      <c r="D125" s="34" t="s">
        <v>399</v>
      </c>
      <c r="E125" s="34" t="s">
        <v>219</v>
      </c>
      <c r="F125" s="34"/>
      <c r="G125" s="2">
        <f t="shared" si="5"/>
        <v>0</v>
      </c>
      <c r="H125" s="34"/>
      <c r="I125" s="34"/>
      <c r="J125" s="2">
        <f t="shared" si="6"/>
        <v>0</v>
      </c>
      <c r="K125" s="35">
        <v>1000000</v>
      </c>
      <c r="L125" s="35"/>
      <c r="M125" s="35">
        <f>L125+K125</f>
        <v>1000000</v>
      </c>
      <c r="N125" s="36">
        <f t="shared" si="7"/>
        <v>1000</v>
      </c>
    </row>
    <row r="126" spans="1:14" s="37" customFormat="1" ht="35.25" customHeight="1">
      <c r="A126" s="33"/>
      <c r="B126" s="33"/>
      <c r="C126" s="33"/>
      <c r="D126" s="34" t="s">
        <v>400</v>
      </c>
      <c r="E126" s="34" t="s">
        <v>222</v>
      </c>
      <c r="F126" s="34"/>
      <c r="G126" s="2">
        <f t="shared" si="5"/>
        <v>0</v>
      </c>
      <c r="H126" s="34"/>
      <c r="I126" s="34"/>
      <c r="J126" s="2">
        <f t="shared" si="6"/>
        <v>0</v>
      </c>
      <c r="K126" s="35">
        <v>3000000</v>
      </c>
      <c r="L126" s="35"/>
      <c r="M126" s="35">
        <f>L126+K126</f>
        <v>3000000</v>
      </c>
      <c r="N126" s="36">
        <f t="shared" si="7"/>
        <v>3000</v>
      </c>
    </row>
    <row r="127" spans="1:14" s="37" customFormat="1" ht="27.75" customHeight="1">
      <c r="A127" s="33"/>
      <c r="B127" s="33"/>
      <c r="C127" s="33"/>
      <c r="D127" s="34" t="s">
        <v>231</v>
      </c>
      <c r="E127" s="34" t="s">
        <v>231</v>
      </c>
      <c r="F127" s="34"/>
      <c r="G127" s="2">
        <f t="shared" si="5"/>
        <v>0</v>
      </c>
      <c r="H127" s="34"/>
      <c r="I127" s="34"/>
      <c r="J127" s="2">
        <f t="shared" si="6"/>
        <v>0</v>
      </c>
      <c r="K127" s="35">
        <v>376800</v>
      </c>
      <c r="L127" s="35"/>
      <c r="M127" s="35">
        <f>L127+K127</f>
        <v>376800</v>
      </c>
      <c r="N127" s="36">
        <f t="shared" si="7"/>
        <v>376.8</v>
      </c>
    </row>
    <row r="128" spans="1:14" s="37" customFormat="1" ht="78" customHeight="1">
      <c r="A128" s="33"/>
      <c r="B128" s="33"/>
      <c r="C128" s="33"/>
      <c r="D128" s="34" t="s">
        <v>335</v>
      </c>
      <c r="E128" s="34" t="s">
        <v>335</v>
      </c>
      <c r="F128" s="34"/>
      <c r="G128" s="2">
        <f t="shared" si="5"/>
        <v>0</v>
      </c>
      <c r="H128" s="34"/>
      <c r="I128" s="34"/>
      <c r="J128" s="2">
        <f t="shared" si="6"/>
        <v>0</v>
      </c>
      <c r="K128" s="35">
        <v>700000</v>
      </c>
      <c r="L128" s="35"/>
      <c r="M128" s="35">
        <f>L128+K128</f>
        <v>700000</v>
      </c>
      <c r="N128" s="36">
        <f t="shared" si="7"/>
        <v>700</v>
      </c>
    </row>
    <row r="129" spans="1:14" s="37" customFormat="1" ht="30" customHeight="1">
      <c r="A129" s="33"/>
      <c r="B129" s="33"/>
      <c r="C129" s="33"/>
      <c r="D129" s="3" t="s">
        <v>147</v>
      </c>
      <c r="E129" s="3" t="s">
        <v>147</v>
      </c>
      <c r="F129" s="34"/>
      <c r="G129" s="2">
        <f t="shared" si="5"/>
        <v>0</v>
      </c>
      <c r="H129" s="34"/>
      <c r="I129" s="34"/>
      <c r="J129" s="2">
        <f t="shared" si="6"/>
        <v>0</v>
      </c>
      <c r="K129" s="30">
        <f>K130+K131</f>
        <v>1350000</v>
      </c>
      <c r="L129" s="30">
        <f>L130+L131</f>
        <v>0</v>
      </c>
      <c r="M129" s="30">
        <f>M130+M131</f>
        <v>1350000</v>
      </c>
      <c r="N129" s="31">
        <f>N130+N131</f>
        <v>1350</v>
      </c>
    </row>
    <row r="130" spans="1:14" s="37" customFormat="1" ht="54" customHeight="1">
      <c r="A130" s="33"/>
      <c r="B130" s="33"/>
      <c r="C130" s="33"/>
      <c r="D130" s="34" t="s">
        <v>220</v>
      </c>
      <c r="E130" s="34" t="s">
        <v>220</v>
      </c>
      <c r="F130" s="34"/>
      <c r="G130" s="2">
        <f t="shared" si="5"/>
        <v>0</v>
      </c>
      <c r="H130" s="34"/>
      <c r="I130" s="34"/>
      <c r="J130" s="2">
        <f t="shared" si="6"/>
        <v>0</v>
      </c>
      <c r="K130" s="35">
        <v>1100000</v>
      </c>
      <c r="L130" s="35"/>
      <c r="M130" s="35">
        <f>L130+K130</f>
        <v>1100000</v>
      </c>
      <c r="N130" s="36">
        <f t="shared" si="7"/>
        <v>1100</v>
      </c>
    </row>
    <row r="131" spans="1:14" s="37" customFormat="1" ht="30" customHeight="1">
      <c r="A131" s="33"/>
      <c r="B131" s="33"/>
      <c r="C131" s="33"/>
      <c r="D131" s="34" t="s">
        <v>221</v>
      </c>
      <c r="E131" s="34" t="s">
        <v>221</v>
      </c>
      <c r="F131" s="34"/>
      <c r="G131" s="2">
        <f t="shared" si="5"/>
        <v>0</v>
      </c>
      <c r="H131" s="34"/>
      <c r="I131" s="34"/>
      <c r="J131" s="2">
        <f t="shared" si="6"/>
        <v>0</v>
      </c>
      <c r="K131" s="35">
        <v>250000</v>
      </c>
      <c r="L131" s="35"/>
      <c r="M131" s="35">
        <f>L131+K131</f>
        <v>250000</v>
      </c>
      <c r="N131" s="36">
        <f t="shared" si="7"/>
        <v>250</v>
      </c>
    </row>
    <row r="132" spans="1:14" s="32" customFormat="1" ht="43.5" customHeight="1">
      <c r="A132" s="29" t="s">
        <v>111</v>
      </c>
      <c r="B132" s="29" t="s">
        <v>69</v>
      </c>
      <c r="C132" s="29" t="s">
        <v>52</v>
      </c>
      <c r="D132" s="63" t="s">
        <v>401</v>
      </c>
      <c r="E132" s="63"/>
      <c r="F132" s="64"/>
      <c r="G132" s="2">
        <f t="shared" si="5"/>
        <v>0</v>
      </c>
      <c r="H132" s="64"/>
      <c r="I132" s="64"/>
      <c r="J132" s="2">
        <f t="shared" si="6"/>
        <v>0</v>
      </c>
      <c r="K132" s="30">
        <f>K133+K134</f>
        <v>3200000</v>
      </c>
      <c r="L132" s="30">
        <f>L133+L134</f>
        <v>0</v>
      </c>
      <c r="M132" s="30">
        <f>M133+M134</f>
        <v>3200000</v>
      </c>
      <c r="N132" s="31">
        <f>N133+N134</f>
        <v>3200</v>
      </c>
    </row>
    <row r="133" spans="1:14" s="46" customFormat="1" ht="31.5" customHeight="1">
      <c r="A133" s="39"/>
      <c r="B133" s="39"/>
      <c r="C133" s="39"/>
      <c r="D133" s="51" t="s">
        <v>179</v>
      </c>
      <c r="E133" s="51" t="s">
        <v>179</v>
      </c>
      <c r="F133" s="65"/>
      <c r="G133" s="87">
        <f t="shared" si="5"/>
        <v>0</v>
      </c>
      <c r="H133" s="65"/>
      <c r="I133" s="65"/>
      <c r="J133" s="87">
        <f t="shared" si="6"/>
        <v>0</v>
      </c>
      <c r="K133" s="42">
        <v>1200000</v>
      </c>
      <c r="L133" s="42"/>
      <c r="M133" s="42">
        <f>L133+K133</f>
        <v>1200000</v>
      </c>
      <c r="N133" s="8">
        <f t="shared" si="7"/>
        <v>1200</v>
      </c>
    </row>
    <row r="134" spans="1:14" s="46" customFormat="1" ht="40.5" customHeight="1">
      <c r="A134" s="39"/>
      <c r="B134" s="39"/>
      <c r="C134" s="39"/>
      <c r="D134" s="51" t="s">
        <v>197</v>
      </c>
      <c r="E134" s="51" t="s">
        <v>197</v>
      </c>
      <c r="F134" s="65"/>
      <c r="G134" s="87">
        <f t="shared" si="5"/>
        <v>0</v>
      </c>
      <c r="H134" s="65"/>
      <c r="I134" s="65"/>
      <c r="J134" s="87">
        <f t="shared" si="6"/>
        <v>0</v>
      </c>
      <c r="K134" s="42">
        <f>2000000</f>
        <v>2000000</v>
      </c>
      <c r="L134" s="42">
        <f>1000000-1000000</f>
        <v>0</v>
      </c>
      <c r="M134" s="42">
        <f>L134+K134</f>
        <v>2000000</v>
      </c>
      <c r="N134" s="8">
        <f t="shared" si="7"/>
        <v>2000</v>
      </c>
    </row>
    <row r="135" spans="1:14" s="37" customFormat="1" ht="28.5" customHeight="1">
      <c r="A135" s="33" t="s">
        <v>273</v>
      </c>
      <c r="B135" s="33" t="s">
        <v>271</v>
      </c>
      <c r="C135" s="33"/>
      <c r="D135" s="52" t="s">
        <v>377</v>
      </c>
      <c r="E135" s="52"/>
      <c r="F135" s="49"/>
      <c r="G135" s="2">
        <f t="shared" si="5"/>
        <v>0</v>
      </c>
      <c r="H135" s="49"/>
      <c r="I135" s="49"/>
      <c r="J135" s="2">
        <f t="shared" si="6"/>
        <v>0</v>
      </c>
      <c r="K135" s="54">
        <f>SUM(K138)+K136</f>
        <v>1220892.46</v>
      </c>
      <c r="L135" s="54">
        <f>SUM(L138)+L136</f>
        <v>0</v>
      </c>
      <c r="M135" s="54">
        <f>SUM(M138)+M136</f>
        <v>1220892.46</v>
      </c>
      <c r="N135" s="38">
        <f>SUM(N138)+N136</f>
        <v>1220.9</v>
      </c>
    </row>
    <row r="136" spans="1:14" s="46" customFormat="1" ht="55.5" customHeight="1">
      <c r="A136" s="48" t="s">
        <v>280</v>
      </c>
      <c r="B136" s="48" t="s">
        <v>281</v>
      </c>
      <c r="C136" s="39" t="s">
        <v>47</v>
      </c>
      <c r="D136" s="40" t="s">
        <v>402</v>
      </c>
      <c r="E136" s="51"/>
      <c r="F136" s="65"/>
      <c r="G136" s="87">
        <f t="shared" si="5"/>
        <v>0</v>
      </c>
      <c r="H136" s="65"/>
      <c r="I136" s="65"/>
      <c r="J136" s="87">
        <f t="shared" si="6"/>
        <v>0</v>
      </c>
      <c r="K136" s="55">
        <f>K137</f>
        <v>426739</v>
      </c>
      <c r="L136" s="55"/>
      <c r="M136" s="55">
        <f>L136+K136</f>
        <v>426739</v>
      </c>
      <c r="N136" s="8">
        <f t="shared" si="7"/>
        <v>426.7</v>
      </c>
    </row>
    <row r="137" spans="1:14" s="37" customFormat="1" ht="64.5" customHeight="1">
      <c r="A137" s="47"/>
      <c r="B137" s="47"/>
      <c r="C137" s="33"/>
      <c r="D137" s="34" t="s">
        <v>282</v>
      </c>
      <c r="E137" s="52" t="s">
        <v>282</v>
      </c>
      <c r="F137" s="49"/>
      <c r="G137" s="2">
        <f t="shared" si="5"/>
        <v>0</v>
      </c>
      <c r="H137" s="49"/>
      <c r="I137" s="49"/>
      <c r="J137" s="2">
        <f t="shared" si="6"/>
        <v>0</v>
      </c>
      <c r="K137" s="54">
        <v>426739</v>
      </c>
      <c r="L137" s="54"/>
      <c r="M137" s="54">
        <f>L137+K137</f>
        <v>426739</v>
      </c>
      <c r="N137" s="36">
        <f t="shared" si="7"/>
        <v>426.7</v>
      </c>
    </row>
    <row r="138" spans="1:14" s="46" customFormat="1" ht="55.5" customHeight="1">
      <c r="A138" s="39" t="s">
        <v>272</v>
      </c>
      <c r="B138" s="39" t="s">
        <v>278</v>
      </c>
      <c r="C138" s="39" t="s">
        <v>47</v>
      </c>
      <c r="D138" s="51" t="s">
        <v>269</v>
      </c>
      <c r="E138" s="51"/>
      <c r="F138" s="65"/>
      <c r="G138" s="87">
        <f t="shared" si="5"/>
        <v>0</v>
      </c>
      <c r="H138" s="65"/>
      <c r="I138" s="65"/>
      <c r="J138" s="87">
        <f t="shared" si="6"/>
        <v>0</v>
      </c>
      <c r="K138" s="55">
        <v>794153.46</v>
      </c>
      <c r="L138" s="55"/>
      <c r="M138" s="55">
        <f>L138+K138</f>
        <v>794153.46</v>
      </c>
      <c r="N138" s="8">
        <f t="shared" si="7"/>
        <v>794.2</v>
      </c>
    </row>
    <row r="139" spans="1:14" s="37" customFormat="1" ht="27.75" customHeight="1">
      <c r="A139" s="33" t="s">
        <v>112</v>
      </c>
      <c r="B139" s="57">
        <v>9770</v>
      </c>
      <c r="C139" s="33" t="s">
        <v>25</v>
      </c>
      <c r="D139" s="52" t="s">
        <v>215</v>
      </c>
      <c r="E139" s="52"/>
      <c r="F139" s="52"/>
      <c r="G139" s="2">
        <f t="shared" si="5"/>
        <v>0</v>
      </c>
      <c r="H139" s="52"/>
      <c r="I139" s="52"/>
      <c r="J139" s="2">
        <f t="shared" si="6"/>
        <v>0</v>
      </c>
      <c r="K139" s="35">
        <v>1220000</v>
      </c>
      <c r="L139" s="35"/>
      <c r="M139" s="35">
        <f>L139+K139</f>
        <v>1220000</v>
      </c>
      <c r="N139" s="36">
        <f t="shared" si="7"/>
        <v>1220</v>
      </c>
    </row>
    <row r="140" spans="1:14" s="32" customFormat="1" ht="42" customHeight="1">
      <c r="A140" s="29" t="s">
        <v>57</v>
      </c>
      <c r="B140" s="66"/>
      <c r="C140" s="66"/>
      <c r="D140" s="3" t="s">
        <v>19</v>
      </c>
      <c r="E140" s="3"/>
      <c r="F140" s="3"/>
      <c r="G140" s="2">
        <f t="shared" si="5"/>
        <v>0</v>
      </c>
      <c r="H140" s="3"/>
      <c r="I140" s="3"/>
      <c r="J140" s="2">
        <f t="shared" si="6"/>
        <v>0</v>
      </c>
      <c r="K140" s="30">
        <f>K141</f>
        <v>10000</v>
      </c>
      <c r="L140" s="30">
        <f>L141</f>
        <v>0</v>
      </c>
      <c r="M140" s="30">
        <f>M141</f>
        <v>10000</v>
      </c>
      <c r="N140" s="31">
        <f>N141</f>
        <v>10</v>
      </c>
    </row>
    <row r="141" spans="1:14" s="37" customFormat="1" ht="50.25" customHeight="1">
      <c r="A141" s="33" t="s">
        <v>0</v>
      </c>
      <c r="B141" s="33" t="s">
        <v>58</v>
      </c>
      <c r="C141" s="33" t="s">
        <v>26</v>
      </c>
      <c r="D141" s="34" t="s">
        <v>59</v>
      </c>
      <c r="E141" s="34"/>
      <c r="F141" s="34"/>
      <c r="G141" s="2">
        <f t="shared" si="5"/>
        <v>0</v>
      </c>
      <c r="H141" s="34"/>
      <c r="I141" s="34"/>
      <c r="J141" s="2">
        <f t="shared" si="6"/>
        <v>0</v>
      </c>
      <c r="K141" s="35">
        <f>20000-10000</f>
        <v>10000</v>
      </c>
      <c r="L141" s="35"/>
      <c r="M141" s="35">
        <f>L141+K141</f>
        <v>10000</v>
      </c>
      <c r="N141" s="36">
        <f t="shared" si="7"/>
        <v>10</v>
      </c>
    </row>
    <row r="142" spans="1:14" s="32" customFormat="1" ht="52.5" customHeight="1">
      <c r="A142" s="29" t="s">
        <v>13</v>
      </c>
      <c r="B142" s="29"/>
      <c r="C142" s="29"/>
      <c r="D142" s="3" t="s">
        <v>18</v>
      </c>
      <c r="E142" s="3"/>
      <c r="F142" s="3"/>
      <c r="G142" s="2">
        <f t="shared" si="5"/>
        <v>0</v>
      </c>
      <c r="H142" s="3"/>
      <c r="I142" s="3"/>
      <c r="J142" s="2">
        <f t="shared" si="6"/>
        <v>0</v>
      </c>
      <c r="K142" s="30" t="e">
        <f>K143+K251+K146+K165+K195+K247+K249+K144</f>
        <v>#REF!</v>
      </c>
      <c r="L142" s="30" t="e">
        <f>L143+L251+L146+L165+L195+L247+L249+L144</f>
        <v>#REF!</v>
      </c>
      <c r="M142" s="30" t="e">
        <f>M143+M251+M146+M165+M195+M247+M249+M144</f>
        <v>#REF!</v>
      </c>
      <c r="N142" s="31">
        <f>N143+N251+N146+N165+N195+N247+N249+N144</f>
        <v>179124.4</v>
      </c>
    </row>
    <row r="143" spans="1:14" s="37" customFormat="1" ht="30" customHeight="1">
      <c r="A143" s="33" t="s">
        <v>113</v>
      </c>
      <c r="B143" s="33" t="s">
        <v>67</v>
      </c>
      <c r="C143" s="33" t="s">
        <v>41</v>
      </c>
      <c r="D143" s="34" t="s">
        <v>68</v>
      </c>
      <c r="E143" s="34"/>
      <c r="F143" s="34"/>
      <c r="G143" s="2">
        <f t="shared" si="5"/>
        <v>0</v>
      </c>
      <c r="H143" s="34"/>
      <c r="I143" s="34"/>
      <c r="J143" s="2">
        <f t="shared" si="6"/>
        <v>0</v>
      </c>
      <c r="K143" s="35">
        <f>60000000+30000000-3248000+263500</f>
        <v>87015500</v>
      </c>
      <c r="L143" s="35"/>
      <c r="M143" s="35">
        <f>L143+K143</f>
        <v>87015500</v>
      </c>
      <c r="N143" s="36">
        <f t="shared" si="7"/>
        <v>87015.5</v>
      </c>
    </row>
    <row r="144" spans="1:14" s="37" customFormat="1" ht="32.25" customHeight="1">
      <c r="A144" s="33" t="s">
        <v>299</v>
      </c>
      <c r="B144" s="33" t="s">
        <v>304</v>
      </c>
      <c r="C144" s="33"/>
      <c r="D144" s="34" t="s">
        <v>403</v>
      </c>
      <c r="E144" s="34"/>
      <c r="F144" s="34"/>
      <c r="G144" s="2">
        <f t="shared" si="5"/>
        <v>0</v>
      </c>
      <c r="H144" s="34"/>
      <c r="I144" s="34"/>
      <c r="J144" s="2">
        <f t="shared" si="6"/>
        <v>0</v>
      </c>
      <c r="K144" s="35">
        <f>K145</f>
        <v>500000</v>
      </c>
      <c r="L144" s="35">
        <f>L145</f>
        <v>0</v>
      </c>
      <c r="M144" s="35">
        <f>M145</f>
        <v>500000</v>
      </c>
      <c r="N144" s="38">
        <f>N145</f>
        <v>500</v>
      </c>
    </row>
    <row r="145" spans="1:14" s="46" customFormat="1" ht="34.5" customHeight="1">
      <c r="A145" s="39" t="s">
        <v>300</v>
      </c>
      <c r="B145" s="39" t="s">
        <v>303</v>
      </c>
      <c r="C145" s="39" t="s">
        <v>302</v>
      </c>
      <c r="D145" s="40" t="s">
        <v>301</v>
      </c>
      <c r="E145" s="40"/>
      <c r="F145" s="40"/>
      <c r="G145" s="87">
        <f t="shared" si="5"/>
        <v>0</v>
      </c>
      <c r="H145" s="40"/>
      <c r="I145" s="40"/>
      <c r="J145" s="87">
        <f t="shared" si="6"/>
        <v>0</v>
      </c>
      <c r="K145" s="42">
        <v>500000</v>
      </c>
      <c r="L145" s="42"/>
      <c r="M145" s="42">
        <f>L145+K145</f>
        <v>500000</v>
      </c>
      <c r="N145" s="8">
        <f t="shared" si="7"/>
        <v>500</v>
      </c>
    </row>
    <row r="146" spans="1:151" s="32" customFormat="1" ht="37.5" customHeight="1">
      <c r="A146" s="23">
        <v>1517310</v>
      </c>
      <c r="B146" s="33" t="s">
        <v>136</v>
      </c>
      <c r="C146" s="33" t="s">
        <v>52</v>
      </c>
      <c r="D146" s="3" t="s">
        <v>397</v>
      </c>
      <c r="E146" s="3"/>
      <c r="F146" s="67"/>
      <c r="G146" s="2">
        <f t="shared" si="5"/>
        <v>0</v>
      </c>
      <c r="H146" s="67"/>
      <c r="I146" s="67"/>
      <c r="J146" s="2">
        <f t="shared" si="6"/>
        <v>0</v>
      </c>
      <c r="K146" s="30">
        <f>K147+K153</f>
        <v>9601000</v>
      </c>
      <c r="L146" s="30">
        <f>L147+L153</f>
        <v>0</v>
      </c>
      <c r="M146" s="30">
        <f>M147+M153</f>
        <v>9601000</v>
      </c>
      <c r="N146" s="31">
        <f>N147+N153</f>
        <v>9601</v>
      </c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</row>
    <row r="147" spans="1:151" s="37" customFormat="1" ht="27.75" customHeight="1">
      <c r="A147" s="69"/>
      <c r="B147" s="70"/>
      <c r="C147" s="70"/>
      <c r="D147" s="83" t="s">
        <v>143</v>
      </c>
      <c r="E147" s="83" t="s">
        <v>143</v>
      </c>
      <c r="F147" s="67"/>
      <c r="G147" s="2">
        <f t="shared" si="5"/>
        <v>0</v>
      </c>
      <c r="H147" s="67"/>
      <c r="I147" s="67"/>
      <c r="J147" s="2">
        <f t="shared" si="6"/>
        <v>0</v>
      </c>
      <c r="K147" s="30">
        <f>SUM(K148:K152)</f>
        <v>5458500</v>
      </c>
      <c r="L147" s="30">
        <f>SUM(L148:L152)</f>
        <v>0</v>
      </c>
      <c r="M147" s="30">
        <f>SUM(M148:M152)</f>
        <v>5458500</v>
      </c>
      <c r="N147" s="31">
        <f>SUM(N148:N152)</f>
        <v>5458.5</v>
      </c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</row>
    <row r="148" spans="1:151" s="24" customFormat="1" ht="28.5" customHeight="1">
      <c r="A148" s="69"/>
      <c r="B148" s="69"/>
      <c r="C148" s="69"/>
      <c r="D148" s="49" t="s">
        <v>144</v>
      </c>
      <c r="E148" s="49" t="s">
        <v>144</v>
      </c>
      <c r="F148" s="1">
        <v>9888427</v>
      </c>
      <c r="G148" s="2">
        <f t="shared" si="5"/>
        <v>9888.4</v>
      </c>
      <c r="H148" s="69">
        <v>97.9</v>
      </c>
      <c r="I148" s="1">
        <v>9684425</v>
      </c>
      <c r="J148" s="2">
        <f t="shared" si="6"/>
        <v>9684.4</v>
      </c>
      <c r="K148" s="35">
        <v>3000000</v>
      </c>
      <c r="L148" s="35"/>
      <c r="M148" s="35">
        <f>L148+K148</f>
        <v>3000000</v>
      </c>
      <c r="N148" s="36">
        <f t="shared" si="7"/>
        <v>3000</v>
      </c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  <c r="EI148" s="71"/>
      <c r="EJ148" s="71"/>
      <c r="EK148" s="71"/>
      <c r="EL148" s="71"/>
      <c r="EM148" s="71"/>
      <c r="EN148" s="71"/>
      <c r="EO148" s="71"/>
      <c r="EP148" s="71"/>
      <c r="EQ148" s="71"/>
      <c r="ER148" s="71"/>
      <c r="ES148" s="71"/>
      <c r="ET148" s="71"/>
      <c r="EU148" s="71"/>
    </row>
    <row r="149" spans="1:151" s="24" customFormat="1" ht="36" customHeight="1">
      <c r="A149" s="70"/>
      <c r="B149" s="70"/>
      <c r="C149" s="70"/>
      <c r="D149" s="72" t="s">
        <v>145</v>
      </c>
      <c r="E149" s="72" t="s">
        <v>145</v>
      </c>
      <c r="F149" s="1">
        <v>2186292</v>
      </c>
      <c r="G149" s="2">
        <f t="shared" si="5"/>
        <v>2186.3</v>
      </c>
      <c r="H149" s="2">
        <v>20.23</v>
      </c>
      <c r="I149" s="1">
        <v>442271</v>
      </c>
      <c r="J149" s="2">
        <f t="shared" si="6"/>
        <v>442.3</v>
      </c>
      <c r="K149" s="35">
        <v>400000</v>
      </c>
      <c r="L149" s="35"/>
      <c r="M149" s="35">
        <f>L149+K149</f>
        <v>400000</v>
      </c>
      <c r="N149" s="36">
        <f t="shared" si="7"/>
        <v>400</v>
      </c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  <c r="EI149" s="71"/>
      <c r="EJ149" s="71"/>
      <c r="EK149" s="71"/>
      <c r="EL149" s="71"/>
      <c r="EM149" s="71"/>
      <c r="EN149" s="71"/>
      <c r="EO149" s="71"/>
      <c r="EP149" s="71"/>
      <c r="EQ149" s="71"/>
      <c r="ER149" s="71"/>
      <c r="ES149" s="71"/>
      <c r="ET149" s="71"/>
      <c r="EU149" s="71"/>
    </row>
    <row r="150" spans="1:151" s="24" customFormat="1" ht="54.75" customHeight="1">
      <c r="A150" s="70"/>
      <c r="B150" s="70"/>
      <c r="C150" s="70"/>
      <c r="D150" s="72" t="s">
        <v>360</v>
      </c>
      <c r="E150" s="72" t="s">
        <v>360</v>
      </c>
      <c r="F150" s="1"/>
      <c r="G150" s="2">
        <f t="shared" si="5"/>
        <v>0</v>
      </c>
      <c r="H150" s="2"/>
      <c r="I150" s="1"/>
      <c r="J150" s="2">
        <f t="shared" si="6"/>
        <v>0</v>
      </c>
      <c r="K150" s="35">
        <v>50000</v>
      </c>
      <c r="L150" s="35"/>
      <c r="M150" s="35">
        <f>L150+K150</f>
        <v>50000</v>
      </c>
      <c r="N150" s="36">
        <f t="shared" si="7"/>
        <v>50</v>
      </c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  <c r="EI150" s="71"/>
      <c r="EJ150" s="71"/>
      <c r="EK150" s="71"/>
      <c r="EL150" s="71"/>
      <c r="EM150" s="71"/>
      <c r="EN150" s="71"/>
      <c r="EO150" s="71"/>
      <c r="EP150" s="71"/>
      <c r="EQ150" s="71"/>
      <c r="ER150" s="71"/>
      <c r="ES150" s="71"/>
      <c r="ET150" s="71"/>
      <c r="EU150" s="71"/>
    </row>
    <row r="151" spans="1:14" s="71" customFormat="1" ht="36.75" customHeight="1">
      <c r="A151" s="70"/>
      <c r="B151" s="70"/>
      <c r="C151" s="70"/>
      <c r="D151" s="72" t="s">
        <v>146</v>
      </c>
      <c r="E151" s="72" t="s">
        <v>146</v>
      </c>
      <c r="F151" s="1">
        <v>41125371</v>
      </c>
      <c r="G151" s="2">
        <f aca="true" t="shared" si="11" ref="G151:G216">ROUND(F151/1000,1)</f>
        <v>41125.4</v>
      </c>
      <c r="H151" s="2">
        <v>52.38</v>
      </c>
      <c r="I151" s="1">
        <v>21542607</v>
      </c>
      <c r="J151" s="2">
        <f aca="true" t="shared" si="12" ref="J151:J216">ROUND(I151/1000,1)</f>
        <v>21542.6</v>
      </c>
      <c r="K151" s="35">
        <v>2000000</v>
      </c>
      <c r="L151" s="35"/>
      <c r="M151" s="35">
        <f>L151+K151</f>
        <v>2000000</v>
      </c>
      <c r="N151" s="36">
        <f aca="true" t="shared" si="13" ref="N151:N214">ROUND(M151/1000,1)</f>
        <v>2000</v>
      </c>
    </row>
    <row r="152" spans="1:14" s="71" customFormat="1" ht="30.75" customHeight="1">
      <c r="A152" s="70"/>
      <c r="B152" s="70"/>
      <c r="C152" s="70"/>
      <c r="D152" s="72" t="s">
        <v>283</v>
      </c>
      <c r="E152" s="72" t="s">
        <v>283</v>
      </c>
      <c r="F152" s="1">
        <v>1681565</v>
      </c>
      <c r="G152" s="2">
        <f t="shared" si="11"/>
        <v>1681.6</v>
      </c>
      <c r="H152" s="2">
        <v>11.6</v>
      </c>
      <c r="I152" s="1">
        <v>194907</v>
      </c>
      <c r="J152" s="2">
        <f t="shared" si="12"/>
        <v>194.9</v>
      </c>
      <c r="K152" s="35">
        <v>8500</v>
      </c>
      <c r="L152" s="35"/>
      <c r="M152" s="35">
        <f>L152+K152</f>
        <v>8500</v>
      </c>
      <c r="N152" s="36">
        <f t="shared" si="13"/>
        <v>8.5</v>
      </c>
    </row>
    <row r="153" spans="1:151" s="37" customFormat="1" ht="26.25" customHeight="1">
      <c r="A153" s="69"/>
      <c r="B153" s="70"/>
      <c r="C153" s="70"/>
      <c r="D153" s="3" t="s">
        <v>147</v>
      </c>
      <c r="E153" s="3" t="s">
        <v>147</v>
      </c>
      <c r="F153" s="73"/>
      <c r="G153" s="2">
        <f t="shared" si="11"/>
        <v>0</v>
      </c>
      <c r="H153" s="67"/>
      <c r="I153" s="1"/>
      <c r="J153" s="2">
        <f t="shared" si="12"/>
        <v>0</v>
      </c>
      <c r="K153" s="30">
        <f>SUM(K154:K164)</f>
        <v>4142500</v>
      </c>
      <c r="L153" s="30">
        <f>SUM(L154:L164)</f>
        <v>0</v>
      </c>
      <c r="M153" s="30">
        <f>SUM(M154:M164)</f>
        <v>4142500</v>
      </c>
      <c r="N153" s="31">
        <f>SUM(N154:N164)</f>
        <v>4142.5</v>
      </c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</row>
    <row r="154" spans="1:14" s="71" customFormat="1" ht="52.5" customHeight="1">
      <c r="A154" s="70"/>
      <c r="B154" s="70"/>
      <c r="C154" s="70"/>
      <c r="D154" s="72" t="s">
        <v>368</v>
      </c>
      <c r="E154" s="72" t="s">
        <v>368</v>
      </c>
      <c r="F154" s="74"/>
      <c r="G154" s="2">
        <f t="shared" si="11"/>
        <v>0</v>
      </c>
      <c r="H154" s="2"/>
      <c r="I154" s="1"/>
      <c r="J154" s="2">
        <f t="shared" si="12"/>
        <v>0</v>
      </c>
      <c r="K154" s="35">
        <f>500000-400000</f>
        <v>100000</v>
      </c>
      <c r="L154" s="35"/>
      <c r="M154" s="35">
        <f aca="true" t="shared" si="14" ref="M154:M164">L154+K154</f>
        <v>100000</v>
      </c>
      <c r="N154" s="36">
        <f t="shared" si="13"/>
        <v>100</v>
      </c>
    </row>
    <row r="155" spans="1:14" s="71" customFormat="1" ht="30.75" customHeight="1">
      <c r="A155" s="70"/>
      <c r="B155" s="70"/>
      <c r="C155" s="70"/>
      <c r="D155" s="72" t="s">
        <v>148</v>
      </c>
      <c r="E155" s="72" t="s">
        <v>148</v>
      </c>
      <c r="F155" s="1">
        <v>16481572</v>
      </c>
      <c r="G155" s="2">
        <f t="shared" si="11"/>
        <v>16481.6</v>
      </c>
      <c r="H155" s="2">
        <v>81.3</v>
      </c>
      <c r="I155" s="1">
        <v>13394899</v>
      </c>
      <c r="J155" s="2">
        <f t="shared" si="12"/>
        <v>13394.9</v>
      </c>
      <c r="K155" s="35">
        <v>2000000</v>
      </c>
      <c r="L155" s="35"/>
      <c r="M155" s="35">
        <f t="shared" si="14"/>
        <v>2000000</v>
      </c>
      <c r="N155" s="36">
        <f t="shared" si="13"/>
        <v>2000</v>
      </c>
    </row>
    <row r="156" spans="1:14" s="71" customFormat="1" ht="30" customHeight="1">
      <c r="A156" s="70"/>
      <c r="B156" s="70"/>
      <c r="C156" s="70"/>
      <c r="D156" s="52" t="s">
        <v>149</v>
      </c>
      <c r="E156" s="52" t="s">
        <v>149</v>
      </c>
      <c r="F156" s="74"/>
      <c r="G156" s="2">
        <f t="shared" si="11"/>
        <v>0</v>
      </c>
      <c r="H156" s="2"/>
      <c r="I156" s="1"/>
      <c r="J156" s="2">
        <f t="shared" si="12"/>
        <v>0</v>
      </c>
      <c r="K156" s="35">
        <v>500000</v>
      </c>
      <c r="L156" s="35"/>
      <c r="M156" s="35">
        <f t="shared" si="14"/>
        <v>500000</v>
      </c>
      <c r="N156" s="36">
        <f t="shared" si="13"/>
        <v>500</v>
      </c>
    </row>
    <row r="157" spans="1:14" s="71" customFormat="1" ht="34.5" customHeight="1">
      <c r="A157" s="70"/>
      <c r="B157" s="70"/>
      <c r="C157" s="70"/>
      <c r="D157" s="52" t="s">
        <v>150</v>
      </c>
      <c r="E157" s="52" t="s">
        <v>150</v>
      </c>
      <c r="F157" s="74"/>
      <c r="G157" s="2">
        <f t="shared" si="11"/>
        <v>0</v>
      </c>
      <c r="H157" s="2"/>
      <c r="I157" s="1"/>
      <c r="J157" s="2">
        <f t="shared" si="12"/>
        <v>0</v>
      </c>
      <c r="K157" s="35">
        <v>500000</v>
      </c>
      <c r="L157" s="35"/>
      <c r="M157" s="35">
        <f t="shared" si="14"/>
        <v>500000</v>
      </c>
      <c r="N157" s="36">
        <f t="shared" si="13"/>
        <v>500</v>
      </c>
    </row>
    <row r="158" spans="1:14" s="71" customFormat="1" ht="43.5" customHeight="1">
      <c r="A158" s="70"/>
      <c r="B158" s="70"/>
      <c r="C158" s="70"/>
      <c r="D158" s="52" t="s">
        <v>151</v>
      </c>
      <c r="E158" s="52" t="s">
        <v>151</v>
      </c>
      <c r="F158" s="74"/>
      <c r="G158" s="2">
        <f t="shared" si="11"/>
        <v>0</v>
      </c>
      <c r="H158" s="2"/>
      <c r="I158" s="1"/>
      <c r="J158" s="2">
        <f t="shared" si="12"/>
        <v>0</v>
      </c>
      <c r="K158" s="35">
        <v>500000</v>
      </c>
      <c r="L158" s="35"/>
      <c r="M158" s="35">
        <f t="shared" si="14"/>
        <v>500000</v>
      </c>
      <c r="N158" s="36">
        <f t="shared" si="13"/>
        <v>500</v>
      </c>
    </row>
    <row r="159" spans="1:14" s="71" customFormat="1" ht="35.25" customHeight="1">
      <c r="A159" s="70"/>
      <c r="B159" s="70"/>
      <c r="C159" s="70"/>
      <c r="D159" s="52" t="s">
        <v>152</v>
      </c>
      <c r="E159" s="52" t="s">
        <v>152</v>
      </c>
      <c r="F159" s="74"/>
      <c r="G159" s="2">
        <f t="shared" si="11"/>
        <v>0</v>
      </c>
      <c r="H159" s="2"/>
      <c r="I159" s="1"/>
      <c r="J159" s="2">
        <f t="shared" si="12"/>
        <v>0</v>
      </c>
      <c r="K159" s="35">
        <v>500000</v>
      </c>
      <c r="L159" s="35"/>
      <c r="M159" s="35">
        <f t="shared" si="14"/>
        <v>500000</v>
      </c>
      <c r="N159" s="36">
        <f t="shared" si="13"/>
        <v>500</v>
      </c>
    </row>
    <row r="160" spans="1:14" s="71" customFormat="1" ht="30" customHeight="1">
      <c r="A160" s="70"/>
      <c r="B160" s="70"/>
      <c r="C160" s="70"/>
      <c r="D160" s="52" t="s">
        <v>284</v>
      </c>
      <c r="E160" s="52" t="s">
        <v>284</v>
      </c>
      <c r="F160" s="74"/>
      <c r="G160" s="2">
        <f t="shared" si="11"/>
        <v>0</v>
      </c>
      <c r="H160" s="2"/>
      <c r="I160" s="1"/>
      <c r="J160" s="2">
        <f t="shared" si="12"/>
        <v>0</v>
      </c>
      <c r="K160" s="35">
        <v>8500</v>
      </c>
      <c r="L160" s="35"/>
      <c r="M160" s="35">
        <f t="shared" si="14"/>
        <v>8500</v>
      </c>
      <c r="N160" s="36">
        <f t="shared" si="13"/>
        <v>8.5</v>
      </c>
    </row>
    <row r="161" spans="1:14" s="71" customFormat="1" ht="36.75" customHeight="1">
      <c r="A161" s="70"/>
      <c r="B161" s="70"/>
      <c r="C161" s="70"/>
      <c r="D161" s="52" t="s">
        <v>285</v>
      </c>
      <c r="E161" s="52" t="s">
        <v>285</v>
      </c>
      <c r="F161" s="74"/>
      <c r="G161" s="2">
        <f t="shared" si="11"/>
        <v>0</v>
      </c>
      <c r="H161" s="2"/>
      <c r="I161" s="1"/>
      <c r="J161" s="2">
        <f t="shared" si="12"/>
        <v>0</v>
      </c>
      <c r="K161" s="35">
        <v>8500</v>
      </c>
      <c r="L161" s="35"/>
      <c r="M161" s="35">
        <f t="shared" si="14"/>
        <v>8500</v>
      </c>
      <c r="N161" s="36">
        <f t="shared" si="13"/>
        <v>8.5</v>
      </c>
    </row>
    <row r="162" spans="1:14" s="71" customFormat="1" ht="36.75" customHeight="1">
      <c r="A162" s="70"/>
      <c r="B162" s="70"/>
      <c r="C162" s="70"/>
      <c r="D162" s="52" t="s">
        <v>286</v>
      </c>
      <c r="E162" s="52" t="s">
        <v>286</v>
      </c>
      <c r="F162" s="74"/>
      <c r="G162" s="2">
        <f t="shared" si="11"/>
        <v>0</v>
      </c>
      <c r="H162" s="2"/>
      <c r="I162" s="1"/>
      <c r="J162" s="2">
        <f t="shared" si="12"/>
        <v>0</v>
      </c>
      <c r="K162" s="35">
        <v>8500</v>
      </c>
      <c r="L162" s="35"/>
      <c r="M162" s="35">
        <f t="shared" si="14"/>
        <v>8500</v>
      </c>
      <c r="N162" s="36">
        <f t="shared" si="13"/>
        <v>8.5</v>
      </c>
    </row>
    <row r="163" spans="1:14" s="71" customFormat="1" ht="33.75" customHeight="1">
      <c r="A163" s="70"/>
      <c r="B163" s="70"/>
      <c r="C163" s="70"/>
      <c r="D163" s="52" t="s">
        <v>287</v>
      </c>
      <c r="E163" s="52" t="s">
        <v>287</v>
      </c>
      <c r="F163" s="74"/>
      <c r="G163" s="2">
        <f t="shared" si="11"/>
        <v>0</v>
      </c>
      <c r="H163" s="2"/>
      <c r="I163" s="1"/>
      <c r="J163" s="2">
        <f t="shared" si="12"/>
        <v>0</v>
      </c>
      <c r="K163" s="35">
        <v>8500</v>
      </c>
      <c r="L163" s="35"/>
      <c r="M163" s="35">
        <f t="shared" si="14"/>
        <v>8500</v>
      </c>
      <c r="N163" s="36">
        <f t="shared" si="13"/>
        <v>8.5</v>
      </c>
    </row>
    <row r="164" spans="1:14" s="71" customFormat="1" ht="29.25" customHeight="1">
      <c r="A164" s="70"/>
      <c r="B164" s="70"/>
      <c r="C164" s="70"/>
      <c r="D164" s="52" t="s">
        <v>288</v>
      </c>
      <c r="E164" s="52" t="s">
        <v>288</v>
      </c>
      <c r="F164" s="74"/>
      <c r="G164" s="2">
        <f t="shared" si="11"/>
        <v>0</v>
      </c>
      <c r="H164" s="2"/>
      <c r="I164" s="1"/>
      <c r="J164" s="2">
        <f t="shared" si="12"/>
        <v>0</v>
      </c>
      <c r="K164" s="35">
        <v>8500</v>
      </c>
      <c r="L164" s="35"/>
      <c r="M164" s="35">
        <f t="shared" si="14"/>
        <v>8500</v>
      </c>
      <c r="N164" s="36">
        <f t="shared" si="13"/>
        <v>8.5</v>
      </c>
    </row>
    <row r="165" spans="1:151" s="32" customFormat="1" ht="40.5" customHeight="1">
      <c r="A165" s="23">
        <v>1517320</v>
      </c>
      <c r="B165" s="33" t="s">
        <v>139</v>
      </c>
      <c r="C165" s="33"/>
      <c r="D165" s="3" t="s">
        <v>404</v>
      </c>
      <c r="E165" s="3"/>
      <c r="F165" s="73"/>
      <c r="G165" s="2">
        <f t="shared" si="11"/>
        <v>0</v>
      </c>
      <c r="H165" s="67"/>
      <c r="I165" s="1"/>
      <c r="J165" s="2">
        <f t="shared" si="12"/>
        <v>0</v>
      </c>
      <c r="K165" s="30">
        <f>K166+K182+K190</f>
        <v>23900355</v>
      </c>
      <c r="L165" s="30">
        <f>L166+L182+L190</f>
        <v>0</v>
      </c>
      <c r="M165" s="30">
        <f>M166+M182+M190</f>
        <v>23900355</v>
      </c>
      <c r="N165" s="31">
        <f>N166+N182+N190</f>
        <v>20027.7</v>
      </c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8"/>
      <c r="DE165" s="68"/>
      <c r="DF165" s="68"/>
      <c r="DG165" s="68"/>
      <c r="DH165" s="68"/>
      <c r="DI165" s="68"/>
      <c r="DJ165" s="68"/>
      <c r="DK165" s="68"/>
      <c r="DL165" s="68"/>
      <c r="DM165" s="68"/>
      <c r="DN165" s="68"/>
      <c r="DO165" s="68"/>
      <c r="DP165" s="68"/>
      <c r="DQ165" s="68"/>
      <c r="DR165" s="68"/>
      <c r="DS165" s="68"/>
      <c r="DT165" s="68"/>
      <c r="DU165" s="68"/>
      <c r="DV165" s="68"/>
      <c r="DW165" s="68"/>
      <c r="DX165" s="68"/>
      <c r="DY165" s="68"/>
      <c r="DZ165" s="68"/>
      <c r="EA165" s="68"/>
      <c r="EB165" s="68"/>
      <c r="EC165" s="68"/>
      <c r="ED165" s="68"/>
      <c r="EE165" s="68"/>
      <c r="EF165" s="68"/>
      <c r="EG165" s="68"/>
      <c r="EH165" s="68"/>
      <c r="EI165" s="68"/>
      <c r="EJ165" s="68"/>
      <c r="EK165" s="68"/>
      <c r="EL165" s="68"/>
      <c r="EM165" s="68"/>
      <c r="EN165" s="68"/>
      <c r="EO165" s="68"/>
      <c r="EP165" s="68"/>
      <c r="EQ165" s="68"/>
      <c r="ER165" s="68"/>
      <c r="ES165" s="68"/>
      <c r="ET165" s="68"/>
      <c r="EU165" s="68"/>
    </row>
    <row r="166" spans="1:151" s="82" customFormat="1" ht="34.5" customHeight="1">
      <c r="A166" s="75">
        <v>1517321</v>
      </c>
      <c r="B166" s="39" t="s">
        <v>140</v>
      </c>
      <c r="C166" s="39" t="s">
        <v>52</v>
      </c>
      <c r="D166" s="76" t="s">
        <v>405</v>
      </c>
      <c r="E166" s="77"/>
      <c r="F166" s="78"/>
      <c r="G166" s="2">
        <f t="shared" si="11"/>
        <v>0</v>
      </c>
      <c r="H166" s="79"/>
      <c r="I166" s="1"/>
      <c r="J166" s="2">
        <f t="shared" si="12"/>
        <v>0</v>
      </c>
      <c r="K166" s="79">
        <f>K167+K171</f>
        <v>9641355</v>
      </c>
      <c r="L166" s="79">
        <f>L167+L171</f>
        <v>0</v>
      </c>
      <c r="M166" s="79">
        <f>M167+M171</f>
        <v>9641355</v>
      </c>
      <c r="N166" s="80">
        <f>N167+N171</f>
        <v>6080.700000000001</v>
      </c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  <c r="DK166" s="81"/>
      <c r="DL166" s="81"/>
      <c r="DM166" s="81"/>
      <c r="DN166" s="81"/>
      <c r="DO166" s="81"/>
      <c r="DP166" s="81"/>
      <c r="DQ166" s="81"/>
      <c r="DR166" s="81"/>
      <c r="DS166" s="81"/>
      <c r="DT166" s="81"/>
      <c r="DU166" s="81"/>
      <c r="DV166" s="81"/>
      <c r="DW166" s="81"/>
      <c r="DX166" s="81"/>
      <c r="DY166" s="81"/>
      <c r="DZ166" s="81"/>
      <c r="EA166" s="81"/>
      <c r="EB166" s="81"/>
      <c r="EC166" s="81"/>
      <c r="ED166" s="81"/>
      <c r="EE166" s="81"/>
      <c r="EF166" s="81"/>
      <c r="EG166" s="81"/>
      <c r="EH166" s="81"/>
      <c r="EI166" s="81"/>
      <c r="EJ166" s="81"/>
      <c r="EK166" s="81"/>
      <c r="EL166" s="81"/>
      <c r="EM166" s="81"/>
      <c r="EN166" s="81"/>
      <c r="EO166" s="81"/>
      <c r="EP166" s="81"/>
      <c r="EQ166" s="81"/>
      <c r="ER166" s="81"/>
      <c r="ES166" s="81"/>
      <c r="ET166" s="81"/>
      <c r="EU166" s="81"/>
    </row>
    <row r="167" spans="1:151" s="37" customFormat="1" ht="27" customHeight="1">
      <c r="A167" s="69"/>
      <c r="B167" s="70"/>
      <c r="C167" s="70"/>
      <c r="D167" s="83" t="s">
        <v>143</v>
      </c>
      <c r="E167" s="83" t="s">
        <v>143</v>
      </c>
      <c r="F167" s="73"/>
      <c r="G167" s="2">
        <f t="shared" si="11"/>
        <v>0</v>
      </c>
      <c r="H167" s="67"/>
      <c r="I167" s="1"/>
      <c r="J167" s="2">
        <f t="shared" si="12"/>
        <v>0</v>
      </c>
      <c r="K167" s="30">
        <f>SUM(K168:K170)</f>
        <v>4800000</v>
      </c>
      <c r="L167" s="30">
        <f>SUM(L168:L170)</f>
        <v>0</v>
      </c>
      <c r="M167" s="30">
        <f>SUM(M168:M170)</f>
        <v>4800000</v>
      </c>
      <c r="N167" s="31">
        <f>SUM(N168:N170)</f>
        <v>1296.4</v>
      </c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  <c r="EN167" s="58"/>
      <c r="EO167" s="58"/>
      <c r="EP167" s="58"/>
      <c r="EQ167" s="58"/>
      <c r="ER167" s="58"/>
      <c r="ES167" s="58"/>
      <c r="ET167" s="58"/>
      <c r="EU167" s="58"/>
    </row>
    <row r="168" spans="1:151" s="24" customFormat="1" ht="30" customHeight="1">
      <c r="A168" s="69"/>
      <c r="B168" s="69"/>
      <c r="C168" s="69"/>
      <c r="D168" s="72" t="s">
        <v>153</v>
      </c>
      <c r="E168" s="72" t="s">
        <v>153</v>
      </c>
      <c r="F168" s="84"/>
      <c r="G168" s="2">
        <f t="shared" si="11"/>
        <v>0</v>
      </c>
      <c r="H168" s="69"/>
      <c r="I168" s="1"/>
      <c r="J168" s="2">
        <f t="shared" si="12"/>
        <v>0</v>
      </c>
      <c r="K168" s="35">
        <f>500000+7000000-3050000</f>
        <v>4450000</v>
      </c>
      <c r="L168" s="35"/>
      <c r="M168" s="35">
        <f>L168+K168</f>
        <v>4450000</v>
      </c>
      <c r="N168" s="36">
        <f>ROUND(M168/1000,1)-3500</f>
        <v>950</v>
      </c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1"/>
      <c r="EL168" s="71"/>
      <c r="EM168" s="71"/>
      <c r="EN168" s="71"/>
      <c r="EO168" s="71"/>
      <c r="EP168" s="71"/>
      <c r="EQ168" s="71"/>
      <c r="ER168" s="71"/>
      <c r="ES168" s="71"/>
      <c r="ET168" s="71"/>
      <c r="EU168" s="71"/>
    </row>
    <row r="169" spans="1:14" s="71" customFormat="1" ht="29.25" customHeight="1">
      <c r="A169" s="70"/>
      <c r="B169" s="70"/>
      <c r="C169" s="70"/>
      <c r="D169" s="72" t="s">
        <v>154</v>
      </c>
      <c r="E169" s="72" t="s">
        <v>154</v>
      </c>
      <c r="F169" s="1"/>
      <c r="G169" s="2">
        <f t="shared" si="11"/>
        <v>0</v>
      </c>
      <c r="H169" s="2"/>
      <c r="I169" s="1"/>
      <c r="J169" s="2">
        <f t="shared" si="12"/>
        <v>0</v>
      </c>
      <c r="K169" s="35">
        <v>250000</v>
      </c>
      <c r="L169" s="35"/>
      <c r="M169" s="35">
        <f aca="true" t="shared" si="15" ref="M169:M262">L169+K169</f>
        <v>250000</v>
      </c>
      <c r="N169" s="36">
        <f>ROUND(M169/1000,1)-3.6</f>
        <v>246.4</v>
      </c>
    </row>
    <row r="170" spans="1:14" s="71" customFormat="1" ht="44.25" customHeight="1">
      <c r="A170" s="70"/>
      <c r="B170" s="70"/>
      <c r="C170" s="70"/>
      <c r="D170" s="72" t="s">
        <v>333</v>
      </c>
      <c r="E170" s="72" t="s">
        <v>333</v>
      </c>
      <c r="F170" s="1"/>
      <c r="G170" s="2">
        <f t="shared" si="11"/>
        <v>0</v>
      </c>
      <c r="H170" s="2"/>
      <c r="I170" s="1"/>
      <c r="J170" s="2">
        <f t="shared" si="12"/>
        <v>0</v>
      </c>
      <c r="K170" s="35">
        <v>100000</v>
      </c>
      <c r="L170" s="35"/>
      <c r="M170" s="35">
        <f>L170+K170</f>
        <v>100000</v>
      </c>
      <c r="N170" s="36">
        <f t="shared" si="13"/>
        <v>100</v>
      </c>
    </row>
    <row r="171" spans="1:151" s="37" customFormat="1" ht="25.5" customHeight="1">
      <c r="A171" s="69"/>
      <c r="B171" s="70"/>
      <c r="C171" s="70"/>
      <c r="D171" s="3" t="s">
        <v>147</v>
      </c>
      <c r="E171" s="3" t="s">
        <v>147</v>
      </c>
      <c r="F171" s="73"/>
      <c r="G171" s="2">
        <f t="shared" si="11"/>
        <v>0</v>
      </c>
      <c r="H171" s="67"/>
      <c r="I171" s="1"/>
      <c r="J171" s="2">
        <f t="shared" si="12"/>
        <v>0</v>
      </c>
      <c r="K171" s="30">
        <f>SUM(K172:K181)</f>
        <v>4841355</v>
      </c>
      <c r="L171" s="30">
        <f>SUM(L172:L181)</f>
        <v>0</v>
      </c>
      <c r="M171" s="30">
        <f>SUM(M172:M181)</f>
        <v>4841355</v>
      </c>
      <c r="N171" s="31">
        <f>SUM(N172:N181)</f>
        <v>4784.3</v>
      </c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</row>
    <row r="172" spans="1:151" s="37" customFormat="1" ht="46.5" customHeight="1">
      <c r="A172" s="69"/>
      <c r="B172" s="70"/>
      <c r="C172" s="70"/>
      <c r="D172" s="49" t="s">
        <v>242</v>
      </c>
      <c r="E172" s="49" t="s">
        <v>242</v>
      </c>
      <c r="F172" s="1">
        <v>237104</v>
      </c>
      <c r="G172" s="2">
        <f t="shared" si="11"/>
        <v>237.1</v>
      </c>
      <c r="H172" s="85">
        <v>100</v>
      </c>
      <c r="I172" s="1">
        <v>237104</v>
      </c>
      <c r="J172" s="2">
        <f t="shared" si="12"/>
        <v>237.1</v>
      </c>
      <c r="K172" s="35">
        <v>221500</v>
      </c>
      <c r="L172" s="35"/>
      <c r="M172" s="35">
        <f t="shared" si="15"/>
        <v>221500</v>
      </c>
      <c r="N172" s="36">
        <f t="shared" si="13"/>
        <v>221.5</v>
      </c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  <c r="EN172" s="58"/>
      <c r="EO172" s="58"/>
      <c r="EP172" s="58"/>
      <c r="EQ172" s="58"/>
      <c r="ER172" s="58"/>
      <c r="ES172" s="58"/>
      <c r="ET172" s="58"/>
      <c r="EU172" s="58"/>
    </row>
    <row r="173" spans="1:151" s="37" customFormat="1" ht="24" customHeight="1">
      <c r="A173" s="69"/>
      <c r="B173" s="70"/>
      <c r="C173" s="70"/>
      <c r="D173" s="49" t="s">
        <v>289</v>
      </c>
      <c r="E173" s="49" t="s">
        <v>289</v>
      </c>
      <c r="F173" s="73"/>
      <c r="G173" s="2">
        <f t="shared" si="11"/>
        <v>0</v>
      </c>
      <c r="H173" s="67"/>
      <c r="I173" s="1"/>
      <c r="J173" s="2">
        <f t="shared" si="12"/>
        <v>0</v>
      </c>
      <c r="K173" s="35">
        <v>8500</v>
      </c>
      <c r="L173" s="35"/>
      <c r="M173" s="35">
        <f t="shared" si="15"/>
        <v>8500</v>
      </c>
      <c r="N173" s="36">
        <f t="shared" si="13"/>
        <v>8.5</v>
      </c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  <c r="EN173" s="58"/>
      <c r="EO173" s="58"/>
      <c r="EP173" s="58"/>
      <c r="EQ173" s="58"/>
      <c r="ER173" s="58"/>
      <c r="ES173" s="58"/>
      <c r="ET173" s="58"/>
      <c r="EU173" s="58"/>
    </row>
    <row r="174" spans="1:151" s="37" customFormat="1" ht="30" customHeight="1">
      <c r="A174" s="69"/>
      <c r="B174" s="70"/>
      <c r="C174" s="70"/>
      <c r="D174" s="72" t="s">
        <v>290</v>
      </c>
      <c r="E174" s="72" t="s">
        <v>290</v>
      </c>
      <c r="F174" s="73"/>
      <c r="G174" s="2">
        <f t="shared" si="11"/>
        <v>0</v>
      </c>
      <c r="H174" s="67"/>
      <c r="I174" s="1"/>
      <c r="J174" s="2">
        <f t="shared" si="12"/>
        <v>0</v>
      </c>
      <c r="K174" s="35">
        <v>8500</v>
      </c>
      <c r="L174" s="35"/>
      <c r="M174" s="35">
        <f t="shared" si="15"/>
        <v>8500</v>
      </c>
      <c r="N174" s="36">
        <f t="shared" si="13"/>
        <v>8.5</v>
      </c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  <c r="EN174" s="58"/>
      <c r="EO174" s="58"/>
      <c r="EP174" s="58"/>
      <c r="EQ174" s="58"/>
      <c r="ER174" s="58"/>
      <c r="ES174" s="58"/>
      <c r="ET174" s="58"/>
      <c r="EU174" s="58"/>
    </row>
    <row r="175" spans="1:14" s="71" customFormat="1" ht="27" customHeight="1">
      <c r="A175" s="70"/>
      <c r="B175" s="70"/>
      <c r="C175" s="70"/>
      <c r="D175" s="49" t="s">
        <v>155</v>
      </c>
      <c r="E175" s="49" t="s">
        <v>155</v>
      </c>
      <c r="F175" s="1">
        <v>5382485</v>
      </c>
      <c r="G175" s="2">
        <f t="shared" si="11"/>
        <v>5382.5</v>
      </c>
      <c r="H175" s="2">
        <v>59</v>
      </c>
      <c r="I175" s="1">
        <v>3175713</v>
      </c>
      <c r="J175" s="2">
        <f t="shared" si="12"/>
        <v>3175.7</v>
      </c>
      <c r="K175" s="35">
        <f>50000+603355</f>
        <v>653355</v>
      </c>
      <c r="L175" s="35"/>
      <c r="M175" s="35">
        <f t="shared" si="15"/>
        <v>653355</v>
      </c>
      <c r="N175" s="36">
        <f>ROUND(M175/1000,1)-0.1</f>
        <v>653.3</v>
      </c>
    </row>
    <row r="176" spans="1:14" s="71" customFormat="1" ht="27" customHeight="1">
      <c r="A176" s="70"/>
      <c r="B176" s="70"/>
      <c r="C176" s="70"/>
      <c r="D176" s="49" t="s">
        <v>321</v>
      </c>
      <c r="E176" s="49" t="s">
        <v>321</v>
      </c>
      <c r="F176" s="1"/>
      <c r="G176" s="2">
        <f t="shared" si="11"/>
        <v>0</v>
      </c>
      <c r="H176" s="2"/>
      <c r="I176" s="1"/>
      <c r="J176" s="2">
        <f t="shared" si="12"/>
        <v>0</v>
      </c>
      <c r="K176" s="35">
        <v>500000</v>
      </c>
      <c r="L176" s="35"/>
      <c r="M176" s="35">
        <f t="shared" si="15"/>
        <v>500000</v>
      </c>
      <c r="N176" s="36">
        <f t="shared" si="13"/>
        <v>500</v>
      </c>
    </row>
    <row r="177" spans="1:14" s="71" customFormat="1" ht="48" customHeight="1">
      <c r="A177" s="70"/>
      <c r="B177" s="70"/>
      <c r="C177" s="70"/>
      <c r="D177" s="72" t="s">
        <v>291</v>
      </c>
      <c r="E177" s="72" t="s">
        <v>291</v>
      </c>
      <c r="F177" s="1"/>
      <c r="G177" s="2">
        <f t="shared" si="11"/>
        <v>0</v>
      </c>
      <c r="H177" s="2"/>
      <c r="I177" s="1"/>
      <c r="J177" s="2">
        <f t="shared" si="12"/>
        <v>0</v>
      </c>
      <c r="K177" s="35">
        <v>100000</v>
      </c>
      <c r="L177" s="35"/>
      <c r="M177" s="35">
        <f t="shared" si="15"/>
        <v>100000</v>
      </c>
      <c r="N177" s="36">
        <f t="shared" si="13"/>
        <v>100</v>
      </c>
    </row>
    <row r="178" spans="1:14" s="71" customFormat="1" ht="34.5" customHeight="1">
      <c r="A178" s="70"/>
      <c r="B178" s="70"/>
      <c r="C178" s="70"/>
      <c r="D178" s="72" t="s">
        <v>292</v>
      </c>
      <c r="E178" s="72" t="s">
        <v>292</v>
      </c>
      <c r="F178" s="1"/>
      <c r="G178" s="2">
        <f t="shared" si="11"/>
        <v>0</v>
      </c>
      <c r="H178" s="2"/>
      <c r="I178" s="1"/>
      <c r="J178" s="2">
        <f t="shared" si="12"/>
        <v>0</v>
      </c>
      <c r="K178" s="35">
        <v>8500</v>
      </c>
      <c r="L178" s="35"/>
      <c r="M178" s="35">
        <f t="shared" si="15"/>
        <v>8500</v>
      </c>
      <c r="N178" s="36">
        <f t="shared" si="13"/>
        <v>8.5</v>
      </c>
    </row>
    <row r="179" spans="1:14" s="71" customFormat="1" ht="51" customHeight="1">
      <c r="A179" s="70"/>
      <c r="B179" s="70"/>
      <c r="C179" s="70"/>
      <c r="D179" s="52" t="s">
        <v>156</v>
      </c>
      <c r="E179" s="52" t="s">
        <v>156</v>
      </c>
      <c r="F179" s="84"/>
      <c r="G179" s="2">
        <f t="shared" si="11"/>
        <v>0</v>
      </c>
      <c r="H179" s="2"/>
      <c r="I179" s="1"/>
      <c r="J179" s="2">
        <f t="shared" si="12"/>
        <v>0</v>
      </c>
      <c r="K179" s="35">
        <v>500000</v>
      </c>
      <c r="L179" s="35"/>
      <c r="M179" s="35">
        <f t="shared" si="15"/>
        <v>500000</v>
      </c>
      <c r="N179" s="36">
        <f t="shared" si="13"/>
        <v>500</v>
      </c>
    </row>
    <row r="180" spans="1:14" s="71" customFormat="1" ht="52.5" customHeight="1">
      <c r="A180" s="70"/>
      <c r="B180" s="70"/>
      <c r="C180" s="70"/>
      <c r="D180" s="52" t="s">
        <v>157</v>
      </c>
      <c r="E180" s="52" t="s">
        <v>157</v>
      </c>
      <c r="F180" s="1">
        <v>1388402</v>
      </c>
      <c r="G180" s="2">
        <f t="shared" si="11"/>
        <v>1388.4</v>
      </c>
      <c r="H180" s="2">
        <v>97.1</v>
      </c>
      <c r="I180" s="1">
        <v>1348369</v>
      </c>
      <c r="J180" s="2">
        <f t="shared" si="12"/>
        <v>1348.4</v>
      </c>
      <c r="K180" s="35">
        <f>986000+400000</f>
        <v>1386000</v>
      </c>
      <c r="L180" s="35"/>
      <c r="M180" s="35">
        <f t="shared" si="15"/>
        <v>1386000</v>
      </c>
      <c r="N180" s="36">
        <f>ROUND(M180/1000,1)-57</f>
        <v>1329</v>
      </c>
    </row>
    <row r="181" spans="1:14" s="71" customFormat="1" ht="54.75" customHeight="1">
      <c r="A181" s="70"/>
      <c r="B181" s="70"/>
      <c r="C181" s="70"/>
      <c r="D181" s="52" t="s">
        <v>158</v>
      </c>
      <c r="E181" s="52" t="s">
        <v>158</v>
      </c>
      <c r="F181" s="1">
        <v>1479061</v>
      </c>
      <c r="G181" s="2">
        <f t="shared" si="11"/>
        <v>1479.1</v>
      </c>
      <c r="H181" s="2">
        <v>98.39</v>
      </c>
      <c r="I181" s="1">
        <v>1455282</v>
      </c>
      <c r="J181" s="2">
        <f t="shared" si="12"/>
        <v>1455.3</v>
      </c>
      <c r="K181" s="35">
        <v>1455000</v>
      </c>
      <c r="L181" s="35"/>
      <c r="M181" s="35">
        <f t="shared" si="15"/>
        <v>1455000</v>
      </c>
      <c r="N181" s="36">
        <f t="shared" si="13"/>
        <v>1455</v>
      </c>
    </row>
    <row r="182" spans="1:14" s="88" customFormat="1" ht="37.5" customHeight="1">
      <c r="A182" s="75">
        <v>1517322</v>
      </c>
      <c r="B182" s="39" t="s">
        <v>141</v>
      </c>
      <c r="C182" s="39" t="s">
        <v>52</v>
      </c>
      <c r="D182" s="76" t="s">
        <v>406</v>
      </c>
      <c r="E182" s="77"/>
      <c r="F182" s="86"/>
      <c r="G182" s="2">
        <f t="shared" si="11"/>
        <v>0</v>
      </c>
      <c r="H182" s="87"/>
      <c r="I182" s="1"/>
      <c r="J182" s="2">
        <f t="shared" si="12"/>
        <v>0</v>
      </c>
      <c r="K182" s="79">
        <f>K183+K185</f>
        <v>5759000</v>
      </c>
      <c r="L182" s="79">
        <f>L183+L185</f>
        <v>0</v>
      </c>
      <c r="M182" s="79">
        <f>M183+M185</f>
        <v>5759000</v>
      </c>
      <c r="N182" s="80">
        <f>N183+N185</f>
        <v>5572</v>
      </c>
    </row>
    <row r="183" spans="1:151" s="37" customFormat="1" ht="24" customHeight="1">
      <c r="A183" s="69"/>
      <c r="B183" s="70"/>
      <c r="C183" s="70"/>
      <c r="D183" s="83" t="s">
        <v>143</v>
      </c>
      <c r="E183" s="83" t="s">
        <v>143</v>
      </c>
      <c r="F183" s="73"/>
      <c r="G183" s="2">
        <f t="shared" si="11"/>
        <v>0</v>
      </c>
      <c r="H183" s="67"/>
      <c r="I183" s="1"/>
      <c r="J183" s="2">
        <f t="shared" si="12"/>
        <v>0</v>
      </c>
      <c r="K183" s="30">
        <f>K184</f>
        <v>500000</v>
      </c>
      <c r="L183" s="30">
        <f>L184</f>
        <v>0</v>
      </c>
      <c r="M183" s="30">
        <f>M184</f>
        <v>500000</v>
      </c>
      <c r="N183" s="31">
        <f>N184</f>
        <v>500</v>
      </c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</row>
    <row r="184" spans="1:14" s="71" customFormat="1" ht="40.5" customHeight="1">
      <c r="A184" s="23"/>
      <c r="B184" s="70"/>
      <c r="C184" s="70"/>
      <c r="D184" s="72" t="s">
        <v>249</v>
      </c>
      <c r="E184" s="72" t="s">
        <v>249</v>
      </c>
      <c r="F184" s="1"/>
      <c r="G184" s="2">
        <f t="shared" si="11"/>
        <v>0</v>
      </c>
      <c r="H184" s="2"/>
      <c r="I184" s="1"/>
      <c r="J184" s="2">
        <f t="shared" si="12"/>
        <v>0</v>
      </c>
      <c r="K184" s="35">
        <v>500000</v>
      </c>
      <c r="L184" s="35"/>
      <c r="M184" s="35">
        <f t="shared" si="15"/>
        <v>500000</v>
      </c>
      <c r="N184" s="36">
        <f t="shared" si="13"/>
        <v>500</v>
      </c>
    </row>
    <row r="185" spans="1:151" s="37" customFormat="1" ht="28.5" customHeight="1">
      <c r="A185" s="69"/>
      <c r="B185" s="70"/>
      <c r="C185" s="70"/>
      <c r="D185" s="3" t="s">
        <v>147</v>
      </c>
      <c r="E185" s="3" t="s">
        <v>147</v>
      </c>
      <c r="F185" s="73"/>
      <c r="G185" s="2">
        <f t="shared" si="11"/>
        <v>0</v>
      </c>
      <c r="H185" s="67"/>
      <c r="I185" s="1"/>
      <c r="J185" s="2">
        <f t="shared" si="12"/>
        <v>0</v>
      </c>
      <c r="K185" s="30">
        <f>SUM(K186:K189)</f>
        <v>5259000</v>
      </c>
      <c r="L185" s="30">
        <f>SUM(L186:L189)</f>
        <v>0</v>
      </c>
      <c r="M185" s="30">
        <f>SUM(M186:M189)</f>
        <v>5259000</v>
      </c>
      <c r="N185" s="31">
        <f>SUM(N186:N189)</f>
        <v>5072</v>
      </c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  <c r="EN185" s="58"/>
      <c r="EO185" s="58"/>
      <c r="EP185" s="58"/>
      <c r="EQ185" s="58"/>
      <c r="ER185" s="58"/>
      <c r="ES185" s="58"/>
      <c r="ET185" s="58"/>
      <c r="EU185" s="58"/>
    </row>
    <row r="186" spans="1:14" s="71" customFormat="1" ht="34.5" customHeight="1">
      <c r="A186" s="23"/>
      <c r="B186" s="70"/>
      <c r="C186" s="70"/>
      <c r="D186" s="72" t="s">
        <v>180</v>
      </c>
      <c r="E186" s="72" t="s">
        <v>180</v>
      </c>
      <c r="F186" s="89">
        <v>16272770</v>
      </c>
      <c r="G186" s="2">
        <f t="shared" si="11"/>
        <v>16272.8</v>
      </c>
      <c r="H186" s="90">
        <v>98.66</v>
      </c>
      <c r="I186" s="1">
        <v>16054529</v>
      </c>
      <c r="J186" s="2">
        <f t="shared" si="12"/>
        <v>16054.5</v>
      </c>
      <c r="K186" s="35">
        <f>2000000+300000</f>
        <v>2300000</v>
      </c>
      <c r="L186" s="35"/>
      <c r="M186" s="35">
        <f t="shared" si="15"/>
        <v>2300000</v>
      </c>
      <c r="N186" s="36">
        <f t="shared" si="13"/>
        <v>2300</v>
      </c>
    </row>
    <row r="187" spans="1:14" s="71" customFormat="1" ht="33" customHeight="1">
      <c r="A187" s="23"/>
      <c r="B187" s="70"/>
      <c r="C187" s="70"/>
      <c r="D187" s="34" t="s">
        <v>159</v>
      </c>
      <c r="E187" s="34" t="s">
        <v>159</v>
      </c>
      <c r="F187" s="89"/>
      <c r="G187" s="2">
        <f t="shared" si="11"/>
        <v>0</v>
      </c>
      <c r="H187" s="91"/>
      <c r="I187" s="1"/>
      <c r="J187" s="2">
        <f t="shared" si="12"/>
        <v>0</v>
      </c>
      <c r="K187" s="35">
        <f>1000000-741000</f>
        <v>259000</v>
      </c>
      <c r="L187" s="35"/>
      <c r="M187" s="35">
        <f t="shared" si="15"/>
        <v>259000</v>
      </c>
      <c r="N187" s="36">
        <f>ROUND(M187/1000,1)-150</f>
        <v>109</v>
      </c>
    </row>
    <row r="188" spans="1:14" s="71" customFormat="1" ht="35.25" customHeight="1">
      <c r="A188" s="23"/>
      <c r="B188" s="70"/>
      <c r="C188" s="70"/>
      <c r="D188" s="34" t="s">
        <v>160</v>
      </c>
      <c r="E188" s="34" t="s">
        <v>160</v>
      </c>
      <c r="F188" s="89">
        <v>1591924</v>
      </c>
      <c r="G188" s="2">
        <f t="shared" si="11"/>
        <v>1591.9</v>
      </c>
      <c r="H188" s="90">
        <v>100</v>
      </c>
      <c r="I188" s="1">
        <v>1591924</v>
      </c>
      <c r="J188" s="2">
        <f t="shared" si="12"/>
        <v>1591.9</v>
      </c>
      <c r="K188" s="35">
        <f>1000000+350000</f>
        <v>1350000</v>
      </c>
      <c r="L188" s="35"/>
      <c r="M188" s="35">
        <f t="shared" si="15"/>
        <v>1350000</v>
      </c>
      <c r="N188" s="36">
        <f t="shared" si="13"/>
        <v>1350</v>
      </c>
    </row>
    <row r="189" spans="1:151" s="24" customFormat="1" ht="44.25" customHeight="1">
      <c r="A189" s="23"/>
      <c r="B189" s="70"/>
      <c r="C189" s="70"/>
      <c r="D189" s="52" t="s">
        <v>181</v>
      </c>
      <c r="E189" s="52" t="s">
        <v>181</v>
      </c>
      <c r="F189" s="74"/>
      <c r="G189" s="2">
        <f t="shared" si="11"/>
        <v>0</v>
      </c>
      <c r="H189" s="2"/>
      <c r="I189" s="1"/>
      <c r="J189" s="2">
        <f t="shared" si="12"/>
        <v>0</v>
      </c>
      <c r="K189" s="35">
        <f>1000000+350000</f>
        <v>1350000</v>
      </c>
      <c r="L189" s="35"/>
      <c r="M189" s="35">
        <f t="shared" si="15"/>
        <v>1350000</v>
      </c>
      <c r="N189" s="36">
        <f>ROUND(M189/1000,1)-37</f>
        <v>1313</v>
      </c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  <c r="DZ189" s="71"/>
      <c r="EA189" s="71"/>
      <c r="EB189" s="71"/>
      <c r="EC189" s="71"/>
      <c r="ED189" s="71"/>
      <c r="EE189" s="71"/>
      <c r="EF189" s="71"/>
      <c r="EG189" s="71"/>
      <c r="EH189" s="71"/>
      <c r="EI189" s="71"/>
      <c r="EJ189" s="71"/>
      <c r="EK189" s="71"/>
      <c r="EL189" s="71"/>
      <c r="EM189" s="71"/>
      <c r="EN189" s="71"/>
      <c r="EO189" s="71"/>
      <c r="EP189" s="71"/>
      <c r="EQ189" s="71"/>
      <c r="ER189" s="71"/>
      <c r="ES189" s="71"/>
      <c r="ET189" s="71"/>
      <c r="EU189" s="71"/>
    </row>
    <row r="190" spans="1:151" s="93" customFormat="1" ht="41.25" customHeight="1">
      <c r="A190" s="75">
        <v>1517325</v>
      </c>
      <c r="B190" s="39" t="s">
        <v>142</v>
      </c>
      <c r="C190" s="39" t="s">
        <v>52</v>
      </c>
      <c r="D190" s="76" t="s">
        <v>407</v>
      </c>
      <c r="E190" s="145"/>
      <c r="F190" s="92"/>
      <c r="G190" s="2">
        <f t="shared" si="11"/>
        <v>0</v>
      </c>
      <c r="H190" s="87"/>
      <c r="I190" s="1"/>
      <c r="J190" s="2">
        <f t="shared" si="12"/>
        <v>0</v>
      </c>
      <c r="K190" s="79">
        <f>K191</f>
        <v>8500000</v>
      </c>
      <c r="L190" s="79">
        <f>L191</f>
        <v>0</v>
      </c>
      <c r="M190" s="79">
        <f>M191</f>
        <v>8500000</v>
      </c>
      <c r="N190" s="80">
        <f>N191</f>
        <v>8375</v>
      </c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  <c r="BZ190" s="88"/>
      <c r="CA190" s="88"/>
      <c r="CB190" s="88"/>
      <c r="CC190" s="88"/>
      <c r="CD190" s="88"/>
      <c r="CE190" s="88"/>
      <c r="CF190" s="88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  <c r="CU190" s="88"/>
      <c r="CV190" s="88"/>
      <c r="CW190" s="88"/>
      <c r="CX190" s="88"/>
      <c r="CY190" s="88"/>
      <c r="CZ190" s="88"/>
      <c r="DA190" s="88"/>
      <c r="DB190" s="88"/>
      <c r="DC190" s="88"/>
      <c r="DD190" s="88"/>
      <c r="DE190" s="88"/>
      <c r="DF190" s="88"/>
      <c r="DG190" s="88"/>
      <c r="DH190" s="88"/>
      <c r="DI190" s="88"/>
      <c r="DJ190" s="88"/>
      <c r="DK190" s="88"/>
      <c r="DL190" s="88"/>
      <c r="DM190" s="88"/>
      <c r="DN190" s="88"/>
      <c r="DO190" s="88"/>
      <c r="DP190" s="88"/>
      <c r="DQ190" s="88"/>
      <c r="DR190" s="88"/>
      <c r="DS190" s="88"/>
      <c r="DT190" s="88"/>
      <c r="DU190" s="88"/>
      <c r="DV190" s="88"/>
      <c r="DW190" s="88"/>
      <c r="DX190" s="88"/>
      <c r="DY190" s="88"/>
      <c r="DZ190" s="88"/>
      <c r="EA190" s="88"/>
      <c r="EB190" s="88"/>
      <c r="EC190" s="88"/>
      <c r="ED190" s="88"/>
      <c r="EE190" s="88"/>
      <c r="EF190" s="88"/>
      <c r="EG190" s="88"/>
      <c r="EH190" s="88"/>
      <c r="EI190" s="88"/>
      <c r="EJ190" s="88"/>
      <c r="EK190" s="88"/>
      <c r="EL190" s="88"/>
      <c r="EM190" s="88"/>
      <c r="EN190" s="88"/>
      <c r="EO190" s="88"/>
      <c r="EP190" s="88"/>
      <c r="EQ190" s="88"/>
      <c r="ER190" s="88"/>
      <c r="ES190" s="88"/>
      <c r="ET190" s="88"/>
      <c r="EU190" s="88"/>
    </row>
    <row r="191" spans="1:151" s="37" customFormat="1" ht="34.5" customHeight="1">
      <c r="A191" s="69"/>
      <c r="B191" s="70"/>
      <c r="C191" s="70"/>
      <c r="D191" s="3" t="s">
        <v>147</v>
      </c>
      <c r="E191" s="3" t="s">
        <v>147</v>
      </c>
      <c r="F191" s="73"/>
      <c r="G191" s="2">
        <f t="shared" si="11"/>
        <v>0</v>
      </c>
      <c r="H191" s="67"/>
      <c r="I191" s="1"/>
      <c r="J191" s="2">
        <f t="shared" si="12"/>
        <v>0</v>
      </c>
      <c r="K191" s="30">
        <f>SUM(K192:K194)</f>
        <v>8500000</v>
      </c>
      <c r="L191" s="30">
        <f>SUM(L192:L194)</f>
        <v>0</v>
      </c>
      <c r="M191" s="30">
        <f>SUM(M192:M194)</f>
        <v>8500000</v>
      </c>
      <c r="N191" s="31">
        <f>SUM(N192:N194)</f>
        <v>8375</v>
      </c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  <c r="EN191" s="58"/>
      <c r="EO191" s="58"/>
      <c r="EP191" s="58"/>
      <c r="EQ191" s="58"/>
      <c r="ER191" s="58"/>
      <c r="ES191" s="58"/>
      <c r="ET191" s="58"/>
      <c r="EU191" s="58"/>
    </row>
    <row r="192" spans="1:14" s="71" customFormat="1" ht="32.25" customHeight="1">
      <c r="A192" s="70"/>
      <c r="B192" s="70"/>
      <c r="C192" s="70"/>
      <c r="D192" s="72" t="s">
        <v>161</v>
      </c>
      <c r="E192" s="72" t="s">
        <v>161</v>
      </c>
      <c r="F192" s="1">
        <v>8134171</v>
      </c>
      <c r="G192" s="2">
        <f t="shared" si="11"/>
        <v>8134.2</v>
      </c>
      <c r="H192" s="2">
        <v>36</v>
      </c>
      <c r="I192" s="1">
        <v>2927689</v>
      </c>
      <c r="J192" s="2">
        <f t="shared" si="12"/>
        <v>2927.7</v>
      </c>
      <c r="K192" s="35">
        <v>2000000</v>
      </c>
      <c r="L192" s="35"/>
      <c r="M192" s="35">
        <f t="shared" si="15"/>
        <v>2000000</v>
      </c>
      <c r="N192" s="36">
        <f>ROUND(M192/1000,1)-125</f>
        <v>1875</v>
      </c>
    </row>
    <row r="193" spans="1:14" s="71" customFormat="1" ht="31.5" customHeight="1">
      <c r="A193" s="70"/>
      <c r="B193" s="70"/>
      <c r="C193" s="70"/>
      <c r="D193" s="72" t="s">
        <v>162</v>
      </c>
      <c r="E193" s="72" t="s">
        <v>162</v>
      </c>
      <c r="F193" s="84">
        <v>33898627</v>
      </c>
      <c r="G193" s="2">
        <f t="shared" si="11"/>
        <v>33898.6</v>
      </c>
      <c r="H193" s="2">
        <v>64.8</v>
      </c>
      <c r="I193" s="1">
        <v>21964382</v>
      </c>
      <c r="J193" s="2">
        <f t="shared" si="12"/>
        <v>21964.4</v>
      </c>
      <c r="K193" s="35">
        <v>4000000</v>
      </c>
      <c r="L193" s="35"/>
      <c r="M193" s="35">
        <f t="shared" si="15"/>
        <v>4000000</v>
      </c>
      <c r="N193" s="36">
        <f t="shared" si="13"/>
        <v>4000</v>
      </c>
    </row>
    <row r="194" spans="1:14" s="71" customFormat="1" ht="39.75" customHeight="1">
      <c r="A194" s="70"/>
      <c r="B194" s="70"/>
      <c r="C194" s="70"/>
      <c r="D194" s="72" t="s">
        <v>182</v>
      </c>
      <c r="E194" s="72" t="s">
        <v>182</v>
      </c>
      <c r="F194" s="1">
        <v>3821803</v>
      </c>
      <c r="G194" s="2">
        <f t="shared" si="11"/>
        <v>3821.8</v>
      </c>
      <c r="H194" s="2">
        <v>97.6</v>
      </c>
      <c r="I194" s="1">
        <v>3729106</v>
      </c>
      <c r="J194" s="2">
        <f t="shared" si="12"/>
        <v>3729.1</v>
      </c>
      <c r="K194" s="35">
        <v>2500000</v>
      </c>
      <c r="L194" s="35"/>
      <c r="M194" s="35">
        <f t="shared" si="15"/>
        <v>2500000</v>
      </c>
      <c r="N194" s="36">
        <f t="shared" si="13"/>
        <v>2500</v>
      </c>
    </row>
    <row r="195" spans="1:151" s="24" customFormat="1" ht="55.5" customHeight="1">
      <c r="A195" s="23">
        <v>1517330</v>
      </c>
      <c r="B195" s="33" t="s">
        <v>138</v>
      </c>
      <c r="C195" s="33" t="s">
        <v>52</v>
      </c>
      <c r="D195" s="63" t="s">
        <v>398</v>
      </c>
      <c r="E195" s="64"/>
      <c r="F195" s="74"/>
      <c r="G195" s="2">
        <f t="shared" si="11"/>
        <v>0</v>
      </c>
      <c r="H195" s="2"/>
      <c r="I195" s="1"/>
      <c r="J195" s="2">
        <f t="shared" si="12"/>
        <v>0</v>
      </c>
      <c r="K195" s="30">
        <f>K196+K225</f>
        <v>38877041</v>
      </c>
      <c r="L195" s="30">
        <f>L196+L225</f>
        <v>229845</v>
      </c>
      <c r="M195" s="30">
        <f>M196+M225</f>
        <v>39106886</v>
      </c>
      <c r="N195" s="31">
        <f>N196+N225</f>
        <v>42104.5</v>
      </c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71"/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71"/>
      <c r="CP195" s="71"/>
      <c r="CQ195" s="71"/>
      <c r="CR195" s="71"/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  <c r="DL195" s="71"/>
      <c r="DM195" s="71"/>
      <c r="DN195" s="71"/>
      <c r="DO195" s="71"/>
      <c r="DP195" s="71"/>
      <c r="DQ195" s="71"/>
      <c r="DR195" s="71"/>
      <c r="DS195" s="71"/>
      <c r="DT195" s="71"/>
      <c r="DU195" s="71"/>
      <c r="DV195" s="71"/>
      <c r="DW195" s="71"/>
      <c r="DX195" s="71"/>
      <c r="DY195" s="71"/>
      <c r="DZ195" s="71"/>
      <c r="EA195" s="71"/>
      <c r="EB195" s="71"/>
      <c r="EC195" s="71"/>
      <c r="ED195" s="71"/>
      <c r="EE195" s="71"/>
      <c r="EF195" s="71"/>
      <c r="EG195" s="71"/>
      <c r="EH195" s="71"/>
      <c r="EI195" s="71"/>
      <c r="EJ195" s="71"/>
      <c r="EK195" s="71"/>
      <c r="EL195" s="71"/>
      <c r="EM195" s="71"/>
      <c r="EN195" s="71"/>
      <c r="EO195" s="71"/>
      <c r="EP195" s="71"/>
      <c r="EQ195" s="71"/>
      <c r="ER195" s="71"/>
      <c r="ES195" s="71"/>
      <c r="ET195" s="71"/>
      <c r="EU195" s="71"/>
    </row>
    <row r="196" spans="1:151" s="24" customFormat="1" ht="29.25" customHeight="1">
      <c r="A196" s="94"/>
      <c r="B196" s="70"/>
      <c r="C196" s="70"/>
      <c r="D196" s="83" t="s">
        <v>143</v>
      </c>
      <c r="E196" s="83" t="s">
        <v>143</v>
      </c>
      <c r="F196" s="73"/>
      <c r="G196" s="2">
        <f t="shared" si="11"/>
        <v>0</v>
      </c>
      <c r="H196" s="95"/>
      <c r="I196" s="1"/>
      <c r="J196" s="2">
        <f t="shared" si="12"/>
        <v>0</v>
      </c>
      <c r="K196" s="30">
        <f>SUM(K197:K224)</f>
        <v>16086541</v>
      </c>
      <c r="L196" s="30">
        <f>SUM(L197:L224)</f>
        <v>229845</v>
      </c>
      <c r="M196" s="30">
        <f>SUM(M197:M224)</f>
        <v>16316386</v>
      </c>
      <c r="N196" s="31">
        <f>SUM(N197:N224)</f>
        <v>19831.399999999998</v>
      </c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1"/>
      <c r="DS196" s="71"/>
      <c r="DT196" s="71"/>
      <c r="DU196" s="71"/>
      <c r="DV196" s="71"/>
      <c r="DW196" s="71"/>
      <c r="DX196" s="71"/>
      <c r="DY196" s="71"/>
      <c r="DZ196" s="71"/>
      <c r="EA196" s="71"/>
      <c r="EB196" s="71"/>
      <c r="EC196" s="71"/>
      <c r="ED196" s="71"/>
      <c r="EE196" s="71"/>
      <c r="EF196" s="71"/>
      <c r="EG196" s="71"/>
      <c r="EH196" s="71"/>
      <c r="EI196" s="71"/>
      <c r="EJ196" s="71"/>
      <c r="EK196" s="71"/>
      <c r="EL196" s="71"/>
      <c r="EM196" s="71"/>
      <c r="EN196" s="71"/>
      <c r="EO196" s="71"/>
      <c r="EP196" s="71"/>
      <c r="EQ196" s="71"/>
      <c r="ER196" s="71"/>
      <c r="ES196" s="71"/>
      <c r="ET196" s="71"/>
      <c r="EU196" s="71"/>
    </row>
    <row r="197" spans="1:151" s="24" customFormat="1" ht="36" customHeight="1">
      <c r="A197" s="94"/>
      <c r="B197" s="70"/>
      <c r="C197" s="70"/>
      <c r="D197" s="34" t="s">
        <v>359</v>
      </c>
      <c r="E197" s="34" t="s">
        <v>359</v>
      </c>
      <c r="F197" s="73"/>
      <c r="G197" s="2">
        <f t="shared" si="11"/>
        <v>0</v>
      </c>
      <c r="H197" s="95"/>
      <c r="I197" s="1"/>
      <c r="J197" s="2">
        <f t="shared" si="12"/>
        <v>0</v>
      </c>
      <c r="K197" s="35">
        <v>500000</v>
      </c>
      <c r="L197" s="35"/>
      <c r="M197" s="35">
        <f t="shared" si="15"/>
        <v>500000</v>
      </c>
      <c r="N197" s="36">
        <f t="shared" si="13"/>
        <v>500</v>
      </c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71"/>
      <c r="DW197" s="71"/>
      <c r="DX197" s="71"/>
      <c r="DY197" s="71"/>
      <c r="DZ197" s="71"/>
      <c r="EA197" s="71"/>
      <c r="EB197" s="71"/>
      <c r="EC197" s="71"/>
      <c r="ED197" s="71"/>
      <c r="EE197" s="71"/>
      <c r="EF197" s="71"/>
      <c r="EG197" s="71"/>
      <c r="EH197" s="71"/>
      <c r="EI197" s="71"/>
      <c r="EJ197" s="71"/>
      <c r="EK197" s="71"/>
      <c r="EL197" s="71"/>
      <c r="EM197" s="71"/>
      <c r="EN197" s="71"/>
      <c r="EO197" s="71"/>
      <c r="EP197" s="71"/>
      <c r="EQ197" s="71"/>
      <c r="ER197" s="71"/>
      <c r="ES197" s="71"/>
      <c r="ET197" s="71"/>
      <c r="EU197" s="71"/>
    </row>
    <row r="198" spans="1:151" s="24" customFormat="1" ht="36.75" customHeight="1">
      <c r="A198" s="69"/>
      <c r="B198" s="69"/>
      <c r="C198" s="69"/>
      <c r="D198" s="72" t="s">
        <v>163</v>
      </c>
      <c r="E198" s="72" t="s">
        <v>163</v>
      </c>
      <c r="F198" s="84">
        <v>28556946</v>
      </c>
      <c r="G198" s="2">
        <f t="shared" si="11"/>
        <v>28556.9</v>
      </c>
      <c r="H198" s="96">
        <v>89.5</v>
      </c>
      <c r="I198" s="1">
        <v>25554164</v>
      </c>
      <c r="J198" s="2">
        <f t="shared" si="12"/>
        <v>25554.2</v>
      </c>
      <c r="K198" s="35">
        <v>3000000</v>
      </c>
      <c r="L198" s="35"/>
      <c r="M198" s="35">
        <f t="shared" si="15"/>
        <v>3000000</v>
      </c>
      <c r="N198" s="36">
        <f t="shared" si="13"/>
        <v>3000</v>
      </c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  <c r="EO198" s="71"/>
      <c r="EP198" s="71"/>
      <c r="EQ198" s="71"/>
      <c r="ER198" s="71"/>
      <c r="ES198" s="71"/>
      <c r="ET198" s="71"/>
      <c r="EU198" s="71"/>
    </row>
    <row r="199" spans="1:151" s="24" customFormat="1" ht="55.5" customHeight="1">
      <c r="A199" s="69"/>
      <c r="B199" s="69"/>
      <c r="C199" s="69"/>
      <c r="D199" s="52" t="s">
        <v>164</v>
      </c>
      <c r="E199" s="52" t="s">
        <v>164</v>
      </c>
      <c r="F199" s="1"/>
      <c r="G199" s="2">
        <f t="shared" si="11"/>
        <v>0</v>
      </c>
      <c r="H199" s="69"/>
      <c r="I199" s="1"/>
      <c r="J199" s="2">
        <f t="shared" si="12"/>
        <v>0</v>
      </c>
      <c r="K199" s="35">
        <f>2659000-1111500-448500-100000</f>
        <v>999000</v>
      </c>
      <c r="L199" s="35"/>
      <c r="M199" s="35">
        <f t="shared" si="15"/>
        <v>999000</v>
      </c>
      <c r="N199" s="36">
        <f>ROUND(M199/1000,1)-800-100</f>
        <v>99</v>
      </c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  <c r="DZ199" s="71"/>
      <c r="EA199" s="71"/>
      <c r="EB199" s="71"/>
      <c r="EC199" s="71"/>
      <c r="ED199" s="71"/>
      <c r="EE199" s="71"/>
      <c r="EF199" s="71"/>
      <c r="EG199" s="71"/>
      <c r="EH199" s="71"/>
      <c r="EI199" s="71"/>
      <c r="EJ199" s="71"/>
      <c r="EK199" s="71"/>
      <c r="EL199" s="71"/>
      <c r="EM199" s="71"/>
      <c r="EN199" s="71"/>
      <c r="EO199" s="71"/>
      <c r="EP199" s="71"/>
      <c r="EQ199" s="71"/>
      <c r="ER199" s="71"/>
      <c r="ES199" s="71"/>
      <c r="ET199" s="71"/>
      <c r="EU199" s="71"/>
    </row>
    <row r="200" spans="1:16" s="71" customFormat="1" ht="39.75" customHeight="1">
      <c r="A200" s="70"/>
      <c r="B200" s="70"/>
      <c r="C200" s="70"/>
      <c r="D200" s="52" t="s">
        <v>165</v>
      </c>
      <c r="E200" s="52" t="s">
        <v>165</v>
      </c>
      <c r="F200" s="1"/>
      <c r="G200" s="2">
        <f t="shared" si="11"/>
        <v>0</v>
      </c>
      <c r="H200" s="2"/>
      <c r="I200" s="1"/>
      <c r="J200" s="2">
        <f t="shared" si="12"/>
        <v>0</v>
      </c>
      <c r="K200" s="35">
        <v>5000000</v>
      </c>
      <c r="L200" s="35"/>
      <c r="M200" s="35">
        <f>L200+K200</f>
        <v>5000000</v>
      </c>
      <c r="N200" s="36">
        <f>ROUND(M200/1000,1)+4000</f>
        <v>9000</v>
      </c>
      <c r="P200" s="97"/>
    </row>
    <row r="201" spans="1:14" s="71" customFormat="1" ht="33" customHeight="1">
      <c r="A201" s="70"/>
      <c r="B201" s="70"/>
      <c r="C201" s="70"/>
      <c r="D201" s="72" t="s">
        <v>196</v>
      </c>
      <c r="E201" s="72" t="s">
        <v>196</v>
      </c>
      <c r="F201" s="1"/>
      <c r="G201" s="2">
        <f t="shared" si="11"/>
        <v>0</v>
      </c>
      <c r="H201" s="2"/>
      <c r="I201" s="1"/>
      <c r="J201" s="2">
        <f t="shared" si="12"/>
        <v>0</v>
      </c>
      <c r="K201" s="35">
        <v>870000</v>
      </c>
      <c r="L201" s="35"/>
      <c r="M201" s="35">
        <f t="shared" si="15"/>
        <v>870000</v>
      </c>
      <c r="N201" s="36">
        <f t="shared" si="13"/>
        <v>870</v>
      </c>
    </row>
    <row r="202" spans="1:14" s="71" customFormat="1" ht="33" customHeight="1">
      <c r="A202" s="70"/>
      <c r="B202" s="70"/>
      <c r="C202" s="70"/>
      <c r="D202" s="72" t="s">
        <v>425</v>
      </c>
      <c r="E202" s="72"/>
      <c r="F202" s="1"/>
      <c r="G202" s="2"/>
      <c r="H202" s="2"/>
      <c r="I202" s="1"/>
      <c r="J202" s="2"/>
      <c r="K202" s="35"/>
      <c r="L202" s="35"/>
      <c r="M202" s="35"/>
      <c r="N202" s="36">
        <v>155.8</v>
      </c>
    </row>
    <row r="203" spans="1:14" s="71" customFormat="1" ht="33" customHeight="1">
      <c r="A203" s="70"/>
      <c r="B203" s="70"/>
      <c r="C203" s="70"/>
      <c r="D203" s="72" t="s">
        <v>426</v>
      </c>
      <c r="E203" s="72"/>
      <c r="F203" s="1"/>
      <c r="G203" s="2"/>
      <c r="H203" s="2"/>
      <c r="I203" s="1"/>
      <c r="J203" s="2"/>
      <c r="K203" s="35"/>
      <c r="L203" s="35"/>
      <c r="M203" s="35"/>
      <c r="N203" s="36">
        <v>100</v>
      </c>
    </row>
    <row r="204" spans="1:14" s="71" customFormat="1" ht="57" customHeight="1">
      <c r="A204" s="70"/>
      <c r="B204" s="70"/>
      <c r="C204" s="70"/>
      <c r="D204" s="72" t="s">
        <v>424</v>
      </c>
      <c r="E204" s="72"/>
      <c r="F204" s="1"/>
      <c r="G204" s="2"/>
      <c r="H204" s="2"/>
      <c r="I204" s="1"/>
      <c r="J204" s="2"/>
      <c r="K204" s="35"/>
      <c r="L204" s="35"/>
      <c r="M204" s="35"/>
      <c r="N204" s="36">
        <v>100</v>
      </c>
    </row>
    <row r="205" spans="1:14" s="71" customFormat="1" ht="34.5" customHeight="1">
      <c r="A205" s="70"/>
      <c r="B205" s="70"/>
      <c r="C205" s="70"/>
      <c r="D205" s="52" t="s">
        <v>240</v>
      </c>
      <c r="E205" s="52" t="s">
        <v>240</v>
      </c>
      <c r="F205" s="1"/>
      <c r="G205" s="2">
        <f t="shared" si="11"/>
        <v>0</v>
      </c>
      <c r="H205" s="2"/>
      <c r="I205" s="1"/>
      <c r="J205" s="2">
        <f t="shared" si="12"/>
        <v>0</v>
      </c>
      <c r="K205" s="35">
        <v>100000</v>
      </c>
      <c r="L205" s="35"/>
      <c r="M205" s="35">
        <f t="shared" si="15"/>
        <v>100000</v>
      </c>
      <c r="N205" s="36">
        <f>ROUND(M205/1000,1)-5.7</f>
        <v>94.3</v>
      </c>
    </row>
    <row r="206" spans="1:14" s="71" customFormat="1" ht="41.25" customHeight="1">
      <c r="A206" s="70"/>
      <c r="B206" s="70"/>
      <c r="C206" s="70"/>
      <c r="D206" s="52" t="s">
        <v>248</v>
      </c>
      <c r="E206" s="52" t="s">
        <v>248</v>
      </c>
      <c r="F206" s="1"/>
      <c r="G206" s="2">
        <f t="shared" si="11"/>
        <v>0</v>
      </c>
      <c r="H206" s="2"/>
      <c r="I206" s="1"/>
      <c r="J206" s="2">
        <f t="shared" si="12"/>
        <v>0</v>
      </c>
      <c r="K206" s="35">
        <v>300000</v>
      </c>
      <c r="L206" s="35"/>
      <c r="M206" s="35">
        <f t="shared" si="15"/>
        <v>300000</v>
      </c>
      <c r="N206" s="36">
        <f>ROUND(M206/1000,1)-5.7</f>
        <v>294.3</v>
      </c>
    </row>
    <row r="207" spans="1:14" s="71" customFormat="1" ht="44.25" customHeight="1">
      <c r="A207" s="70"/>
      <c r="B207" s="70"/>
      <c r="C207" s="70"/>
      <c r="D207" s="52" t="s">
        <v>315</v>
      </c>
      <c r="E207" s="52" t="s">
        <v>315</v>
      </c>
      <c r="F207" s="1"/>
      <c r="G207" s="2">
        <f t="shared" si="11"/>
        <v>0</v>
      </c>
      <c r="H207" s="2"/>
      <c r="I207" s="1"/>
      <c r="J207" s="2">
        <f t="shared" si="12"/>
        <v>0</v>
      </c>
      <c r="K207" s="35">
        <v>70000</v>
      </c>
      <c r="L207" s="35"/>
      <c r="M207" s="35">
        <f t="shared" si="15"/>
        <v>70000</v>
      </c>
      <c r="N207" s="36">
        <f t="shared" si="13"/>
        <v>70</v>
      </c>
    </row>
    <row r="208" spans="1:14" s="71" customFormat="1" ht="60" customHeight="1">
      <c r="A208" s="70"/>
      <c r="B208" s="70"/>
      <c r="C208" s="70"/>
      <c r="D208" s="52" t="s">
        <v>314</v>
      </c>
      <c r="E208" s="52" t="s">
        <v>314</v>
      </c>
      <c r="F208" s="1"/>
      <c r="G208" s="2">
        <f t="shared" si="11"/>
        <v>0</v>
      </c>
      <c r="H208" s="2"/>
      <c r="I208" s="1"/>
      <c r="J208" s="2">
        <f t="shared" si="12"/>
        <v>0</v>
      </c>
      <c r="K208" s="35">
        <v>90000</v>
      </c>
      <c r="L208" s="35"/>
      <c r="M208" s="35">
        <f>L208+K208</f>
        <v>90000</v>
      </c>
      <c r="N208" s="36">
        <f t="shared" si="13"/>
        <v>90</v>
      </c>
    </row>
    <row r="209" spans="1:14" s="71" customFormat="1" ht="36.75" customHeight="1">
      <c r="A209" s="70"/>
      <c r="B209" s="70"/>
      <c r="C209" s="70"/>
      <c r="D209" s="52" t="s">
        <v>293</v>
      </c>
      <c r="E209" s="52" t="s">
        <v>293</v>
      </c>
      <c r="F209" s="1"/>
      <c r="G209" s="2">
        <f t="shared" si="11"/>
        <v>0</v>
      </c>
      <c r="H209" s="2"/>
      <c r="I209" s="1"/>
      <c r="J209" s="2">
        <f t="shared" si="12"/>
        <v>0</v>
      </c>
      <c r="K209" s="35">
        <v>50000</v>
      </c>
      <c r="L209" s="35"/>
      <c r="M209" s="35">
        <f t="shared" si="15"/>
        <v>50000</v>
      </c>
      <c r="N209" s="36">
        <f t="shared" si="13"/>
        <v>50</v>
      </c>
    </row>
    <row r="210" spans="1:14" s="71" customFormat="1" ht="41.25" customHeight="1">
      <c r="A210" s="70"/>
      <c r="B210" s="70"/>
      <c r="C210" s="70"/>
      <c r="D210" s="52" t="s">
        <v>294</v>
      </c>
      <c r="E210" s="52" t="s">
        <v>294</v>
      </c>
      <c r="F210" s="1"/>
      <c r="G210" s="2">
        <f t="shared" si="11"/>
        <v>0</v>
      </c>
      <c r="H210" s="2"/>
      <c r="I210" s="1"/>
      <c r="J210" s="2">
        <f t="shared" si="12"/>
        <v>0</v>
      </c>
      <c r="K210" s="35">
        <v>50000</v>
      </c>
      <c r="L210" s="35"/>
      <c r="M210" s="35">
        <f t="shared" si="15"/>
        <v>50000</v>
      </c>
      <c r="N210" s="36">
        <f t="shared" si="13"/>
        <v>50</v>
      </c>
    </row>
    <row r="211" spans="1:14" s="71" customFormat="1" ht="39.75" customHeight="1">
      <c r="A211" s="70"/>
      <c r="B211" s="70"/>
      <c r="C211" s="70"/>
      <c r="D211" s="52" t="s">
        <v>367</v>
      </c>
      <c r="E211" s="52" t="s">
        <v>367</v>
      </c>
      <c r="F211" s="1"/>
      <c r="G211" s="2">
        <f t="shared" si="11"/>
        <v>0</v>
      </c>
      <c r="H211" s="2"/>
      <c r="I211" s="1"/>
      <c r="J211" s="2">
        <f t="shared" si="12"/>
        <v>0</v>
      </c>
      <c r="K211" s="35"/>
      <c r="L211" s="35">
        <v>50000</v>
      </c>
      <c r="M211" s="35">
        <f t="shared" si="15"/>
        <v>50000</v>
      </c>
      <c r="N211" s="36">
        <f t="shared" si="13"/>
        <v>50</v>
      </c>
    </row>
    <row r="212" spans="1:14" s="71" customFormat="1" ht="41.25" customHeight="1">
      <c r="A212" s="70"/>
      <c r="B212" s="70"/>
      <c r="C212" s="70"/>
      <c r="D212" s="52" t="s">
        <v>366</v>
      </c>
      <c r="E212" s="52" t="s">
        <v>366</v>
      </c>
      <c r="F212" s="1"/>
      <c r="G212" s="2">
        <f t="shared" si="11"/>
        <v>0</v>
      </c>
      <c r="H212" s="2"/>
      <c r="I212" s="1"/>
      <c r="J212" s="2">
        <f t="shared" si="12"/>
        <v>0</v>
      </c>
      <c r="K212" s="35"/>
      <c r="L212" s="35">
        <v>75000</v>
      </c>
      <c r="M212" s="35">
        <f t="shared" si="15"/>
        <v>75000</v>
      </c>
      <c r="N212" s="36">
        <f>ROUND(M212/1000,1)+75</f>
        <v>150</v>
      </c>
    </row>
    <row r="213" spans="1:14" s="71" customFormat="1" ht="31.5" customHeight="1">
      <c r="A213" s="70"/>
      <c r="B213" s="70"/>
      <c r="C213" s="70"/>
      <c r="D213" s="72" t="s">
        <v>408</v>
      </c>
      <c r="E213" s="72" t="s">
        <v>365</v>
      </c>
      <c r="F213" s="1"/>
      <c r="G213" s="2">
        <f t="shared" si="11"/>
        <v>0</v>
      </c>
      <c r="H213" s="2"/>
      <c r="I213" s="1"/>
      <c r="J213" s="2">
        <f t="shared" si="12"/>
        <v>0</v>
      </c>
      <c r="K213" s="35"/>
      <c r="L213" s="35">
        <f>102445+2400</f>
        <v>104845</v>
      </c>
      <c r="M213" s="35">
        <f t="shared" si="15"/>
        <v>104845</v>
      </c>
      <c r="N213" s="36">
        <f t="shared" si="13"/>
        <v>104.8</v>
      </c>
    </row>
    <row r="214" spans="1:14" s="71" customFormat="1" ht="34.5" customHeight="1">
      <c r="A214" s="70"/>
      <c r="B214" s="70"/>
      <c r="C214" s="70"/>
      <c r="D214" s="72" t="s">
        <v>409</v>
      </c>
      <c r="E214" s="72" t="s">
        <v>295</v>
      </c>
      <c r="F214" s="1"/>
      <c r="G214" s="2">
        <f t="shared" si="11"/>
        <v>0</v>
      </c>
      <c r="H214" s="2"/>
      <c r="I214" s="1"/>
      <c r="J214" s="2">
        <f t="shared" si="12"/>
        <v>0</v>
      </c>
      <c r="K214" s="35">
        <v>61400</v>
      </c>
      <c r="L214" s="35"/>
      <c r="M214" s="35">
        <f t="shared" si="15"/>
        <v>61400</v>
      </c>
      <c r="N214" s="36">
        <f t="shared" si="13"/>
        <v>61.4</v>
      </c>
    </row>
    <row r="215" spans="1:14" s="71" customFormat="1" ht="40.5" customHeight="1">
      <c r="A215" s="70"/>
      <c r="B215" s="70"/>
      <c r="C215" s="70"/>
      <c r="D215" s="72" t="s">
        <v>410</v>
      </c>
      <c r="E215" s="72" t="s">
        <v>296</v>
      </c>
      <c r="F215" s="1"/>
      <c r="G215" s="2">
        <f t="shared" si="11"/>
        <v>0</v>
      </c>
      <c r="H215" s="2"/>
      <c r="I215" s="1"/>
      <c r="J215" s="2">
        <f t="shared" si="12"/>
        <v>0</v>
      </c>
      <c r="K215" s="35">
        <v>71000</v>
      </c>
      <c r="L215" s="35"/>
      <c r="M215" s="35">
        <f t="shared" si="15"/>
        <v>71000</v>
      </c>
      <c r="N215" s="36">
        <f>ROUND(M215/1000,1)-2.8</f>
        <v>68.2</v>
      </c>
    </row>
    <row r="216" spans="1:14" s="71" customFormat="1" ht="27.75" customHeight="1">
      <c r="A216" s="70"/>
      <c r="B216" s="70"/>
      <c r="C216" s="70"/>
      <c r="D216" s="72" t="s">
        <v>316</v>
      </c>
      <c r="E216" s="72" t="s">
        <v>316</v>
      </c>
      <c r="F216" s="1"/>
      <c r="G216" s="2">
        <f t="shared" si="11"/>
        <v>0</v>
      </c>
      <c r="H216" s="2"/>
      <c r="I216" s="1"/>
      <c r="J216" s="2">
        <f t="shared" si="12"/>
        <v>0</v>
      </c>
      <c r="K216" s="35">
        <f>55000+100000</f>
        <v>155000</v>
      </c>
      <c r="L216" s="35"/>
      <c r="M216" s="35">
        <f t="shared" si="15"/>
        <v>155000</v>
      </c>
      <c r="N216" s="36">
        <f>ROUND(M216/1000,1)-1.6</f>
        <v>153.4</v>
      </c>
    </row>
    <row r="217" spans="1:14" s="71" customFormat="1" ht="45.75" customHeight="1">
      <c r="A217" s="70"/>
      <c r="B217" s="70"/>
      <c r="C217" s="70"/>
      <c r="D217" s="52" t="s">
        <v>232</v>
      </c>
      <c r="E217" s="52" t="s">
        <v>232</v>
      </c>
      <c r="F217" s="1"/>
      <c r="G217" s="2">
        <f aca="true" t="shared" si="16" ref="G217:G267">ROUND(F217/1000,1)</f>
        <v>0</v>
      </c>
      <c r="H217" s="2"/>
      <c r="I217" s="1"/>
      <c r="J217" s="2">
        <f aca="true" t="shared" si="17" ref="J217:J267">ROUND(I217/1000,1)</f>
        <v>0</v>
      </c>
      <c r="K217" s="35">
        <v>998774</v>
      </c>
      <c r="L217" s="35"/>
      <c r="M217" s="35">
        <f t="shared" si="15"/>
        <v>998774</v>
      </c>
      <c r="N217" s="36">
        <f aca="true" t="shared" si="18" ref="N217:N263">ROUND(M217/1000,1)</f>
        <v>998.8</v>
      </c>
    </row>
    <row r="218" spans="1:14" s="71" customFormat="1" ht="27.75" customHeight="1">
      <c r="A218" s="70"/>
      <c r="B218" s="70"/>
      <c r="C218" s="70"/>
      <c r="D218" s="52" t="s">
        <v>233</v>
      </c>
      <c r="E218" s="52" t="s">
        <v>233</v>
      </c>
      <c r="F218" s="1"/>
      <c r="G218" s="2">
        <f t="shared" si="16"/>
        <v>0</v>
      </c>
      <c r="H218" s="2"/>
      <c r="I218" s="1"/>
      <c r="J218" s="2">
        <f t="shared" si="17"/>
        <v>0</v>
      </c>
      <c r="K218" s="35">
        <v>489680</v>
      </c>
      <c r="L218" s="35"/>
      <c r="M218" s="35">
        <f t="shared" si="15"/>
        <v>489680</v>
      </c>
      <c r="N218" s="36">
        <f t="shared" si="18"/>
        <v>489.7</v>
      </c>
    </row>
    <row r="219" spans="1:14" s="71" customFormat="1" ht="51.75" customHeight="1">
      <c r="A219" s="70"/>
      <c r="B219" s="70"/>
      <c r="C219" s="70"/>
      <c r="D219" s="52" t="s">
        <v>234</v>
      </c>
      <c r="E219" s="52" t="s">
        <v>234</v>
      </c>
      <c r="F219" s="1"/>
      <c r="G219" s="2">
        <f t="shared" si="16"/>
        <v>0</v>
      </c>
      <c r="H219" s="2"/>
      <c r="I219" s="1"/>
      <c r="J219" s="2">
        <f t="shared" si="17"/>
        <v>0</v>
      </c>
      <c r="K219" s="35">
        <v>498116</v>
      </c>
      <c r="L219" s="35"/>
      <c r="M219" s="35">
        <f t="shared" si="15"/>
        <v>498116</v>
      </c>
      <c r="N219" s="36">
        <f t="shared" si="18"/>
        <v>498.1</v>
      </c>
    </row>
    <row r="220" spans="1:14" s="71" customFormat="1" ht="41.25" customHeight="1">
      <c r="A220" s="70"/>
      <c r="B220" s="70"/>
      <c r="C220" s="70"/>
      <c r="D220" s="52" t="s">
        <v>235</v>
      </c>
      <c r="E220" s="52" t="s">
        <v>235</v>
      </c>
      <c r="F220" s="1"/>
      <c r="G220" s="2">
        <f t="shared" si="16"/>
        <v>0</v>
      </c>
      <c r="H220" s="2"/>
      <c r="I220" s="1"/>
      <c r="J220" s="2">
        <f t="shared" si="17"/>
        <v>0</v>
      </c>
      <c r="K220" s="35">
        <v>409160</v>
      </c>
      <c r="L220" s="35"/>
      <c r="M220" s="35">
        <f t="shared" si="15"/>
        <v>409160</v>
      </c>
      <c r="N220" s="36">
        <f t="shared" si="18"/>
        <v>409.2</v>
      </c>
    </row>
    <row r="221" spans="1:14" s="71" customFormat="1" ht="27.75" customHeight="1">
      <c r="A221" s="70"/>
      <c r="B221" s="70"/>
      <c r="C221" s="70"/>
      <c r="D221" s="52" t="s">
        <v>236</v>
      </c>
      <c r="E221" s="52" t="s">
        <v>236</v>
      </c>
      <c r="F221" s="1"/>
      <c r="G221" s="2">
        <f t="shared" si="16"/>
        <v>0</v>
      </c>
      <c r="H221" s="2"/>
      <c r="I221" s="1"/>
      <c r="J221" s="2">
        <f t="shared" si="17"/>
        <v>0</v>
      </c>
      <c r="K221" s="35">
        <v>998900</v>
      </c>
      <c r="L221" s="35"/>
      <c r="M221" s="35">
        <f t="shared" si="15"/>
        <v>998900</v>
      </c>
      <c r="N221" s="36">
        <f t="shared" si="18"/>
        <v>998.9</v>
      </c>
    </row>
    <row r="222" spans="1:14" s="71" customFormat="1" ht="20.25">
      <c r="A222" s="70"/>
      <c r="B222" s="70"/>
      <c r="C222" s="70"/>
      <c r="D222" s="52" t="s">
        <v>237</v>
      </c>
      <c r="E222" s="52" t="s">
        <v>237</v>
      </c>
      <c r="F222" s="1"/>
      <c r="G222" s="2">
        <f t="shared" si="16"/>
        <v>0</v>
      </c>
      <c r="H222" s="2"/>
      <c r="I222" s="1"/>
      <c r="J222" s="2">
        <f t="shared" si="17"/>
        <v>0</v>
      </c>
      <c r="K222" s="35">
        <v>482174</v>
      </c>
      <c r="L222" s="35"/>
      <c r="M222" s="35">
        <f t="shared" si="15"/>
        <v>482174</v>
      </c>
      <c r="N222" s="36">
        <f t="shared" si="18"/>
        <v>482.2</v>
      </c>
    </row>
    <row r="223" spans="1:14" s="71" customFormat="1" ht="39" customHeight="1">
      <c r="A223" s="70"/>
      <c r="B223" s="70"/>
      <c r="C223" s="70"/>
      <c r="D223" s="52" t="s">
        <v>238</v>
      </c>
      <c r="E223" s="52" t="s">
        <v>238</v>
      </c>
      <c r="F223" s="1"/>
      <c r="G223" s="2">
        <f t="shared" si="16"/>
        <v>0</v>
      </c>
      <c r="H223" s="2"/>
      <c r="I223" s="1"/>
      <c r="J223" s="2">
        <f t="shared" si="17"/>
        <v>0</v>
      </c>
      <c r="K223" s="35">
        <v>425207</v>
      </c>
      <c r="L223" s="35"/>
      <c r="M223" s="35">
        <f t="shared" si="15"/>
        <v>425207</v>
      </c>
      <c r="N223" s="36">
        <f t="shared" si="18"/>
        <v>425.2</v>
      </c>
    </row>
    <row r="224" spans="1:14" s="71" customFormat="1" ht="27.75" customHeight="1">
      <c r="A224" s="70"/>
      <c r="B224" s="70"/>
      <c r="C224" s="70"/>
      <c r="D224" s="52" t="s">
        <v>239</v>
      </c>
      <c r="E224" s="52" t="s">
        <v>239</v>
      </c>
      <c r="F224" s="1"/>
      <c r="G224" s="2">
        <f t="shared" si="16"/>
        <v>0</v>
      </c>
      <c r="H224" s="2"/>
      <c r="I224" s="1"/>
      <c r="J224" s="2">
        <f t="shared" si="17"/>
        <v>0</v>
      </c>
      <c r="K224" s="35">
        <v>468130</v>
      </c>
      <c r="L224" s="35"/>
      <c r="M224" s="35">
        <f t="shared" si="15"/>
        <v>468130</v>
      </c>
      <c r="N224" s="36">
        <f t="shared" si="18"/>
        <v>468.1</v>
      </c>
    </row>
    <row r="225" spans="1:14" s="71" customFormat="1" ht="30" customHeight="1">
      <c r="A225" s="70"/>
      <c r="B225" s="70"/>
      <c r="C225" s="70"/>
      <c r="D225" s="3" t="s">
        <v>147</v>
      </c>
      <c r="E225" s="3" t="s">
        <v>147</v>
      </c>
      <c r="F225" s="98"/>
      <c r="G225" s="2">
        <f t="shared" si="16"/>
        <v>0</v>
      </c>
      <c r="H225" s="98"/>
      <c r="I225" s="1"/>
      <c r="J225" s="2">
        <f t="shared" si="17"/>
        <v>0</v>
      </c>
      <c r="K225" s="99">
        <f>SUM(K226:K246)</f>
        <v>22790500</v>
      </c>
      <c r="L225" s="99">
        <f>SUM(L226:L246)</f>
        <v>0</v>
      </c>
      <c r="M225" s="99">
        <f>SUM(M226:M246)</f>
        <v>22790500</v>
      </c>
      <c r="N225" s="100">
        <f>SUM(N226:N246)</f>
        <v>22273.1</v>
      </c>
    </row>
    <row r="226" spans="1:14" s="71" customFormat="1" ht="78" customHeight="1">
      <c r="A226" s="70"/>
      <c r="B226" s="70"/>
      <c r="C226" s="70"/>
      <c r="D226" s="72" t="s">
        <v>311</v>
      </c>
      <c r="E226" s="72" t="s">
        <v>311</v>
      </c>
      <c r="F226" s="98"/>
      <c r="G226" s="2">
        <f t="shared" si="16"/>
        <v>0</v>
      </c>
      <c r="H226" s="98"/>
      <c r="I226" s="1"/>
      <c r="J226" s="2">
        <f t="shared" si="17"/>
        <v>0</v>
      </c>
      <c r="K226" s="101">
        <v>8500</v>
      </c>
      <c r="L226" s="101"/>
      <c r="M226" s="35">
        <f t="shared" si="15"/>
        <v>8500</v>
      </c>
      <c r="N226" s="36">
        <f t="shared" si="18"/>
        <v>8.5</v>
      </c>
    </row>
    <row r="227" spans="1:14" s="71" customFormat="1" ht="51.75" customHeight="1">
      <c r="A227" s="70"/>
      <c r="B227" s="70"/>
      <c r="C227" s="70"/>
      <c r="D227" s="72" t="s">
        <v>320</v>
      </c>
      <c r="E227" s="72" t="s">
        <v>320</v>
      </c>
      <c r="F227" s="98"/>
      <c r="G227" s="2">
        <f t="shared" si="16"/>
        <v>0</v>
      </c>
      <c r="H227" s="98"/>
      <c r="I227" s="1"/>
      <c r="J227" s="2">
        <f t="shared" si="17"/>
        <v>0</v>
      </c>
      <c r="K227" s="101">
        <v>100000</v>
      </c>
      <c r="L227" s="101"/>
      <c r="M227" s="35">
        <f t="shared" si="15"/>
        <v>100000</v>
      </c>
      <c r="N227" s="36">
        <f t="shared" si="18"/>
        <v>100</v>
      </c>
    </row>
    <row r="228" spans="1:14" s="71" customFormat="1" ht="36" customHeight="1">
      <c r="A228" s="70"/>
      <c r="B228" s="70"/>
      <c r="C228" s="70"/>
      <c r="D228" s="72" t="s">
        <v>166</v>
      </c>
      <c r="E228" s="72" t="s">
        <v>166</v>
      </c>
      <c r="F228" s="1"/>
      <c r="G228" s="2">
        <f t="shared" si="16"/>
        <v>0</v>
      </c>
      <c r="H228" s="2"/>
      <c r="I228" s="1"/>
      <c r="J228" s="2">
        <f t="shared" si="17"/>
        <v>0</v>
      </c>
      <c r="K228" s="35">
        <f>100000+1000</f>
        <v>101000</v>
      </c>
      <c r="L228" s="35"/>
      <c r="M228" s="35">
        <f t="shared" si="15"/>
        <v>101000</v>
      </c>
      <c r="N228" s="36">
        <f t="shared" si="18"/>
        <v>101</v>
      </c>
    </row>
    <row r="229" spans="1:14" s="71" customFormat="1" ht="30" customHeight="1">
      <c r="A229" s="70"/>
      <c r="B229" s="70"/>
      <c r="C229" s="70"/>
      <c r="D229" s="52" t="s">
        <v>243</v>
      </c>
      <c r="E229" s="52" t="s">
        <v>243</v>
      </c>
      <c r="F229" s="1">
        <v>510218</v>
      </c>
      <c r="G229" s="2">
        <f t="shared" si="16"/>
        <v>510.2</v>
      </c>
      <c r="H229" s="2">
        <v>47.9</v>
      </c>
      <c r="I229" s="1">
        <v>244626</v>
      </c>
      <c r="J229" s="2">
        <f t="shared" si="17"/>
        <v>244.6</v>
      </c>
      <c r="K229" s="35">
        <v>240000</v>
      </c>
      <c r="L229" s="35"/>
      <c r="M229" s="35">
        <f t="shared" si="15"/>
        <v>240000</v>
      </c>
      <c r="N229" s="36">
        <f>ROUND(M229/1000,1)-17.4</f>
        <v>222.6</v>
      </c>
    </row>
    <row r="230" spans="1:14" s="71" customFormat="1" ht="31.5" customHeight="1">
      <c r="A230" s="70"/>
      <c r="B230" s="70"/>
      <c r="C230" s="70"/>
      <c r="D230" s="52" t="s">
        <v>363</v>
      </c>
      <c r="E230" s="52" t="s">
        <v>363</v>
      </c>
      <c r="F230" s="1"/>
      <c r="G230" s="2">
        <f t="shared" si="16"/>
        <v>0</v>
      </c>
      <c r="H230" s="2"/>
      <c r="I230" s="1"/>
      <c r="J230" s="2">
        <f t="shared" si="17"/>
        <v>0</v>
      </c>
      <c r="K230" s="35">
        <v>500000</v>
      </c>
      <c r="L230" s="35"/>
      <c r="M230" s="35">
        <f t="shared" si="15"/>
        <v>500000</v>
      </c>
      <c r="N230" s="36">
        <f t="shared" si="18"/>
        <v>500</v>
      </c>
    </row>
    <row r="231" spans="1:14" s="71" customFormat="1" ht="34.5" customHeight="1">
      <c r="A231" s="70"/>
      <c r="B231" s="70"/>
      <c r="C231" s="70"/>
      <c r="D231" s="52" t="s">
        <v>361</v>
      </c>
      <c r="E231" s="52" t="s">
        <v>361</v>
      </c>
      <c r="F231" s="1"/>
      <c r="G231" s="2">
        <f t="shared" si="16"/>
        <v>0</v>
      </c>
      <c r="H231" s="2"/>
      <c r="I231" s="1"/>
      <c r="J231" s="2">
        <f t="shared" si="17"/>
        <v>0</v>
      </c>
      <c r="K231" s="35">
        <v>291000</v>
      </c>
      <c r="L231" s="35"/>
      <c r="M231" s="35">
        <f t="shared" si="15"/>
        <v>291000</v>
      </c>
      <c r="N231" s="36">
        <f t="shared" si="18"/>
        <v>291</v>
      </c>
    </row>
    <row r="232" spans="1:14" s="71" customFormat="1" ht="36" customHeight="1">
      <c r="A232" s="70"/>
      <c r="B232" s="70"/>
      <c r="C232" s="70"/>
      <c r="D232" s="52" t="s">
        <v>362</v>
      </c>
      <c r="E232" s="52" t="s">
        <v>362</v>
      </c>
      <c r="F232" s="1"/>
      <c r="G232" s="2">
        <f t="shared" si="16"/>
        <v>0</v>
      </c>
      <c r="H232" s="2"/>
      <c r="I232" s="1"/>
      <c r="J232" s="2">
        <f t="shared" si="17"/>
        <v>0</v>
      </c>
      <c r="K232" s="35">
        <v>400000</v>
      </c>
      <c r="L232" s="35"/>
      <c r="M232" s="35">
        <f t="shared" si="15"/>
        <v>400000</v>
      </c>
      <c r="N232" s="36">
        <f t="shared" si="18"/>
        <v>400</v>
      </c>
    </row>
    <row r="233" spans="1:151" s="109" customFormat="1" ht="33" customHeight="1">
      <c r="A233" s="102"/>
      <c r="B233" s="102"/>
      <c r="C233" s="102"/>
      <c r="D233" s="103" t="s">
        <v>267</v>
      </c>
      <c r="E233" s="103" t="s">
        <v>267</v>
      </c>
      <c r="F233" s="104"/>
      <c r="G233" s="2">
        <f t="shared" si="16"/>
        <v>0</v>
      </c>
      <c r="H233" s="105"/>
      <c r="I233" s="106"/>
      <c r="J233" s="2">
        <f t="shared" si="17"/>
        <v>0</v>
      </c>
      <c r="K233" s="107">
        <v>100000</v>
      </c>
      <c r="L233" s="107"/>
      <c r="M233" s="107">
        <f>L233+K233</f>
        <v>100000</v>
      </c>
      <c r="N233" s="36">
        <f t="shared" si="18"/>
        <v>100</v>
      </c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8"/>
      <c r="BM233" s="108"/>
      <c r="BN233" s="108"/>
      <c r="BO233" s="108"/>
      <c r="BP233" s="108"/>
      <c r="BQ233" s="108"/>
      <c r="BR233" s="108"/>
      <c r="BS233" s="108"/>
      <c r="BT233" s="108"/>
      <c r="BU233" s="108"/>
      <c r="BV233" s="108"/>
      <c r="BW233" s="108"/>
      <c r="BX233" s="108"/>
      <c r="BY233" s="108"/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08"/>
      <c r="CM233" s="108"/>
      <c r="CN233" s="108"/>
      <c r="CO233" s="108"/>
      <c r="CP233" s="108"/>
      <c r="CQ233" s="108"/>
      <c r="CR233" s="108"/>
      <c r="CS233" s="108"/>
      <c r="CT233" s="108"/>
      <c r="CU233" s="108"/>
      <c r="CV233" s="108"/>
      <c r="CW233" s="108"/>
      <c r="CX233" s="108"/>
      <c r="CY233" s="108"/>
      <c r="CZ233" s="108"/>
      <c r="DA233" s="108"/>
      <c r="DB233" s="108"/>
      <c r="DC233" s="108"/>
      <c r="DD233" s="108"/>
      <c r="DE233" s="108"/>
      <c r="DF233" s="108"/>
      <c r="DG233" s="108"/>
      <c r="DH233" s="108"/>
      <c r="DI233" s="108"/>
      <c r="DJ233" s="108"/>
      <c r="DK233" s="108"/>
      <c r="DL233" s="108"/>
      <c r="DM233" s="108"/>
      <c r="DN233" s="108"/>
      <c r="DO233" s="108"/>
      <c r="DP233" s="108"/>
      <c r="DQ233" s="108"/>
      <c r="DR233" s="108"/>
      <c r="DS233" s="108"/>
      <c r="DT233" s="108"/>
      <c r="DU233" s="108"/>
      <c r="DV233" s="108"/>
      <c r="DW233" s="108"/>
      <c r="DX233" s="108"/>
      <c r="DY233" s="108"/>
      <c r="DZ233" s="108"/>
      <c r="EA233" s="108"/>
      <c r="EB233" s="108"/>
      <c r="EC233" s="108"/>
      <c r="ED233" s="108"/>
      <c r="EE233" s="108"/>
      <c r="EF233" s="108"/>
      <c r="EG233" s="108"/>
      <c r="EH233" s="108"/>
      <c r="EI233" s="108"/>
      <c r="EJ233" s="108"/>
      <c r="EK233" s="108"/>
      <c r="EL233" s="108"/>
      <c r="EM233" s="108"/>
      <c r="EN233" s="108"/>
      <c r="EO233" s="108"/>
      <c r="EP233" s="108"/>
      <c r="EQ233" s="108"/>
      <c r="ER233" s="108"/>
      <c r="ES233" s="108"/>
      <c r="ET233" s="108"/>
      <c r="EU233" s="108"/>
    </row>
    <row r="234" spans="1:14" s="71" customFormat="1" ht="55.5" customHeight="1">
      <c r="A234" s="70"/>
      <c r="B234" s="70"/>
      <c r="C234" s="70"/>
      <c r="D234" s="72" t="s">
        <v>183</v>
      </c>
      <c r="E234" s="72" t="s">
        <v>183</v>
      </c>
      <c r="F234" s="84">
        <v>7995986</v>
      </c>
      <c r="G234" s="2">
        <f t="shared" si="16"/>
        <v>7996</v>
      </c>
      <c r="H234" s="2">
        <v>92.1</v>
      </c>
      <c r="I234" s="1">
        <v>7363893</v>
      </c>
      <c r="J234" s="2">
        <f t="shared" si="17"/>
        <v>7363.9</v>
      </c>
      <c r="K234" s="35">
        <f>500000+2000000</f>
        <v>2500000</v>
      </c>
      <c r="L234" s="35"/>
      <c r="M234" s="35">
        <f t="shared" si="15"/>
        <v>2500000</v>
      </c>
      <c r="N234" s="36">
        <f t="shared" si="18"/>
        <v>2500</v>
      </c>
    </row>
    <row r="235" spans="1:14" s="71" customFormat="1" ht="35.25" customHeight="1">
      <c r="A235" s="70"/>
      <c r="B235" s="70"/>
      <c r="C235" s="70"/>
      <c r="D235" s="52" t="s">
        <v>184</v>
      </c>
      <c r="E235" s="52" t="s">
        <v>184</v>
      </c>
      <c r="F235" s="84">
        <v>5617491</v>
      </c>
      <c r="G235" s="2">
        <f t="shared" si="16"/>
        <v>5617.5</v>
      </c>
      <c r="H235" s="2">
        <v>70.6</v>
      </c>
      <c r="I235" s="1">
        <v>3967874</v>
      </c>
      <c r="J235" s="2">
        <f t="shared" si="17"/>
        <v>3967.9</v>
      </c>
      <c r="K235" s="35">
        <v>3000000</v>
      </c>
      <c r="L235" s="35"/>
      <c r="M235" s="35">
        <f t="shared" si="15"/>
        <v>3000000</v>
      </c>
      <c r="N235" s="36">
        <f t="shared" si="18"/>
        <v>3000</v>
      </c>
    </row>
    <row r="236" spans="1:14" s="71" customFormat="1" ht="43.5" customHeight="1">
      <c r="A236" s="70"/>
      <c r="B236" s="70"/>
      <c r="C236" s="70"/>
      <c r="D236" s="52" t="s">
        <v>167</v>
      </c>
      <c r="E236" s="52" t="s">
        <v>167</v>
      </c>
      <c r="F236" s="1">
        <v>9995386</v>
      </c>
      <c r="G236" s="2">
        <f t="shared" si="16"/>
        <v>9995.4</v>
      </c>
      <c r="H236" s="2">
        <v>20.8</v>
      </c>
      <c r="I236" s="1">
        <v>2081885</v>
      </c>
      <c r="J236" s="2">
        <f t="shared" si="17"/>
        <v>2081.9</v>
      </c>
      <c r="K236" s="35">
        <f>500000-450000</f>
        <v>50000</v>
      </c>
      <c r="L236" s="35"/>
      <c r="M236" s="35">
        <f t="shared" si="15"/>
        <v>50000</v>
      </c>
      <c r="N236" s="36">
        <f t="shared" si="18"/>
        <v>50</v>
      </c>
    </row>
    <row r="237" spans="1:14" s="71" customFormat="1" ht="43.5" customHeight="1">
      <c r="A237" s="70"/>
      <c r="B237" s="70"/>
      <c r="C237" s="70"/>
      <c r="D237" s="52" t="s">
        <v>419</v>
      </c>
      <c r="E237" s="52"/>
      <c r="F237" s="1"/>
      <c r="G237" s="2"/>
      <c r="H237" s="2"/>
      <c r="I237" s="1"/>
      <c r="J237" s="2"/>
      <c r="K237" s="35"/>
      <c r="L237" s="35"/>
      <c r="M237" s="35"/>
      <c r="N237" s="36">
        <v>100</v>
      </c>
    </row>
    <row r="238" spans="1:14" s="71" customFormat="1" ht="36" customHeight="1">
      <c r="A238" s="70"/>
      <c r="B238" s="70"/>
      <c r="C238" s="70"/>
      <c r="D238" s="52" t="s">
        <v>168</v>
      </c>
      <c r="E238" s="52" t="s">
        <v>168</v>
      </c>
      <c r="F238" s="84">
        <v>31834622</v>
      </c>
      <c r="G238" s="2">
        <f t="shared" si="16"/>
        <v>31834.6</v>
      </c>
      <c r="H238" s="2">
        <v>65.2</v>
      </c>
      <c r="I238" s="1">
        <v>20752957</v>
      </c>
      <c r="J238" s="2">
        <f t="shared" si="17"/>
        <v>20753</v>
      </c>
      <c r="K238" s="35">
        <v>7000000</v>
      </c>
      <c r="L238" s="35"/>
      <c r="M238" s="35">
        <f t="shared" si="15"/>
        <v>7000000</v>
      </c>
      <c r="N238" s="36">
        <f t="shared" si="18"/>
        <v>7000</v>
      </c>
    </row>
    <row r="239" spans="1:14" s="71" customFormat="1" ht="36" customHeight="1">
      <c r="A239" s="70"/>
      <c r="B239" s="70"/>
      <c r="C239" s="70"/>
      <c r="D239" s="72" t="s">
        <v>169</v>
      </c>
      <c r="E239" s="72" t="s">
        <v>169</v>
      </c>
      <c r="F239" s="84">
        <v>14670250</v>
      </c>
      <c r="G239" s="2">
        <f t="shared" si="16"/>
        <v>14670.3</v>
      </c>
      <c r="H239" s="2">
        <v>48.7</v>
      </c>
      <c r="I239" s="1">
        <v>7146429</v>
      </c>
      <c r="J239" s="2">
        <f t="shared" si="17"/>
        <v>7146.4</v>
      </c>
      <c r="K239" s="35">
        <v>500000</v>
      </c>
      <c r="L239" s="35"/>
      <c r="M239" s="35">
        <f t="shared" si="15"/>
        <v>500000</v>
      </c>
      <c r="N239" s="36">
        <f t="shared" si="18"/>
        <v>500</v>
      </c>
    </row>
    <row r="240" spans="1:14" s="71" customFormat="1" ht="27.75" customHeight="1">
      <c r="A240" s="70"/>
      <c r="B240" s="70"/>
      <c r="C240" s="70"/>
      <c r="D240" s="72" t="s">
        <v>332</v>
      </c>
      <c r="E240" s="72" t="s">
        <v>332</v>
      </c>
      <c r="F240" s="84"/>
      <c r="G240" s="2">
        <f t="shared" si="16"/>
        <v>0</v>
      </c>
      <c r="H240" s="2"/>
      <c r="I240" s="1"/>
      <c r="J240" s="2">
        <f t="shared" si="17"/>
        <v>0</v>
      </c>
      <c r="K240" s="35">
        <v>1000000</v>
      </c>
      <c r="L240" s="35"/>
      <c r="M240" s="35">
        <f t="shared" si="15"/>
        <v>1000000</v>
      </c>
      <c r="N240" s="36">
        <f>ROUND(M240/1000,1)-100-500</f>
        <v>400</v>
      </c>
    </row>
    <row r="241" spans="1:14" s="71" customFormat="1" ht="49.5" customHeight="1">
      <c r="A241" s="70"/>
      <c r="B241" s="70"/>
      <c r="C241" s="70"/>
      <c r="D241" s="52" t="s">
        <v>339</v>
      </c>
      <c r="E241" s="52" t="s">
        <v>339</v>
      </c>
      <c r="F241" s="84">
        <v>1581853</v>
      </c>
      <c r="G241" s="2">
        <f t="shared" si="16"/>
        <v>1581.9</v>
      </c>
      <c r="H241" s="2">
        <v>46.8</v>
      </c>
      <c r="I241" s="1">
        <v>739746</v>
      </c>
      <c r="J241" s="2">
        <f t="shared" si="17"/>
        <v>739.7</v>
      </c>
      <c r="K241" s="35">
        <v>500000</v>
      </c>
      <c r="L241" s="35"/>
      <c r="M241" s="35">
        <f t="shared" si="15"/>
        <v>500000</v>
      </c>
      <c r="N241" s="36">
        <f t="shared" si="18"/>
        <v>500</v>
      </c>
    </row>
    <row r="242" spans="1:14" s="71" customFormat="1" ht="42" customHeight="1">
      <c r="A242" s="70"/>
      <c r="B242" s="70"/>
      <c r="C242" s="70"/>
      <c r="D242" s="52" t="s">
        <v>340</v>
      </c>
      <c r="E242" s="52" t="s">
        <v>340</v>
      </c>
      <c r="F242" s="84"/>
      <c r="G242" s="2">
        <f t="shared" si="16"/>
        <v>0</v>
      </c>
      <c r="H242" s="2"/>
      <c r="I242" s="1"/>
      <c r="J242" s="2">
        <f t="shared" si="17"/>
        <v>0</v>
      </c>
      <c r="K242" s="35">
        <v>500000</v>
      </c>
      <c r="L242" s="35"/>
      <c r="M242" s="35">
        <f t="shared" si="15"/>
        <v>500000</v>
      </c>
      <c r="N242" s="36">
        <f t="shared" si="18"/>
        <v>500</v>
      </c>
    </row>
    <row r="243" spans="1:14" s="71" customFormat="1" ht="53.25" customHeight="1">
      <c r="A243" s="70"/>
      <c r="B243" s="70"/>
      <c r="C243" s="70"/>
      <c r="D243" s="52" t="s">
        <v>170</v>
      </c>
      <c r="E243" s="52" t="s">
        <v>170</v>
      </c>
      <c r="F243" s="74"/>
      <c r="G243" s="2">
        <f t="shared" si="16"/>
        <v>0</v>
      </c>
      <c r="H243" s="2"/>
      <c r="I243" s="1"/>
      <c r="J243" s="2">
        <f t="shared" si="17"/>
        <v>0</v>
      </c>
      <c r="K243" s="35">
        <v>1500000</v>
      </c>
      <c r="L243" s="35"/>
      <c r="M243" s="35">
        <f t="shared" si="15"/>
        <v>1500000</v>
      </c>
      <c r="N243" s="36">
        <f t="shared" si="18"/>
        <v>1500</v>
      </c>
    </row>
    <row r="244" spans="1:14" s="71" customFormat="1" ht="44.25" customHeight="1">
      <c r="A244" s="70"/>
      <c r="B244" s="70"/>
      <c r="C244" s="70"/>
      <c r="D244" s="52" t="s">
        <v>171</v>
      </c>
      <c r="E244" s="52" t="s">
        <v>171</v>
      </c>
      <c r="F244" s="74"/>
      <c r="G244" s="2">
        <f t="shared" si="16"/>
        <v>0</v>
      </c>
      <c r="H244" s="2"/>
      <c r="I244" s="1"/>
      <c r="J244" s="2">
        <f t="shared" si="17"/>
        <v>0</v>
      </c>
      <c r="K244" s="35">
        <v>1500000</v>
      </c>
      <c r="L244" s="35"/>
      <c r="M244" s="35">
        <f t="shared" si="15"/>
        <v>1500000</v>
      </c>
      <c r="N244" s="36">
        <f t="shared" si="18"/>
        <v>1500</v>
      </c>
    </row>
    <row r="245" spans="1:14" s="71" customFormat="1" ht="51.75" customHeight="1">
      <c r="A245" s="70"/>
      <c r="B245" s="70"/>
      <c r="C245" s="70"/>
      <c r="D245" s="52" t="s">
        <v>172</v>
      </c>
      <c r="E245" s="52" t="s">
        <v>172</v>
      </c>
      <c r="F245" s="74"/>
      <c r="G245" s="2">
        <f t="shared" si="16"/>
        <v>0</v>
      </c>
      <c r="H245" s="2"/>
      <c r="I245" s="110"/>
      <c r="J245" s="2">
        <f t="shared" si="17"/>
        <v>0</v>
      </c>
      <c r="K245" s="35">
        <v>1500000</v>
      </c>
      <c r="L245" s="35"/>
      <c r="M245" s="35">
        <f t="shared" si="15"/>
        <v>1500000</v>
      </c>
      <c r="N245" s="36">
        <f t="shared" si="18"/>
        <v>1500</v>
      </c>
    </row>
    <row r="246" spans="1:151" s="24" customFormat="1" ht="54" customHeight="1">
      <c r="A246" s="70"/>
      <c r="B246" s="70"/>
      <c r="C246" s="70"/>
      <c r="D246" s="52" t="s">
        <v>173</v>
      </c>
      <c r="E246" s="52" t="s">
        <v>173</v>
      </c>
      <c r="F246" s="74"/>
      <c r="G246" s="2">
        <f t="shared" si="16"/>
        <v>0</v>
      </c>
      <c r="H246" s="2"/>
      <c r="I246" s="110"/>
      <c r="J246" s="2">
        <f t="shared" si="17"/>
        <v>0</v>
      </c>
      <c r="K246" s="35">
        <v>1500000</v>
      </c>
      <c r="L246" s="35"/>
      <c r="M246" s="35">
        <f t="shared" si="15"/>
        <v>1500000</v>
      </c>
      <c r="N246" s="36">
        <f t="shared" si="18"/>
        <v>1500</v>
      </c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71"/>
      <c r="CE246" s="71"/>
      <c r="CF246" s="71"/>
      <c r="CG246" s="71"/>
      <c r="CH246" s="71"/>
      <c r="CI246" s="71"/>
      <c r="CJ246" s="71"/>
      <c r="CK246" s="71"/>
      <c r="CL246" s="71"/>
      <c r="CM246" s="71"/>
      <c r="CN246" s="71"/>
      <c r="CO246" s="71"/>
      <c r="CP246" s="71"/>
      <c r="CQ246" s="71"/>
      <c r="CR246" s="71"/>
      <c r="CS246" s="71"/>
      <c r="CT246" s="71"/>
      <c r="CU246" s="71"/>
      <c r="CV246" s="71"/>
      <c r="CW246" s="71"/>
      <c r="CX246" s="71"/>
      <c r="CY246" s="71"/>
      <c r="CZ246" s="71"/>
      <c r="DA246" s="71"/>
      <c r="DB246" s="71"/>
      <c r="DC246" s="71"/>
      <c r="DD246" s="71"/>
      <c r="DE246" s="71"/>
      <c r="DF246" s="71"/>
      <c r="DG246" s="71"/>
      <c r="DH246" s="71"/>
      <c r="DI246" s="71"/>
      <c r="DJ246" s="71"/>
      <c r="DK246" s="71"/>
      <c r="DL246" s="71"/>
      <c r="DM246" s="71"/>
      <c r="DN246" s="71"/>
      <c r="DO246" s="71"/>
      <c r="DP246" s="71"/>
      <c r="DQ246" s="71"/>
      <c r="DR246" s="71"/>
      <c r="DS246" s="71"/>
      <c r="DT246" s="71"/>
      <c r="DU246" s="71"/>
      <c r="DV246" s="71"/>
      <c r="DW246" s="71"/>
      <c r="DX246" s="71"/>
      <c r="DY246" s="71"/>
      <c r="DZ246" s="71"/>
      <c r="EA246" s="71"/>
      <c r="EB246" s="71"/>
      <c r="EC246" s="71"/>
      <c r="ED246" s="71"/>
      <c r="EE246" s="71"/>
      <c r="EF246" s="71"/>
      <c r="EG246" s="71"/>
      <c r="EH246" s="71"/>
      <c r="EI246" s="71"/>
      <c r="EJ246" s="71"/>
      <c r="EK246" s="71"/>
      <c r="EL246" s="71"/>
      <c r="EM246" s="71"/>
      <c r="EN246" s="71"/>
      <c r="EO246" s="71"/>
      <c r="EP246" s="71"/>
      <c r="EQ246" s="71"/>
      <c r="ER246" s="71"/>
      <c r="ES246" s="71"/>
      <c r="ET246" s="71"/>
      <c r="EU246" s="71"/>
    </row>
    <row r="247" spans="1:151" s="115" customFormat="1" ht="37.5" customHeight="1">
      <c r="A247" s="29" t="s">
        <v>241</v>
      </c>
      <c r="B247" s="29" t="s">
        <v>69</v>
      </c>
      <c r="C247" s="29" t="s">
        <v>52</v>
      </c>
      <c r="D247" s="63" t="s">
        <v>401</v>
      </c>
      <c r="E247" s="63"/>
      <c r="F247" s="111"/>
      <c r="G247" s="2">
        <f t="shared" si="16"/>
        <v>0</v>
      </c>
      <c r="H247" s="112"/>
      <c r="I247" s="113"/>
      <c r="J247" s="2">
        <f t="shared" si="17"/>
        <v>0</v>
      </c>
      <c r="K247" s="30" t="e">
        <f>#REF!+K248</f>
        <v>#REF!</v>
      </c>
      <c r="L247" s="30" t="e">
        <f>#REF!+L248</f>
        <v>#REF!</v>
      </c>
      <c r="M247" s="30" t="e">
        <f>#REF!+M248</f>
        <v>#REF!</v>
      </c>
      <c r="N247" s="31">
        <f>N248</f>
        <v>500</v>
      </c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  <c r="AA247" s="114"/>
      <c r="AB247" s="114"/>
      <c r="AC247" s="114"/>
      <c r="AD247" s="114"/>
      <c r="AE247" s="114"/>
      <c r="AF247" s="114"/>
      <c r="AG247" s="114"/>
      <c r="AH247" s="114"/>
      <c r="AI247" s="114"/>
      <c r="AJ247" s="114"/>
      <c r="AK247" s="114"/>
      <c r="AL247" s="114"/>
      <c r="AM247" s="114"/>
      <c r="AN247" s="114"/>
      <c r="AO247" s="114"/>
      <c r="AP247" s="114"/>
      <c r="AQ247" s="114"/>
      <c r="AR247" s="114"/>
      <c r="AS247" s="114"/>
      <c r="AT247" s="114"/>
      <c r="AU247" s="114"/>
      <c r="AV247" s="114"/>
      <c r="AW247" s="114"/>
      <c r="AX247" s="114"/>
      <c r="AY247" s="114"/>
      <c r="AZ247" s="114"/>
      <c r="BA247" s="114"/>
      <c r="BB247" s="114"/>
      <c r="BC247" s="114"/>
      <c r="BD247" s="114"/>
      <c r="BE247" s="114"/>
      <c r="BF247" s="114"/>
      <c r="BG247" s="114"/>
      <c r="BH247" s="114"/>
      <c r="BI247" s="114"/>
      <c r="BJ247" s="114"/>
      <c r="BK247" s="114"/>
      <c r="BL247" s="114"/>
      <c r="BM247" s="114"/>
      <c r="BN247" s="114"/>
      <c r="BO247" s="114"/>
      <c r="BP247" s="114"/>
      <c r="BQ247" s="114"/>
      <c r="BR247" s="114"/>
      <c r="BS247" s="114"/>
      <c r="BT247" s="114"/>
      <c r="BU247" s="114"/>
      <c r="BV247" s="114"/>
      <c r="BW247" s="114"/>
      <c r="BX247" s="114"/>
      <c r="BY247" s="114"/>
      <c r="BZ247" s="114"/>
      <c r="CA247" s="114"/>
      <c r="CB247" s="114"/>
      <c r="CC247" s="114"/>
      <c r="CD247" s="114"/>
      <c r="CE247" s="114"/>
      <c r="CF247" s="114"/>
      <c r="CG247" s="114"/>
      <c r="CH247" s="114"/>
      <c r="CI247" s="114"/>
      <c r="CJ247" s="114"/>
      <c r="CK247" s="114"/>
      <c r="CL247" s="114"/>
      <c r="CM247" s="114"/>
      <c r="CN247" s="114"/>
      <c r="CO247" s="114"/>
      <c r="CP247" s="114"/>
      <c r="CQ247" s="114"/>
      <c r="CR247" s="114"/>
      <c r="CS247" s="114"/>
      <c r="CT247" s="114"/>
      <c r="CU247" s="114"/>
      <c r="CV247" s="114"/>
      <c r="CW247" s="114"/>
      <c r="CX247" s="114"/>
      <c r="CY247" s="114"/>
      <c r="CZ247" s="114"/>
      <c r="DA247" s="114"/>
      <c r="DB247" s="114"/>
      <c r="DC247" s="114"/>
      <c r="DD247" s="114"/>
      <c r="DE247" s="114"/>
      <c r="DF247" s="114"/>
      <c r="DG247" s="114"/>
      <c r="DH247" s="114"/>
      <c r="DI247" s="114"/>
      <c r="DJ247" s="114"/>
      <c r="DK247" s="114"/>
      <c r="DL247" s="114"/>
      <c r="DM247" s="114"/>
      <c r="DN247" s="114"/>
      <c r="DO247" s="114"/>
      <c r="DP247" s="114"/>
      <c r="DQ247" s="114"/>
      <c r="DR247" s="114"/>
      <c r="DS247" s="114"/>
      <c r="DT247" s="114"/>
      <c r="DU247" s="114"/>
      <c r="DV247" s="114"/>
      <c r="DW247" s="114"/>
      <c r="DX247" s="114"/>
      <c r="DY247" s="114"/>
      <c r="DZ247" s="114"/>
      <c r="EA247" s="114"/>
      <c r="EB247" s="114"/>
      <c r="EC247" s="114"/>
      <c r="ED247" s="114"/>
      <c r="EE247" s="114"/>
      <c r="EF247" s="114"/>
      <c r="EG247" s="114"/>
      <c r="EH247" s="114"/>
      <c r="EI247" s="114"/>
      <c r="EJ247" s="114"/>
      <c r="EK247" s="114"/>
      <c r="EL247" s="114"/>
      <c r="EM247" s="114"/>
      <c r="EN247" s="114"/>
      <c r="EO247" s="114"/>
      <c r="EP247" s="114"/>
      <c r="EQ247" s="114"/>
      <c r="ER247" s="114"/>
      <c r="ES247" s="114"/>
      <c r="ET247" s="114"/>
      <c r="EU247" s="114"/>
    </row>
    <row r="248" spans="1:151" s="93" customFormat="1" ht="32.25" customHeight="1">
      <c r="A248" s="39"/>
      <c r="B248" s="39"/>
      <c r="C248" s="39"/>
      <c r="D248" s="51" t="s">
        <v>250</v>
      </c>
      <c r="E248" s="51" t="s">
        <v>250</v>
      </c>
      <c r="F248" s="86">
        <v>1579560</v>
      </c>
      <c r="G248" s="87">
        <f t="shared" si="16"/>
        <v>1579.6</v>
      </c>
      <c r="H248" s="87">
        <v>38.4</v>
      </c>
      <c r="I248" s="86">
        <v>605818</v>
      </c>
      <c r="J248" s="87">
        <f t="shared" si="17"/>
        <v>605.8</v>
      </c>
      <c r="K248" s="42">
        <v>500000</v>
      </c>
      <c r="L248" s="42"/>
      <c r="M248" s="42">
        <f t="shared" si="15"/>
        <v>500000</v>
      </c>
      <c r="N248" s="8">
        <f t="shared" si="18"/>
        <v>500</v>
      </c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  <c r="BZ248" s="88"/>
      <c r="CA248" s="88"/>
      <c r="CB248" s="88"/>
      <c r="CC248" s="88"/>
      <c r="CD248" s="88"/>
      <c r="CE248" s="88"/>
      <c r="CF248" s="88"/>
      <c r="CG248" s="88"/>
      <c r="CH248" s="88"/>
      <c r="CI248" s="88"/>
      <c r="CJ248" s="88"/>
      <c r="CK248" s="88"/>
      <c r="CL248" s="88"/>
      <c r="CM248" s="88"/>
      <c r="CN248" s="88"/>
      <c r="CO248" s="88"/>
      <c r="CP248" s="88"/>
      <c r="CQ248" s="88"/>
      <c r="CR248" s="88"/>
      <c r="CS248" s="88"/>
      <c r="CT248" s="88"/>
      <c r="CU248" s="88"/>
      <c r="CV248" s="88"/>
      <c r="CW248" s="88"/>
      <c r="CX248" s="88"/>
      <c r="CY248" s="88"/>
      <c r="CZ248" s="88"/>
      <c r="DA248" s="88"/>
      <c r="DB248" s="88"/>
      <c r="DC248" s="88"/>
      <c r="DD248" s="88"/>
      <c r="DE248" s="88"/>
      <c r="DF248" s="88"/>
      <c r="DG248" s="88"/>
      <c r="DH248" s="88"/>
      <c r="DI248" s="88"/>
      <c r="DJ248" s="88"/>
      <c r="DK248" s="88"/>
      <c r="DL248" s="88"/>
      <c r="DM248" s="88"/>
      <c r="DN248" s="88"/>
      <c r="DO248" s="88"/>
      <c r="DP248" s="88"/>
      <c r="DQ248" s="88"/>
      <c r="DR248" s="88"/>
      <c r="DS248" s="88"/>
      <c r="DT248" s="88"/>
      <c r="DU248" s="88"/>
      <c r="DV248" s="88"/>
      <c r="DW248" s="88"/>
      <c r="DX248" s="88"/>
      <c r="DY248" s="88"/>
      <c r="DZ248" s="88"/>
      <c r="EA248" s="88"/>
      <c r="EB248" s="88"/>
      <c r="EC248" s="88"/>
      <c r="ED248" s="88"/>
      <c r="EE248" s="88"/>
      <c r="EF248" s="88"/>
      <c r="EG248" s="88"/>
      <c r="EH248" s="88"/>
      <c r="EI248" s="88"/>
      <c r="EJ248" s="88"/>
      <c r="EK248" s="88"/>
      <c r="EL248" s="88"/>
      <c r="EM248" s="88"/>
      <c r="EN248" s="88"/>
      <c r="EO248" s="88"/>
      <c r="EP248" s="88"/>
      <c r="EQ248" s="88"/>
      <c r="ER248" s="88"/>
      <c r="ES248" s="88"/>
      <c r="ET248" s="88"/>
      <c r="EU248" s="88"/>
    </row>
    <row r="249" spans="1:14" s="37" customFormat="1" ht="30.75" customHeight="1">
      <c r="A249" s="33" t="s">
        <v>274</v>
      </c>
      <c r="B249" s="33" t="s">
        <v>271</v>
      </c>
      <c r="C249" s="33"/>
      <c r="D249" s="34" t="s">
        <v>377</v>
      </c>
      <c r="E249" s="34"/>
      <c r="F249" s="116"/>
      <c r="G249" s="2">
        <f t="shared" si="16"/>
        <v>0</v>
      </c>
      <c r="H249" s="34"/>
      <c r="I249" s="34"/>
      <c r="J249" s="2">
        <f t="shared" si="17"/>
        <v>0</v>
      </c>
      <c r="K249" s="54">
        <f>SUM(K250)</f>
        <v>289538</v>
      </c>
      <c r="L249" s="117">
        <f>SUM(L250)</f>
        <v>0</v>
      </c>
      <c r="M249" s="117">
        <f>SUM(M250)</f>
        <v>289538</v>
      </c>
      <c r="N249" s="36">
        <f t="shared" si="18"/>
        <v>289.5</v>
      </c>
    </row>
    <row r="250" spans="1:14" s="46" customFormat="1" ht="51.75" customHeight="1">
      <c r="A250" s="39" t="s">
        <v>275</v>
      </c>
      <c r="B250" s="39" t="s">
        <v>278</v>
      </c>
      <c r="C250" s="39" t="s">
        <v>47</v>
      </c>
      <c r="D250" s="40" t="s">
        <v>269</v>
      </c>
      <c r="E250" s="40"/>
      <c r="F250" s="118"/>
      <c r="G250" s="87">
        <f t="shared" si="16"/>
        <v>0</v>
      </c>
      <c r="H250" s="40"/>
      <c r="I250" s="40"/>
      <c r="J250" s="87">
        <f t="shared" si="17"/>
        <v>0</v>
      </c>
      <c r="K250" s="55">
        <v>289538</v>
      </c>
      <c r="L250" s="119"/>
      <c r="M250" s="119">
        <f>L250+K250</f>
        <v>289538</v>
      </c>
      <c r="N250" s="8">
        <f t="shared" si="18"/>
        <v>289.5</v>
      </c>
    </row>
    <row r="251" spans="1:14" s="37" customFormat="1" ht="30.75" customHeight="1">
      <c r="A251" s="33" t="s">
        <v>75</v>
      </c>
      <c r="B251" s="33" t="s">
        <v>1</v>
      </c>
      <c r="C251" s="33" t="s">
        <v>48</v>
      </c>
      <c r="D251" s="34" t="s">
        <v>17</v>
      </c>
      <c r="E251" s="34"/>
      <c r="F251" s="116"/>
      <c r="G251" s="2">
        <f t="shared" si="16"/>
        <v>0</v>
      </c>
      <c r="H251" s="34"/>
      <c r="I251" s="34"/>
      <c r="J251" s="2">
        <f t="shared" si="17"/>
        <v>0</v>
      </c>
      <c r="K251" s="35">
        <f>18557000-160000+529155+160000</f>
        <v>19086155</v>
      </c>
      <c r="L251" s="117"/>
      <c r="M251" s="117">
        <f t="shared" si="15"/>
        <v>19086155</v>
      </c>
      <c r="N251" s="36">
        <f t="shared" si="18"/>
        <v>19086.2</v>
      </c>
    </row>
    <row r="252" spans="1:14" s="37" customFormat="1" ht="33.75" customHeight="1">
      <c r="A252" s="29" t="s">
        <v>323</v>
      </c>
      <c r="B252" s="66"/>
      <c r="C252" s="66"/>
      <c r="D252" s="3" t="s">
        <v>322</v>
      </c>
      <c r="E252" s="3"/>
      <c r="F252" s="3"/>
      <c r="G252" s="2">
        <f t="shared" si="16"/>
        <v>0</v>
      </c>
      <c r="H252" s="3"/>
      <c r="I252" s="3"/>
      <c r="J252" s="2">
        <f t="shared" si="17"/>
        <v>0</v>
      </c>
      <c r="K252" s="30">
        <f>K253</f>
        <v>140000</v>
      </c>
      <c r="L252" s="30">
        <f>L253</f>
        <v>0</v>
      </c>
      <c r="M252" s="30">
        <f>M253</f>
        <v>140000</v>
      </c>
      <c r="N252" s="31">
        <f>N253</f>
        <v>140</v>
      </c>
    </row>
    <row r="253" spans="1:14" s="37" customFormat="1" ht="34.5" customHeight="1">
      <c r="A253" s="33" t="s">
        <v>324</v>
      </c>
      <c r="B253" s="33" t="s">
        <v>325</v>
      </c>
      <c r="C253" s="33" t="s">
        <v>52</v>
      </c>
      <c r="D253" s="34" t="s">
        <v>326</v>
      </c>
      <c r="E253" s="34"/>
      <c r="F253" s="34"/>
      <c r="G253" s="2">
        <f t="shared" si="16"/>
        <v>0</v>
      </c>
      <c r="H253" s="34"/>
      <c r="I253" s="34"/>
      <c r="J253" s="2">
        <f t="shared" si="17"/>
        <v>0</v>
      </c>
      <c r="K253" s="35">
        <v>140000</v>
      </c>
      <c r="L253" s="35"/>
      <c r="M253" s="35">
        <f t="shared" si="15"/>
        <v>140000</v>
      </c>
      <c r="N253" s="36">
        <f t="shared" si="18"/>
        <v>140</v>
      </c>
    </row>
    <row r="254" spans="1:14" s="32" customFormat="1" ht="41.25" customHeight="1">
      <c r="A254" s="29" t="s">
        <v>114</v>
      </c>
      <c r="B254" s="66"/>
      <c r="C254" s="66"/>
      <c r="D254" s="3" t="s">
        <v>24</v>
      </c>
      <c r="E254" s="3"/>
      <c r="F254" s="3"/>
      <c r="G254" s="2">
        <f t="shared" si="16"/>
        <v>0</v>
      </c>
      <c r="H254" s="3"/>
      <c r="I254" s="3"/>
      <c r="J254" s="2">
        <f t="shared" si="17"/>
        <v>0</v>
      </c>
      <c r="K254" s="30">
        <f>K255</f>
        <v>40000</v>
      </c>
      <c r="L254" s="30">
        <f>L255</f>
        <v>0</v>
      </c>
      <c r="M254" s="30">
        <f>M255</f>
        <v>40000</v>
      </c>
      <c r="N254" s="31">
        <f>N255</f>
        <v>40</v>
      </c>
    </row>
    <row r="255" spans="1:14" s="46" customFormat="1" ht="45" customHeight="1">
      <c r="A255" s="33" t="s">
        <v>115</v>
      </c>
      <c r="B255" s="33" t="s">
        <v>58</v>
      </c>
      <c r="C255" s="33" t="s">
        <v>26</v>
      </c>
      <c r="D255" s="34" t="s">
        <v>59</v>
      </c>
      <c r="E255" s="34"/>
      <c r="F255" s="34"/>
      <c r="G255" s="2">
        <f t="shared" si="16"/>
        <v>0</v>
      </c>
      <c r="H255" s="34"/>
      <c r="I255" s="34"/>
      <c r="J255" s="2">
        <f t="shared" si="17"/>
        <v>0</v>
      </c>
      <c r="K255" s="35">
        <v>40000</v>
      </c>
      <c r="L255" s="35"/>
      <c r="M255" s="35">
        <f t="shared" si="15"/>
        <v>40000</v>
      </c>
      <c r="N255" s="36">
        <f t="shared" si="18"/>
        <v>40</v>
      </c>
    </row>
    <row r="256" spans="1:14" s="32" customFormat="1" ht="35.25" customHeight="1">
      <c r="A256" s="29" t="s">
        <v>116</v>
      </c>
      <c r="B256" s="29"/>
      <c r="C256" s="29"/>
      <c r="D256" s="3" t="s">
        <v>22</v>
      </c>
      <c r="E256" s="3"/>
      <c r="F256" s="3"/>
      <c r="G256" s="2">
        <f t="shared" si="16"/>
        <v>0</v>
      </c>
      <c r="H256" s="3"/>
      <c r="I256" s="3"/>
      <c r="J256" s="2">
        <f t="shared" si="17"/>
        <v>0</v>
      </c>
      <c r="K256" s="30">
        <f>K257+K258+K259+K260</f>
        <v>273500</v>
      </c>
      <c r="L256" s="30">
        <f>L257+L258+L259+L260</f>
        <v>0</v>
      </c>
      <c r="M256" s="30">
        <f>M257+M258+M259+M260</f>
        <v>273500</v>
      </c>
      <c r="N256" s="31">
        <f>N257+N258+N259+N260</f>
        <v>273.5</v>
      </c>
    </row>
    <row r="257" spans="1:14" s="32" customFormat="1" ht="51" customHeight="1">
      <c r="A257" s="33" t="s">
        <v>117</v>
      </c>
      <c r="B257" s="33" t="s">
        <v>58</v>
      </c>
      <c r="C257" s="33" t="s">
        <v>26</v>
      </c>
      <c r="D257" s="34" t="s">
        <v>59</v>
      </c>
      <c r="E257" s="34"/>
      <c r="F257" s="34"/>
      <c r="G257" s="2">
        <f t="shared" si="16"/>
        <v>0</v>
      </c>
      <c r="H257" s="34"/>
      <c r="I257" s="34"/>
      <c r="J257" s="2">
        <f t="shared" si="17"/>
        <v>0</v>
      </c>
      <c r="K257" s="35">
        <f>150000-130500</f>
        <v>19500</v>
      </c>
      <c r="L257" s="35"/>
      <c r="M257" s="35">
        <f t="shared" si="15"/>
        <v>19500</v>
      </c>
      <c r="N257" s="36">
        <f t="shared" si="18"/>
        <v>19.5</v>
      </c>
    </row>
    <row r="258" spans="1:14" s="37" customFormat="1" ht="37.5" customHeight="1">
      <c r="A258" s="47" t="s">
        <v>129</v>
      </c>
      <c r="B258" s="47" t="s">
        <v>130</v>
      </c>
      <c r="C258" s="47" t="s">
        <v>47</v>
      </c>
      <c r="D258" s="34" t="s">
        <v>133</v>
      </c>
      <c r="E258" s="34"/>
      <c r="F258" s="34"/>
      <c r="G258" s="2">
        <f t="shared" si="16"/>
        <v>0</v>
      </c>
      <c r="H258" s="34"/>
      <c r="I258" s="34"/>
      <c r="J258" s="2">
        <f t="shared" si="17"/>
        <v>0</v>
      </c>
      <c r="K258" s="35">
        <f>25000+25000</f>
        <v>50000</v>
      </c>
      <c r="L258" s="35"/>
      <c r="M258" s="35">
        <f t="shared" si="15"/>
        <v>50000</v>
      </c>
      <c r="N258" s="36">
        <f t="shared" si="18"/>
        <v>50</v>
      </c>
    </row>
    <row r="259" spans="1:14" s="37" customFormat="1" ht="71.25" customHeight="1">
      <c r="A259" s="47" t="s">
        <v>131</v>
      </c>
      <c r="B259" s="47" t="s">
        <v>132</v>
      </c>
      <c r="C259" s="47" t="s">
        <v>47</v>
      </c>
      <c r="D259" s="34" t="s">
        <v>134</v>
      </c>
      <c r="E259" s="34"/>
      <c r="F259" s="34"/>
      <c r="G259" s="2">
        <f t="shared" si="16"/>
        <v>0</v>
      </c>
      <c r="H259" s="34"/>
      <c r="I259" s="34"/>
      <c r="J259" s="2">
        <f t="shared" si="17"/>
        <v>0</v>
      </c>
      <c r="K259" s="35">
        <v>25000</v>
      </c>
      <c r="L259" s="35"/>
      <c r="M259" s="35">
        <f t="shared" si="15"/>
        <v>25000</v>
      </c>
      <c r="N259" s="36">
        <f t="shared" si="18"/>
        <v>25</v>
      </c>
    </row>
    <row r="260" spans="1:14" s="37" customFormat="1" ht="48.75" customHeight="1">
      <c r="A260" s="47" t="s">
        <v>265</v>
      </c>
      <c r="B260" s="47" t="s">
        <v>266</v>
      </c>
      <c r="C260" s="47" t="s">
        <v>25</v>
      </c>
      <c r="D260" s="52" t="s">
        <v>411</v>
      </c>
      <c r="E260" s="34"/>
      <c r="F260" s="34"/>
      <c r="G260" s="2">
        <f t="shared" si="16"/>
        <v>0</v>
      </c>
      <c r="H260" s="34"/>
      <c r="I260" s="34"/>
      <c r="J260" s="2">
        <f t="shared" si="17"/>
        <v>0</v>
      </c>
      <c r="K260" s="35">
        <v>179000</v>
      </c>
      <c r="L260" s="35"/>
      <c r="M260" s="35">
        <f t="shared" si="15"/>
        <v>179000</v>
      </c>
      <c r="N260" s="36">
        <f t="shared" si="18"/>
        <v>179</v>
      </c>
    </row>
    <row r="261" spans="1:14" s="32" customFormat="1" ht="42" customHeight="1">
      <c r="A261" s="29" t="s">
        <v>118</v>
      </c>
      <c r="B261" s="29"/>
      <c r="C261" s="29"/>
      <c r="D261" s="3" t="s">
        <v>23</v>
      </c>
      <c r="E261" s="3"/>
      <c r="F261" s="3"/>
      <c r="G261" s="2">
        <f t="shared" si="16"/>
        <v>0</v>
      </c>
      <c r="H261" s="3"/>
      <c r="I261" s="3"/>
      <c r="J261" s="2">
        <f t="shared" si="17"/>
        <v>0</v>
      </c>
      <c r="K261" s="30">
        <f>K262+K263</f>
        <v>575800</v>
      </c>
      <c r="L261" s="30">
        <f>L262+L263</f>
        <v>38000</v>
      </c>
      <c r="M261" s="30">
        <f>M262+M263</f>
        <v>613800</v>
      </c>
      <c r="N261" s="31">
        <f>N262+N263</f>
        <v>613.8</v>
      </c>
    </row>
    <row r="262" spans="1:14" s="37" customFormat="1" ht="42.75" customHeight="1">
      <c r="A262" s="33" t="s">
        <v>119</v>
      </c>
      <c r="B262" s="33" t="s">
        <v>58</v>
      </c>
      <c r="C262" s="33" t="s">
        <v>26</v>
      </c>
      <c r="D262" s="34" t="s">
        <v>59</v>
      </c>
      <c r="E262" s="34"/>
      <c r="F262" s="34"/>
      <c r="G262" s="2">
        <f t="shared" si="16"/>
        <v>0</v>
      </c>
      <c r="H262" s="34"/>
      <c r="I262" s="34"/>
      <c r="J262" s="2">
        <f t="shared" si="17"/>
        <v>0</v>
      </c>
      <c r="K262" s="35">
        <f>184000-123000</f>
        <v>61000</v>
      </c>
      <c r="L262" s="35"/>
      <c r="M262" s="35">
        <f t="shared" si="15"/>
        <v>61000</v>
      </c>
      <c r="N262" s="36">
        <f t="shared" si="18"/>
        <v>61</v>
      </c>
    </row>
    <row r="263" spans="1:14" s="37" customFormat="1" ht="27" customHeight="1">
      <c r="A263" s="33" t="s">
        <v>216</v>
      </c>
      <c r="B263" s="33" t="s">
        <v>217</v>
      </c>
      <c r="C263" s="33" t="s">
        <v>25</v>
      </c>
      <c r="D263" s="34" t="s">
        <v>218</v>
      </c>
      <c r="E263" s="34"/>
      <c r="F263" s="34"/>
      <c r="G263" s="2">
        <f t="shared" si="16"/>
        <v>0</v>
      </c>
      <c r="H263" s="34"/>
      <c r="I263" s="34"/>
      <c r="J263" s="2">
        <f t="shared" si="17"/>
        <v>0</v>
      </c>
      <c r="K263" s="35">
        <v>514800</v>
      </c>
      <c r="L263" s="35">
        <v>38000</v>
      </c>
      <c r="M263" s="35">
        <f>K263+L263</f>
        <v>552800</v>
      </c>
      <c r="N263" s="36">
        <f t="shared" si="18"/>
        <v>552.8</v>
      </c>
    </row>
    <row r="264" spans="1:14" s="32" customFormat="1" ht="29.25" customHeight="1">
      <c r="A264" s="120"/>
      <c r="B264" s="66"/>
      <c r="C264" s="66"/>
      <c r="D264" s="3" t="s">
        <v>412</v>
      </c>
      <c r="E264" s="3"/>
      <c r="F264" s="3"/>
      <c r="G264" s="2">
        <f t="shared" si="16"/>
        <v>0</v>
      </c>
      <c r="H264" s="3"/>
      <c r="I264" s="3"/>
      <c r="J264" s="2">
        <f t="shared" si="17"/>
        <v>0</v>
      </c>
      <c r="K264" s="30" t="e">
        <f>K17+K40+K55+K66+K75+K82+K140+K142+K252+K254+K256+K261</f>
        <v>#REF!</v>
      </c>
      <c r="L264" s="30" t="e">
        <f>L17+L40+L55+L66+L75+L82+L140+L142+L252+L254+L256+L261</f>
        <v>#REF!</v>
      </c>
      <c r="M264" s="30" t="e">
        <f>M17+M40+M55+M66+M75+M82+M140+M142+M252+M254+M256+M261</f>
        <v>#REF!</v>
      </c>
      <c r="N264" s="31">
        <f>N17+N40+N55+N66+N75+N82+N140+N142+N252+N254+N256+N261</f>
        <v>470245.89999999997</v>
      </c>
    </row>
    <row r="265" spans="1:14" s="125" customFormat="1" ht="27.75" customHeight="1">
      <c r="A265" s="121"/>
      <c r="B265" s="122"/>
      <c r="C265" s="122"/>
      <c r="D265" s="4" t="s">
        <v>413</v>
      </c>
      <c r="E265" s="123"/>
      <c r="F265" s="123"/>
      <c r="G265" s="2">
        <f t="shared" si="16"/>
        <v>0</v>
      </c>
      <c r="H265" s="123"/>
      <c r="I265" s="123"/>
      <c r="J265" s="2">
        <f t="shared" si="17"/>
        <v>0</v>
      </c>
      <c r="K265" s="30"/>
      <c r="L265" s="124"/>
      <c r="M265" s="124"/>
      <c r="N265" s="7">
        <v>6084.1</v>
      </c>
    </row>
    <row r="266" spans="1:14" s="125" customFormat="1" ht="27.75" customHeight="1">
      <c r="A266" s="121"/>
      <c r="B266" s="122"/>
      <c r="C266" s="122"/>
      <c r="D266" s="4" t="s">
        <v>414</v>
      </c>
      <c r="E266" s="123"/>
      <c r="F266" s="123"/>
      <c r="G266" s="2">
        <f t="shared" si="16"/>
        <v>0</v>
      </c>
      <c r="H266" s="123"/>
      <c r="I266" s="123"/>
      <c r="J266" s="2">
        <f t="shared" si="17"/>
        <v>0</v>
      </c>
      <c r="K266" s="126"/>
      <c r="L266" s="124"/>
      <c r="M266" s="124"/>
      <c r="N266" s="7">
        <v>73.4</v>
      </c>
    </row>
    <row r="267" spans="1:14" s="125" customFormat="1" ht="27.75" customHeight="1">
      <c r="A267" s="121"/>
      <c r="B267" s="122"/>
      <c r="C267" s="122"/>
      <c r="D267" s="5" t="s">
        <v>148</v>
      </c>
      <c r="E267" s="123"/>
      <c r="F267" s="123"/>
      <c r="G267" s="2">
        <f t="shared" si="16"/>
        <v>0</v>
      </c>
      <c r="H267" s="123"/>
      <c r="I267" s="123"/>
      <c r="J267" s="2">
        <f t="shared" si="17"/>
        <v>0</v>
      </c>
      <c r="K267" s="126"/>
      <c r="L267" s="124"/>
      <c r="M267" s="124"/>
      <c r="N267" s="8">
        <v>73.4</v>
      </c>
    </row>
    <row r="268" spans="1:14" s="125" customFormat="1" ht="27.75" customHeight="1">
      <c r="A268" s="127"/>
      <c r="B268" s="128"/>
      <c r="C268" s="128"/>
      <c r="D268" s="6"/>
      <c r="E268" s="129"/>
      <c r="F268" s="129"/>
      <c r="G268" s="129"/>
      <c r="H268" s="129"/>
      <c r="I268" s="129"/>
      <c r="J268" s="129"/>
      <c r="K268" s="130"/>
      <c r="M268" s="131"/>
      <c r="N268" s="13"/>
    </row>
    <row r="269" spans="1:14" s="125" customFormat="1" ht="27.75" customHeight="1">
      <c r="A269" s="127"/>
      <c r="B269" s="128"/>
      <c r="C269" s="128"/>
      <c r="D269" s="6"/>
      <c r="E269" s="129"/>
      <c r="F269" s="129"/>
      <c r="G269" s="129"/>
      <c r="H269" s="129"/>
      <c r="I269" s="129"/>
      <c r="J269" s="129"/>
      <c r="K269" s="130"/>
      <c r="M269" s="132"/>
      <c r="N269" s="13"/>
    </row>
    <row r="270" spans="1:11" s="139" customFormat="1" ht="27.75">
      <c r="A270" s="147"/>
      <c r="B270" s="147"/>
      <c r="C270" s="147"/>
      <c r="D270" s="147" t="s">
        <v>427</v>
      </c>
      <c r="E270" s="147"/>
      <c r="I270" s="158" t="s">
        <v>428</v>
      </c>
      <c r="J270" s="158"/>
      <c r="K270" s="158"/>
    </row>
    <row r="271" spans="1:11" s="139" customFormat="1" ht="27.75">
      <c r="A271" s="148"/>
      <c r="B271" s="148"/>
      <c r="C271" s="148"/>
      <c r="D271" s="147"/>
      <c r="E271" s="147"/>
      <c r="F271" s="147"/>
      <c r="G271" s="147"/>
      <c r="H271" s="147"/>
      <c r="I271" s="147"/>
      <c r="J271" s="147"/>
      <c r="K271" s="149"/>
    </row>
    <row r="272" spans="1:12" s="20" customFormat="1" ht="6" customHeight="1">
      <c r="A272" s="133"/>
      <c r="B272" s="133"/>
      <c r="C272" s="133"/>
      <c r="D272" s="134"/>
      <c r="E272" s="134"/>
      <c r="F272" s="134"/>
      <c r="G272" s="134"/>
      <c r="H272" s="134"/>
      <c r="I272" s="134"/>
      <c r="J272" s="134"/>
      <c r="K272" s="135"/>
      <c r="L272" s="125"/>
    </row>
    <row r="273" spans="1:12" s="139" customFormat="1" ht="27.75">
      <c r="A273" s="136"/>
      <c r="B273" s="150"/>
      <c r="C273" s="151"/>
      <c r="D273" s="152" t="s">
        <v>429</v>
      </c>
      <c r="I273" s="137"/>
      <c r="J273" s="137"/>
      <c r="K273" s="138"/>
      <c r="L273" s="125"/>
    </row>
    <row r="274" spans="1:14" s="125" customFormat="1" ht="27.75" customHeight="1">
      <c r="A274" s="127"/>
      <c r="B274" s="128"/>
      <c r="C274" s="128"/>
      <c r="D274" s="129" t="s">
        <v>430</v>
      </c>
      <c r="E274" s="129"/>
      <c r="F274" s="129"/>
      <c r="G274" s="129"/>
      <c r="H274" s="129"/>
      <c r="I274" s="129"/>
      <c r="J274" s="129"/>
      <c r="K274" s="130"/>
      <c r="N274" s="13"/>
    </row>
    <row r="275" spans="1:14" s="125" customFormat="1" ht="27.75" customHeight="1">
      <c r="A275" s="127"/>
      <c r="B275" s="128"/>
      <c r="C275" s="128"/>
      <c r="D275" s="129"/>
      <c r="E275" s="129"/>
      <c r="F275" s="129"/>
      <c r="G275" s="129"/>
      <c r="H275" s="129"/>
      <c r="I275" s="129"/>
      <c r="J275" s="129"/>
      <c r="K275" s="130"/>
      <c r="N275" s="13"/>
    </row>
    <row r="276" spans="1:14" s="125" customFormat="1" ht="27.75" customHeight="1">
      <c r="A276" s="127"/>
      <c r="B276" s="128"/>
      <c r="C276" s="128"/>
      <c r="D276" s="129"/>
      <c r="E276" s="129"/>
      <c r="F276" s="129"/>
      <c r="G276" s="129"/>
      <c r="H276" s="129"/>
      <c r="I276" s="129"/>
      <c r="J276" s="129"/>
      <c r="K276" s="130"/>
      <c r="N276" s="13"/>
    </row>
    <row r="277" spans="1:14" s="125" customFormat="1" ht="27.75" customHeight="1">
      <c r="A277" s="127"/>
      <c r="B277" s="128"/>
      <c r="C277" s="128"/>
      <c r="D277" s="129"/>
      <c r="E277" s="129"/>
      <c r="F277" s="129"/>
      <c r="G277" s="129"/>
      <c r="H277" s="129"/>
      <c r="I277" s="129"/>
      <c r="J277" s="129"/>
      <c r="K277" s="130"/>
      <c r="N277" s="13"/>
    </row>
    <row r="278" spans="1:14" s="125" customFormat="1" ht="27.75" customHeight="1">
      <c r="A278" s="127"/>
      <c r="B278" s="128"/>
      <c r="C278" s="128"/>
      <c r="D278" s="129"/>
      <c r="E278" s="129"/>
      <c r="F278" s="129"/>
      <c r="G278" s="129"/>
      <c r="H278" s="129"/>
      <c r="I278" s="129"/>
      <c r="J278" s="129"/>
      <c r="K278" s="130"/>
      <c r="N278" s="13"/>
    </row>
    <row r="279" spans="1:14" s="125" customFormat="1" ht="27.75" customHeight="1">
      <c r="A279" s="127"/>
      <c r="B279" s="128"/>
      <c r="C279" s="128"/>
      <c r="D279" s="129"/>
      <c r="E279" s="129"/>
      <c r="F279" s="129"/>
      <c r="G279" s="129"/>
      <c r="H279" s="129"/>
      <c r="I279" s="129"/>
      <c r="J279" s="129"/>
      <c r="K279" s="130"/>
      <c r="N279" s="13"/>
    </row>
    <row r="280" spans="1:14" s="125" customFormat="1" ht="27.75" customHeight="1">
      <c r="A280" s="127"/>
      <c r="B280" s="128"/>
      <c r="C280" s="128"/>
      <c r="D280" s="129"/>
      <c r="E280" s="129"/>
      <c r="F280" s="129"/>
      <c r="G280" s="129"/>
      <c r="H280" s="129"/>
      <c r="I280" s="129"/>
      <c r="J280" s="129"/>
      <c r="K280" s="130"/>
      <c r="N280" s="13"/>
    </row>
    <row r="281" spans="1:14" s="125" customFormat="1" ht="27.75" customHeight="1">
      <c r="A281" s="127"/>
      <c r="B281" s="128"/>
      <c r="C281" s="128"/>
      <c r="D281" s="129"/>
      <c r="E281" s="129"/>
      <c r="F281" s="129"/>
      <c r="G281" s="129"/>
      <c r="H281" s="129"/>
      <c r="I281" s="129"/>
      <c r="J281" s="129"/>
      <c r="K281" s="130"/>
      <c r="N281" s="13"/>
    </row>
    <row r="282" spans="1:14" s="125" customFormat="1" ht="18.75">
      <c r="A282" s="127"/>
      <c r="B282" s="128"/>
      <c r="C282" s="128"/>
      <c r="D282" s="129"/>
      <c r="E282" s="129"/>
      <c r="F282" s="129"/>
      <c r="G282" s="129"/>
      <c r="H282" s="129"/>
      <c r="I282" s="129"/>
      <c r="J282" s="129"/>
      <c r="K282" s="130"/>
      <c r="N282" s="13"/>
    </row>
    <row r="283" spans="1:14" s="125" customFormat="1" ht="18.75">
      <c r="A283" s="127"/>
      <c r="B283" s="128"/>
      <c r="C283" s="128"/>
      <c r="D283" s="129"/>
      <c r="E283" s="129"/>
      <c r="F283" s="129"/>
      <c r="G283" s="129"/>
      <c r="H283" s="129"/>
      <c r="I283" s="129"/>
      <c r="J283" s="129"/>
      <c r="K283" s="130"/>
      <c r="N283" s="13"/>
    </row>
    <row r="284" spans="1:14" s="125" customFormat="1" ht="18.75">
      <c r="A284" s="127"/>
      <c r="B284" s="128"/>
      <c r="C284" s="128"/>
      <c r="D284" s="129"/>
      <c r="E284" s="129"/>
      <c r="F284" s="129"/>
      <c r="G284" s="129"/>
      <c r="H284" s="129"/>
      <c r="I284" s="129"/>
      <c r="J284" s="129"/>
      <c r="K284" s="130"/>
      <c r="N284" s="13"/>
    </row>
    <row r="285" spans="1:14" s="125" customFormat="1" ht="18.75">
      <c r="A285" s="127"/>
      <c r="B285" s="128"/>
      <c r="C285" s="128"/>
      <c r="D285" s="129"/>
      <c r="E285" s="129"/>
      <c r="F285" s="129"/>
      <c r="G285" s="129"/>
      <c r="H285" s="129"/>
      <c r="I285" s="129"/>
      <c r="J285" s="129"/>
      <c r="K285" s="130"/>
      <c r="N285" s="13"/>
    </row>
    <row r="286" spans="1:14" s="125" customFormat="1" ht="18.75">
      <c r="A286" s="127"/>
      <c r="B286" s="128"/>
      <c r="C286" s="128"/>
      <c r="D286" s="129"/>
      <c r="E286" s="129"/>
      <c r="F286" s="129"/>
      <c r="G286" s="129"/>
      <c r="H286" s="129"/>
      <c r="I286" s="129"/>
      <c r="J286" s="129"/>
      <c r="K286" s="130"/>
      <c r="N286" s="13"/>
    </row>
    <row r="287" spans="1:14" s="125" customFormat="1" ht="18.75">
      <c r="A287" s="127"/>
      <c r="B287" s="128"/>
      <c r="C287" s="128"/>
      <c r="D287" s="129"/>
      <c r="E287" s="129"/>
      <c r="F287" s="129"/>
      <c r="G287" s="129"/>
      <c r="H287" s="129"/>
      <c r="I287" s="129"/>
      <c r="J287" s="129"/>
      <c r="K287" s="130"/>
      <c r="N287" s="13"/>
    </row>
    <row r="288" spans="1:14" s="125" customFormat="1" ht="18.75">
      <c r="A288" s="127"/>
      <c r="B288" s="128"/>
      <c r="C288" s="128"/>
      <c r="D288" s="129"/>
      <c r="E288" s="129"/>
      <c r="F288" s="129"/>
      <c r="G288" s="129"/>
      <c r="H288" s="129"/>
      <c r="I288" s="129"/>
      <c r="J288" s="129"/>
      <c r="K288" s="130"/>
      <c r="N288" s="13"/>
    </row>
    <row r="289" spans="1:14" s="125" customFormat="1" ht="18.75">
      <c r="A289" s="127"/>
      <c r="B289" s="128"/>
      <c r="C289" s="128"/>
      <c r="D289" s="129"/>
      <c r="E289" s="129"/>
      <c r="F289" s="129"/>
      <c r="G289" s="129"/>
      <c r="H289" s="129"/>
      <c r="I289" s="129"/>
      <c r="J289" s="129"/>
      <c r="K289" s="130"/>
      <c r="N289" s="13"/>
    </row>
    <row r="290" spans="1:14" s="125" customFormat="1" ht="18.75">
      <c r="A290" s="127"/>
      <c r="B290" s="128"/>
      <c r="C290" s="128"/>
      <c r="D290" s="129"/>
      <c r="E290" s="129"/>
      <c r="F290" s="129"/>
      <c r="G290" s="129"/>
      <c r="H290" s="129"/>
      <c r="I290" s="129"/>
      <c r="J290" s="129"/>
      <c r="K290" s="130"/>
      <c r="N290" s="13"/>
    </row>
    <row r="291" spans="1:14" s="125" customFormat="1" ht="18.75">
      <c r="A291" s="127"/>
      <c r="B291" s="128"/>
      <c r="C291" s="128"/>
      <c r="D291" s="129"/>
      <c r="E291" s="129"/>
      <c r="F291" s="129"/>
      <c r="G291" s="129"/>
      <c r="H291" s="129"/>
      <c r="I291" s="129"/>
      <c r="J291" s="129"/>
      <c r="K291" s="130"/>
      <c r="N291" s="13"/>
    </row>
    <row r="292" spans="1:14" s="125" customFormat="1" ht="18.75">
      <c r="A292" s="127"/>
      <c r="B292" s="128"/>
      <c r="C292" s="128"/>
      <c r="D292" s="129"/>
      <c r="E292" s="129"/>
      <c r="F292" s="129"/>
      <c r="G292" s="129"/>
      <c r="H292" s="129"/>
      <c r="I292" s="129"/>
      <c r="J292" s="129"/>
      <c r="K292" s="130"/>
      <c r="N292" s="13"/>
    </row>
    <row r="293" spans="1:14" s="125" customFormat="1" ht="18.75">
      <c r="A293" s="127"/>
      <c r="B293" s="128"/>
      <c r="C293" s="128"/>
      <c r="D293" s="129"/>
      <c r="E293" s="129"/>
      <c r="F293" s="129"/>
      <c r="G293" s="129"/>
      <c r="H293" s="129"/>
      <c r="I293" s="129"/>
      <c r="J293" s="129"/>
      <c r="K293" s="130"/>
      <c r="N293" s="13"/>
    </row>
    <row r="294" spans="1:14" s="125" customFormat="1" ht="18.75">
      <c r="A294" s="127"/>
      <c r="B294" s="128"/>
      <c r="C294" s="128"/>
      <c r="D294" s="129"/>
      <c r="E294" s="129"/>
      <c r="F294" s="129"/>
      <c r="G294" s="129"/>
      <c r="H294" s="129"/>
      <c r="I294" s="129"/>
      <c r="J294" s="129"/>
      <c r="K294" s="130"/>
      <c r="N294" s="13"/>
    </row>
    <row r="295" spans="1:14" s="125" customFormat="1" ht="18.75">
      <c r="A295" s="127"/>
      <c r="B295" s="128"/>
      <c r="C295" s="128"/>
      <c r="D295" s="129"/>
      <c r="E295" s="129"/>
      <c r="F295" s="129"/>
      <c r="G295" s="129"/>
      <c r="H295" s="129"/>
      <c r="I295" s="129"/>
      <c r="J295" s="129"/>
      <c r="K295" s="130"/>
      <c r="N295" s="13"/>
    </row>
    <row r="296" spans="1:14" s="125" customFormat="1" ht="18.75">
      <c r="A296" s="127"/>
      <c r="B296" s="128"/>
      <c r="C296" s="128"/>
      <c r="D296" s="129"/>
      <c r="E296" s="129"/>
      <c r="F296" s="129"/>
      <c r="G296" s="129"/>
      <c r="H296" s="129"/>
      <c r="I296" s="129"/>
      <c r="J296" s="129"/>
      <c r="K296" s="130"/>
      <c r="N296" s="13"/>
    </row>
    <row r="297" spans="1:14" s="125" customFormat="1" ht="18.75">
      <c r="A297" s="127"/>
      <c r="B297" s="128"/>
      <c r="C297" s="128"/>
      <c r="D297" s="129"/>
      <c r="E297" s="129"/>
      <c r="F297" s="129"/>
      <c r="G297" s="129"/>
      <c r="H297" s="129"/>
      <c r="I297" s="129"/>
      <c r="J297" s="129"/>
      <c r="K297" s="130"/>
      <c r="N297" s="13"/>
    </row>
    <row r="298" spans="1:14" s="125" customFormat="1" ht="18.75">
      <c r="A298" s="127"/>
      <c r="B298" s="128"/>
      <c r="C298" s="128"/>
      <c r="D298" s="129"/>
      <c r="E298" s="129"/>
      <c r="F298" s="129"/>
      <c r="G298" s="129"/>
      <c r="H298" s="129"/>
      <c r="I298" s="129"/>
      <c r="J298" s="129"/>
      <c r="K298" s="130"/>
      <c r="N298" s="13"/>
    </row>
    <row r="299" spans="1:14" s="125" customFormat="1" ht="18.75">
      <c r="A299" s="127"/>
      <c r="B299" s="128"/>
      <c r="C299" s="128"/>
      <c r="D299" s="129"/>
      <c r="E299" s="129"/>
      <c r="F299" s="129"/>
      <c r="G299" s="129"/>
      <c r="H299" s="129"/>
      <c r="I299" s="129"/>
      <c r="J299" s="129"/>
      <c r="K299" s="130"/>
      <c r="N299" s="13"/>
    </row>
    <row r="300" spans="1:14" s="125" customFormat="1" ht="18.75">
      <c r="A300" s="127"/>
      <c r="B300" s="128"/>
      <c r="C300" s="128"/>
      <c r="D300" s="129"/>
      <c r="E300" s="129"/>
      <c r="F300" s="129"/>
      <c r="G300" s="129"/>
      <c r="H300" s="129"/>
      <c r="I300" s="129"/>
      <c r="J300" s="129"/>
      <c r="K300" s="130"/>
      <c r="N300" s="13"/>
    </row>
    <row r="301" spans="1:14" s="125" customFormat="1" ht="18.75">
      <c r="A301" s="127"/>
      <c r="B301" s="128"/>
      <c r="C301" s="128"/>
      <c r="D301" s="129"/>
      <c r="E301" s="129"/>
      <c r="F301" s="129"/>
      <c r="G301" s="129"/>
      <c r="H301" s="129"/>
      <c r="I301" s="129"/>
      <c r="J301" s="129"/>
      <c r="K301" s="130"/>
      <c r="N301" s="13"/>
    </row>
    <row r="302" spans="1:14" s="125" customFormat="1" ht="18.75">
      <c r="A302" s="127"/>
      <c r="B302" s="128"/>
      <c r="C302" s="128"/>
      <c r="D302" s="129"/>
      <c r="E302" s="129"/>
      <c r="F302" s="129"/>
      <c r="G302" s="129"/>
      <c r="H302" s="129"/>
      <c r="I302" s="129"/>
      <c r="J302" s="129"/>
      <c r="K302" s="130"/>
      <c r="N302" s="13"/>
    </row>
    <row r="303" spans="1:14" s="125" customFormat="1" ht="18.75">
      <c r="A303" s="127"/>
      <c r="B303" s="128"/>
      <c r="C303" s="128"/>
      <c r="D303" s="129"/>
      <c r="E303" s="129"/>
      <c r="F303" s="129"/>
      <c r="G303" s="129"/>
      <c r="H303" s="129"/>
      <c r="I303" s="129"/>
      <c r="J303" s="129"/>
      <c r="K303" s="130"/>
      <c r="N303" s="13"/>
    </row>
    <row r="304" spans="1:14" s="125" customFormat="1" ht="18.75">
      <c r="A304" s="127"/>
      <c r="B304" s="128"/>
      <c r="C304" s="128"/>
      <c r="D304" s="129"/>
      <c r="E304" s="129"/>
      <c r="F304" s="129"/>
      <c r="G304" s="129"/>
      <c r="H304" s="129"/>
      <c r="I304" s="129"/>
      <c r="J304" s="129"/>
      <c r="K304" s="130"/>
      <c r="N304" s="13"/>
    </row>
    <row r="305" spans="1:14" s="125" customFormat="1" ht="18.75">
      <c r="A305" s="127"/>
      <c r="B305" s="128"/>
      <c r="C305" s="128"/>
      <c r="D305" s="129"/>
      <c r="E305" s="129"/>
      <c r="F305" s="129"/>
      <c r="G305" s="129"/>
      <c r="H305" s="129"/>
      <c r="I305" s="129"/>
      <c r="J305" s="129"/>
      <c r="K305" s="130"/>
      <c r="N305" s="13"/>
    </row>
    <row r="306" spans="1:14" s="125" customFormat="1" ht="18.75">
      <c r="A306" s="127"/>
      <c r="B306" s="128"/>
      <c r="C306" s="128"/>
      <c r="D306" s="129"/>
      <c r="E306" s="129"/>
      <c r="F306" s="129"/>
      <c r="G306" s="129"/>
      <c r="H306" s="129"/>
      <c r="I306" s="129"/>
      <c r="J306" s="129"/>
      <c r="K306" s="130"/>
      <c r="N306" s="13"/>
    </row>
    <row r="307" spans="1:14" s="125" customFormat="1" ht="18.75">
      <c r="A307" s="127"/>
      <c r="B307" s="128"/>
      <c r="C307" s="128"/>
      <c r="D307" s="129"/>
      <c r="E307" s="129"/>
      <c r="F307" s="129"/>
      <c r="G307" s="129"/>
      <c r="H307" s="129"/>
      <c r="I307" s="129"/>
      <c r="J307" s="129"/>
      <c r="K307" s="130"/>
      <c r="N307" s="13"/>
    </row>
    <row r="308" spans="1:14" s="125" customFormat="1" ht="18.75">
      <c r="A308" s="127"/>
      <c r="B308" s="128"/>
      <c r="C308" s="128"/>
      <c r="D308" s="129"/>
      <c r="E308" s="129"/>
      <c r="F308" s="129"/>
      <c r="G308" s="129"/>
      <c r="H308" s="129"/>
      <c r="I308" s="129"/>
      <c r="J308" s="129"/>
      <c r="K308" s="130"/>
      <c r="N308" s="13"/>
    </row>
    <row r="309" spans="1:14" s="125" customFormat="1" ht="18.75">
      <c r="A309" s="127"/>
      <c r="B309" s="128"/>
      <c r="C309" s="128"/>
      <c r="D309" s="129"/>
      <c r="E309" s="129"/>
      <c r="F309" s="129"/>
      <c r="G309" s="129"/>
      <c r="H309" s="129"/>
      <c r="I309" s="129"/>
      <c r="J309" s="129"/>
      <c r="K309" s="130"/>
      <c r="N309" s="13"/>
    </row>
    <row r="310" spans="1:14" s="125" customFormat="1" ht="18.75">
      <c r="A310" s="127"/>
      <c r="B310" s="128"/>
      <c r="C310" s="128"/>
      <c r="D310" s="129"/>
      <c r="E310" s="129"/>
      <c r="F310" s="129"/>
      <c r="G310" s="129"/>
      <c r="H310" s="129"/>
      <c r="I310" s="129"/>
      <c r="J310" s="129"/>
      <c r="K310" s="130"/>
      <c r="N310" s="13"/>
    </row>
    <row r="311" spans="1:14" s="125" customFormat="1" ht="18.75">
      <c r="A311" s="127"/>
      <c r="B311" s="128"/>
      <c r="C311" s="128"/>
      <c r="D311" s="129"/>
      <c r="E311" s="129"/>
      <c r="F311" s="129"/>
      <c r="G311" s="129"/>
      <c r="H311" s="129"/>
      <c r="I311" s="129"/>
      <c r="J311" s="129"/>
      <c r="K311" s="130"/>
      <c r="N311" s="13"/>
    </row>
    <row r="312" spans="1:14" s="125" customFormat="1" ht="18.75">
      <c r="A312" s="127"/>
      <c r="B312" s="128"/>
      <c r="C312" s="128"/>
      <c r="D312" s="129"/>
      <c r="E312" s="129"/>
      <c r="F312" s="129"/>
      <c r="G312" s="129"/>
      <c r="H312" s="129"/>
      <c r="I312" s="129"/>
      <c r="J312" s="129"/>
      <c r="K312" s="130"/>
      <c r="N312" s="13"/>
    </row>
    <row r="313" spans="1:14" s="125" customFormat="1" ht="18.75">
      <c r="A313" s="127"/>
      <c r="B313" s="128"/>
      <c r="C313" s="128"/>
      <c r="D313" s="129"/>
      <c r="E313" s="129"/>
      <c r="F313" s="129"/>
      <c r="G313" s="129"/>
      <c r="H313" s="129"/>
      <c r="I313" s="129"/>
      <c r="J313" s="129"/>
      <c r="K313" s="130"/>
      <c r="N313" s="13"/>
    </row>
    <row r="314" spans="1:14" s="125" customFormat="1" ht="18.75">
      <c r="A314" s="127"/>
      <c r="B314" s="128"/>
      <c r="C314" s="128"/>
      <c r="D314" s="129"/>
      <c r="E314" s="129"/>
      <c r="F314" s="129"/>
      <c r="G314" s="129"/>
      <c r="H314" s="129"/>
      <c r="I314" s="129"/>
      <c r="J314" s="129"/>
      <c r="K314" s="130"/>
      <c r="N314" s="13"/>
    </row>
    <row r="315" spans="1:14" s="125" customFormat="1" ht="18.75">
      <c r="A315" s="127"/>
      <c r="B315" s="128"/>
      <c r="C315" s="128"/>
      <c r="D315" s="129"/>
      <c r="E315" s="129"/>
      <c r="F315" s="129"/>
      <c r="G315" s="129"/>
      <c r="H315" s="129"/>
      <c r="I315" s="129"/>
      <c r="J315" s="129"/>
      <c r="K315" s="130"/>
      <c r="N315" s="13"/>
    </row>
    <row r="316" spans="1:14" s="125" customFormat="1" ht="18.75">
      <c r="A316" s="127"/>
      <c r="B316" s="128"/>
      <c r="C316" s="128"/>
      <c r="D316" s="129"/>
      <c r="E316" s="129"/>
      <c r="F316" s="129"/>
      <c r="G316" s="129"/>
      <c r="H316" s="129"/>
      <c r="I316" s="129"/>
      <c r="J316" s="129"/>
      <c r="K316" s="130"/>
      <c r="N316" s="13"/>
    </row>
    <row r="317" spans="1:14" s="125" customFormat="1" ht="18.75">
      <c r="A317" s="127"/>
      <c r="B317" s="128"/>
      <c r="C317" s="128"/>
      <c r="D317" s="129"/>
      <c r="E317" s="129"/>
      <c r="F317" s="129"/>
      <c r="G317" s="129"/>
      <c r="H317" s="129"/>
      <c r="I317" s="129"/>
      <c r="J317" s="129"/>
      <c r="K317" s="130"/>
      <c r="N317" s="13"/>
    </row>
    <row r="318" spans="1:14" s="125" customFormat="1" ht="18.75">
      <c r="A318" s="127"/>
      <c r="B318" s="128"/>
      <c r="C318" s="128"/>
      <c r="D318" s="129"/>
      <c r="E318" s="129"/>
      <c r="F318" s="129"/>
      <c r="G318" s="129"/>
      <c r="H318" s="129"/>
      <c r="I318" s="129"/>
      <c r="J318" s="129"/>
      <c r="K318" s="130"/>
      <c r="N318" s="13"/>
    </row>
    <row r="319" spans="1:14" s="125" customFormat="1" ht="18.75">
      <c r="A319" s="127"/>
      <c r="B319" s="128"/>
      <c r="C319" s="128"/>
      <c r="D319" s="129"/>
      <c r="E319" s="129"/>
      <c r="F319" s="129"/>
      <c r="G319" s="129"/>
      <c r="H319" s="129"/>
      <c r="I319" s="129"/>
      <c r="J319" s="129"/>
      <c r="K319" s="130"/>
      <c r="N319" s="13"/>
    </row>
    <row r="320" spans="1:14" s="125" customFormat="1" ht="18.75">
      <c r="A320" s="127"/>
      <c r="B320" s="128"/>
      <c r="C320" s="128"/>
      <c r="D320" s="129"/>
      <c r="E320" s="129"/>
      <c r="F320" s="129"/>
      <c r="G320" s="129"/>
      <c r="H320" s="129"/>
      <c r="I320" s="129"/>
      <c r="J320" s="129"/>
      <c r="K320" s="130"/>
      <c r="N320" s="13"/>
    </row>
    <row r="321" spans="1:14" s="125" customFormat="1" ht="18.75">
      <c r="A321" s="127"/>
      <c r="B321" s="128"/>
      <c r="C321" s="128"/>
      <c r="D321" s="129"/>
      <c r="E321" s="129"/>
      <c r="F321" s="129"/>
      <c r="G321" s="129"/>
      <c r="H321" s="129"/>
      <c r="I321" s="129"/>
      <c r="J321" s="129"/>
      <c r="K321" s="130"/>
      <c r="N321" s="13"/>
    </row>
    <row r="322" spans="1:14" s="125" customFormat="1" ht="18.75">
      <c r="A322" s="127"/>
      <c r="B322" s="128"/>
      <c r="C322" s="128"/>
      <c r="D322" s="129"/>
      <c r="E322" s="129"/>
      <c r="F322" s="129"/>
      <c r="G322" s="129"/>
      <c r="H322" s="129"/>
      <c r="I322" s="129"/>
      <c r="J322" s="129"/>
      <c r="K322" s="130"/>
      <c r="N322" s="13"/>
    </row>
    <row r="323" spans="1:14" s="125" customFormat="1" ht="18.75">
      <c r="A323" s="127"/>
      <c r="B323" s="128"/>
      <c r="C323" s="128"/>
      <c r="D323" s="129"/>
      <c r="E323" s="129"/>
      <c r="F323" s="129"/>
      <c r="G323" s="129"/>
      <c r="H323" s="129"/>
      <c r="I323" s="129"/>
      <c r="J323" s="129"/>
      <c r="K323" s="130"/>
      <c r="N323" s="13"/>
    </row>
    <row r="324" spans="1:14" s="125" customFormat="1" ht="18.75">
      <c r="A324" s="127"/>
      <c r="B324" s="128"/>
      <c r="C324" s="128"/>
      <c r="D324" s="129"/>
      <c r="E324" s="129"/>
      <c r="F324" s="129"/>
      <c r="G324" s="129"/>
      <c r="H324" s="129"/>
      <c r="I324" s="129"/>
      <c r="J324" s="129"/>
      <c r="K324" s="130"/>
      <c r="N324" s="13"/>
    </row>
    <row r="325" spans="1:14" s="125" customFormat="1" ht="18.75">
      <c r="A325" s="127"/>
      <c r="B325" s="128"/>
      <c r="C325" s="128"/>
      <c r="D325" s="129"/>
      <c r="E325" s="129"/>
      <c r="F325" s="129"/>
      <c r="G325" s="129"/>
      <c r="H325" s="129"/>
      <c r="I325" s="129"/>
      <c r="J325" s="129"/>
      <c r="K325" s="130"/>
      <c r="N325" s="13"/>
    </row>
    <row r="326" spans="1:14" s="125" customFormat="1" ht="18.75">
      <c r="A326" s="127"/>
      <c r="B326" s="128"/>
      <c r="C326" s="128"/>
      <c r="D326" s="129"/>
      <c r="E326" s="129"/>
      <c r="F326" s="129"/>
      <c r="G326" s="129"/>
      <c r="H326" s="129"/>
      <c r="I326" s="129"/>
      <c r="J326" s="129"/>
      <c r="K326" s="130"/>
      <c r="N326" s="13"/>
    </row>
    <row r="327" spans="1:14" s="125" customFormat="1" ht="18.75">
      <c r="A327" s="127"/>
      <c r="B327" s="128"/>
      <c r="C327" s="128"/>
      <c r="D327" s="129"/>
      <c r="E327" s="129"/>
      <c r="F327" s="129"/>
      <c r="G327" s="129"/>
      <c r="H327" s="129"/>
      <c r="I327" s="129"/>
      <c r="J327" s="129"/>
      <c r="K327" s="130"/>
      <c r="N327" s="13"/>
    </row>
    <row r="328" spans="1:14" s="125" customFormat="1" ht="18.75">
      <c r="A328" s="127"/>
      <c r="B328" s="128"/>
      <c r="C328" s="128"/>
      <c r="D328" s="129"/>
      <c r="E328" s="129"/>
      <c r="F328" s="129"/>
      <c r="G328" s="129"/>
      <c r="H328" s="129"/>
      <c r="I328" s="129"/>
      <c r="J328" s="129"/>
      <c r="K328" s="130"/>
      <c r="N328" s="13"/>
    </row>
    <row r="329" spans="1:14" s="125" customFormat="1" ht="18.75">
      <c r="A329" s="127"/>
      <c r="B329" s="128"/>
      <c r="C329" s="128"/>
      <c r="D329" s="129"/>
      <c r="E329" s="129"/>
      <c r="F329" s="129"/>
      <c r="G329" s="129"/>
      <c r="H329" s="129"/>
      <c r="I329" s="129"/>
      <c r="J329" s="129"/>
      <c r="K329" s="130"/>
      <c r="N329" s="13"/>
    </row>
    <row r="330" spans="1:14" s="125" customFormat="1" ht="18.75">
      <c r="A330" s="127"/>
      <c r="B330" s="128"/>
      <c r="C330" s="128"/>
      <c r="D330" s="129"/>
      <c r="E330" s="129"/>
      <c r="F330" s="129"/>
      <c r="G330" s="129"/>
      <c r="H330" s="129"/>
      <c r="I330" s="129"/>
      <c r="J330" s="129"/>
      <c r="K330" s="130"/>
      <c r="N330" s="13"/>
    </row>
    <row r="331" spans="1:14" s="125" customFormat="1" ht="18.75">
      <c r="A331" s="127"/>
      <c r="B331" s="128"/>
      <c r="C331" s="128"/>
      <c r="D331" s="129"/>
      <c r="E331" s="129"/>
      <c r="F331" s="129"/>
      <c r="G331" s="129"/>
      <c r="H331" s="129"/>
      <c r="I331" s="129"/>
      <c r="J331" s="129"/>
      <c r="K331" s="130"/>
      <c r="N331" s="13"/>
    </row>
    <row r="332" spans="1:14" s="125" customFormat="1" ht="18.75">
      <c r="A332" s="127"/>
      <c r="B332" s="128"/>
      <c r="C332" s="128"/>
      <c r="D332" s="129"/>
      <c r="E332" s="129"/>
      <c r="F332" s="129"/>
      <c r="G332" s="129"/>
      <c r="H332" s="129"/>
      <c r="I332" s="129"/>
      <c r="J332" s="129"/>
      <c r="K332" s="130"/>
      <c r="N332" s="13"/>
    </row>
    <row r="333" spans="1:14" s="125" customFormat="1" ht="18.75">
      <c r="A333" s="127"/>
      <c r="B333" s="128"/>
      <c r="C333" s="128"/>
      <c r="D333" s="129"/>
      <c r="E333" s="129"/>
      <c r="F333" s="129"/>
      <c r="G333" s="129"/>
      <c r="H333" s="129"/>
      <c r="I333" s="129"/>
      <c r="J333" s="129"/>
      <c r="K333" s="130"/>
      <c r="N333" s="13"/>
    </row>
    <row r="334" spans="1:14" s="125" customFormat="1" ht="18.75">
      <c r="A334" s="127"/>
      <c r="B334" s="128"/>
      <c r="C334" s="128"/>
      <c r="D334" s="129"/>
      <c r="E334" s="129"/>
      <c r="F334" s="129"/>
      <c r="G334" s="129"/>
      <c r="H334" s="129"/>
      <c r="I334" s="129"/>
      <c r="J334" s="129"/>
      <c r="K334" s="130"/>
      <c r="N334" s="13"/>
    </row>
    <row r="335" spans="1:14" s="125" customFormat="1" ht="18.75">
      <c r="A335" s="127"/>
      <c r="B335" s="128"/>
      <c r="C335" s="128"/>
      <c r="D335" s="129"/>
      <c r="E335" s="129"/>
      <c r="F335" s="129"/>
      <c r="G335" s="129"/>
      <c r="H335" s="129"/>
      <c r="I335" s="129"/>
      <c r="J335" s="129"/>
      <c r="K335" s="130"/>
      <c r="N335" s="13"/>
    </row>
    <row r="336" spans="1:14" s="125" customFormat="1" ht="18.75">
      <c r="A336" s="127"/>
      <c r="B336" s="128"/>
      <c r="C336" s="128"/>
      <c r="D336" s="129"/>
      <c r="E336" s="129"/>
      <c r="F336" s="129"/>
      <c r="G336" s="129"/>
      <c r="H336" s="129"/>
      <c r="I336" s="129"/>
      <c r="J336" s="129"/>
      <c r="K336" s="130"/>
      <c r="N336" s="13"/>
    </row>
    <row r="337" spans="1:14" s="125" customFormat="1" ht="18.75">
      <c r="A337" s="127"/>
      <c r="B337" s="128"/>
      <c r="C337" s="128"/>
      <c r="D337" s="129"/>
      <c r="E337" s="129"/>
      <c r="F337" s="129"/>
      <c r="G337" s="129"/>
      <c r="H337" s="129"/>
      <c r="I337" s="129"/>
      <c r="J337" s="129"/>
      <c r="K337" s="130"/>
      <c r="N337" s="13"/>
    </row>
    <row r="338" spans="1:14" s="125" customFormat="1" ht="18.75">
      <c r="A338" s="127"/>
      <c r="B338" s="128"/>
      <c r="C338" s="128"/>
      <c r="D338" s="129"/>
      <c r="E338" s="129"/>
      <c r="F338" s="129"/>
      <c r="G338" s="129"/>
      <c r="H338" s="129"/>
      <c r="I338" s="129"/>
      <c r="J338" s="129"/>
      <c r="K338" s="130"/>
      <c r="N338" s="13"/>
    </row>
    <row r="339" spans="1:14" s="125" customFormat="1" ht="18.75">
      <c r="A339" s="127"/>
      <c r="B339" s="128"/>
      <c r="C339" s="128"/>
      <c r="D339" s="129"/>
      <c r="E339" s="129"/>
      <c r="F339" s="129"/>
      <c r="G339" s="129"/>
      <c r="H339" s="129"/>
      <c r="I339" s="129"/>
      <c r="J339" s="129"/>
      <c r="K339" s="130"/>
      <c r="N339" s="13"/>
    </row>
    <row r="340" spans="1:14" s="125" customFormat="1" ht="18.75">
      <c r="A340" s="127"/>
      <c r="B340" s="128"/>
      <c r="C340" s="128"/>
      <c r="D340" s="129"/>
      <c r="E340" s="129"/>
      <c r="F340" s="129"/>
      <c r="G340" s="129"/>
      <c r="H340" s="129"/>
      <c r="I340" s="129"/>
      <c r="J340" s="129"/>
      <c r="K340" s="130"/>
      <c r="N340" s="13"/>
    </row>
    <row r="341" spans="1:14" s="125" customFormat="1" ht="18.75">
      <c r="A341" s="127"/>
      <c r="B341" s="128"/>
      <c r="C341" s="128"/>
      <c r="D341" s="129"/>
      <c r="E341" s="129"/>
      <c r="F341" s="129"/>
      <c r="G341" s="129"/>
      <c r="H341" s="129"/>
      <c r="I341" s="129"/>
      <c r="J341" s="129"/>
      <c r="K341" s="130"/>
      <c r="N341" s="13"/>
    </row>
    <row r="342" spans="1:14" s="125" customFormat="1" ht="18.75">
      <c r="A342" s="127"/>
      <c r="B342" s="128"/>
      <c r="C342" s="128"/>
      <c r="D342" s="129"/>
      <c r="E342" s="129"/>
      <c r="F342" s="129"/>
      <c r="G342" s="129"/>
      <c r="H342" s="129"/>
      <c r="I342" s="129"/>
      <c r="J342" s="129"/>
      <c r="K342" s="130"/>
      <c r="N342" s="13"/>
    </row>
    <row r="343" spans="1:14" s="125" customFormat="1" ht="18.75">
      <c r="A343" s="127"/>
      <c r="B343" s="128"/>
      <c r="C343" s="128"/>
      <c r="D343" s="129"/>
      <c r="E343" s="129"/>
      <c r="F343" s="129"/>
      <c r="G343" s="129"/>
      <c r="H343" s="129"/>
      <c r="I343" s="129"/>
      <c r="J343" s="129"/>
      <c r="K343" s="130"/>
      <c r="N343" s="13"/>
    </row>
    <row r="344" spans="1:14" s="125" customFormat="1" ht="18.75">
      <c r="A344" s="127"/>
      <c r="B344" s="128"/>
      <c r="C344" s="128"/>
      <c r="D344" s="129"/>
      <c r="E344" s="129"/>
      <c r="F344" s="129"/>
      <c r="G344" s="129"/>
      <c r="H344" s="129"/>
      <c r="I344" s="129"/>
      <c r="J344" s="129"/>
      <c r="K344" s="130"/>
      <c r="N344" s="13"/>
    </row>
    <row r="345" spans="1:14" s="125" customFormat="1" ht="18.75">
      <c r="A345" s="127"/>
      <c r="B345" s="128"/>
      <c r="C345" s="128"/>
      <c r="D345" s="129"/>
      <c r="E345" s="129"/>
      <c r="F345" s="129"/>
      <c r="G345" s="129"/>
      <c r="H345" s="129"/>
      <c r="I345" s="129"/>
      <c r="J345" s="129"/>
      <c r="K345" s="130"/>
      <c r="N345" s="13"/>
    </row>
    <row r="346" spans="1:14" s="125" customFormat="1" ht="18.75">
      <c r="A346" s="127"/>
      <c r="B346" s="128"/>
      <c r="C346" s="128"/>
      <c r="D346" s="129"/>
      <c r="E346" s="129"/>
      <c r="F346" s="129"/>
      <c r="G346" s="129"/>
      <c r="H346" s="129"/>
      <c r="I346" s="129"/>
      <c r="J346" s="129"/>
      <c r="K346" s="130"/>
      <c r="N346" s="13"/>
    </row>
    <row r="347" spans="1:14" s="125" customFormat="1" ht="18.75">
      <c r="A347" s="127"/>
      <c r="B347" s="128"/>
      <c r="C347" s="128"/>
      <c r="D347" s="129"/>
      <c r="E347" s="129"/>
      <c r="F347" s="129"/>
      <c r="G347" s="129"/>
      <c r="H347" s="129"/>
      <c r="I347" s="129"/>
      <c r="J347" s="129"/>
      <c r="K347" s="130"/>
      <c r="N347" s="13"/>
    </row>
    <row r="348" spans="1:14" s="125" customFormat="1" ht="18.75">
      <c r="A348" s="127"/>
      <c r="B348" s="128"/>
      <c r="C348" s="128"/>
      <c r="D348" s="129"/>
      <c r="E348" s="129"/>
      <c r="F348" s="129"/>
      <c r="G348" s="129"/>
      <c r="H348" s="129"/>
      <c r="I348" s="129"/>
      <c r="J348" s="129"/>
      <c r="K348" s="130"/>
      <c r="N348" s="13"/>
    </row>
    <row r="349" spans="1:14" s="125" customFormat="1" ht="18.75">
      <c r="A349" s="127"/>
      <c r="B349" s="128"/>
      <c r="C349" s="128"/>
      <c r="D349" s="129"/>
      <c r="E349" s="129"/>
      <c r="F349" s="129"/>
      <c r="G349" s="129"/>
      <c r="H349" s="129"/>
      <c r="I349" s="129"/>
      <c r="J349" s="129"/>
      <c r="K349" s="130"/>
      <c r="N349" s="13"/>
    </row>
    <row r="350" spans="1:14" s="125" customFormat="1" ht="18.75">
      <c r="A350" s="127"/>
      <c r="B350" s="128"/>
      <c r="C350" s="128"/>
      <c r="D350" s="129"/>
      <c r="E350" s="129"/>
      <c r="F350" s="129"/>
      <c r="G350" s="129"/>
      <c r="H350" s="129"/>
      <c r="I350" s="129"/>
      <c r="J350" s="129"/>
      <c r="K350" s="130"/>
      <c r="N350" s="13"/>
    </row>
    <row r="351" spans="1:14" s="125" customFormat="1" ht="18.75">
      <c r="A351" s="127"/>
      <c r="B351" s="128"/>
      <c r="C351" s="128"/>
      <c r="D351" s="129"/>
      <c r="E351" s="129"/>
      <c r="F351" s="129"/>
      <c r="G351" s="129"/>
      <c r="H351" s="129"/>
      <c r="I351" s="129"/>
      <c r="J351" s="129"/>
      <c r="K351" s="130"/>
      <c r="N351" s="13"/>
    </row>
    <row r="352" spans="1:14" s="125" customFormat="1" ht="18.75">
      <c r="A352" s="127"/>
      <c r="B352" s="128"/>
      <c r="C352" s="128"/>
      <c r="D352" s="129"/>
      <c r="E352" s="129"/>
      <c r="F352" s="129"/>
      <c r="G352" s="129"/>
      <c r="H352" s="129"/>
      <c r="I352" s="129"/>
      <c r="J352" s="129"/>
      <c r="K352" s="130"/>
      <c r="N352" s="13"/>
    </row>
    <row r="353" spans="1:14" s="125" customFormat="1" ht="18.75">
      <c r="A353" s="127"/>
      <c r="B353" s="128"/>
      <c r="C353" s="128"/>
      <c r="D353" s="129"/>
      <c r="E353" s="129"/>
      <c r="F353" s="129"/>
      <c r="G353" s="129"/>
      <c r="H353" s="129"/>
      <c r="I353" s="129"/>
      <c r="J353" s="129"/>
      <c r="K353" s="130"/>
      <c r="N353" s="13"/>
    </row>
    <row r="354" spans="1:14" s="125" customFormat="1" ht="18.75">
      <c r="A354" s="127"/>
      <c r="B354" s="128"/>
      <c r="C354" s="128"/>
      <c r="D354" s="129"/>
      <c r="E354" s="129"/>
      <c r="F354" s="129"/>
      <c r="G354" s="129"/>
      <c r="H354" s="129"/>
      <c r="I354" s="129"/>
      <c r="J354" s="129"/>
      <c r="K354" s="130"/>
      <c r="N354" s="13"/>
    </row>
    <row r="355" spans="1:14" s="125" customFormat="1" ht="18.75">
      <c r="A355" s="127"/>
      <c r="B355" s="128"/>
      <c r="C355" s="128"/>
      <c r="D355" s="129"/>
      <c r="E355" s="129"/>
      <c r="F355" s="129"/>
      <c r="G355" s="129"/>
      <c r="H355" s="129"/>
      <c r="I355" s="129"/>
      <c r="J355" s="129"/>
      <c r="K355" s="130"/>
      <c r="N355" s="13"/>
    </row>
    <row r="356" spans="1:14" s="125" customFormat="1" ht="18.75">
      <c r="A356" s="127"/>
      <c r="B356" s="128"/>
      <c r="C356" s="128"/>
      <c r="D356" s="129"/>
      <c r="E356" s="129"/>
      <c r="F356" s="129"/>
      <c r="G356" s="129"/>
      <c r="H356" s="129"/>
      <c r="I356" s="129"/>
      <c r="J356" s="129"/>
      <c r="K356" s="130"/>
      <c r="N356" s="13"/>
    </row>
    <row r="357" spans="1:14" s="125" customFormat="1" ht="18.75">
      <c r="A357" s="127"/>
      <c r="B357" s="128"/>
      <c r="C357" s="128"/>
      <c r="D357" s="129"/>
      <c r="E357" s="129"/>
      <c r="F357" s="129"/>
      <c r="G357" s="129"/>
      <c r="H357" s="129"/>
      <c r="I357" s="129"/>
      <c r="J357" s="129"/>
      <c r="K357" s="130"/>
      <c r="N357" s="13"/>
    </row>
    <row r="358" spans="1:14" s="125" customFormat="1" ht="18.75">
      <c r="A358" s="127"/>
      <c r="B358" s="128"/>
      <c r="C358" s="128"/>
      <c r="D358" s="129"/>
      <c r="E358" s="129"/>
      <c r="F358" s="129"/>
      <c r="G358" s="129"/>
      <c r="H358" s="129"/>
      <c r="I358" s="129"/>
      <c r="J358" s="129"/>
      <c r="K358" s="130"/>
      <c r="N358" s="13"/>
    </row>
    <row r="359" spans="1:14" s="125" customFormat="1" ht="18.75">
      <c r="A359" s="127"/>
      <c r="B359" s="128"/>
      <c r="C359" s="128"/>
      <c r="D359" s="129"/>
      <c r="E359" s="129"/>
      <c r="F359" s="129"/>
      <c r="G359" s="129"/>
      <c r="H359" s="129"/>
      <c r="I359" s="129"/>
      <c r="J359" s="129"/>
      <c r="K359" s="130"/>
      <c r="N359" s="13"/>
    </row>
    <row r="360" spans="1:14" s="125" customFormat="1" ht="18.75">
      <c r="A360" s="127"/>
      <c r="B360" s="128"/>
      <c r="C360" s="128"/>
      <c r="D360" s="129"/>
      <c r="E360" s="129"/>
      <c r="F360" s="129"/>
      <c r="G360" s="129"/>
      <c r="H360" s="129"/>
      <c r="I360" s="129"/>
      <c r="J360" s="129"/>
      <c r="K360" s="130"/>
      <c r="N360" s="13"/>
    </row>
    <row r="361" spans="1:14" s="125" customFormat="1" ht="18.75">
      <c r="A361" s="127"/>
      <c r="B361" s="128"/>
      <c r="C361" s="128"/>
      <c r="D361" s="129"/>
      <c r="E361" s="129"/>
      <c r="F361" s="129"/>
      <c r="G361" s="129"/>
      <c r="H361" s="129"/>
      <c r="I361" s="129"/>
      <c r="J361" s="129"/>
      <c r="K361" s="130"/>
      <c r="N361" s="13"/>
    </row>
    <row r="362" spans="1:14" s="125" customFormat="1" ht="18.75">
      <c r="A362" s="127"/>
      <c r="B362" s="128"/>
      <c r="C362" s="128"/>
      <c r="D362" s="129"/>
      <c r="E362" s="129"/>
      <c r="F362" s="129"/>
      <c r="G362" s="129"/>
      <c r="H362" s="129"/>
      <c r="I362" s="129"/>
      <c r="J362" s="129"/>
      <c r="K362" s="130"/>
      <c r="N362" s="13"/>
    </row>
    <row r="363" spans="1:14" s="125" customFormat="1" ht="18.75">
      <c r="A363" s="127"/>
      <c r="B363" s="128"/>
      <c r="C363" s="128"/>
      <c r="D363" s="129"/>
      <c r="E363" s="129"/>
      <c r="F363" s="129"/>
      <c r="G363" s="129"/>
      <c r="H363" s="129"/>
      <c r="I363" s="129"/>
      <c r="J363" s="129"/>
      <c r="K363" s="130"/>
      <c r="N363" s="13"/>
    </row>
    <row r="364" spans="1:14" s="125" customFormat="1" ht="18.75">
      <c r="A364" s="127"/>
      <c r="B364" s="128"/>
      <c r="C364" s="128"/>
      <c r="D364" s="129"/>
      <c r="E364" s="129"/>
      <c r="F364" s="129"/>
      <c r="G364" s="129"/>
      <c r="H364" s="129"/>
      <c r="I364" s="129"/>
      <c r="J364" s="129"/>
      <c r="K364" s="130"/>
      <c r="N364" s="13"/>
    </row>
    <row r="365" spans="1:14" s="125" customFormat="1" ht="18.75">
      <c r="A365" s="127"/>
      <c r="B365" s="128"/>
      <c r="C365" s="128"/>
      <c r="D365" s="129"/>
      <c r="E365" s="129"/>
      <c r="F365" s="129"/>
      <c r="G365" s="129"/>
      <c r="H365" s="129"/>
      <c r="I365" s="129"/>
      <c r="J365" s="129"/>
      <c r="K365" s="130"/>
      <c r="N365" s="13"/>
    </row>
    <row r="366" spans="1:14" s="125" customFormat="1" ht="18.75">
      <c r="A366" s="127"/>
      <c r="B366" s="128"/>
      <c r="C366" s="128"/>
      <c r="D366" s="129"/>
      <c r="E366" s="129"/>
      <c r="F366" s="129"/>
      <c r="G366" s="129"/>
      <c r="H366" s="129"/>
      <c r="I366" s="129"/>
      <c r="J366" s="129"/>
      <c r="K366" s="130"/>
      <c r="N366" s="13"/>
    </row>
    <row r="367" spans="1:14" s="125" customFormat="1" ht="18.75">
      <c r="A367" s="127"/>
      <c r="B367" s="128"/>
      <c r="C367" s="128"/>
      <c r="D367" s="129"/>
      <c r="E367" s="129"/>
      <c r="F367" s="129"/>
      <c r="G367" s="129"/>
      <c r="H367" s="129"/>
      <c r="I367" s="129"/>
      <c r="J367" s="129"/>
      <c r="K367" s="130"/>
      <c r="N367" s="13"/>
    </row>
    <row r="368" spans="1:14" s="125" customFormat="1" ht="18.75">
      <c r="A368" s="127"/>
      <c r="B368" s="128"/>
      <c r="C368" s="128"/>
      <c r="D368" s="129"/>
      <c r="E368" s="129"/>
      <c r="F368" s="129"/>
      <c r="G368" s="129"/>
      <c r="H368" s="129"/>
      <c r="I368" s="129"/>
      <c r="J368" s="129"/>
      <c r="K368" s="130"/>
      <c r="N368" s="13"/>
    </row>
    <row r="369" spans="1:14" s="125" customFormat="1" ht="18.75">
      <c r="A369" s="127"/>
      <c r="B369" s="128"/>
      <c r="C369" s="128"/>
      <c r="D369" s="129"/>
      <c r="E369" s="129"/>
      <c r="F369" s="129"/>
      <c r="G369" s="129"/>
      <c r="H369" s="129"/>
      <c r="I369" s="129"/>
      <c r="J369" s="129"/>
      <c r="K369" s="130"/>
      <c r="N369" s="13"/>
    </row>
    <row r="370" spans="1:14" s="125" customFormat="1" ht="18.75">
      <c r="A370" s="127"/>
      <c r="B370" s="128"/>
      <c r="C370" s="128"/>
      <c r="D370" s="129"/>
      <c r="E370" s="129"/>
      <c r="F370" s="129"/>
      <c r="G370" s="129"/>
      <c r="H370" s="129"/>
      <c r="I370" s="129"/>
      <c r="J370" s="129"/>
      <c r="K370" s="130"/>
      <c r="N370" s="13"/>
    </row>
    <row r="371" spans="1:14" s="125" customFormat="1" ht="18.75">
      <c r="A371" s="127"/>
      <c r="B371" s="128"/>
      <c r="C371" s="128"/>
      <c r="D371" s="129"/>
      <c r="E371" s="129"/>
      <c r="F371" s="129"/>
      <c r="G371" s="129"/>
      <c r="H371" s="129"/>
      <c r="I371" s="129"/>
      <c r="J371" s="129"/>
      <c r="K371" s="130"/>
      <c r="N371" s="13"/>
    </row>
    <row r="372" spans="1:14" s="125" customFormat="1" ht="18.75">
      <c r="A372" s="127"/>
      <c r="B372" s="128"/>
      <c r="C372" s="128"/>
      <c r="D372" s="129"/>
      <c r="E372" s="129"/>
      <c r="F372" s="129"/>
      <c r="G372" s="129"/>
      <c r="H372" s="129"/>
      <c r="I372" s="129"/>
      <c r="J372" s="129"/>
      <c r="K372" s="130"/>
      <c r="N372" s="13"/>
    </row>
    <row r="373" spans="1:14" s="125" customFormat="1" ht="18.75">
      <c r="A373" s="127"/>
      <c r="B373" s="128"/>
      <c r="C373" s="128"/>
      <c r="D373" s="129"/>
      <c r="E373" s="129"/>
      <c r="F373" s="129"/>
      <c r="G373" s="129"/>
      <c r="H373" s="129"/>
      <c r="I373" s="129"/>
      <c r="J373" s="129"/>
      <c r="K373" s="130"/>
      <c r="N373" s="13"/>
    </row>
    <row r="374" spans="1:14" s="125" customFormat="1" ht="18.75">
      <c r="A374" s="127"/>
      <c r="B374" s="128"/>
      <c r="C374" s="128"/>
      <c r="D374" s="129"/>
      <c r="E374" s="129"/>
      <c r="F374" s="129"/>
      <c r="G374" s="129"/>
      <c r="H374" s="129"/>
      <c r="I374" s="129"/>
      <c r="J374" s="129"/>
      <c r="K374" s="130"/>
      <c r="N374" s="13"/>
    </row>
    <row r="375" spans="1:14" s="125" customFormat="1" ht="18.75">
      <c r="A375" s="127"/>
      <c r="B375" s="128"/>
      <c r="C375" s="128"/>
      <c r="D375" s="129"/>
      <c r="E375" s="129"/>
      <c r="F375" s="129"/>
      <c r="G375" s="129"/>
      <c r="H375" s="129"/>
      <c r="I375" s="129"/>
      <c r="J375" s="129"/>
      <c r="K375" s="130"/>
      <c r="N375" s="13"/>
    </row>
    <row r="376" spans="1:14" s="125" customFormat="1" ht="18.75">
      <c r="A376" s="127"/>
      <c r="B376" s="128"/>
      <c r="C376" s="128"/>
      <c r="D376" s="129"/>
      <c r="E376" s="129"/>
      <c r="F376" s="129"/>
      <c r="G376" s="129"/>
      <c r="H376" s="129"/>
      <c r="I376" s="129"/>
      <c r="J376" s="129"/>
      <c r="K376" s="130"/>
      <c r="N376" s="13"/>
    </row>
  </sheetData>
  <sheetProtection/>
  <mergeCells count="22">
    <mergeCell ref="N13:N15"/>
    <mergeCell ref="H13:H15"/>
    <mergeCell ref="E13:E15"/>
    <mergeCell ref="L13:L15"/>
    <mergeCell ref="M13:M15"/>
    <mergeCell ref="F13:F15"/>
    <mergeCell ref="K13:K15"/>
    <mergeCell ref="G13:G15"/>
    <mergeCell ref="J13:J15"/>
    <mergeCell ref="I270:K270"/>
    <mergeCell ref="A13:A15"/>
    <mergeCell ref="B13:B15"/>
    <mergeCell ref="C13:C15"/>
    <mergeCell ref="I13:I15"/>
    <mergeCell ref="D13:D15"/>
    <mergeCell ref="G1:N1"/>
    <mergeCell ref="G4:N4"/>
    <mergeCell ref="G5:N5"/>
    <mergeCell ref="G6:N6"/>
    <mergeCell ref="G7:N7"/>
    <mergeCell ref="D11:N11"/>
    <mergeCell ref="D10:N10"/>
  </mergeCells>
  <printOptions horizontalCentered="1"/>
  <pageMargins left="0.1968503937007874" right="0.1968503937007874" top="1.1811023622047245" bottom="0.3937007874015748" header="0.1968503937007874" footer="0.2362204724409449"/>
  <pageSetup firstPageNumber="7" useFirstPageNumber="1" fitToHeight="19" fitToWidth="1" horizontalDpi="600" verticalDpi="600" orientation="landscape" paperSize="9" scale="57" r:id="rId1"/>
  <rowBreaks count="6" manualBreakCount="6">
    <brk id="74" max="13" man="1"/>
    <brk id="90" max="13" man="1"/>
    <brk id="154" max="13" man="1"/>
    <brk id="177" max="13" man="1"/>
    <brk id="224" max="13" man="1"/>
    <brk id="25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2018-05-23T11:27:56Z</cp:lastPrinted>
  <dcterms:created xsi:type="dcterms:W3CDTF">2014-01-17T10:52:16Z</dcterms:created>
  <dcterms:modified xsi:type="dcterms:W3CDTF">2018-05-23T11:27:57Z</dcterms:modified>
  <cp:category/>
  <cp:version/>
  <cp:contentType/>
  <cp:contentStatus/>
</cp:coreProperties>
</file>