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890" tabRatio="246" activeTab="0"/>
  </bookViews>
  <sheets>
    <sheet name="дод 2 (СМР)" sheetId="1" r:id="rId1"/>
  </sheets>
  <definedNames>
    <definedName name="_xlfn.AGGREGATE" hidden="1">#NAME?</definedName>
    <definedName name="_xlnm.Print_Titles" localSheetId="0">'дод 2 (СМР)'!$17:$17</definedName>
    <definedName name="_xlnm.Print_Area" localSheetId="0">'дод 2 (СМР)'!$A$1:$N$288</definedName>
  </definedNames>
  <calcPr fullCalcOnLoad="1"/>
</workbook>
</file>

<file path=xl/sharedStrings.xml><?xml version="1.0" encoding="utf-8"?>
<sst xmlns="http://schemas.openxmlformats.org/spreadsheetml/2006/main" count="692" uniqueCount="457">
  <si>
    <t>1410160</t>
  </si>
  <si>
    <t>7640</t>
  </si>
  <si>
    <t>7420</t>
  </si>
  <si>
    <t>7426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</si>
  <si>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</si>
  <si>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</si>
  <si>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</si>
  <si>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</si>
  <si>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Інші заходи у сфері електротранспорту</t>
  </si>
  <si>
    <t>Утримання та навчально-тренувальна робота комунальних дитячо-юнацьких спортивних шкіл</t>
  </si>
  <si>
    <t>Управління  освіти і науки Сумської міської ради</t>
  </si>
  <si>
    <t xml:space="preserve">Відділ охорони здоров’я Сумської міської ради  </t>
  </si>
  <si>
    <t>Багатопрофільна стаціонарна медична допомога населенню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</si>
  <si>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</si>
  <si>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</si>
  <si>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</si>
  <si>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</si>
  <si>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</si>
  <si>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</si>
  <si>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</si>
  <si>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</si>
  <si>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</si>
  <si>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</si>
  <si>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</si>
  <si>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</si>
  <si>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</si>
  <si>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</si>
  <si>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</si>
  <si>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</si>
  <si>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</si>
  <si>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</si>
  <si>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</si>
  <si>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</si>
  <si>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</si>
  <si>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</si>
  <si>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</si>
  <si>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</si>
  <si>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</si>
  <si>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</si>
  <si>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</si>
  <si>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</si>
  <si>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</si>
  <si>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</si>
  <si>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</si>
  <si>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</si>
  <si>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</si>
  <si>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</si>
  <si>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</si>
  <si>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</si>
  <si>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</si>
  <si>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</si>
  <si>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</si>
  <si>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</si>
  <si>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</si>
  <si>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</si>
  <si>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</si>
  <si>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</si>
  <si>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</si>
  <si>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</si>
  <si>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</si>
  <si>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</si>
  <si>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</si>
  <si>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</si>
  <si>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</si>
  <si>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</si>
  <si>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</si>
  <si>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</si>
  <si>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</si>
  <si>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</si>
  <si>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</si>
  <si>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</si>
  <si>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</si>
  <si>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</si>
  <si>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</si>
  <si>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</si>
  <si>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</si>
  <si>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</si>
  <si>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</si>
  <si>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</si>
  <si>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</si>
  <si>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</si>
  <si>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</si>
  <si>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</si>
  <si>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</si>
  <si>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</si>
  <si>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0217420</t>
  </si>
  <si>
    <t>0217670</t>
  </si>
  <si>
    <t>0610000</t>
  </si>
  <si>
    <t>0610160</t>
  </si>
  <si>
    <t>0611010</t>
  </si>
  <si>
    <t>0611020</t>
  </si>
  <si>
    <t>0615030</t>
  </si>
  <si>
    <t>0615031</t>
  </si>
  <si>
    <t>0617640</t>
  </si>
  <si>
    <t>0710000</t>
  </si>
  <si>
    <t>0712010</t>
  </si>
  <si>
    <t>0717640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</si>
  <si>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</si>
  <si>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</si>
  <si>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</si>
  <si>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</si>
  <si>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</si>
  <si>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</si>
  <si>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</si>
  <si>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</si>
  <si>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</si>
  <si>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</si>
  <si>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</si>
  <si>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</si>
  <si>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</si>
  <si>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</si>
  <si>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</si>
  <si>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</si>
  <si>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</si>
  <si>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</si>
  <si>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</si>
  <si>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3110000</t>
  </si>
  <si>
    <t>3110160</t>
  </si>
  <si>
    <t>3710000</t>
  </si>
  <si>
    <t>3710160</t>
  </si>
  <si>
    <t>1011100</t>
  </si>
  <si>
    <t>0611070</t>
  </si>
  <si>
    <t>0611090</t>
  </si>
  <si>
    <t>0611160</t>
  </si>
  <si>
    <t>1160</t>
  </si>
  <si>
    <t>0217426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</si>
  <si>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</si>
  <si>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</si>
  <si>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</si>
  <si>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</si>
  <si>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</si>
  <si>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</si>
  <si>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</si>
  <si>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</si>
  <si>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</si>
  <si>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</si>
  <si>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</si>
  <si>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</si>
  <si>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</si>
  <si>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</si>
  <si>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</si>
  <si>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</si>
  <si>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</si>
  <si>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</si>
  <si>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</si>
  <si>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</si>
  <si>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доріг та ліній освітлення 12 МР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</si>
  <si>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</si>
  <si>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</si>
  <si>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</si>
  <si>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</si>
  <si>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</si>
  <si>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</si>
  <si>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</si>
  <si>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</si>
  <si>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</si>
  <si>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</si>
  <si>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</si>
  <si>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</si>
  <si>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</si>
  <si>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</si>
  <si>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</si>
  <si>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</si>
  <si>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t>Будівництво кладовища в районі 40-ї підстанції</t>
  </si>
  <si>
    <t>Полігон для складування твердих побутових відходів на території В. Бобрицької сільської ради Краснопільського району (3 черга)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</si>
  <si>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</si>
  <si>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</si>
  <si>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</si>
  <si>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</si>
  <si>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</si>
  <si>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</si>
  <si>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</si>
  <si>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</si>
  <si>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</si>
  <si>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</si>
  <si>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</si>
  <si>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</si>
  <si>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</si>
  <si>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</si>
  <si>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</si>
  <si>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</si>
  <si>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</si>
  <si>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</si>
  <si>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</si>
  <si>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</si>
  <si>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</si>
  <si>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</si>
  <si>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</si>
  <si>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65/Б по вул. Інтернаціоналістів</t>
  </si>
  <si>
    <t>Влаштування пандусів до житлового будинку      № 2/6 по вул. Котляревського</t>
  </si>
  <si>
    <t>Влаштування пандусів до житлового будинку      № 10 по вул. СКД</t>
  </si>
  <si>
    <t>Влаштування пандусів до житлового будинку      № 25 по вул. Інтернаціоналістів</t>
  </si>
  <si>
    <t>Влаштування пандусів до житлового будинку      № 1/1 по вул. Харківська</t>
  </si>
  <si>
    <t>Влаштування пандусів до житлового будинку      № 144/2 по вул. Герасима Кондратьєва</t>
  </si>
  <si>
    <t>Влаштування пандусів до житлового будинку      № 8 по вул. Інтернаціоналістів</t>
  </si>
  <si>
    <t>Влаштування пандусів до житлового будинку      № 33 по вул. Івана Сірка</t>
  </si>
  <si>
    <t>Спортивні майданчики для міні-футболу, бадмінтону для дітей та молоді в ДП «Казка»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</si>
  <si>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</si>
  <si>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</si>
  <si>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</si>
  <si>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</si>
  <si>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</si>
  <si>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</si>
  <si>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</si>
  <si>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</si>
  <si>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</si>
  <si>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</si>
  <si>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</si>
  <si>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</si>
  <si>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</si>
  <si>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</si>
  <si>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</si>
  <si>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</si>
  <si>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0453</t>
  </si>
  <si>
    <t>0813240</t>
  </si>
  <si>
    <t>Інші субвенції з місцевого бюджету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</si>
  <si>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</si>
  <si>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</si>
  <si>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</si>
  <si>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</si>
  <si>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</si>
  <si>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</si>
  <si>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</si>
  <si>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</si>
  <si>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</si>
  <si>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</si>
  <si>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</si>
  <si>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</si>
  <si>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</si>
  <si>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</si>
  <si>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</si>
  <si>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</si>
  <si>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</si>
  <si>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</si>
  <si>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</si>
  <si>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</si>
  <si>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</si>
  <si>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</si>
  <si>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</si>
  <si>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</si>
  <si>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</si>
  <si>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</si>
  <si>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</si>
  <si>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</si>
  <si>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</si>
  <si>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</si>
  <si>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</si>
  <si>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</si>
  <si>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</si>
  <si>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</si>
  <si>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</si>
  <si>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</si>
  <si>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</si>
  <si>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</si>
  <si>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</si>
  <si>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</si>
  <si>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</si>
  <si>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</si>
  <si>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</si>
  <si>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</si>
  <si>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</si>
  <si>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</si>
  <si>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</si>
  <si>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</si>
  <si>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</si>
  <si>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</si>
  <si>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</si>
  <si>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</si>
  <si>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</si>
  <si>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</si>
  <si>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</si>
  <si>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</si>
  <si>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</si>
  <si>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</si>
  <si>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</si>
  <si>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</si>
  <si>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</si>
  <si>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</si>
  <si>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</si>
  <si>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</si>
  <si>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</si>
  <si>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</si>
  <si>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Будівництво ліній освітлення ХІІ МР</t>
  </si>
  <si>
    <t>Реконструкція лінії освітлення по вул. Виноградна</t>
  </si>
  <si>
    <t>Реконструкція лінії освітлення по вул. Осіння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</si>
  <si>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</si>
  <si>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</si>
  <si>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</si>
  <si>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</si>
  <si>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</si>
  <si>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харчоблоку КУ «Сумська спеціалізована школа І ступеня № 30 «Унікум» по вул. Рибалка, 7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</si>
  <si>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</si>
  <si>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</si>
  <si>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</si>
  <si>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</si>
  <si>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</si>
  <si>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</si>
  <si>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</si>
  <si>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</si>
  <si>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</si>
  <si>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</si>
  <si>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</si>
  <si>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</si>
  <si>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</si>
  <si>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</si>
  <si>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</si>
  <si>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</si>
  <si>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</si>
  <si>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Будівництво каналізації фекальної по                      вул. Нижньолепехівській, вул. Лепехівській, вул. Ново-Лепехівській, вул. Андрія Шептицького, вул. Жуковського,                            вул. Косівщинській,  вул. Нахімова,                                 вул. Дарвіна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</si>
  <si>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</si>
  <si>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</si>
  <si>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</si>
  <si>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</si>
  <si>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</si>
  <si>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</si>
  <si>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</si>
  <si>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</si>
  <si>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</si>
  <si>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</si>
  <si>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</si>
  <si>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1-го поверху КУ «ССШ № 3» по вул. 20 років Перемоги,9</t>
  </si>
  <si>
    <t>Управління архітектури та містобудування Сумської міської ради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</si>
  <si>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</si>
  <si>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</si>
  <si>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</si>
  <si>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</si>
  <si>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Реконструкція хлорного господарства на очисних спорудах м. Суми з переведенням на гіпохлорит натрію</t>
  </si>
  <si>
    <t>Влаштування пандуса до житлового будинку      № 20 по вул. Пушкіна</t>
  </si>
  <si>
    <t>Влаштування пандуса до житлового будинку      № 29 по вул. М.Лушпи</t>
  </si>
  <si>
    <t>Влаштування пандуса до житлового будинку      № 31 по вул. Холодногірська</t>
  </si>
  <si>
    <t>0219770</t>
  </si>
  <si>
    <t>Реконструкція кабельної лінії до опор по вул. Героїв Сумщини</t>
  </si>
  <si>
    <t xml:space="preserve">Будівництво дитячого майданчика на території ДНЗ № 25 «Білосніжка» по вул. Лесі Українки, 2/1 </t>
  </si>
  <si>
    <t>Будівництво свердловини №15 на нижню крейду з розширеним контуром на Лепехівському водозаборі м.Суми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</si>
  <si>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</si>
  <si>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Будівництво огородження території І поясу  зони санітарної охорони  водозабору та окремо збудованих  свердловин  на  Ново-Оболонському  водозаборі в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</si>
  <si>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</si>
  <si>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Реконструкція каналізаційного залізобетонного самотічного колектора Д=1000 мм, який проходить по яру між               пров. Степана Тимошенка (пров. Урицького) та вул. Панфілова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</si>
  <si>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</si>
  <si>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</si>
  <si>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</si>
  <si>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</si>
  <si>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</si>
  <si>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</si>
  <si>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</si>
  <si>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</si>
  <si>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</si>
  <si>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</si>
  <si>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</si>
  <si>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</si>
  <si>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</si>
  <si>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</si>
  <si>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</si>
  <si>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</si>
  <si>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</si>
  <si>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</si>
  <si>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</si>
  <si>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</si>
  <si>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</si>
  <si>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</si>
  <si>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</si>
  <si>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</si>
  <si>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</si>
  <si>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Реконструкція аварійного самотічного  колектора Д-400 по вул. Білопільський шлях від КНС-4 до району Тепличного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</si>
  <si>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</si>
  <si>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</si>
  <si>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</si>
  <si>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</si>
  <si>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</si>
  <si>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</si>
  <si>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</si>
  <si>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</si>
  <si>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</si>
  <si>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</si>
  <si>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</si>
  <si>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</si>
  <si>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</si>
  <si>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</si>
  <si>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</si>
  <si>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</si>
  <si>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</si>
  <si>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</si>
  <si>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</si>
  <si>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</si>
  <si>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r>
      <t>Реконструкція дороги від Пришибської площі до вул. Прокоф</t>
    </r>
    <r>
      <rPr>
        <sz val="16"/>
        <rFont val="Arial Cyr"/>
        <family val="0"/>
      </rPr>
      <t>'</t>
    </r>
    <r>
      <rPr>
        <sz val="16"/>
        <rFont val="Times New Roman"/>
        <family val="1"/>
      </rPr>
      <t>єва з влаштуванням зливової каналізації</t>
    </r>
  </si>
  <si>
    <t>Здійснення соціальної роботи з вразливими категоріями населення, в т.ч.:</t>
  </si>
  <si>
    <t>Проведення спортивної роботи в регіоні, в т.ч.:</t>
  </si>
  <si>
    <t>Розвиток дитячо-юнацького та резервного спорту, в т.ч.:</t>
  </si>
  <si>
    <t>Інші заходи з розвитку фізичної культури та спорту, в т.ч.:</t>
  </si>
  <si>
    <t>Забезпечення надання послуг з перевезення пасажирів електротранспортом, в т.ч.:</t>
  </si>
  <si>
    <t>Внески до статутного капіталу суб’єктів господарювання, в т.ч.:</t>
  </si>
  <si>
    <t>Iншi заклади та заходи в галузі культури і мистецтва, в т.ч.:</t>
  </si>
  <si>
    <t>Інші програми, заклади та заходи у сфері освіти, в т.ч.:</t>
  </si>
  <si>
    <t xml:space="preserve">Виконання інвестиційних проектів, в т.ч.: </t>
  </si>
  <si>
    <t>Первинна медична допомога населенню, в т.ч.:</t>
  </si>
  <si>
    <t>Інші програми, заклади та заходи у сфері охорони здоров’я, в т.ч.: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</si>
  <si>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громадян, в т.ч.: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</si>
  <si>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обслуговування, в т.ч.:</t>
  </si>
  <si>
    <t xml:space="preserve">Інші заклади та заходи, в т.ч.: </t>
  </si>
  <si>
    <t>Утримання та ефективна експлуатація об’єктів житлово-комунального господарства, в т.ч.:</t>
  </si>
  <si>
    <t>Будівництво об'єктів житлово-комунального господарства, в т.ч.:</t>
  </si>
  <si>
    <t>Будівництво  зливної каналізації по вул. Косівщинській, вул. Кавалерідзе, вул. Нахімова, вул. Дарвіна, вул. Жуковського, вул. Макаренка</t>
  </si>
  <si>
    <t>Будівництво каналізації фекальної по вул. Нижньолепехівській, вул. Лепехівській, вул. Ново-Лепехівській, вул. Андрія Шептицького, вул. Жуковського, вул. Косівщинській,  вул. Нахімова, вул. Дарвіна</t>
  </si>
  <si>
    <t>Влаштування пандусів до житлового будинку № 8 по вул. Інтернаціоналістів</t>
  </si>
  <si>
    <t>Влаштування пандусів до житлового будинку № 25 по вул. Інтернаціоналістів</t>
  </si>
  <si>
    <t>Влаштування пандусів до житлового будинку № 65/Б по вул. Інтернаціоналістів</t>
  </si>
  <si>
    <t>Влаштування пандусів до житлового будинку № 33 по вул. Івана Сірка</t>
  </si>
  <si>
    <t>Влаштування пандусів до житлового будинку № 10 по вул. СКД</t>
  </si>
  <si>
    <t>Влаштування пандусів до житлового будинку № 1/1 по вул. Харківська</t>
  </si>
  <si>
    <t>Влаштування пандусів до житлового будинку № 144/2 по вул. Герасима Кондратьєва</t>
  </si>
  <si>
    <t>Влаштування пандусів до житлового будинку № 2/6 по вул. Котляревського</t>
  </si>
  <si>
    <t>Влаштування пандуса до житлового будинку № 20 по вул. Пушкіна</t>
  </si>
  <si>
    <t>Влаштування пандуса до житлового будинку № 29 по вул. М.Лушпи</t>
  </si>
  <si>
    <t>Влаштування пандуса до житлового будинку № 31 по вул. Холодногірська</t>
  </si>
  <si>
    <t>Реконструкція каналізаційного залізобетонного самотічного колектора Д=1000 мм, який проходить по яру між пров. Степана Тимошенка (пров. Урицького) та вул. Панфілова</t>
  </si>
  <si>
    <t>Будівництво інших об'єктів соціальної та виробничої інфраструктури комунальної власності, в т.ч.:</t>
  </si>
  <si>
    <t>Будівництво міського пляжу в парку ім. І.М. Кожедуба</t>
  </si>
  <si>
    <t>Будівництво скейт-парку в міському парку ім. І.М. Кожедуба</t>
  </si>
  <si>
    <t>Проектування, реставрація та охорона пам'яток архітектури, в т.ч.:</t>
  </si>
  <si>
    <t>Співфінансування інвестиційних проектів, що реалізуються за рахунок коштів державного фонду регіонального розвитку, в т.ч.:</t>
  </si>
  <si>
    <t xml:space="preserve">Реалізація державних та місцевих житлових програм, в т.ч.: </t>
  </si>
  <si>
    <t>Будівництво об'єктів соціально-культурного призначення, в т.ч.:</t>
  </si>
  <si>
    <t>Будівництво освітніх установ та закладів, в т.ч.:</t>
  </si>
  <si>
    <t>Будівництво медичних установ та закладів, в т.ч.:</t>
  </si>
  <si>
    <t>Будівництво споруд, установ та закладів фізичної культури і спорту, в т.ч.:</t>
  </si>
  <si>
    <t>Будівництво спортивного майданчика по вул. Роменській, 81</t>
  </si>
  <si>
    <t>Будівництво спортивного майданчика по вул. Роменській, 88</t>
  </si>
  <si>
    <t>Будівництво спортивного майданчика по вул. Роменській, 100А</t>
  </si>
  <si>
    <t>тис. грн.</t>
  </si>
  <si>
    <t>Всього за рахунок коштів бюджету розвитку міського бюджету:</t>
  </si>
  <si>
    <t>Видатки, передбачені на проведення природоохоронних заходів:</t>
  </si>
  <si>
    <t>Утримання та розвиток транспортної інфраструктури, в т.ч.:</t>
  </si>
  <si>
    <t>Перелік об'єктів, видатки на які у 2018 році</t>
  </si>
  <si>
    <t>будуть проводитися за рахунок коштів бюджету розвитку та інших коштів міського бюджету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</si>
  <si>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(ТПКВКМБ)/ Назва об’єктів відповідно  до проектно- кошторисної документації тощо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</si>
  <si>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</si>
  <si>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вул. Металургів, 17</t>
  </si>
  <si>
    <t>Фінансова підтримка дитячо-юнацьких спортивних шкіл фізкультурно-спортивних товариств</t>
  </si>
  <si>
    <t>Влаштування пандусів до житлового будинку № 15 по вул. Івана Сірка</t>
  </si>
  <si>
    <t xml:space="preserve">Реконструкція 1-го поверху КУ «Сумська спеціалізована школа І ступеня № 30 «Унікум» </t>
  </si>
  <si>
    <t xml:space="preserve">Реконструкція цокольного поверху адмінбудівлі по вул. Першотравнева, 21 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</si>
  <si>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</si>
  <si>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</si>
  <si>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</si>
  <si>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Грошова компенсація за належні для отримання жилі приміщення для окремих категорій населення відповідно до законодавства, в т.ч.:</t>
  </si>
  <si>
    <t>Сумський міський голова</t>
  </si>
  <si>
    <t>О.М. Лисенко</t>
  </si>
  <si>
    <t>_________</t>
  </si>
  <si>
    <t xml:space="preserve">рішення  Сумської  міської   ради  від 21 грудня 2017 року </t>
  </si>
  <si>
    <t xml:space="preserve">№ 2910-МР «Про  Програму   економічного і  соціального </t>
  </si>
  <si>
    <t xml:space="preserve">розвитку   м.  Суми  на  2018 рік   та   основних напрямів </t>
  </si>
  <si>
    <t>розвитку на 2019-2020 роки» (зі змінами)»</t>
  </si>
  <si>
    <t>від 20 червня 2018 року  № 3570 - МР</t>
  </si>
  <si>
    <t xml:space="preserve">                                  Додаток  2</t>
  </si>
  <si>
    <t xml:space="preserve">до рішення  Сумської міської ради «Про внесення змін  до  </t>
  </si>
  <si>
    <t>Реставраційний ремонт будівлі по вул. Покровська, 9</t>
  </si>
  <si>
    <t>Виконавець: Співакова Л.І.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</si>
</sst>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5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4" fillId="46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49" fillId="47" borderId="9" applyNumberFormat="0" applyAlignment="0" applyProtection="0"/>
    <xf numFmtId="0" fontId="10" fillId="48" borderId="10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1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6" fillId="3" borderId="0" applyNumberFormat="0" applyBorder="0" applyAlignment="0" applyProtection="0"/>
    <xf numFmtId="0" fontId="5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4" fillId="50" borderId="14" applyNumberFormat="0" applyAlignment="0" applyProtection="0"/>
    <xf numFmtId="0" fontId="18" fillId="0" borderId="15" applyNumberFormat="0" applyFill="0" applyAlignment="0" applyProtection="0"/>
    <xf numFmtId="0" fontId="55" fillId="54" borderId="0" applyNumberFormat="0" applyBorder="0" applyAlignment="0" applyProtection="0"/>
    <xf numFmtId="0" fontId="19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0" fillId="0" borderId="16" xfId="0" applyFont="1" applyFill="1" applyBorder="1" applyAlignment="1">
      <alignment horizontal="left" vertical="center" wrapText="1"/>
    </xf>
    <xf numFmtId="0" fontId="30" fillId="0" borderId="16" xfId="0" applyNumberFormat="1" applyFont="1" applyFill="1" applyBorder="1" applyAlignment="1" applyProtection="1">
      <alignment/>
      <protection/>
    </xf>
    <xf numFmtId="0" fontId="31" fillId="0" borderId="16" xfId="0" applyNumberFormat="1" applyFont="1" applyFill="1" applyBorder="1" applyAlignment="1" applyProtection="1">
      <alignment/>
      <protection/>
    </xf>
    <xf numFmtId="200" fontId="30" fillId="0" borderId="16" xfId="0" applyNumberFormat="1" applyFont="1" applyFill="1" applyBorder="1" applyAlignment="1">
      <alignment vertical="center"/>
    </xf>
    <xf numFmtId="49" fontId="28" fillId="0" borderId="0" xfId="0" applyNumberFormat="1" applyFont="1" applyFill="1" applyAlignment="1" applyProtection="1">
      <alignment horizontal="center"/>
      <protection/>
    </xf>
    <xf numFmtId="0" fontId="28" fillId="0" borderId="0" xfId="0" applyNumberFormat="1" applyFont="1" applyFill="1" applyAlignment="1" applyProtection="1">
      <alignment horizontal="center"/>
      <protection/>
    </xf>
    <xf numFmtId="0" fontId="28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 horizontal="left"/>
      <protection/>
    </xf>
    <xf numFmtId="0" fontId="28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top"/>
      <protection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Font="1" applyFill="1" applyBorder="1" applyAlignment="1">
      <alignment horizontal="right"/>
    </xf>
    <xf numFmtId="0" fontId="30" fillId="0" borderId="0" xfId="0" applyNumberFormat="1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0" fontId="30" fillId="0" borderId="0" xfId="0" applyFont="1" applyFill="1" applyAlignment="1">
      <alignment/>
    </xf>
    <xf numFmtId="49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49" fontId="30" fillId="0" borderId="16" xfId="0" applyNumberFormat="1" applyFont="1" applyFill="1" applyBorder="1" applyAlignment="1" applyProtection="1">
      <alignment horizontal="center" vertical="center"/>
      <protection/>
    </xf>
    <xf numFmtId="0" fontId="30" fillId="0" borderId="16" xfId="0" applyFont="1" applyFill="1" applyBorder="1" applyAlignment="1">
      <alignment vertical="center" wrapText="1"/>
    </xf>
    <xf numFmtId="200" fontId="28" fillId="0" borderId="16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right" vertical="center"/>
    </xf>
    <xf numFmtId="200" fontId="30" fillId="0" borderId="16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200" fontId="28" fillId="0" borderId="0" xfId="0" applyNumberFormat="1" applyFont="1" applyFill="1" applyAlignment="1">
      <alignment vertical="center"/>
    </xf>
    <xf numFmtId="203" fontId="28" fillId="0" borderId="0" xfId="0" applyNumberFormat="1" applyFont="1" applyFill="1" applyAlignment="1">
      <alignment vertical="center"/>
    </xf>
    <xf numFmtId="200" fontId="30" fillId="0" borderId="0" xfId="0" applyNumberFormat="1" applyFont="1" applyFill="1" applyAlignment="1">
      <alignment vertical="center"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horizontal="left" vertical="center" wrapText="1"/>
    </xf>
    <xf numFmtId="4" fontId="28" fillId="0" borderId="16" xfId="0" applyNumberFormat="1" applyFont="1" applyFill="1" applyBorder="1" applyAlignment="1">
      <alignment horizontal="right" vertical="center"/>
    </xf>
    <xf numFmtId="200" fontId="28" fillId="0" borderId="16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200" fontId="28" fillId="0" borderId="16" xfId="0" applyNumberFormat="1" applyFont="1" applyFill="1" applyBorder="1" applyAlignment="1">
      <alignment horizontal="right" vertical="center"/>
    </xf>
    <xf numFmtId="203" fontId="31" fillId="0" borderId="0" xfId="0" applyNumberFormat="1" applyFont="1" applyFill="1" applyAlignment="1">
      <alignment horizontal="right" vertical="center"/>
    </xf>
    <xf numFmtId="49" fontId="31" fillId="0" borderId="16" xfId="0" applyNumberFormat="1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right" vertical="center" wrapText="1"/>
    </xf>
    <xf numFmtId="200" fontId="31" fillId="0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right" vertical="center"/>
    </xf>
    <xf numFmtId="200" fontId="31" fillId="0" borderId="16" xfId="0" applyNumberFormat="1" applyFont="1" applyFill="1" applyBorder="1" applyAlignment="1">
      <alignment vertical="center"/>
    </xf>
    <xf numFmtId="0" fontId="31" fillId="0" borderId="0" xfId="0" applyFont="1" applyFill="1" applyAlignment="1">
      <alignment horizontal="right" vertical="center"/>
    </xf>
    <xf numFmtId="203" fontId="28" fillId="0" borderId="0" xfId="0" applyNumberFormat="1" applyFont="1" applyFill="1" applyAlignment="1">
      <alignment horizontal="right" vertical="center"/>
    </xf>
    <xf numFmtId="200" fontId="31" fillId="0" borderId="0" xfId="0" applyNumberFormat="1" applyFont="1" applyFill="1" applyAlignment="1">
      <alignment horizontal="right" vertical="center"/>
    </xf>
    <xf numFmtId="0" fontId="28" fillId="0" borderId="16" xfId="0" applyFont="1" applyFill="1" applyBorder="1" applyAlignment="1">
      <alignment horizontal="right" vertical="center" wrapText="1"/>
    </xf>
    <xf numFmtId="0" fontId="28" fillId="0" borderId="0" xfId="0" applyFont="1" applyFill="1" applyAlignment="1">
      <alignment horizontal="right" vertical="center"/>
    </xf>
    <xf numFmtId="200" fontId="28" fillId="0" borderId="0" xfId="0" applyNumberFormat="1" applyFont="1" applyFill="1" applyAlignment="1">
      <alignment horizontal="right" vertical="center"/>
    </xf>
    <xf numFmtId="203" fontId="31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200" fontId="31" fillId="0" borderId="0" xfId="0" applyNumberFormat="1" applyFont="1" applyFill="1" applyAlignment="1">
      <alignment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wrapText="1"/>
    </xf>
    <xf numFmtId="49" fontId="30" fillId="0" borderId="16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horizontal="justify" vertical="center"/>
    </xf>
    <xf numFmtId="4" fontId="28" fillId="0" borderId="16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justify" vertical="center"/>
    </xf>
    <xf numFmtId="4" fontId="31" fillId="0" borderId="16" xfId="0" applyNumberFormat="1" applyFont="1" applyFill="1" applyBorder="1" applyAlignment="1">
      <alignment horizontal="center" vertical="center"/>
    </xf>
    <xf numFmtId="203" fontId="30" fillId="0" borderId="0" xfId="0" applyNumberFormat="1" applyFont="1" applyFill="1" applyAlignment="1">
      <alignment vertical="center"/>
    </xf>
    <xf numFmtId="203" fontId="31" fillId="0" borderId="0" xfId="0" applyNumberFormat="1" applyFont="1" applyFill="1" applyBorder="1" applyAlignment="1">
      <alignment vertical="center"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200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6" xfId="0" applyNumberFormat="1" applyFont="1" applyFill="1" applyBorder="1" applyAlignment="1" applyProtection="1">
      <alignment horizontal="center" vertical="center"/>
      <protection/>
    </xf>
    <xf numFmtId="200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0" fillId="0" borderId="16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wrapText="1"/>
    </xf>
    <xf numFmtId="0" fontId="31" fillId="0" borderId="16" xfId="0" applyFont="1" applyFill="1" applyBorder="1" applyAlignment="1">
      <alignment wrapText="1"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203" fontId="30" fillId="0" borderId="0" xfId="0" applyNumberFormat="1" applyFont="1" applyFill="1" applyBorder="1" applyAlignment="1">
      <alignment vertical="center"/>
    </xf>
    <xf numFmtId="203" fontId="28" fillId="0" borderId="0" xfId="0" applyNumberFormat="1" applyFont="1" applyFill="1" applyBorder="1" applyAlignment="1">
      <alignment vertical="center"/>
    </xf>
    <xf numFmtId="203" fontId="28" fillId="0" borderId="0" xfId="0" applyNumberFormat="1" applyFont="1" applyFill="1" applyBorder="1" applyAlignment="1">
      <alignment/>
    </xf>
    <xf numFmtId="4" fontId="30" fillId="0" borderId="16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wrapText="1"/>
    </xf>
    <xf numFmtId="200" fontId="30" fillId="0" borderId="0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8" fillId="0" borderId="16" xfId="0" applyFont="1" applyFill="1" applyBorder="1" applyAlignment="1">
      <alignment horizontal="justify" vertical="center" wrapText="1"/>
    </xf>
    <xf numFmtId="200" fontId="28" fillId="0" borderId="0" xfId="0" applyNumberFormat="1" applyFont="1" applyFill="1" applyBorder="1" applyAlignment="1">
      <alignment/>
    </xf>
    <xf numFmtId="3" fontId="30" fillId="0" borderId="16" xfId="0" applyNumberFormat="1" applyFont="1" applyFill="1" applyBorder="1" applyAlignment="1">
      <alignment horizontal="center" vertical="center"/>
    </xf>
    <xf numFmtId="3" fontId="28" fillId="0" borderId="16" xfId="0" applyNumberFormat="1" applyFont="1" applyFill="1" applyBorder="1" applyAlignment="1">
      <alignment horizontal="center"/>
    </xf>
    <xf numFmtId="203" fontId="32" fillId="0" borderId="0" xfId="0" applyNumberFormat="1" applyFont="1" applyFill="1" applyBorder="1" applyAlignment="1">
      <alignment horizontal="right" vertical="center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/>
    </xf>
    <xf numFmtId="3" fontId="32" fillId="0" borderId="16" xfId="0" applyNumberFormat="1" applyFont="1" applyFill="1" applyBorder="1" applyAlignment="1">
      <alignment horizontal="right" vertical="center"/>
    </xf>
    <xf numFmtId="4" fontId="32" fillId="0" borderId="16" xfId="0" applyNumberFormat="1" applyFont="1" applyFill="1" applyBorder="1" applyAlignment="1">
      <alignment horizontal="right" vertical="center"/>
    </xf>
    <xf numFmtId="200" fontId="32" fillId="0" borderId="16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200" fontId="32" fillId="0" borderId="0" xfId="0" applyNumberFormat="1" applyFont="1" applyFill="1" applyBorder="1" applyAlignment="1">
      <alignment horizontal="right" vertical="center"/>
    </xf>
    <xf numFmtId="3" fontId="28" fillId="0" borderId="16" xfId="0" applyNumberFormat="1" applyFont="1" applyFill="1" applyBorder="1" applyAlignment="1">
      <alignment horizontal="center" vertical="center" wrapText="1"/>
    </xf>
    <xf numFmtId="200" fontId="28" fillId="0" borderId="16" xfId="0" applyNumberFormat="1" applyFont="1" applyFill="1" applyBorder="1" applyAlignment="1">
      <alignment horizontal="center" vertical="center"/>
    </xf>
    <xf numFmtId="203" fontId="31" fillId="0" borderId="0" xfId="0" applyNumberFormat="1" applyFont="1" applyFill="1" applyBorder="1" applyAlignment="1">
      <alignment/>
    </xf>
    <xf numFmtId="3" fontId="31" fillId="0" borderId="16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/>
    </xf>
    <xf numFmtId="200" fontId="31" fillId="0" borderId="0" xfId="0" applyNumberFormat="1" applyFont="1" applyFill="1" applyBorder="1" applyAlignment="1">
      <alignment/>
    </xf>
    <xf numFmtId="3" fontId="28" fillId="0" borderId="16" xfId="95" applyNumberFormat="1" applyFont="1" applyFill="1" applyBorder="1" applyAlignment="1">
      <alignment horizontal="center" vertical="center"/>
      <protection/>
    </xf>
    <xf numFmtId="200" fontId="28" fillId="0" borderId="16" xfId="95" applyNumberFormat="1" applyFont="1" applyFill="1" applyBorder="1" applyAlignment="1">
      <alignment horizontal="center" vertical="center"/>
      <protection/>
    </xf>
    <xf numFmtId="4" fontId="28" fillId="0" borderId="16" xfId="95" applyNumberFormat="1" applyFont="1" applyFill="1" applyBorder="1" applyAlignment="1">
      <alignment horizontal="center" vertical="center"/>
      <protection/>
    </xf>
    <xf numFmtId="0" fontId="32" fillId="0" borderId="16" xfId="0" applyFont="1" applyFill="1" applyBorder="1" applyAlignment="1">
      <alignment wrapText="1"/>
    </xf>
    <xf numFmtId="3" fontId="31" fillId="0" borderId="16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28" fillId="0" borderId="16" xfId="0" applyFont="1" applyFill="1" applyBorder="1" applyAlignment="1">
      <alignment horizontal="center" wrapText="1"/>
    </xf>
    <xf numFmtId="3" fontId="30" fillId="0" borderId="16" xfId="0" applyNumberFormat="1" applyFont="1" applyFill="1" applyBorder="1" applyAlignment="1">
      <alignment horizontal="right" vertical="center"/>
    </xf>
    <xf numFmtId="203" fontId="28" fillId="0" borderId="16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right" vertical="center" wrapText="1"/>
    </xf>
    <xf numFmtId="200" fontId="30" fillId="0" borderId="16" xfId="0" applyNumberFormat="1" applyFont="1" applyFill="1" applyBorder="1" applyAlignment="1">
      <alignment horizontal="right" vertical="center" wrapText="1"/>
    </xf>
    <xf numFmtId="4" fontId="28" fillId="0" borderId="16" xfId="0" applyNumberFormat="1" applyFont="1" applyFill="1" applyBorder="1" applyAlignment="1">
      <alignment horizontal="right" vertical="center" wrapText="1"/>
    </xf>
    <xf numFmtId="2" fontId="28" fillId="0" borderId="16" xfId="0" applyNumberFormat="1" applyFont="1" applyFill="1" applyBorder="1" applyAlignment="1">
      <alignment horizontal="center" vertical="center" wrapText="1"/>
    </xf>
    <xf numFmtId="203" fontId="30" fillId="0" borderId="0" xfId="0" applyNumberFormat="1" applyFont="1" applyFill="1" applyBorder="1" applyAlignment="1">
      <alignment/>
    </xf>
    <xf numFmtId="3" fontId="30" fillId="0" borderId="16" xfId="0" applyNumberFormat="1" applyFont="1" applyFill="1" applyBorder="1" applyAlignment="1">
      <alignment horizontal="center"/>
    </xf>
    <xf numFmtId="200" fontId="30" fillId="0" borderId="16" xfId="0" applyNumberFormat="1" applyFont="1" applyFill="1" applyBorder="1" applyAlignment="1">
      <alignment horizontal="center" vertical="center" wrapText="1"/>
    </xf>
    <xf numFmtId="2" fontId="30" fillId="0" borderId="16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00" fontId="30" fillId="0" borderId="0" xfId="0" applyNumberFormat="1" applyFont="1" applyFill="1" applyBorder="1" applyAlignment="1">
      <alignment/>
    </xf>
    <xf numFmtId="3" fontId="28" fillId="0" borderId="16" xfId="0" applyNumberFormat="1" applyFont="1" applyFill="1" applyBorder="1" applyAlignment="1">
      <alignment horizontal="left" vertical="center" wrapText="1"/>
    </xf>
    <xf numFmtId="4" fontId="28" fillId="0" borderId="16" xfId="0" applyNumberFormat="1" applyFont="1" applyFill="1" applyBorder="1" applyAlignment="1">
      <alignment vertical="center"/>
    </xf>
    <xf numFmtId="3" fontId="31" fillId="0" borderId="16" xfId="0" applyNumberFormat="1" applyFont="1" applyFill="1" applyBorder="1" applyAlignment="1">
      <alignment horizontal="left" vertical="center" wrapText="1"/>
    </xf>
    <xf numFmtId="4" fontId="31" fillId="0" borderId="16" xfId="0" applyNumberFormat="1" applyFont="1" applyFill="1" applyBorder="1" applyAlignment="1">
      <alignment vertical="center"/>
    </xf>
    <xf numFmtId="203" fontId="28" fillId="0" borderId="0" xfId="0" applyNumberFormat="1" applyFont="1" applyFill="1" applyAlignment="1">
      <alignment/>
    </xf>
    <xf numFmtId="203" fontId="27" fillId="0" borderId="0" xfId="0" applyNumberFormat="1" applyFont="1" applyFill="1" applyAlignment="1">
      <alignment/>
    </xf>
    <xf numFmtId="49" fontId="28" fillId="0" borderId="16" xfId="0" applyNumberFormat="1" applyFont="1" applyFill="1" applyBorder="1" applyAlignment="1" applyProtection="1">
      <alignment horizontal="center"/>
      <protection/>
    </xf>
    <xf numFmtId="0" fontId="28" fillId="0" borderId="16" xfId="0" applyNumberFormat="1" applyFont="1" applyFill="1" applyBorder="1" applyAlignment="1" applyProtection="1">
      <alignment horizontal="center"/>
      <protection/>
    </xf>
    <xf numFmtId="0" fontId="28" fillId="0" borderId="16" xfId="0" applyNumberFormat="1" applyFont="1" applyFill="1" applyBorder="1" applyAlignment="1" applyProtection="1">
      <alignment/>
      <protection/>
    </xf>
    <xf numFmtId="0" fontId="28" fillId="0" borderId="16" xfId="0" applyFont="1" applyFill="1" applyBorder="1" applyAlignment="1">
      <alignment horizontal="right"/>
    </xf>
    <xf numFmtId="0" fontId="28" fillId="0" borderId="16" xfId="0" applyFont="1" applyFill="1" applyBorder="1" applyAlignment="1">
      <alignment/>
    </xf>
    <xf numFmtId="4" fontId="28" fillId="0" borderId="16" xfId="0" applyNumberFormat="1" applyFont="1" applyFill="1" applyBorder="1" applyAlignment="1">
      <alignment horizontal="right"/>
    </xf>
    <xf numFmtId="200" fontId="28" fillId="0" borderId="0" xfId="0" applyNumberFormat="1" applyFont="1" applyFill="1" applyAlignment="1">
      <alignment/>
    </xf>
    <xf numFmtId="0" fontId="31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left" vertical="distributed" wrapText="1"/>
    </xf>
    <xf numFmtId="4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 vertical="top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1" fontId="30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 vertical="center" textRotation="180"/>
    </xf>
    <xf numFmtId="0" fontId="27" fillId="0" borderId="0" xfId="0" applyFont="1" applyFill="1" applyAlignment="1">
      <alignment/>
    </xf>
    <xf numFmtId="0" fontId="30" fillId="0" borderId="0" xfId="0" applyFont="1" applyFill="1" applyAlignment="1">
      <alignment horizontal="right"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16" xfId="0" applyFont="1" applyFill="1" applyBorder="1" applyAlignment="1">
      <alignment horizontal="center" vertical="center" wrapText="1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/>
      <protection/>
    </xf>
    <xf numFmtId="0" fontId="28" fillId="0" borderId="0" xfId="0" applyNumberFormat="1" applyFont="1" applyFill="1" applyAlignment="1" applyProtection="1">
      <alignment horizontal="left"/>
      <protection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290"/>
  <sheetViews>
    <sheetView showGridLines="0" showZeros="0" tabSelected="1" view="pageBreakPreview" zoomScale="60" zoomScaleNormal="70" zoomScalePageLayoutView="0" workbookViewId="0" topLeftCell="D1">
      <selection activeCell="O13" sqref="O13"/>
    </sheetView>
  </sheetViews>
  <sheetFormatPr defaultColWidth="9.16015625" defaultRowHeight="12.75"/>
  <cols>
    <col min="1" max="1" width="19.33203125" style="5" hidden="1" customWidth="1"/>
    <col min="2" max="2" width="17.33203125" style="6" hidden="1" customWidth="1"/>
    <col min="3" max="3" width="17.16015625" style="6" hidden="1" customWidth="1"/>
    <col min="4" max="4" width="159" style="7" customWidth="1"/>
    <col min="5" max="5" width="116.66015625" style="7" hidden="1" customWidth="1"/>
    <col min="6" max="6" width="20.16015625" style="7" hidden="1" customWidth="1"/>
    <col min="7" max="7" width="33.33203125" style="7" customWidth="1"/>
    <col min="8" max="8" width="32.5" style="7" customWidth="1"/>
    <col min="9" max="9" width="19.5" style="7" hidden="1" customWidth="1"/>
    <col min="10" max="10" width="30.33203125" style="7" customWidth="1"/>
    <col min="11" max="11" width="29.16015625" style="12" hidden="1" customWidth="1"/>
    <col min="12" max="12" width="28.16015625" style="9" hidden="1" customWidth="1"/>
    <col min="13" max="13" width="31.83203125" style="9" hidden="1" customWidth="1"/>
    <col min="14" max="14" width="32.16015625" style="9" customWidth="1"/>
    <col min="15" max="15" width="30.83203125" style="9" customWidth="1"/>
    <col min="16" max="16" width="22.16015625" style="9" customWidth="1"/>
    <col min="17" max="17" width="27.5" style="9" customWidth="1"/>
    <col min="18" max="18" width="27.16015625" style="9" customWidth="1"/>
    <col min="19" max="19" width="14.33203125" style="9" bestFit="1" customWidth="1"/>
    <col min="20" max="20" width="9.66015625" style="9" bestFit="1" customWidth="1"/>
    <col min="21" max="21" width="14.33203125" style="9" bestFit="1" customWidth="1"/>
    <col min="22" max="23" width="9.16015625" style="9" customWidth="1"/>
    <col min="24" max="24" width="23.33203125" style="9" customWidth="1"/>
    <col min="25" max="16384" width="9.16015625" style="9" customWidth="1"/>
  </cols>
  <sheetData>
    <row r="1" spans="7:14" ht="30" customHeight="1">
      <c r="G1" s="156" t="s">
        <v>453</v>
      </c>
      <c r="H1" s="156"/>
      <c r="I1" s="156"/>
      <c r="J1" s="156"/>
      <c r="K1" s="156"/>
      <c r="L1" s="156"/>
      <c r="M1" s="156"/>
      <c r="N1" s="156"/>
    </row>
    <row r="2" spans="7:14" ht="24" customHeight="1">
      <c r="G2" s="156" t="s">
        <v>454</v>
      </c>
      <c r="H2" s="156"/>
      <c r="I2" s="156"/>
      <c r="J2" s="156"/>
      <c r="K2" s="156"/>
      <c r="L2" s="156"/>
      <c r="M2" s="156"/>
      <c r="N2" s="156"/>
    </row>
    <row r="3" spans="7:14" ht="30" customHeight="1">
      <c r="G3" s="156" t="s">
        <v>448</v>
      </c>
      <c r="H3" s="156"/>
      <c r="I3" s="156"/>
      <c r="J3" s="156"/>
      <c r="K3" s="156"/>
      <c r="L3" s="156"/>
      <c r="M3" s="156"/>
      <c r="N3" s="156"/>
    </row>
    <row r="4" spans="7:14" ht="30" customHeight="1">
      <c r="G4" s="156" t="s">
        <v>449</v>
      </c>
      <c r="H4" s="156"/>
      <c r="I4" s="156"/>
      <c r="J4" s="156"/>
      <c r="K4" s="156"/>
      <c r="L4" s="156"/>
      <c r="M4" s="156"/>
      <c r="N4" s="156"/>
    </row>
    <row r="5" spans="7:14" ht="30" customHeight="1">
      <c r="G5" s="156" t="s">
        <v>450</v>
      </c>
      <c r="H5" s="156"/>
      <c r="I5" s="156"/>
      <c r="J5" s="156"/>
      <c r="K5" s="156"/>
      <c r="L5" s="156"/>
      <c r="M5" s="156"/>
      <c r="N5" s="156"/>
    </row>
    <row r="6" spans="7:14" ht="30" customHeight="1">
      <c r="G6" s="156" t="s">
        <v>451</v>
      </c>
      <c r="H6" s="156"/>
      <c r="I6" s="156"/>
      <c r="J6" s="156"/>
      <c r="K6" s="156"/>
      <c r="L6" s="156"/>
      <c r="M6" s="156"/>
      <c r="N6" s="156"/>
    </row>
    <row r="7" spans="4:14" ht="30" customHeight="1">
      <c r="D7" s="10"/>
      <c r="E7" s="10"/>
      <c r="F7" s="10"/>
      <c r="G7" s="156" t="s">
        <v>452</v>
      </c>
      <c r="H7" s="156"/>
      <c r="I7" s="156"/>
      <c r="J7" s="156"/>
      <c r="K7" s="156"/>
      <c r="L7" s="156"/>
      <c r="M7" s="156"/>
      <c r="N7" s="156"/>
    </row>
    <row r="8" spans="4:13" ht="20.25">
      <c r="D8" s="10"/>
      <c r="E8" s="10"/>
      <c r="F8" s="10"/>
      <c r="G8" s="10"/>
      <c r="H8" s="11"/>
      <c r="I8" s="161"/>
      <c r="J8" s="161"/>
      <c r="K8" s="161"/>
      <c r="L8" s="161"/>
      <c r="M8" s="161"/>
    </row>
    <row r="9" spans="4:13" ht="27.75" customHeight="1">
      <c r="D9" s="10"/>
      <c r="E9" s="10"/>
      <c r="F9" s="10"/>
      <c r="G9" s="10"/>
      <c r="H9" s="11"/>
      <c r="I9" s="8"/>
      <c r="J9" s="8"/>
      <c r="K9" s="8"/>
      <c r="L9" s="8"/>
      <c r="M9" s="8"/>
    </row>
    <row r="10" spans="4:13" ht="20.25">
      <c r="D10" s="10"/>
      <c r="E10" s="10"/>
      <c r="F10" s="10"/>
      <c r="G10" s="10"/>
      <c r="H10" s="11"/>
      <c r="I10" s="8"/>
      <c r="J10" s="8"/>
      <c r="K10" s="8"/>
      <c r="L10" s="8"/>
      <c r="M10" s="8"/>
    </row>
    <row r="11" spans="1:14" ht="28.5" customHeight="1">
      <c r="A11" s="13"/>
      <c r="B11" s="13"/>
      <c r="C11" s="13"/>
      <c r="D11" s="158" t="s">
        <v>432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4" ht="28.5" customHeight="1">
      <c r="A12" s="13"/>
      <c r="B12" s="13"/>
      <c r="C12" s="13"/>
      <c r="D12" s="158" t="s">
        <v>433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4:14" ht="45" customHeight="1">
      <c r="D13" s="14"/>
      <c r="E13" s="14"/>
      <c r="F13" s="14"/>
      <c r="G13" s="14"/>
      <c r="H13" s="14"/>
      <c r="I13" s="14"/>
      <c r="J13" s="14"/>
      <c r="K13" s="14"/>
      <c r="M13" s="15"/>
      <c r="N13" s="149" t="s">
        <v>428</v>
      </c>
    </row>
    <row r="14" spans="1:15" s="18" customFormat="1" ht="42.75" customHeight="1">
      <c r="A14" s="163" t="s">
        <v>50</v>
      </c>
      <c r="B14" s="160" t="s">
        <v>51</v>
      </c>
      <c r="C14" s="160" t="s">
        <v>27</v>
      </c>
      <c r="D14" s="160" t="s">
        <v>434</v>
      </c>
      <c r="E14" s="159" t="s">
        <v>174</v>
      </c>
      <c r="F14" s="160" t="s">
        <v>175</v>
      </c>
      <c r="G14" s="160" t="s">
        <v>175</v>
      </c>
      <c r="H14" s="160" t="s">
        <v>176</v>
      </c>
      <c r="I14" s="160" t="s">
        <v>177</v>
      </c>
      <c r="J14" s="160" t="s">
        <v>177</v>
      </c>
      <c r="K14" s="160" t="s">
        <v>178</v>
      </c>
      <c r="L14" s="159" t="s">
        <v>224</v>
      </c>
      <c r="M14" s="159" t="s">
        <v>225</v>
      </c>
      <c r="N14" s="160" t="s">
        <v>178</v>
      </c>
      <c r="O14" s="17"/>
    </row>
    <row r="15" spans="1:14" s="18" customFormat="1" ht="42" customHeight="1">
      <c r="A15" s="163"/>
      <c r="B15" s="160"/>
      <c r="C15" s="160"/>
      <c r="D15" s="160"/>
      <c r="E15" s="159"/>
      <c r="F15" s="160"/>
      <c r="G15" s="160"/>
      <c r="H15" s="160"/>
      <c r="I15" s="160"/>
      <c r="J15" s="160"/>
      <c r="K15" s="160"/>
      <c r="L15" s="159"/>
      <c r="M15" s="159"/>
      <c r="N15" s="160"/>
    </row>
    <row r="16" spans="1:14" s="18" customFormat="1" ht="53.25" customHeight="1">
      <c r="A16" s="163"/>
      <c r="B16" s="160"/>
      <c r="C16" s="160"/>
      <c r="D16" s="160"/>
      <c r="E16" s="159"/>
      <c r="F16" s="160"/>
      <c r="G16" s="160"/>
      <c r="H16" s="160"/>
      <c r="I16" s="160"/>
      <c r="J16" s="160"/>
      <c r="K16" s="160"/>
      <c r="L16" s="159"/>
      <c r="M16" s="159"/>
      <c r="N16" s="160"/>
    </row>
    <row r="17" spans="1:14" s="22" customFormat="1" ht="15.75" customHeight="1">
      <c r="A17" s="19"/>
      <c r="B17" s="20"/>
      <c r="C17" s="20"/>
      <c r="D17" s="20">
        <v>1</v>
      </c>
      <c r="E17" s="20">
        <v>5</v>
      </c>
      <c r="F17" s="20"/>
      <c r="G17" s="20">
        <v>2</v>
      </c>
      <c r="H17" s="20">
        <v>3</v>
      </c>
      <c r="I17" s="20"/>
      <c r="J17" s="20">
        <v>4</v>
      </c>
      <c r="K17" s="20"/>
      <c r="L17" s="21"/>
      <c r="M17" s="21"/>
      <c r="N17" s="21">
        <v>5</v>
      </c>
    </row>
    <row r="18" spans="1:21" s="28" customFormat="1" ht="33" customHeight="1">
      <c r="A18" s="23" t="s">
        <v>76</v>
      </c>
      <c r="B18" s="23"/>
      <c r="C18" s="23"/>
      <c r="D18" s="24" t="s">
        <v>20</v>
      </c>
      <c r="E18" s="24"/>
      <c r="F18" s="24"/>
      <c r="G18" s="25">
        <f>ROUND(F18/1000,1)</f>
        <v>0</v>
      </c>
      <c r="H18" s="24"/>
      <c r="I18" s="24"/>
      <c r="J18" s="25">
        <f aca="true" t="shared" si="0" ref="J18:J84">ROUND(I18/1000,1)</f>
        <v>0</v>
      </c>
      <c r="K18" s="26">
        <f>K19+K20+K23+K27+K30+K32+K36+K34+K25+K22+K35+K38+K41+K39+K40</f>
        <v>46523894</v>
      </c>
      <c r="L18" s="26">
        <f>L19+L20+L23+L27+L30+L32+L36+L34+L25+L22+L35+L38+L41+L39+L40</f>
        <v>385000</v>
      </c>
      <c r="M18" s="26">
        <f>M19+M20+M23+M27+M30+M32+M36+M34+M25+M22+M35+M38+M41+M39+M40</f>
        <v>46908894</v>
      </c>
      <c r="N18" s="27">
        <f>N19+N20+N23+N27+N30+N32+N36+N34+N25+N22+N35+N38+N41+N39+N40</f>
        <v>46918.90000000001</v>
      </c>
      <c r="O18" s="30"/>
      <c r="P18" s="29"/>
      <c r="Q18" s="30"/>
      <c r="R18" s="31"/>
      <c r="S18" s="31"/>
      <c r="T18" s="31"/>
      <c r="U18" s="31"/>
    </row>
    <row r="19" spans="1:21" s="36" customFormat="1" ht="40.5" customHeight="1">
      <c r="A19" s="32" t="s">
        <v>77</v>
      </c>
      <c r="B19" s="32" t="s">
        <v>58</v>
      </c>
      <c r="C19" s="32" t="s">
        <v>26</v>
      </c>
      <c r="D19" s="33" t="s">
        <v>59</v>
      </c>
      <c r="E19" s="33"/>
      <c r="F19" s="33"/>
      <c r="G19" s="25">
        <f aca="true" t="shared" si="1" ref="G19:G85">ROUND(F19/1000,1)</f>
        <v>0</v>
      </c>
      <c r="H19" s="33"/>
      <c r="I19" s="33"/>
      <c r="J19" s="25">
        <f t="shared" si="0"/>
        <v>0</v>
      </c>
      <c r="K19" s="34">
        <f>4000000-1295000+302014</f>
        <v>3007014</v>
      </c>
      <c r="L19" s="34"/>
      <c r="M19" s="34">
        <f>L19+K19</f>
        <v>3007014</v>
      </c>
      <c r="N19" s="35">
        <f aca="true" t="shared" si="2" ref="N19:N85">ROUND(M19/1000,1)</f>
        <v>3007</v>
      </c>
      <c r="O19" s="38"/>
      <c r="P19" s="29"/>
      <c r="Q19" s="30"/>
      <c r="R19" s="31"/>
      <c r="S19" s="29"/>
      <c r="T19" s="29"/>
      <c r="U19" s="29"/>
    </row>
    <row r="20" spans="1:21" s="36" customFormat="1" ht="34.5" customHeight="1">
      <c r="A20" s="32" t="s">
        <v>78</v>
      </c>
      <c r="B20" s="32" t="s">
        <v>62</v>
      </c>
      <c r="C20" s="32"/>
      <c r="D20" s="33" t="s">
        <v>385</v>
      </c>
      <c r="E20" s="33"/>
      <c r="F20" s="33"/>
      <c r="G20" s="25">
        <f t="shared" si="1"/>
        <v>0</v>
      </c>
      <c r="H20" s="33"/>
      <c r="I20" s="33"/>
      <c r="J20" s="25">
        <f t="shared" si="0"/>
        <v>0</v>
      </c>
      <c r="K20" s="34">
        <f>K21</f>
        <v>20500</v>
      </c>
      <c r="L20" s="34">
        <f>L21</f>
        <v>385000</v>
      </c>
      <c r="M20" s="34">
        <f>M21</f>
        <v>405500</v>
      </c>
      <c r="N20" s="37">
        <f>N21</f>
        <v>405.5</v>
      </c>
      <c r="O20" s="46"/>
      <c r="P20" s="29"/>
      <c r="Q20" s="38"/>
      <c r="R20" s="31"/>
      <c r="S20" s="29"/>
      <c r="T20" s="29"/>
      <c r="U20" s="29"/>
    </row>
    <row r="21" spans="1:21" s="45" customFormat="1" ht="28.5" customHeight="1">
      <c r="A21" s="39" t="s">
        <v>79</v>
      </c>
      <c r="B21" s="39" t="s">
        <v>63</v>
      </c>
      <c r="C21" s="39" t="s">
        <v>49</v>
      </c>
      <c r="D21" s="40" t="s">
        <v>64</v>
      </c>
      <c r="E21" s="41"/>
      <c r="F21" s="41"/>
      <c r="G21" s="42">
        <f t="shared" si="1"/>
        <v>0</v>
      </c>
      <c r="H21" s="41"/>
      <c r="I21" s="41"/>
      <c r="J21" s="42">
        <f t="shared" si="0"/>
        <v>0</v>
      </c>
      <c r="K21" s="43">
        <v>20500</v>
      </c>
      <c r="L21" s="43">
        <v>385000</v>
      </c>
      <c r="M21" s="43">
        <f>L21+K21</f>
        <v>405500</v>
      </c>
      <c r="N21" s="44">
        <f t="shared" si="2"/>
        <v>405.5</v>
      </c>
      <c r="O21" s="30"/>
      <c r="P21" s="29"/>
      <c r="Q21" s="46"/>
      <c r="R21" s="31"/>
      <c r="S21" s="47"/>
      <c r="T21" s="47"/>
      <c r="U21" s="47"/>
    </row>
    <row r="22" spans="1:21" s="49" customFormat="1" ht="44.25" customHeight="1">
      <c r="A22" s="32" t="s">
        <v>246</v>
      </c>
      <c r="B22" s="32" t="s">
        <v>247</v>
      </c>
      <c r="C22" s="32" t="s">
        <v>245</v>
      </c>
      <c r="D22" s="33" t="s">
        <v>244</v>
      </c>
      <c r="E22" s="48"/>
      <c r="F22" s="48"/>
      <c r="G22" s="25">
        <f t="shared" si="1"/>
        <v>0</v>
      </c>
      <c r="H22" s="48"/>
      <c r="I22" s="48"/>
      <c r="J22" s="25">
        <f t="shared" si="0"/>
        <v>0</v>
      </c>
      <c r="K22" s="34">
        <v>28500</v>
      </c>
      <c r="L22" s="34"/>
      <c r="M22" s="34">
        <f>L22+K22</f>
        <v>28500</v>
      </c>
      <c r="N22" s="35">
        <f t="shared" si="2"/>
        <v>28.5</v>
      </c>
      <c r="O22" s="51"/>
      <c r="P22" s="29"/>
      <c r="Q22" s="30"/>
      <c r="R22" s="31"/>
      <c r="S22" s="50"/>
      <c r="T22" s="50"/>
      <c r="U22" s="50"/>
    </row>
    <row r="23" spans="1:21" s="36" customFormat="1" ht="27.75" customHeight="1">
      <c r="A23" s="32" t="s">
        <v>80</v>
      </c>
      <c r="B23" s="32" t="s">
        <v>7</v>
      </c>
      <c r="C23" s="32"/>
      <c r="D23" s="33" t="s">
        <v>391</v>
      </c>
      <c r="E23" s="33"/>
      <c r="F23" s="33"/>
      <c r="G23" s="25">
        <f t="shared" si="1"/>
        <v>0</v>
      </c>
      <c r="H23" s="33"/>
      <c r="I23" s="33"/>
      <c r="J23" s="25">
        <f t="shared" si="0"/>
        <v>0</v>
      </c>
      <c r="K23" s="34">
        <f>K24</f>
        <v>20500</v>
      </c>
      <c r="L23" s="34">
        <f>L24</f>
        <v>0</v>
      </c>
      <c r="M23" s="34">
        <f>M24</f>
        <v>20500</v>
      </c>
      <c r="N23" s="37">
        <f>N24</f>
        <v>20.5</v>
      </c>
      <c r="O23" s="30"/>
      <c r="P23" s="29"/>
      <c r="Q23" s="51"/>
      <c r="R23" s="31"/>
      <c r="S23" s="29"/>
      <c r="T23" s="29"/>
      <c r="U23" s="29"/>
    </row>
    <row r="24" spans="1:21" s="52" customFormat="1" ht="30.75" customHeight="1">
      <c r="A24" s="39" t="s">
        <v>198</v>
      </c>
      <c r="B24" s="39" t="s">
        <v>199</v>
      </c>
      <c r="C24" s="39" t="s">
        <v>44</v>
      </c>
      <c r="D24" s="40" t="s">
        <v>200</v>
      </c>
      <c r="E24" s="40"/>
      <c r="F24" s="40"/>
      <c r="G24" s="25">
        <f t="shared" si="1"/>
        <v>0</v>
      </c>
      <c r="H24" s="40"/>
      <c r="I24" s="40"/>
      <c r="J24" s="25">
        <f t="shared" si="0"/>
        <v>0</v>
      </c>
      <c r="K24" s="43">
        <f>49000-28500</f>
        <v>20500</v>
      </c>
      <c r="L24" s="43"/>
      <c r="M24" s="43">
        <f>L24+K24</f>
        <v>20500</v>
      </c>
      <c r="N24" s="44">
        <f t="shared" si="2"/>
        <v>20.5</v>
      </c>
      <c r="O24" s="51"/>
      <c r="P24" s="29"/>
      <c r="Q24" s="30"/>
      <c r="R24" s="31"/>
      <c r="S24" s="53"/>
      <c r="T24" s="53"/>
      <c r="U24" s="53"/>
    </row>
    <row r="25" spans="1:21" s="36" customFormat="1" ht="33" customHeight="1">
      <c r="A25" s="32" t="s">
        <v>226</v>
      </c>
      <c r="B25" s="32" t="s">
        <v>228</v>
      </c>
      <c r="C25" s="32"/>
      <c r="D25" s="33" t="s">
        <v>386</v>
      </c>
      <c r="E25" s="33"/>
      <c r="F25" s="33"/>
      <c r="G25" s="25">
        <f t="shared" si="1"/>
        <v>0</v>
      </c>
      <c r="H25" s="33"/>
      <c r="I25" s="33"/>
      <c r="J25" s="25">
        <f t="shared" si="0"/>
        <v>0</v>
      </c>
      <c r="K25" s="34">
        <f>K26</f>
        <v>177000</v>
      </c>
      <c r="L25" s="34">
        <f>L26</f>
        <v>0</v>
      </c>
      <c r="M25" s="34">
        <f>M26</f>
        <v>177000</v>
      </c>
      <c r="N25" s="37">
        <f>N26</f>
        <v>177</v>
      </c>
      <c r="O25" s="30"/>
      <c r="P25" s="29"/>
      <c r="Q25" s="51"/>
      <c r="R25" s="31"/>
      <c r="S25" s="29"/>
      <c r="T25" s="29"/>
      <c r="U25" s="29"/>
    </row>
    <row r="26" spans="1:21" s="52" customFormat="1" ht="28.5" customHeight="1">
      <c r="A26" s="39" t="s">
        <v>227</v>
      </c>
      <c r="B26" s="39" t="s">
        <v>229</v>
      </c>
      <c r="C26" s="39" t="s">
        <v>45</v>
      </c>
      <c r="D26" s="40" t="s">
        <v>230</v>
      </c>
      <c r="E26" s="40"/>
      <c r="F26" s="40"/>
      <c r="G26" s="25">
        <f t="shared" si="1"/>
        <v>0</v>
      </c>
      <c r="H26" s="40"/>
      <c r="I26" s="40"/>
      <c r="J26" s="25">
        <f t="shared" si="0"/>
        <v>0</v>
      </c>
      <c r="K26" s="43">
        <v>177000</v>
      </c>
      <c r="L26" s="43"/>
      <c r="M26" s="43">
        <f>L26+K26</f>
        <v>177000</v>
      </c>
      <c r="N26" s="44">
        <f t="shared" si="2"/>
        <v>177</v>
      </c>
      <c r="O26" s="38"/>
      <c r="P26" s="29"/>
      <c r="Q26" s="30"/>
      <c r="R26" s="31"/>
      <c r="S26" s="53"/>
      <c r="T26" s="53"/>
      <c r="U26" s="53"/>
    </row>
    <row r="27" spans="1:21" s="36" customFormat="1" ht="30" customHeight="1">
      <c r="A27" s="54" t="s">
        <v>81</v>
      </c>
      <c r="B27" s="54" t="s">
        <v>55</v>
      </c>
      <c r="C27" s="54"/>
      <c r="D27" s="33" t="s">
        <v>387</v>
      </c>
      <c r="E27" s="33"/>
      <c r="F27" s="33"/>
      <c r="G27" s="25">
        <f t="shared" si="1"/>
        <v>0</v>
      </c>
      <c r="H27" s="33"/>
      <c r="I27" s="33"/>
      <c r="J27" s="25">
        <f t="shared" si="0"/>
        <v>0</v>
      </c>
      <c r="K27" s="34">
        <f>K28</f>
        <v>200000</v>
      </c>
      <c r="L27" s="34">
        <f>L28</f>
        <v>0</v>
      </c>
      <c r="M27" s="34">
        <f>M28</f>
        <v>200000</v>
      </c>
      <c r="N27" s="37">
        <f>N28+N29</f>
        <v>210</v>
      </c>
      <c r="O27" s="38"/>
      <c r="P27" s="29"/>
      <c r="Q27" s="38"/>
      <c r="R27" s="31"/>
      <c r="S27" s="29"/>
      <c r="T27" s="29"/>
      <c r="U27" s="29"/>
    </row>
    <row r="28" spans="1:21" s="45" customFormat="1" ht="34.5" customHeight="1">
      <c r="A28" s="55" t="s">
        <v>82</v>
      </c>
      <c r="B28" s="55" t="s">
        <v>56</v>
      </c>
      <c r="C28" s="55" t="s">
        <v>45</v>
      </c>
      <c r="D28" s="40" t="s">
        <v>9</v>
      </c>
      <c r="E28" s="41"/>
      <c r="F28" s="41"/>
      <c r="G28" s="25">
        <f t="shared" si="1"/>
        <v>0</v>
      </c>
      <c r="H28" s="41"/>
      <c r="I28" s="41"/>
      <c r="J28" s="25">
        <f t="shared" si="0"/>
        <v>0</v>
      </c>
      <c r="K28" s="43">
        <v>200000</v>
      </c>
      <c r="L28" s="43"/>
      <c r="M28" s="43">
        <f>L28+K28</f>
        <v>200000</v>
      </c>
      <c r="N28" s="44">
        <f t="shared" si="2"/>
        <v>200</v>
      </c>
      <c r="O28" s="51"/>
      <c r="P28" s="29"/>
      <c r="Q28" s="51"/>
      <c r="R28" s="31"/>
      <c r="S28" s="47"/>
      <c r="T28" s="47"/>
      <c r="U28" s="47"/>
    </row>
    <row r="29" spans="1:21" s="45" customFormat="1" ht="34.5" customHeight="1">
      <c r="A29" s="55"/>
      <c r="B29" s="55"/>
      <c r="C29" s="55"/>
      <c r="D29" s="40" t="s">
        <v>437</v>
      </c>
      <c r="E29" s="41"/>
      <c r="F29" s="41"/>
      <c r="G29" s="25"/>
      <c r="H29" s="41"/>
      <c r="I29" s="41"/>
      <c r="J29" s="25"/>
      <c r="K29" s="43"/>
      <c r="L29" s="43"/>
      <c r="M29" s="43"/>
      <c r="N29" s="44">
        <v>10</v>
      </c>
      <c r="O29" s="51"/>
      <c r="P29" s="29"/>
      <c r="Q29" s="51"/>
      <c r="R29" s="31"/>
      <c r="S29" s="47"/>
      <c r="T29" s="47"/>
      <c r="U29" s="47"/>
    </row>
    <row r="30" spans="1:21" s="52" customFormat="1" ht="25.5" customHeight="1">
      <c r="A30" s="54" t="s">
        <v>83</v>
      </c>
      <c r="B30" s="54" t="s">
        <v>46</v>
      </c>
      <c r="C30" s="54"/>
      <c r="D30" s="33" t="s">
        <v>388</v>
      </c>
      <c r="E30" s="33"/>
      <c r="F30" s="33"/>
      <c r="G30" s="25">
        <f t="shared" si="1"/>
        <v>0</v>
      </c>
      <c r="H30" s="33"/>
      <c r="I30" s="33"/>
      <c r="J30" s="25">
        <f t="shared" si="0"/>
        <v>0</v>
      </c>
      <c r="K30" s="34">
        <f>K31</f>
        <v>20000</v>
      </c>
      <c r="L30" s="34">
        <f>L31</f>
        <v>0</v>
      </c>
      <c r="M30" s="34">
        <f>M31</f>
        <v>20000</v>
      </c>
      <c r="N30" s="37">
        <f>N31</f>
        <v>20</v>
      </c>
      <c r="O30" s="30"/>
      <c r="P30" s="29"/>
      <c r="Q30" s="51"/>
      <c r="R30" s="31"/>
      <c r="S30" s="53"/>
      <c r="T30" s="53"/>
      <c r="U30" s="53"/>
    </row>
    <row r="31" spans="1:21" s="52" customFormat="1" ht="46.5" customHeight="1">
      <c r="A31" s="55" t="s">
        <v>84</v>
      </c>
      <c r="B31" s="55" t="s">
        <v>53</v>
      </c>
      <c r="C31" s="55" t="s">
        <v>45</v>
      </c>
      <c r="D31" s="40" t="s">
        <v>54</v>
      </c>
      <c r="E31" s="40"/>
      <c r="F31" s="40"/>
      <c r="G31" s="25">
        <f t="shared" si="1"/>
        <v>0</v>
      </c>
      <c r="H31" s="40"/>
      <c r="I31" s="40"/>
      <c r="J31" s="25">
        <f t="shared" si="0"/>
        <v>0</v>
      </c>
      <c r="K31" s="43">
        <v>20000</v>
      </c>
      <c r="L31" s="43"/>
      <c r="M31" s="43">
        <f>L31+K31</f>
        <v>20000</v>
      </c>
      <c r="N31" s="44">
        <f t="shared" si="2"/>
        <v>20</v>
      </c>
      <c r="O31" s="51"/>
      <c r="P31" s="29"/>
      <c r="Q31" s="30"/>
      <c r="R31" s="31"/>
      <c r="S31" s="53"/>
      <c r="T31" s="53"/>
      <c r="U31" s="53"/>
    </row>
    <row r="32" spans="1:21" s="36" customFormat="1" ht="25.5" customHeight="1">
      <c r="A32" s="54" t="s">
        <v>85</v>
      </c>
      <c r="B32" s="54" t="s">
        <v>2</v>
      </c>
      <c r="C32" s="54"/>
      <c r="D32" s="33" t="s">
        <v>389</v>
      </c>
      <c r="E32" s="33"/>
      <c r="F32" s="33"/>
      <c r="G32" s="25">
        <f t="shared" si="1"/>
        <v>0</v>
      </c>
      <c r="H32" s="33"/>
      <c r="I32" s="33"/>
      <c r="J32" s="25">
        <f t="shared" si="0"/>
        <v>0</v>
      </c>
      <c r="K32" s="34">
        <f>K33</f>
        <v>1490000</v>
      </c>
      <c r="L32" s="34">
        <f>L33</f>
        <v>0</v>
      </c>
      <c r="M32" s="34">
        <f>M33</f>
        <v>1490000</v>
      </c>
      <c r="N32" s="37">
        <f>N33</f>
        <v>1490</v>
      </c>
      <c r="O32" s="30"/>
      <c r="P32" s="29"/>
      <c r="Q32" s="51"/>
      <c r="R32" s="31"/>
      <c r="S32" s="29"/>
      <c r="T32" s="29"/>
      <c r="U32" s="29"/>
    </row>
    <row r="33" spans="1:21" s="52" customFormat="1" ht="23.25" customHeight="1">
      <c r="A33" s="55" t="s">
        <v>125</v>
      </c>
      <c r="B33" s="55" t="s">
        <v>3</v>
      </c>
      <c r="C33" s="55" t="s">
        <v>213</v>
      </c>
      <c r="D33" s="40" t="s">
        <v>8</v>
      </c>
      <c r="E33" s="40"/>
      <c r="F33" s="40"/>
      <c r="G33" s="25">
        <f t="shared" si="1"/>
        <v>0</v>
      </c>
      <c r="H33" s="40"/>
      <c r="I33" s="40"/>
      <c r="J33" s="25">
        <f t="shared" si="0"/>
        <v>0</v>
      </c>
      <c r="K33" s="43">
        <f>810000+680000</f>
        <v>1490000</v>
      </c>
      <c r="L33" s="43"/>
      <c r="M33" s="43">
        <f aca="true" t="shared" si="3" ref="M33:M41">L33+K33</f>
        <v>1490000</v>
      </c>
      <c r="N33" s="44">
        <f t="shared" si="2"/>
        <v>1490</v>
      </c>
      <c r="O33" s="30"/>
      <c r="P33" s="29"/>
      <c r="Q33" s="30"/>
      <c r="R33" s="31"/>
      <c r="S33" s="53"/>
      <c r="T33" s="53"/>
      <c r="U33" s="53"/>
    </row>
    <row r="34" spans="1:21" s="36" customFormat="1" ht="31.5" customHeight="1">
      <c r="A34" s="54" t="s">
        <v>209</v>
      </c>
      <c r="B34" s="54" t="s">
        <v>210</v>
      </c>
      <c r="C34" s="54" t="s">
        <v>212</v>
      </c>
      <c r="D34" s="33" t="s">
        <v>211</v>
      </c>
      <c r="E34" s="33"/>
      <c r="F34" s="33"/>
      <c r="G34" s="25">
        <f t="shared" si="1"/>
        <v>0</v>
      </c>
      <c r="H34" s="33"/>
      <c r="I34" s="33"/>
      <c r="J34" s="25">
        <f t="shared" si="0"/>
        <v>0</v>
      </c>
      <c r="K34" s="34">
        <f>4897000+3385000</f>
        <v>8282000</v>
      </c>
      <c r="L34" s="34"/>
      <c r="M34" s="34">
        <f t="shared" si="3"/>
        <v>8282000</v>
      </c>
      <c r="N34" s="35">
        <f t="shared" si="2"/>
        <v>8282</v>
      </c>
      <c r="O34" s="51"/>
      <c r="P34" s="29"/>
      <c r="Q34" s="30"/>
      <c r="R34" s="31"/>
      <c r="S34" s="29"/>
      <c r="T34" s="29"/>
      <c r="U34" s="29"/>
    </row>
    <row r="35" spans="1:21" s="36" customFormat="1" ht="27" customHeight="1">
      <c r="A35" s="54" t="s">
        <v>251</v>
      </c>
      <c r="B35" s="54" t="s">
        <v>252</v>
      </c>
      <c r="C35" s="54" t="s">
        <v>254</v>
      </c>
      <c r="D35" s="56" t="s">
        <v>253</v>
      </c>
      <c r="E35" s="33"/>
      <c r="F35" s="33"/>
      <c r="G35" s="25">
        <f t="shared" si="1"/>
        <v>0</v>
      </c>
      <c r="H35" s="33"/>
      <c r="I35" s="33"/>
      <c r="J35" s="25">
        <f t="shared" si="0"/>
        <v>0</v>
      </c>
      <c r="K35" s="34">
        <v>16800</v>
      </c>
      <c r="L35" s="34"/>
      <c r="M35" s="34">
        <f t="shared" si="3"/>
        <v>16800</v>
      </c>
      <c r="N35" s="35">
        <f t="shared" si="2"/>
        <v>16.8</v>
      </c>
      <c r="O35" s="51"/>
      <c r="P35" s="29"/>
      <c r="Q35" s="51"/>
      <c r="R35" s="31"/>
      <c r="S35" s="29"/>
      <c r="T35" s="29"/>
      <c r="U35" s="29"/>
    </row>
    <row r="36" spans="1:21" s="52" customFormat="1" ht="27" customHeight="1">
      <c r="A36" s="54" t="s">
        <v>86</v>
      </c>
      <c r="B36" s="54" t="s">
        <v>4</v>
      </c>
      <c r="C36" s="54" t="s">
        <v>47</v>
      </c>
      <c r="D36" s="33" t="s">
        <v>390</v>
      </c>
      <c r="E36" s="33" t="s">
        <v>186</v>
      </c>
      <c r="F36" s="33"/>
      <c r="G36" s="25">
        <f t="shared" si="1"/>
        <v>0</v>
      </c>
      <c r="H36" s="33"/>
      <c r="I36" s="33"/>
      <c r="J36" s="25">
        <f t="shared" si="0"/>
        <v>0</v>
      </c>
      <c r="K36" s="34">
        <f>4220000+24220000+800000</f>
        <v>29240000</v>
      </c>
      <c r="L36" s="34"/>
      <c r="M36" s="34">
        <f t="shared" si="3"/>
        <v>29240000</v>
      </c>
      <c r="N36" s="35">
        <f>N37</f>
        <v>29240</v>
      </c>
      <c r="O36" s="51"/>
      <c r="P36" s="29"/>
      <c r="Q36" s="51"/>
      <c r="R36" s="31"/>
      <c r="S36" s="53"/>
      <c r="T36" s="53"/>
      <c r="U36" s="53"/>
    </row>
    <row r="37" spans="1:21" s="52" customFormat="1" ht="21.75" customHeight="1">
      <c r="A37" s="55"/>
      <c r="B37" s="55"/>
      <c r="C37" s="55"/>
      <c r="D37" s="40" t="s">
        <v>186</v>
      </c>
      <c r="E37" s="40"/>
      <c r="F37" s="40"/>
      <c r="G37" s="25">
        <f t="shared" si="1"/>
        <v>0</v>
      </c>
      <c r="H37" s="40"/>
      <c r="I37" s="40"/>
      <c r="J37" s="25">
        <f t="shared" si="0"/>
        <v>0</v>
      </c>
      <c r="K37" s="43">
        <v>29240000</v>
      </c>
      <c r="L37" s="43"/>
      <c r="M37" s="43">
        <f t="shared" si="3"/>
        <v>29240000</v>
      </c>
      <c r="N37" s="44">
        <f t="shared" si="2"/>
        <v>29240</v>
      </c>
      <c r="O37" s="51"/>
      <c r="P37" s="29"/>
      <c r="Q37" s="51"/>
      <c r="R37" s="31"/>
      <c r="S37" s="53"/>
      <c r="T37" s="53"/>
      <c r="U37" s="53"/>
    </row>
    <row r="38" spans="1:21" s="52" customFormat="1" ht="25.5" customHeight="1">
      <c r="A38" s="54" t="s">
        <v>255</v>
      </c>
      <c r="B38" s="54" t="s">
        <v>256</v>
      </c>
      <c r="C38" s="54" t="s">
        <v>257</v>
      </c>
      <c r="D38" s="56" t="s">
        <v>258</v>
      </c>
      <c r="E38" s="33"/>
      <c r="F38" s="33"/>
      <c r="G38" s="25">
        <f t="shared" si="1"/>
        <v>0</v>
      </c>
      <c r="H38" s="33"/>
      <c r="I38" s="33"/>
      <c r="J38" s="25">
        <f t="shared" si="0"/>
        <v>0</v>
      </c>
      <c r="K38" s="34">
        <v>55900</v>
      </c>
      <c r="L38" s="34"/>
      <c r="M38" s="34">
        <f t="shared" si="3"/>
        <v>55900</v>
      </c>
      <c r="N38" s="35">
        <f t="shared" si="2"/>
        <v>55.9</v>
      </c>
      <c r="O38" s="51"/>
      <c r="P38" s="29"/>
      <c r="Q38" s="51"/>
      <c r="R38" s="31"/>
      <c r="S38" s="53"/>
      <c r="T38" s="53"/>
      <c r="U38" s="53"/>
    </row>
    <row r="39" spans="1:21" s="52" customFormat="1" ht="33" customHeight="1">
      <c r="A39" s="54" t="s">
        <v>309</v>
      </c>
      <c r="B39" s="54" t="s">
        <v>312</v>
      </c>
      <c r="C39" s="54" t="s">
        <v>257</v>
      </c>
      <c r="D39" s="33" t="s">
        <v>311</v>
      </c>
      <c r="E39" s="33"/>
      <c r="F39" s="33"/>
      <c r="G39" s="25">
        <f t="shared" si="1"/>
        <v>0</v>
      </c>
      <c r="H39" s="33"/>
      <c r="I39" s="33"/>
      <c r="J39" s="25">
        <f t="shared" si="0"/>
        <v>0</v>
      </c>
      <c r="K39" s="34">
        <v>57900</v>
      </c>
      <c r="L39" s="34"/>
      <c r="M39" s="34">
        <f t="shared" si="3"/>
        <v>57900</v>
      </c>
      <c r="N39" s="35">
        <f t="shared" si="2"/>
        <v>57.9</v>
      </c>
      <c r="O39" s="51"/>
      <c r="P39" s="29"/>
      <c r="Q39" s="51"/>
      <c r="R39" s="31"/>
      <c r="S39" s="53"/>
      <c r="T39" s="53"/>
      <c r="U39" s="53"/>
    </row>
    <row r="40" spans="1:21" s="52" customFormat="1" ht="28.5" customHeight="1">
      <c r="A40" s="54" t="s">
        <v>330</v>
      </c>
      <c r="B40" s="54" t="s">
        <v>217</v>
      </c>
      <c r="C40" s="54" t="s">
        <v>25</v>
      </c>
      <c r="D40" s="33" t="s">
        <v>215</v>
      </c>
      <c r="E40" s="33"/>
      <c r="F40" s="33"/>
      <c r="G40" s="25">
        <f t="shared" si="1"/>
        <v>0</v>
      </c>
      <c r="H40" s="33"/>
      <c r="I40" s="33"/>
      <c r="J40" s="25">
        <f t="shared" si="0"/>
        <v>0</v>
      </c>
      <c r="K40" s="34">
        <v>344000</v>
      </c>
      <c r="L40" s="34"/>
      <c r="M40" s="34">
        <f t="shared" si="3"/>
        <v>344000</v>
      </c>
      <c r="N40" s="35">
        <f t="shared" si="2"/>
        <v>344</v>
      </c>
      <c r="O40" s="51"/>
      <c r="P40" s="29"/>
      <c r="Q40" s="51"/>
      <c r="R40" s="31"/>
      <c r="S40" s="53"/>
      <c r="T40" s="53"/>
      <c r="U40" s="53"/>
    </row>
    <row r="41" spans="1:21" s="52" customFormat="1" ht="46.5" customHeight="1">
      <c r="A41" s="54" t="s">
        <v>277</v>
      </c>
      <c r="B41" s="54" t="s">
        <v>266</v>
      </c>
      <c r="C41" s="54" t="s">
        <v>25</v>
      </c>
      <c r="D41" s="56" t="s">
        <v>276</v>
      </c>
      <c r="E41" s="33"/>
      <c r="F41" s="33"/>
      <c r="G41" s="25">
        <f t="shared" si="1"/>
        <v>0</v>
      </c>
      <c r="H41" s="33"/>
      <c r="I41" s="33"/>
      <c r="J41" s="25">
        <f t="shared" si="0"/>
        <v>0</v>
      </c>
      <c r="K41" s="34">
        <f>2563780+1000000</f>
        <v>3563780</v>
      </c>
      <c r="L41" s="34"/>
      <c r="M41" s="34">
        <f t="shared" si="3"/>
        <v>3563780</v>
      </c>
      <c r="N41" s="35">
        <f t="shared" si="2"/>
        <v>3563.8</v>
      </c>
      <c r="O41" s="51"/>
      <c r="P41" s="29"/>
      <c r="Q41" s="51"/>
      <c r="R41" s="31"/>
      <c r="S41" s="53"/>
      <c r="T41" s="53"/>
      <c r="U41" s="53"/>
    </row>
    <row r="42" spans="1:21" s="28" customFormat="1" ht="24.75" customHeight="1">
      <c r="A42" s="57" t="s">
        <v>87</v>
      </c>
      <c r="B42" s="57"/>
      <c r="C42" s="57"/>
      <c r="D42" s="1" t="s">
        <v>10</v>
      </c>
      <c r="E42" s="1"/>
      <c r="F42" s="1"/>
      <c r="G42" s="25">
        <f t="shared" si="1"/>
        <v>0</v>
      </c>
      <c r="H42" s="1"/>
      <c r="I42" s="1"/>
      <c r="J42" s="25">
        <f t="shared" si="0"/>
        <v>0</v>
      </c>
      <c r="K42" s="26">
        <f>K43+K44+K45+K46+K47+K50+K52+K56+K54+K57+K48+K49</f>
        <v>45086256.42</v>
      </c>
      <c r="L42" s="26">
        <f>L43+L44+L45+L46+L47+L50+L52+L56+L54+L57+L48+L49</f>
        <v>13000</v>
      </c>
      <c r="M42" s="26">
        <f>M43+M44+M45+M46+M47+M50+M52+M56+M54+M57+M48+M49</f>
        <v>45099256.42</v>
      </c>
      <c r="N42" s="27">
        <f>N43+N44+N45+N46+N47+N50+N52+N56+N54+N57+N48+N49</f>
        <v>44747.3</v>
      </c>
      <c r="O42" s="30"/>
      <c r="P42" s="29"/>
      <c r="Q42" s="30"/>
      <c r="R42" s="31"/>
      <c r="S42" s="31"/>
      <c r="T42" s="31"/>
      <c r="U42" s="31"/>
    </row>
    <row r="43" spans="1:21" s="36" customFormat="1" ht="42" customHeight="1">
      <c r="A43" s="32" t="s">
        <v>88</v>
      </c>
      <c r="B43" s="32" t="s">
        <v>58</v>
      </c>
      <c r="C43" s="32" t="s">
        <v>26</v>
      </c>
      <c r="D43" s="33" t="s">
        <v>59</v>
      </c>
      <c r="E43" s="33"/>
      <c r="F43" s="33"/>
      <c r="G43" s="25">
        <f t="shared" si="1"/>
        <v>0</v>
      </c>
      <c r="H43" s="33"/>
      <c r="I43" s="33"/>
      <c r="J43" s="25">
        <f t="shared" si="0"/>
        <v>0</v>
      </c>
      <c r="K43" s="34">
        <v>16000</v>
      </c>
      <c r="L43" s="34"/>
      <c r="M43" s="34">
        <f aca="true" t="shared" si="4" ref="M43:M49">L43+K43</f>
        <v>16000</v>
      </c>
      <c r="N43" s="35">
        <f t="shared" si="2"/>
        <v>16</v>
      </c>
      <c r="O43" s="30"/>
      <c r="P43" s="29"/>
      <c r="Q43" s="30"/>
      <c r="R43" s="31"/>
      <c r="S43" s="29"/>
      <c r="T43" s="29"/>
      <c r="U43" s="29"/>
    </row>
    <row r="44" spans="1:21" s="36" customFormat="1" ht="28.5" customHeight="1">
      <c r="A44" s="32" t="s">
        <v>89</v>
      </c>
      <c r="B44" s="32" t="s">
        <v>28</v>
      </c>
      <c r="C44" s="32" t="s">
        <v>29</v>
      </c>
      <c r="D44" s="33" t="s">
        <v>71</v>
      </c>
      <c r="E44" s="33"/>
      <c r="F44" s="33"/>
      <c r="G44" s="25">
        <f t="shared" si="1"/>
        <v>0</v>
      </c>
      <c r="H44" s="33"/>
      <c r="I44" s="33"/>
      <c r="J44" s="25">
        <f t="shared" si="0"/>
        <v>0</v>
      </c>
      <c r="K44" s="34">
        <f>3500000+40000+300269+455116.65+15000</f>
        <v>4310385.65</v>
      </c>
      <c r="L44" s="34"/>
      <c r="M44" s="34">
        <f t="shared" si="4"/>
        <v>4310385.65</v>
      </c>
      <c r="N44" s="35">
        <f>ROUND(M44/1000,1)+8</f>
        <v>4318.4</v>
      </c>
      <c r="O44" s="30"/>
      <c r="P44" s="29"/>
      <c r="Q44" s="30"/>
      <c r="R44" s="31"/>
      <c r="S44" s="29"/>
      <c r="T44" s="29"/>
      <c r="U44" s="29"/>
    </row>
    <row r="45" spans="1:21" s="36" customFormat="1" ht="57.75" customHeight="1">
      <c r="A45" s="32" t="s">
        <v>90</v>
      </c>
      <c r="B45" s="32" t="s">
        <v>30</v>
      </c>
      <c r="C45" s="32" t="s">
        <v>31</v>
      </c>
      <c r="D45" s="33" t="s">
        <v>72</v>
      </c>
      <c r="E45" s="33"/>
      <c r="F45" s="33"/>
      <c r="G45" s="25">
        <f t="shared" si="1"/>
        <v>0</v>
      </c>
      <c r="H45" s="33"/>
      <c r="I45" s="33"/>
      <c r="J45" s="25">
        <f t="shared" si="0"/>
        <v>0</v>
      </c>
      <c r="K45" s="34">
        <f>7400000+469705+50000+9851742-39059+70689</f>
        <v>17803077</v>
      </c>
      <c r="L45" s="34"/>
      <c r="M45" s="34">
        <f t="shared" si="4"/>
        <v>17803077</v>
      </c>
      <c r="N45" s="35">
        <f>ROUND(M45/1000,1)+10</f>
        <v>17813.1</v>
      </c>
      <c r="O45" s="30"/>
      <c r="P45" s="29"/>
      <c r="Q45" s="30"/>
      <c r="R45" s="31"/>
      <c r="S45" s="29"/>
      <c r="T45" s="29"/>
      <c r="U45" s="29"/>
    </row>
    <row r="46" spans="1:21" s="36" customFormat="1" ht="66.75" customHeight="1">
      <c r="A46" s="32" t="s">
        <v>121</v>
      </c>
      <c r="B46" s="32" t="s">
        <v>32</v>
      </c>
      <c r="C46" s="32" t="s">
        <v>33</v>
      </c>
      <c r="D46" s="33" t="s">
        <v>60</v>
      </c>
      <c r="E46" s="33"/>
      <c r="F46" s="33"/>
      <c r="G46" s="25">
        <f t="shared" si="1"/>
        <v>0</v>
      </c>
      <c r="H46" s="33"/>
      <c r="I46" s="33"/>
      <c r="J46" s="25">
        <f t="shared" si="0"/>
        <v>0</v>
      </c>
      <c r="K46" s="34">
        <v>100000</v>
      </c>
      <c r="L46" s="34"/>
      <c r="M46" s="34">
        <f t="shared" si="4"/>
        <v>100000</v>
      </c>
      <c r="N46" s="35">
        <f t="shared" si="2"/>
        <v>100</v>
      </c>
      <c r="O46" s="30"/>
      <c r="P46" s="29"/>
      <c r="Q46" s="30"/>
      <c r="R46" s="31"/>
      <c r="S46" s="29"/>
      <c r="T46" s="29"/>
      <c r="U46" s="29"/>
    </row>
    <row r="47" spans="1:21" s="36" customFormat="1" ht="30.75" customHeight="1">
      <c r="A47" s="32" t="s">
        <v>122</v>
      </c>
      <c r="B47" s="32" t="s">
        <v>34</v>
      </c>
      <c r="C47" s="32" t="s">
        <v>35</v>
      </c>
      <c r="D47" s="33" t="s">
        <v>73</v>
      </c>
      <c r="E47" s="33"/>
      <c r="F47" s="33"/>
      <c r="G47" s="25">
        <f t="shared" si="1"/>
        <v>0</v>
      </c>
      <c r="H47" s="33"/>
      <c r="I47" s="33"/>
      <c r="J47" s="25">
        <f t="shared" si="0"/>
        <v>0</v>
      </c>
      <c r="K47" s="34">
        <f>400000+30000</f>
        <v>430000</v>
      </c>
      <c r="L47" s="34"/>
      <c r="M47" s="34">
        <f t="shared" si="4"/>
        <v>430000</v>
      </c>
      <c r="N47" s="35">
        <f t="shared" si="2"/>
        <v>430</v>
      </c>
      <c r="O47" s="30"/>
      <c r="P47" s="29"/>
      <c r="Q47" s="30"/>
      <c r="R47" s="31"/>
      <c r="S47" s="29"/>
      <c r="T47" s="29"/>
      <c r="U47" s="29"/>
    </row>
    <row r="48" spans="1:21" s="36" customFormat="1" ht="28.5" customHeight="1">
      <c r="A48" s="32" t="s">
        <v>354</v>
      </c>
      <c r="B48" s="32" t="s">
        <v>355</v>
      </c>
      <c r="C48" s="32" t="s">
        <v>357</v>
      </c>
      <c r="D48" s="33" t="s">
        <v>356</v>
      </c>
      <c r="E48" s="33"/>
      <c r="F48" s="33"/>
      <c r="G48" s="25">
        <f t="shared" si="1"/>
        <v>0</v>
      </c>
      <c r="H48" s="33"/>
      <c r="I48" s="33"/>
      <c r="J48" s="25">
        <f t="shared" si="0"/>
        <v>0</v>
      </c>
      <c r="K48" s="34">
        <f>2300000+2700000</f>
        <v>5000000</v>
      </c>
      <c r="L48" s="34"/>
      <c r="M48" s="34">
        <f t="shared" si="4"/>
        <v>5000000</v>
      </c>
      <c r="N48" s="35">
        <f>ROUND(M48/1000,1)-370</f>
        <v>4630</v>
      </c>
      <c r="O48" s="30"/>
      <c r="P48" s="29"/>
      <c r="Q48" s="30"/>
      <c r="R48" s="31"/>
      <c r="S48" s="29"/>
      <c r="T48" s="29"/>
      <c r="U48" s="29"/>
    </row>
    <row r="49" spans="1:21" s="36" customFormat="1" ht="36" customHeight="1">
      <c r="A49" s="32" t="s">
        <v>381</v>
      </c>
      <c r="B49" s="32" t="s">
        <v>382</v>
      </c>
      <c r="C49" s="32" t="s">
        <v>37</v>
      </c>
      <c r="D49" s="58" t="s">
        <v>380</v>
      </c>
      <c r="E49" s="33"/>
      <c r="F49" s="33"/>
      <c r="G49" s="25">
        <f t="shared" si="1"/>
        <v>0</v>
      </c>
      <c r="H49" s="33"/>
      <c r="I49" s="33"/>
      <c r="J49" s="25">
        <f t="shared" si="0"/>
        <v>0</v>
      </c>
      <c r="K49" s="34"/>
      <c r="L49" s="34">
        <v>13000</v>
      </c>
      <c r="M49" s="34">
        <f t="shared" si="4"/>
        <v>13000</v>
      </c>
      <c r="N49" s="35">
        <f t="shared" si="2"/>
        <v>13</v>
      </c>
      <c r="O49" s="30"/>
      <c r="P49" s="29"/>
      <c r="Q49" s="30"/>
      <c r="R49" s="31"/>
      <c r="S49" s="29"/>
      <c r="T49" s="29"/>
      <c r="U49" s="29"/>
    </row>
    <row r="50" spans="1:21" s="36" customFormat="1" ht="30" customHeight="1">
      <c r="A50" s="32" t="s">
        <v>123</v>
      </c>
      <c r="B50" s="32" t="s">
        <v>124</v>
      </c>
      <c r="C50" s="32"/>
      <c r="D50" s="33" t="s">
        <v>392</v>
      </c>
      <c r="E50" s="33"/>
      <c r="F50" s="33"/>
      <c r="G50" s="25">
        <f t="shared" si="1"/>
        <v>0</v>
      </c>
      <c r="H50" s="33"/>
      <c r="I50" s="33"/>
      <c r="J50" s="25">
        <f t="shared" si="0"/>
        <v>0</v>
      </c>
      <c r="K50" s="34">
        <f>K51</f>
        <v>287950</v>
      </c>
      <c r="L50" s="34">
        <f>L51</f>
        <v>0</v>
      </c>
      <c r="M50" s="34">
        <f>M51</f>
        <v>287950</v>
      </c>
      <c r="N50" s="37">
        <f>N51</f>
        <v>288</v>
      </c>
      <c r="O50" s="51"/>
      <c r="P50" s="29"/>
      <c r="Q50" s="51"/>
      <c r="R50" s="31"/>
      <c r="S50" s="29"/>
      <c r="T50" s="29"/>
      <c r="U50" s="29"/>
    </row>
    <row r="51" spans="1:22" s="52" customFormat="1" ht="26.25" customHeight="1">
      <c r="A51" s="39" t="s">
        <v>201</v>
      </c>
      <c r="B51" s="39" t="s">
        <v>202</v>
      </c>
      <c r="C51" s="39" t="s">
        <v>37</v>
      </c>
      <c r="D51" s="59" t="s">
        <v>203</v>
      </c>
      <c r="E51" s="40"/>
      <c r="F51" s="40"/>
      <c r="G51" s="25">
        <f t="shared" si="1"/>
        <v>0</v>
      </c>
      <c r="H51" s="40"/>
      <c r="I51" s="40"/>
      <c r="J51" s="25">
        <f t="shared" si="0"/>
        <v>0</v>
      </c>
      <c r="K51" s="43">
        <f>180000+107950</f>
        <v>287950</v>
      </c>
      <c r="L51" s="43"/>
      <c r="M51" s="43">
        <f>L51+K51</f>
        <v>287950</v>
      </c>
      <c r="N51" s="44">
        <f t="shared" si="2"/>
        <v>288</v>
      </c>
      <c r="O51" s="30"/>
      <c r="P51" s="29"/>
      <c r="Q51" s="30"/>
      <c r="R51" s="31"/>
      <c r="S51" s="53"/>
      <c r="T51" s="29"/>
      <c r="U51" s="29"/>
      <c r="V51" s="36"/>
    </row>
    <row r="52" spans="1:22" s="36" customFormat="1" ht="31.5" customHeight="1">
      <c r="A52" s="32" t="s">
        <v>91</v>
      </c>
      <c r="B52" s="32" t="s">
        <v>55</v>
      </c>
      <c r="C52" s="32"/>
      <c r="D52" s="58" t="s">
        <v>387</v>
      </c>
      <c r="E52" s="58"/>
      <c r="F52" s="58"/>
      <c r="G52" s="25">
        <f t="shared" si="1"/>
        <v>0</v>
      </c>
      <c r="H52" s="58"/>
      <c r="I52" s="58"/>
      <c r="J52" s="25">
        <f t="shared" si="0"/>
        <v>0</v>
      </c>
      <c r="K52" s="34">
        <f>K53</f>
        <v>100000</v>
      </c>
      <c r="L52" s="34">
        <f>L53</f>
        <v>0</v>
      </c>
      <c r="M52" s="34">
        <f>M53</f>
        <v>100000</v>
      </c>
      <c r="N52" s="37">
        <f>N53</f>
        <v>100</v>
      </c>
      <c r="O52" s="51"/>
      <c r="P52" s="29"/>
      <c r="Q52" s="51"/>
      <c r="R52" s="31"/>
      <c r="S52" s="29"/>
      <c r="T52" s="53"/>
      <c r="U52" s="53"/>
      <c r="V52" s="52"/>
    </row>
    <row r="53" spans="1:22" s="52" customFormat="1" ht="33" customHeight="1">
      <c r="A53" s="39" t="s">
        <v>92</v>
      </c>
      <c r="B53" s="39" t="s">
        <v>56</v>
      </c>
      <c r="C53" s="39" t="s">
        <v>45</v>
      </c>
      <c r="D53" s="59" t="s">
        <v>9</v>
      </c>
      <c r="E53" s="59"/>
      <c r="F53" s="59"/>
      <c r="G53" s="25">
        <f t="shared" si="1"/>
        <v>0</v>
      </c>
      <c r="H53" s="59"/>
      <c r="I53" s="59"/>
      <c r="J53" s="25">
        <f t="shared" si="0"/>
        <v>0</v>
      </c>
      <c r="K53" s="43">
        <v>100000</v>
      </c>
      <c r="L53" s="43"/>
      <c r="M53" s="43">
        <f>L53+K53</f>
        <v>100000</v>
      </c>
      <c r="N53" s="44">
        <f t="shared" si="2"/>
        <v>100</v>
      </c>
      <c r="O53" s="51"/>
      <c r="P53" s="29"/>
      <c r="Q53" s="51"/>
      <c r="R53" s="31"/>
      <c r="S53" s="53"/>
      <c r="T53" s="29"/>
      <c r="U53" s="29"/>
      <c r="V53" s="36"/>
    </row>
    <row r="54" spans="1:21" s="52" customFormat="1" ht="23.25" customHeight="1">
      <c r="A54" s="32" t="s">
        <v>270</v>
      </c>
      <c r="B54" s="32" t="s">
        <v>271</v>
      </c>
      <c r="C54" s="32"/>
      <c r="D54" s="60" t="s">
        <v>393</v>
      </c>
      <c r="E54" s="33"/>
      <c r="F54" s="33"/>
      <c r="G54" s="25">
        <f t="shared" si="1"/>
        <v>0</v>
      </c>
      <c r="H54" s="33"/>
      <c r="I54" s="33"/>
      <c r="J54" s="25">
        <f t="shared" si="0"/>
        <v>0</v>
      </c>
      <c r="K54" s="61">
        <f>SUM(K55)</f>
        <v>2087424.77</v>
      </c>
      <c r="L54" s="61">
        <f>SUM(L55)</f>
        <v>0</v>
      </c>
      <c r="M54" s="61">
        <f>SUM(M55)</f>
        <v>2087424.77</v>
      </c>
      <c r="N54" s="37">
        <f>SUM(N55)</f>
        <v>2087.4</v>
      </c>
      <c r="O54" s="51"/>
      <c r="P54" s="29"/>
      <c r="Q54" s="51"/>
      <c r="R54" s="31"/>
      <c r="S54" s="53"/>
      <c r="T54" s="53"/>
      <c r="U54" s="53"/>
    </row>
    <row r="55" spans="1:21" s="52" customFormat="1" ht="43.5" customHeight="1">
      <c r="A55" s="39" t="s">
        <v>268</v>
      </c>
      <c r="B55" s="39" t="s">
        <v>278</v>
      </c>
      <c r="C55" s="39" t="s">
        <v>47</v>
      </c>
      <c r="D55" s="62" t="s">
        <v>269</v>
      </c>
      <c r="E55" s="40"/>
      <c r="F55" s="40"/>
      <c r="G55" s="25">
        <f t="shared" si="1"/>
        <v>0</v>
      </c>
      <c r="H55" s="40"/>
      <c r="I55" s="40"/>
      <c r="J55" s="25">
        <f t="shared" si="0"/>
        <v>0</v>
      </c>
      <c r="K55" s="63">
        <v>2087424.77</v>
      </c>
      <c r="L55" s="63"/>
      <c r="M55" s="63">
        <f>L55+K55</f>
        <v>2087424.77</v>
      </c>
      <c r="N55" s="44">
        <f t="shared" si="2"/>
        <v>2087.4</v>
      </c>
      <c r="O55" s="51"/>
      <c r="P55" s="29"/>
      <c r="Q55" s="51"/>
      <c r="R55" s="31"/>
      <c r="S55" s="53"/>
      <c r="T55" s="53"/>
      <c r="U55" s="53"/>
    </row>
    <row r="56" spans="1:21" s="52" customFormat="1" ht="25.5" customHeight="1">
      <c r="A56" s="32" t="s">
        <v>93</v>
      </c>
      <c r="B56" s="32" t="s">
        <v>1</v>
      </c>
      <c r="C56" s="32" t="s">
        <v>48</v>
      </c>
      <c r="D56" s="33" t="s">
        <v>17</v>
      </c>
      <c r="E56" s="33"/>
      <c r="F56" s="33"/>
      <c r="G56" s="25">
        <f t="shared" si="1"/>
        <v>0</v>
      </c>
      <c r="H56" s="33"/>
      <c r="I56" s="33"/>
      <c r="J56" s="25">
        <f t="shared" si="0"/>
        <v>0</v>
      </c>
      <c r="K56" s="34">
        <f>11768000+900000+283419</f>
        <v>12951419</v>
      </c>
      <c r="L56" s="34"/>
      <c r="M56" s="34">
        <f>L56+K56</f>
        <v>12951419</v>
      </c>
      <c r="N56" s="35">
        <f t="shared" si="2"/>
        <v>12951.4</v>
      </c>
      <c r="O56" s="51"/>
      <c r="P56" s="29"/>
      <c r="Q56" s="51"/>
      <c r="R56" s="31"/>
      <c r="S56" s="53"/>
      <c r="T56" s="53"/>
      <c r="U56" s="53"/>
    </row>
    <row r="57" spans="1:21" s="52" customFormat="1" ht="43.5" customHeight="1">
      <c r="A57" s="32" t="s">
        <v>304</v>
      </c>
      <c r="B57" s="32" t="s">
        <v>266</v>
      </c>
      <c r="C57" s="32" t="s">
        <v>25</v>
      </c>
      <c r="D57" s="33" t="s">
        <v>276</v>
      </c>
      <c r="E57" s="33"/>
      <c r="F57" s="33"/>
      <c r="G57" s="25">
        <f t="shared" si="1"/>
        <v>0</v>
      </c>
      <c r="H57" s="33"/>
      <c r="I57" s="33"/>
      <c r="J57" s="25">
        <f t="shared" si="0"/>
        <v>0</v>
      </c>
      <c r="K57" s="34">
        <v>2000000</v>
      </c>
      <c r="L57" s="34"/>
      <c r="M57" s="34">
        <f>L57+K57</f>
        <v>2000000</v>
      </c>
      <c r="N57" s="35">
        <f t="shared" si="2"/>
        <v>2000</v>
      </c>
      <c r="O57" s="30"/>
      <c r="P57" s="29"/>
      <c r="Q57" s="64"/>
      <c r="R57" s="31"/>
      <c r="S57" s="53"/>
      <c r="T57" s="53"/>
      <c r="U57" s="53"/>
    </row>
    <row r="58" spans="1:22" s="28" customFormat="1" ht="32.25" customHeight="1">
      <c r="A58" s="23" t="s">
        <v>94</v>
      </c>
      <c r="B58" s="23"/>
      <c r="C58" s="23"/>
      <c r="D58" s="1" t="s">
        <v>11</v>
      </c>
      <c r="E58" s="1"/>
      <c r="F58" s="1"/>
      <c r="G58" s="25">
        <f t="shared" si="1"/>
        <v>0</v>
      </c>
      <c r="H58" s="1"/>
      <c r="I58" s="1"/>
      <c r="J58" s="25">
        <f t="shared" si="0"/>
        <v>0</v>
      </c>
      <c r="K58" s="26">
        <f>K59+K68+K66+K60+K61+K65</f>
        <v>43565368.6</v>
      </c>
      <c r="L58" s="26">
        <f>L59+L68+L66+L60+L61+L65</f>
        <v>115000</v>
      </c>
      <c r="M58" s="26">
        <f>M59+M68+M66+M60+M61+M65</f>
        <v>43680368.6</v>
      </c>
      <c r="N58" s="27">
        <f>N59+N68+N66+N60+N61+N65</f>
        <v>43451.299999999996</v>
      </c>
      <c r="O58" s="30"/>
      <c r="P58" s="29"/>
      <c r="Q58" s="30"/>
      <c r="R58" s="31"/>
      <c r="S58" s="31"/>
      <c r="T58" s="53"/>
      <c r="U58" s="53"/>
      <c r="V58" s="52"/>
    </row>
    <row r="59" spans="1:22" s="36" customFormat="1" ht="27" customHeight="1">
      <c r="A59" s="32" t="s">
        <v>95</v>
      </c>
      <c r="B59" s="32" t="s">
        <v>38</v>
      </c>
      <c r="C59" s="32" t="s">
        <v>39</v>
      </c>
      <c r="D59" s="33" t="s">
        <v>12</v>
      </c>
      <c r="E59" s="33"/>
      <c r="F59" s="33"/>
      <c r="G59" s="25">
        <f t="shared" si="1"/>
        <v>0</v>
      </c>
      <c r="H59" s="33"/>
      <c r="I59" s="33"/>
      <c r="J59" s="25">
        <f t="shared" si="0"/>
        <v>0</v>
      </c>
      <c r="K59" s="34">
        <f>20000000+350000+182000+7028800+181429+1109000</f>
        <v>28851229</v>
      </c>
      <c r="L59" s="34"/>
      <c r="M59" s="34">
        <f>L59+K59</f>
        <v>28851229</v>
      </c>
      <c r="N59" s="35">
        <f>ROUND(M59/1000,1)+15-264</f>
        <v>28602.2</v>
      </c>
      <c r="O59" s="51"/>
      <c r="P59" s="29"/>
      <c r="Q59" s="30"/>
      <c r="R59" s="31"/>
      <c r="S59" s="29"/>
      <c r="T59" s="31"/>
      <c r="U59" s="31"/>
      <c r="V59" s="28"/>
    </row>
    <row r="60" spans="1:21" s="36" customFormat="1" ht="27.75" customHeight="1">
      <c r="A60" s="32" t="s">
        <v>340</v>
      </c>
      <c r="B60" s="32" t="s">
        <v>341</v>
      </c>
      <c r="C60" s="32" t="s">
        <v>343</v>
      </c>
      <c r="D60" s="33" t="s">
        <v>342</v>
      </c>
      <c r="E60" s="33"/>
      <c r="F60" s="33"/>
      <c r="G60" s="25">
        <f t="shared" si="1"/>
        <v>0</v>
      </c>
      <c r="H60" s="33"/>
      <c r="I60" s="33"/>
      <c r="J60" s="25">
        <f t="shared" si="0"/>
        <v>0</v>
      </c>
      <c r="K60" s="34">
        <v>15000</v>
      </c>
      <c r="L60" s="34">
        <v>115000</v>
      </c>
      <c r="M60" s="34">
        <f>L60+K60</f>
        <v>130000</v>
      </c>
      <c r="N60" s="35">
        <f t="shared" si="2"/>
        <v>130</v>
      </c>
      <c r="O60" s="51"/>
      <c r="P60" s="29"/>
      <c r="Q60" s="51"/>
      <c r="R60" s="31"/>
      <c r="S60" s="29"/>
      <c r="T60" s="29"/>
      <c r="U60" s="29"/>
    </row>
    <row r="61" spans="1:21" s="36" customFormat="1" ht="26.25" customHeight="1">
      <c r="A61" s="32" t="s">
        <v>344</v>
      </c>
      <c r="B61" s="32" t="s">
        <v>345</v>
      </c>
      <c r="C61" s="32"/>
      <c r="D61" s="33" t="s">
        <v>394</v>
      </c>
      <c r="E61" s="33"/>
      <c r="F61" s="33"/>
      <c r="G61" s="25">
        <f t="shared" si="1"/>
        <v>0</v>
      </c>
      <c r="H61" s="33"/>
      <c r="I61" s="33"/>
      <c r="J61" s="25">
        <f t="shared" si="0"/>
        <v>0</v>
      </c>
      <c r="K61" s="34">
        <f>K62+K63</f>
        <v>69600</v>
      </c>
      <c r="L61" s="34">
        <f>L62+L63</f>
        <v>0</v>
      </c>
      <c r="M61" s="34">
        <f>M62+M63</f>
        <v>69600</v>
      </c>
      <c r="N61" s="37">
        <f>N62+N63</f>
        <v>89.6</v>
      </c>
      <c r="O61" s="30"/>
      <c r="P61" s="29"/>
      <c r="Q61" s="51"/>
      <c r="R61" s="31"/>
      <c r="S61" s="29"/>
      <c r="T61" s="29"/>
      <c r="U61" s="29"/>
    </row>
    <row r="62" spans="1:22" s="52" customFormat="1" ht="43.5" customHeight="1">
      <c r="A62" s="39" t="s">
        <v>346</v>
      </c>
      <c r="B62" s="39" t="s">
        <v>347</v>
      </c>
      <c r="C62" s="39" t="s">
        <v>349</v>
      </c>
      <c r="D62" s="40" t="s">
        <v>348</v>
      </c>
      <c r="E62" s="40"/>
      <c r="F62" s="40"/>
      <c r="G62" s="42">
        <f t="shared" si="1"/>
        <v>0</v>
      </c>
      <c r="H62" s="40"/>
      <c r="I62" s="40"/>
      <c r="J62" s="42">
        <f t="shared" si="0"/>
        <v>0</v>
      </c>
      <c r="K62" s="43">
        <v>35000</v>
      </c>
      <c r="L62" s="43"/>
      <c r="M62" s="43">
        <f>L62+K62</f>
        <v>35000</v>
      </c>
      <c r="N62" s="44">
        <f t="shared" si="2"/>
        <v>35</v>
      </c>
      <c r="O62" s="51"/>
      <c r="P62" s="29"/>
      <c r="Q62" s="30"/>
      <c r="R62" s="31"/>
      <c r="S62" s="53"/>
      <c r="T62" s="29"/>
      <c r="U62" s="29"/>
      <c r="V62" s="36"/>
    </row>
    <row r="63" spans="1:21" s="52" customFormat="1" ht="42.75" customHeight="1">
      <c r="A63" s="39" t="s">
        <v>350</v>
      </c>
      <c r="B63" s="39" t="s">
        <v>351</v>
      </c>
      <c r="C63" s="39" t="s">
        <v>352</v>
      </c>
      <c r="D63" s="40" t="s">
        <v>353</v>
      </c>
      <c r="E63" s="40"/>
      <c r="F63" s="40"/>
      <c r="G63" s="42">
        <f t="shared" si="1"/>
        <v>0</v>
      </c>
      <c r="H63" s="40"/>
      <c r="I63" s="40"/>
      <c r="J63" s="42">
        <f t="shared" si="0"/>
        <v>0</v>
      </c>
      <c r="K63" s="43">
        <f>22600+12000</f>
        <v>34600</v>
      </c>
      <c r="L63" s="43"/>
      <c r="M63" s="43">
        <f>L63+K63</f>
        <v>34600</v>
      </c>
      <c r="N63" s="44">
        <f>ROUND(M63/1000,1)+20</f>
        <v>54.6</v>
      </c>
      <c r="O63" s="30"/>
      <c r="P63" s="29"/>
      <c r="Q63" s="51"/>
      <c r="R63" s="31"/>
      <c r="S63" s="53"/>
      <c r="T63" s="53"/>
      <c r="U63" s="53"/>
    </row>
    <row r="64" spans="1:22" s="36" customFormat="1" ht="24.75" customHeight="1">
      <c r="A64" s="32" t="s">
        <v>368</v>
      </c>
      <c r="B64" s="32" t="s">
        <v>369</v>
      </c>
      <c r="C64" s="32"/>
      <c r="D64" s="33" t="s">
        <v>395</v>
      </c>
      <c r="E64" s="33"/>
      <c r="F64" s="33"/>
      <c r="G64" s="25">
        <f t="shared" si="1"/>
        <v>0</v>
      </c>
      <c r="H64" s="33"/>
      <c r="I64" s="33"/>
      <c r="J64" s="25">
        <f t="shared" si="0"/>
        <v>0</v>
      </c>
      <c r="K64" s="34">
        <f>K65</f>
        <v>3406496</v>
      </c>
      <c r="L64" s="34">
        <f>L65</f>
        <v>0</v>
      </c>
      <c r="M64" s="34">
        <f>M65</f>
        <v>3406496</v>
      </c>
      <c r="N64" s="37">
        <f>N65</f>
        <v>3406.5</v>
      </c>
      <c r="O64" s="51"/>
      <c r="P64" s="29"/>
      <c r="Q64" s="30"/>
      <c r="R64" s="31"/>
      <c r="S64" s="29"/>
      <c r="T64" s="53"/>
      <c r="U64" s="53"/>
      <c r="V64" s="52"/>
    </row>
    <row r="65" spans="1:22" s="52" customFormat="1" ht="30" customHeight="1">
      <c r="A65" s="39" t="s">
        <v>371</v>
      </c>
      <c r="B65" s="39" t="s">
        <v>370</v>
      </c>
      <c r="C65" s="39" t="s">
        <v>373</v>
      </c>
      <c r="D65" s="40" t="s">
        <v>372</v>
      </c>
      <c r="E65" s="40"/>
      <c r="F65" s="40"/>
      <c r="G65" s="25">
        <f t="shared" si="1"/>
        <v>0</v>
      </c>
      <c r="H65" s="40"/>
      <c r="I65" s="40"/>
      <c r="J65" s="25">
        <f t="shared" si="0"/>
        <v>0</v>
      </c>
      <c r="K65" s="43">
        <v>3406496</v>
      </c>
      <c r="L65" s="43"/>
      <c r="M65" s="43">
        <f>L65+K65</f>
        <v>3406496</v>
      </c>
      <c r="N65" s="44">
        <f t="shared" si="2"/>
        <v>3406.5</v>
      </c>
      <c r="O65" s="30"/>
      <c r="P65" s="29"/>
      <c r="Q65" s="51"/>
      <c r="R65" s="31"/>
      <c r="S65" s="53"/>
      <c r="T65" s="29"/>
      <c r="U65" s="29"/>
      <c r="V65" s="36"/>
    </row>
    <row r="66" spans="1:22" s="36" customFormat="1" ht="24.75" customHeight="1">
      <c r="A66" s="32" t="s">
        <v>296</v>
      </c>
      <c r="B66" s="32" t="s">
        <v>271</v>
      </c>
      <c r="C66" s="32"/>
      <c r="D66" s="33" t="s">
        <v>393</v>
      </c>
      <c r="E66" s="33"/>
      <c r="F66" s="33"/>
      <c r="G66" s="25">
        <f t="shared" si="1"/>
        <v>0</v>
      </c>
      <c r="H66" s="33"/>
      <c r="I66" s="33"/>
      <c r="J66" s="25">
        <f t="shared" si="0"/>
        <v>0</v>
      </c>
      <c r="K66" s="34">
        <f>SUM(K67)</f>
        <v>1376043.6</v>
      </c>
      <c r="L66" s="34">
        <f>SUM(L67)</f>
        <v>0</v>
      </c>
      <c r="M66" s="34">
        <f>SUM(M67)</f>
        <v>1376043.6</v>
      </c>
      <c r="N66" s="37">
        <f>SUM(N67)</f>
        <v>1376</v>
      </c>
      <c r="O66" s="64"/>
      <c r="P66" s="29"/>
      <c r="Q66" s="30"/>
      <c r="R66" s="31"/>
      <c r="S66" s="29"/>
      <c r="T66" s="53"/>
      <c r="U66" s="53"/>
      <c r="V66" s="52"/>
    </row>
    <row r="67" spans="1:22" s="52" customFormat="1" ht="42.75" customHeight="1">
      <c r="A67" s="39" t="s">
        <v>297</v>
      </c>
      <c r="B67" s="39" t="s">
        <v>278</v>
      </c>
      <c r="C67" s="39" t="s">
        <v>47</v>
      </c>
      <c r="D67" s="40" t="s">
        <v>269</v>
      </c>
      <c r="E67" s="40"/>
      <c r="F67" s="40"/>
      <c r="G67" s="25">
        <f t="shared" si="1"/>
        <v>0</v>
      </c>
      <c r="H67" s="40"/>
      <c r="I67" s="40"/>
      <c r="J67" s="25">
        <f t="shared" si="0"/>
        <v>0</v>
      </c>
      <c r="K67" s="43">
        <v>1376043.6</v>
      </c>
      <c r="L67" s="43"/>
      <c r="M67" s="43">
        <f>L67+K67</f>
        <v>1376043.6</v>
      </c>
      <c r="N67" s="44">
        <f t="shared" si="2"/>
        <v>1376</v>
      </c>
      <c r="O67" s="77"/>
      <c r="P67" s="29"/>
      <c r="Q67" s="64"/>
      <c r="R67" s="31"/>
      <c r="S67" s="53"/>
      <c r="T67" s="29"/>
      <c r="U67" s="29"/>
      <c r="V67" s="36"/>
    </row>
    <row r="68" spans="1:22" s="36" customFormat="1" ht="26.25" customHeight="1">
      <c r="A68" s="32" t="s">
        <v>96</v>
      </c>
      <c r="B68" s="32" t="s">
        <v>1</v>
      </c>
      <c r="C68" s="32" t="s">
        <v>48</v>
      </c>
      <c r="D68" s="33" t="s">
        <v>17</v>
      </c>
      <c r="E68" s="33"/>
      <c r="F68" s="33"/>
      <c r="G68" s="25">
        <f t="shared" si="1"/>
        <v>0</v>
      </c>
      <c r="H68" s="33"/>
      <c r="I68" s="33"/>
      <c r="J68" s="25">
        <f t="shared" si="0"/>
        <v>0</v>
      </c>
      <c r="K68" s="34">
        <f>6847000+3000000</f>
        <v>9847000</v>
      </c>
      <c r="L68" s="34"/>
      <c r="M68" s="34">
        <f>L68+K68</f>
        <v>9847000</v>
      </c>
      <c r="N68" s="35">
        <f t="shared" si="2"/>
        <v>9847</v>
      </c>
      <c r="O68" s="65"/>
      <c r="P68" s="29"/>
      <c r="Q68" s="30"/>
      <c r="R68" s="31"/>
      <c r="S68" s="29"/>
      <c r="T68" s="53"/>
      <c r="U68" s="53"/>
      <c r="V68" s="52"/>
    </row>
    <row r="69" spans="1:22" s="28" customFormat="1" ht="31.5" customHeight="1">
      <c r="A69" s="23" t="s">
        <v>97</v>
      </c>
      <c r="B69" s="23"/>
      <c r="C69" s="23"/>
      <c r="D69" s="1" t="s">
        <v>21</v>
      </c>
      <c r="E69" s="1"/>
      <c r="F69" s="1"/>
      <c r="G69" s="25">
        <f t="shared" si="1"/>
        <v>0</v>
      </c>
      <c r="H69" s="1"/>
      <c r="I69" s="1"/>
      <c r="J69" s="25">
        <f t="shared" si="0"/>
        <v>0</v>
      </c>
      <c r="K69" s="26">
        <f>K70+K71+K77+K73</f>
        <v>1179500</v>
      </c>
      <c r="L69" s="26">
        <f>L70+L71+L77+L73</f>
        <v>0</v>
      </c>
      <c r="M69" s="26">
        <f>M70+M71+M77+M73</f>
        <v>1179500</v>
      </c>
      <c r="N69" s="27">
        <f>N70+N71+N77+N73+N75</f>
        <v>6019.1</v>
      </c>
      <c r="O69" s="65"/>
      <c r="P69" s="29"/>
      <c r="Q69" s="65"/>
      <c r="R69" s="31"/>
      <c r="S69" s="31"/>
      <c r="T69" s="29"/>
      <c r="U69" s="29"/>
      <c r="V69" s="36"/>
    </row>
    <row r="70" spans="1:22" s="36" customFormat="1" ht="42.75" customHeight="1">
      <c r="A70" s="32" t="s">
        <v>98</v>
      </c>
      <c r="B70" s="32" t="s">
        <v>58</v>
      </c>
      <c r="C70" s="32" t="s">
        <v>26</v>
      </c>
      <c r="D70" s="33" t="s">
        <v>59</v>
      </c>
      <c r="E70" s="33"/>
      <c r="F70" s="33"/>
      <c r="G70" s="25">
        <f t="shared" si="1"/>
        <v>0</v>
      </c>
      <c r="H70" s="33"/>
      <c r="I70" s="33"/>
      <c r="J70" s="25">
        <f t="shared" si="0"/>
        <v>0</v>
      </c>
      <c r="K70" s="34">
        <f>700000-128000</f>
        <v>572000</v>
      </c>
      <c r="L70" s="34"/>
      <c r="M70" s="34">
        <f>L70+K70</f>
        <v>572000</v>
      </c>
      <c r="N70" s="35">
        <f t="shared" si="2"/>
        <v>572</v>
      </c>
      <c r="O70" s="30"/>
      <c r="P70" s="29"/>
      <c r="Q70" s="65"/>
      <c r="R70" s="31"/>
      <c r="S70" s="29"/>
      <c r="T70" s="31"/>
      <c r="U70" s="31"/>
      <c r="V70" s="28"/>
    </row>
    <row r="71" spans="1:22" s="68" customFormat="1" ht="46.5" customHeight="1">
      <c r="A71" s="32" t="s">
        <v>99</v>
      </c>
      <c r="B71" s="66">
        <v>3030</v>
      </c>
      <c r="C71" s="66"/>
      <c r="D71" s="33" t="s">
        <v>396</v>
      </c>
      <c r="E71" s="33"/>
      <c r="F71" s="33"/>
      <c r="G71" s="25">
        <f t="shared" si="1"/>
        <v>0</v>
      </c>
      <c r="H71" s="33"/>
      <c r="I71" s="33"/>
      <c r="J71" s="25">
        <f t="shared" si="0"/>
        <v>0</v>
      </c>
      <c r="K71" s="34">
        <f>K72</f>
        <v>214000</v>
      </c>
      <c r="L71" s="34">
        <f>L72</f>
        <v>0</v>
      </c>
      <c r="M71" s="34">
        <f>M72</f>
        <v>214000</v>
      </c>
      <c r="N71" s="37">
        <f>N72</f>
        <v>214</v>
      </c>
      <c r="O71" s="51"/>
      <c r="P71" s="29"/>
      <c r="Q71" s="65"/>
      <c r="R71" s="31"/>
      <c r="S71" s="67"/>
      <c r="T71" s="29"/>
      <c r="U71" s="29"/>
      <c r="V71" s="36"/>
    </row>
    <row r="72" spans="1:22" s="71" customFormat="1" ht="29.25" customHeight="1">
      <c r="A72" s="39" t="s">
        <v>100</v>
      </c>
      <c r="B72" s="69">
        <v>3031</v>
      </c>
      <c r="C72" s="69">
        <v>1030</v>
      </c>
      <c r="D72" s="40" t="s">
        <v>61</v>
      </c>
      <c r="E72" s="40"/>
      <c r="F72" s="40"/>
      <c r="G72" s="25">
        <f t="shared" si="1"/>
        <v>0</v>
      </c>
      <c r="H72" s="40"/>
      <c r="I72" s="40"/>
      <c r="J72" s="25">
        <f t="shared" si="0"/>
        <v>0</v>
      </c>
      <c r="K72" s="43">
        <v>214000</v>
      </c>
      <c r="L72" s="43"/>
      <c r="M72" s="43">
        <f>L72+K72</f>
        <v>214000</v>
      </c>
      <c r="N72" s="44">
        <f t="shared" si="2"/>
        <v>214</v>
      </c>
      <c r="O72" s="30"/>
      <c r="P72" s="29"/>
      <c r="Q72" s="30"/>
      <c r="R72" s="31"/>
      <c r="S72" s="70"/>
      <c r="T72" s="67"/>
      <c r="U72" s="67"/>
      <c r="V72" s="68"/>
    </row>
    <row r="73" spans="1:21" s="71" customFormat="1" ht="45" customHeight="1">
      <c r="A73" s="32" t="s">
        <v>101</v>
      </c>
      <c r="B73" s="66">
        <v>3100</v>
      </c>
      <c r="C73" s="66"/>
      <c r="D73" s="33" t="s">
        <v>397</v>
      </c>
      <c r="E73" s="40"/>
      <c r="F73" s="40"/>
      <c r="G73" s="25">
        <f t="shared" si="1"/>
        <v>0</v>
      </c>
      <c r="H73" s="40"/>
      <c r="I73" s="40"/>
      <c r="J73" s="25">
        <f t="shared" si="0"/>
        <v>0</v>
      </c>
      <c r="K73" s="34">
        <f>K74</f>
        <v>18500</v>
      </c>
      <c r="L73" s="34">
        <f>L74</f>
        <v>0</v>
      </c>
      <c r="M73" s="34">
        <f>M74</f>
        <v>18500</v>
      </c>
      <c r="N73" s="37">
        <f>N74</f>
        <v>18.5</v>
      </c>
      <c r="O73" s="51"/>
      <c r="P73" s="29"/>
      <c r="Q73" s="51"/>
      <c r="R73" s="31"/>
      <c r="S73" s="70"/>
      <c r="T73" s="70"/>
      <c r="U73" s="70"/>
    </row>
    <row r="74" spans="1:21" s="71" customFormat="1" ht="43.5" customHeight="1">
      <c r="A74" s="39" t="s">
        <v>102</v>
      </c>
      <c r="B74" s="69">
        <v>3104</v>
      </c>
      <c r="C74" s="69">
        <v>1020</v>
      </c>
      <c r="D74" s="40" t="s">
        <v>14</v>
      </c>
      <c r="E74" s="40"/>
      <c r="F74" s="40"/>
      <c r="G74" s="25">
        <f t="shared" si="1"/>
        <v>0</v>
      </c>
      <c r="H74" s="40"/>
      <c r="I74" s="40"/>
      <c r="J74" s="25">
        <f t="shared" si="0"/>
        <v>0</v>
      </c>
      <c r="K74" s="43">
        <v>18500</v>
      </c>
      <c r="L74" s="43"/>
      <c r="M74" s="43">
        <f>L74+K74</f>
        <v>18500</v>
      </c>
      <c r="N74" s="44">
        <f t="shared" si="2"/>
        <v>18.5</v>
      </c>
      <c r="O74" s="30"/>
      <c r="P74" s="29"/>
      <c r="Q74" s="51"/>
      <c r="R74" s="31"/>
      <c r="S74" s="70"/>
      <c r="T74" s="70"/>
      <c r="U74" s="70"/>
    </row>
    <row r="75" spans="1:21" s="68" customFormat="1" ht="43.5" customHeight="1">
      <c r="A75" s="32"/>
      <c r="B75" s="66"/>
      <c r="C75" s="66"/>
      <c r="D75" s="33" t="s">
        <v>444</v>
      </c>
      <c r="E75" s="33"/>
      <c r="F75" s="33"/>
      <c r="G75" s="25"/>
      <c r="H75" s="33"/>
      <c r="I75" s="33"/>
      <c r="J75" s="25"/>
      <c r="K75" s="34"/>
      <c r="L75" s="34"/>
      <c r="M75" s="34"/>
      <c r="N75" s="35">
        <f>N76</f>
        <v>4839.6</v>
      </c>
      <c r="O75" s="30"/>
      <c r="P75" s="29"/>
      <c r="Q75" s="30"/>
      <c r="R75" s="31"/>
      <c r="S75" s="67"/>
      <c r="T75" s="67"/>
      <c r="U75" s="67"/>
    </row>
    <row r="76" spans="1:21" s="71" customFormat="1" ht="146.25" customHeight="1">
      <c r="A76" s="39"/>
      <c r="B76" s="69"/>
      <c r="C76" s="69"/>
      <c r="D76" s="40" t="s">
        <v>443</v>
      </c>
      <c r="E76" s="40"/>
      <c r="F76" s="40"/>
      <c r="G76" s="25"/>
      <c r="H76" s="40"/>
      <c r="I76" s="40"/>
      <c r="J76" s="25"/>
      <c r="K76" s="43"/>
      <c r="L76" s="43"/>
      <c r="M76" s="43"/>
      <c r="N76" s="44">
        <v>4839.6</v>
      </c>
      <c r="O76" s="30"/>
      <c r="P76" s="29"/>
      <c r="Q76" s="51"/>
      <c r="R76" s="31"/>
      <c r="S76" s="70"/>
      <c r="T76" s="70"/>
      <c r="U76" s="70"/>
    </row>
    <row r="77" spans="1:22" s="36" customFormat="1" ht="26.25" customHeight="1">
      <c r="A77" s="32" t="s">
        <v>214</v>
      </c>
      <c r="B77" s="66">
        <v>3240</v>
      </c>
      <c r="C77" s="66"/>
      <c r="D77" s="33" t="s">
        <v>398</v>
      </c>
      <c r="E77" s="33"/>
      <c r="F77" s="33"/>
      <c r="G77" s="25">
        <f t="shared" si="1"/>
        <v>0</v>
      </c>
      <c r="H77" s="33"/>
      <c r="I77" s="33"/>
      <c r="J77" s="25">
        <f t="shared" si="0"/>
        <v>0</v>
      </c>
      <c r="K77" s="34">
        <f>K78+K79</f>
        <v>375000</v>
      </c>
      <c r="L77" s="34">
        <f>L78+L79</f>
        <v>0</v>
      </c>
      <c r="M77" s="34">
        <f>M78+M79</f>
        <v>375000</v>
      </c>
      <c r="N77" s="37">
        <f>N78+N79</f>
        <v>375</v>
      </c>
      <c r="O77" s="51"/>
      <c r="P77" s="29"/>
      <c r="Q77" s="64"/>
      <c r="R77" s="31"/>
      <c r="S77" s="29"/>
      <c r="T77" s="70"/>
      <c r="U77" s="70"/>
      <c r="V77" s="71"/>
    </row>
    <row r="78" spans="1:22" s="52" customFormat="1" ht="27" customHeight="1">
      <c r="A78" s="39" t="s">
        <v>204</v>
      </c>
      <c r="B78" s="69">
        <v>3241</v>
      </c>
      <c r="C78" s="69">
        <v>1090</v>
      </c>
      <c r="D78" s="40" t="s">
        <v>205</v>
      </c>
      <c r="E78" s="40"/>
      <c r="F78" s="40"/>
      <c r="G78" s="25">
        <f t="shared" si="1"/>
        <v>0</v>
      </c>
      <c r="H78" s="40"/>
      <c r="I78" s="40"/>
      <c r="J78" s="25">
        <f t="shared" si="0"/>
        <v>0</v>
      </c>
      <c r="K78" s="43">
        <v>300000</v>
      </c>
      <c r="L78" s="43"/>
      <c r="M78" s="43">
        <f>L78+K78</f>
        <v>300000</v>
      </c>
      <c r="N78" s="44">
        <f t="shared" si="2"/>
        <v>300</v>
      </c>
      <c r="O78" s="30"/>
      <c r="P78" s="29"/>
      <c r="Q78" s="30"/>
      <c r="R78" s="31"/>
      <c r="S78" s="53"/>
      <c r="T78" s="29"/>
      <c r="U78" s="29"/>
      <c r="V78" s="36"/>
    </row>
    <row r="79" spans="1:21" s="52" customFormat="1" ht="30" customHeight="1">
      <c r="A79" s="39" t="s">
        <v>206</v>
      </c>
      <c r="B79" s="69">
        <v>3242</v>
      </c>
      <c r="C79" s="69">
        <v>1090</v>
      </c>
      <c r="D79" s="40" t="s">
        <v>207</v>
      </c>
      <c r="E79" s="40"/>
      <c r="F79" s="40"/>
      <c r="G79" s="25">
        <f t="shared" si="1"/>
        <v>0</v>
      </c>
      <c r="H79" s="40"/>
      <c r="I79" s="40"/>
      <c r="J79" s="25">
        <f t="shared" si="0"/>
        <v>0</v>
      </c>
      <c r="K79" s="43">
        <v>75000</v>
      </c>
      <c r="L79" s="43"/>
      <c r="M79" s="43">
        <f>L79+K79</f>
        <v>75000</v>
      </c>
      <c r="N79" s="44">
        <f t="shared" si="2"/>
        <v>75</v>
      </c>
      <c r="O79" s="64"/>
      <c r="P79" s="29"/>
      <c r="Q79" s="30"/>
      <c r="R79" s="31"/>
      <c r="S79" s="53"/>
      <c r="T79" s="53"/>
      <c r="U79" s="53"/>
    </row>
    <row r="80" spans="1:22" s="28" customFormat="1" ht="28.5" customHeight="1">
      <c r="A80" s="23" t="s">
        <v>103</v>
      </c>
      <c r="B80" s="23"/>
      <c r="C80" s="23"/>
      <c r="D80" s="1" t="s">
        <v>15</v>
      </c>
      <c r="E80" s="1"/>
      <c r="F80" s="1"/>
      <c r="G80" s="25">
        <f t="shared" si="1"/>
        <v>0</v>
      </c>
      <c r="H80" s="1"/>
      <c r="I80" s="1"/>
      <c r="J80" s="25">
        <f t="shared" si="0"/>
        <v>0</v>
      </c>
      <c r="K80" s="26">
        <f>K81+K82+K83+K84+K86</f>
        <v>3140450</v>
      </c>
      <c r="L80" s="26">
        <f>L81+L82+L83+L84+L86</f>
        <v>0</v>
      </c>
      <c r="M80" s="26">
        <f>M81+M82+M83+M84+M86</f>
        <v>3140450</v>
      </c>
      <c r="N80" s="27">
        <f>N81+N82+N83+N84+N86</f>
        <v>3150.5</v>
      </c>
      <c r="O80" s="30"/>
      <c r="P80" s="29"/>
      <c r="Q80" s="30"/>
      <c r="R80" s="31"/>
      <c r="S80" s="31"/>
      <c r="T80" s="53"/>
      <c r="U80" s="53"/>
      <c r="V80" s="52"/>
    </row>
    <row r="81" spans="1:22" s="36" customFormat="1" ht="42.75" customHeight="1">
      <c r="A81" s="32" t="s">
        <v>70</v>
      </c>
      <c r="B81" s="32" t="s">
        <v>58</v>
      </c>
      <c r="C81" s="32" t="s">
        <v>26</v>
      </c>
      <c r="D81" s="33" t="s">
        <v>59</v>
      </c>
      <c r="E81" s="33"/>
      <c r="F81" s="33"/>
      <c r="G81" s="25">
        <f t="shared" si="1"/>
        <v>0</v>
      </c>
      <c r="H81" s="33"/>
      <c r="I81" s="33"/>
      <c r="J81" s="25">
        <f t="shared" si="0"/>
        <v>0</v>
      </c>
      <c r="K81" s="34">
        <v>10000</v>
      </c>
      <c r="L81" s="34"/>
      <c r="M81" s="34">
        <f>L81+K81</f>
        <v>10000</v>
      </c>
      <c r="N81" s="35">
        <f t="shared" si="2"/>
        <v>10</v>
      </c>
      <c r="O81" s="51"/>
      <c r="P81" s="29"/>
      <c r="Q81" s="51"/>
      <c r="R81" s="31"/>
      <c r="S81" s="29"/>
      <c r="T81" s="31"/>
      <c r="U81" s="31"/>
      <c r="V81" s="28"/>
    </row>
    <row r="82" spans="1:21" s="36" customFormat="1" ht="43.5" customHeight="1">
      <c r="A82" s="32" t="s">
        <v>120</v>
      </c>
      <c r="B82" s="32" t="s">
        <v>36</v>
      </c>
      <c r="C82" s="32" t="s">
        <v>35</v>
      </c>
      <c r="D82" s="33" t="s">
        <v>6</v>
      </c>
      <c r="E82" s="33"/>
      <c r="F82" s="33"/>
      <c r="G82" s="25">
        <f t="shared" si="1"/>
        <v>0</v>
      </c>
      <c r="H82" s="33"/>
      <c r="I82" s="33"/>
      <c r="J82" s="25">
        <f t="shared" si="0"/>
        <v>0</v>
      </c>
      <c r="K82" s="34">
        <f>200000+12300</f>
        <v>212300</v>
      </c>
      <c r="L82" s="34"/>
      <c r="M82" s="34">
        <f>L82+K82</f>
        <v>212300</v>
      </c>
      <c r="N82" s="35">
        <f t="shared" si="2"/>
        <v>212.3</v>
      </c>
      <c r="O82" s="51"/>
      <c r="P82" s="29"/>
      <c r="Q82" s="30"/>
      <c r="R82" s="31"/>
      <c r="S82" s="29"/>
      <c r="T82" s="29"/>
      <c r="U82" s="29"/>
    </row>
    <row r="83" spans="1:21" s="36" customFormat="1" ht="21.75" customHeight="1">
      <c r="A83" s="32" t="s">
        <v>104</v>
      </c>
      <c r="B83" s="32" t="s">
        <v>42</v>
      </c>
      <c r="C83" s="32" t="s">
        <v>43</v>
      </c>
      <c r="D83" s="33" t="s">
        <v>5</v>
      </c>
      <c r="E83" s="33"/>
      <c r="F83" s="33"/>
      <c r="G83" s="25">
        <f t="shared" si="1"/>
        <v>0</v>
      </c>
      <c r="H83" s="33"/>
      <c r="I83" s="33"/>
      <c r="J83" s="25">
        <f t="shared" si="0"/>
        <v>0</v>
      </c>
      <c r="K83" s="34">
        <f>300000+850050+70100</f>
        <v>1220150</v>
      </c>
      <c r="L83" s="34"/>
      <c r="M83" s="34">
        <f>L83+K83</f>
        <v>1220150</v>
      </c>
      <c r="N83" s="35">
        <f>ROUND(M83/1000,1)+10</f>
        <v>1230.2</v>
      </c>
      <c r="O83" s="64"/>
      <c r="P83" s="29"/>
      <c r="Q83" s="64"/>
      <c r="R83" s="31"/>
      <c r="S83" s="29"/>
      <c r="T83" s="29"/>
      <c r="U83" s="29"/>
    </row>
    <row r="84" spans="1:21" s="36" customFormat="1" ht="24.75" customHeight="1">
      <c r="A84" s="32" t="s">
        <v>105</v>
      </c>
      <c r="B84" s="32" t="s">
        <v>7</v>
      </c>
      <c r="C84" s="32"/>
      <c r="D84" s="33" t="s">
        <v>391</v>
      </c>
      <c r="E84" s="33"/>
      <c r="F84" s="33"/>
      <c r="G84" s="25">
        <f t="shared" si="1"/>
        <v>0</v>
      </c>
      <c r="H84" s="33"/>
      <c r="I84" s="33"/>
      <c r="J84" s="25">
        <f t="shared" si="0"/>
        <v>0</v>
      </c>
      <c r="K84" s="34">
        <f>K85</f>
        <v>50000</v>
      </c>
      <c r="L84" s="34">
        <f>L85</f>
        <v>0</v>
      </c>
      <c r="M84" s="34">
        <f>M85</f>
        <v>50000</v>
      </c>
      <c r="N84" s="37">
        <f>N85</f>
        <v>50</v>
      </c>
      <c r="O84" s="30"/>
      <c r="P84" s="29"/>
      <c r="Q84" s="30"/>
      <c r="R84" s="31"/>
      <c r="S84" s="29"/>
      <c r="T84" s="29"/>
      <c r="U84" s="29"/>
    </row>
    <row r="85" spans="1:22" s="52" customFormat="1" ht="28.5" customHeight="1">
      <c r="A85" s="39" t="s">
        <v>208</v>
      </c>
      <c r="B85" s="39" t="s">
        <v>199</v>
      </c>
      <c r="C85" s="39" t="s">
        <v>44</v>
      </c>
      <c r="D85" s="40" t="s">
        <v>200</v>
      </c>
      <c r="E85" s="40"/>
      <c r="F85" s="40"/>
      <c r="G85" s="25">
        <f t="shared" si="1"/>
        <v>0</v>
      </c>
      <c r="H85" s="40"/>
      <c r="I85" s="40"/>
      <c r="J85" s="25">
        <f aca="true" t="shared" si="5" ref="J85:J150">ROUND(I85/1000,1)</f>
        <v>0</v>
      </c>
      <c r="K85" s="43">
        <v>50000</v>
      </c>
      <c r="L85" s="43"/>
      <c r="M85" s="43">
        <f>L85+K85</f>
        <v>50000</v>
      </c>
      <c r="N85" s="44">
        <f t="shared" si="2"/>
        <v>50</v>
      </c>
      <c r="O85" s="30"/>
      <c r="P85" s="29"/>
      <c r="Q85" s="30"/>
      <c r="R85" s="31"/>
      <c r="S85" s="53"/>
      <c r="T85" s="29"/>
      <c r="U85" s="29"/>
      <c r="V85" s="36"/>
    </row>
    <row r="86" spans="1:22" s="36" customFormat="1" ht="24.75" customHeight="1">
      <c r="A86" s="32" t="s">
        <v>74</v>
      </c>
      <c r="B86" s="32" t="s">
        <v>1</v>
      </c>
      <c r="C86" s="32" t="s">
        <v>48</v>
      </c>
      <c r="D86" s="33" t="s">
        <v>17</v>
      </c>
      <c r="E86" s="33"/>
      <c r="F86" s="33"/>
      <c r="G86" s="25">
        <f aca="true" t="shared" si="6" ref="G86:G151">ROUND(F86/1000,1)</f>
        <v>0</v>
      </c>
      <c r="H86" s="33"/>
      <c r="I86" s="33"/>
      <c r="J86" s="25">
        <f t="shared" si="5"/>
        <v>0</v>
      </c>
      <c r="K86" s="34">
        <v>1648000</v>
      </c>
      <c r="L86" s="34"/>
      <c r="M86" s="34">
        <f>L86+K86</f>
        <v>1648000</v>
      </c>
      <c r="N86" s="35">
        <f aca="true" t="shared" si="7" ref="N86:N150">ROUND(M86/1000,1)</f>
        <v>1648</v>
      </c>
      <c r="O86" s="30"/>
      <c r="P86" s="29"/>
      <c r="Q86" s="51"/>
      <c r="R86" s="31"/>
      <c r="S86" s="29"/>
      <c r="T86" s="53"/>
      <c r="U86" s="53"/>
      <c r="V86" s="52"/>
    </row>
    <row r="87" spans="1:22" s="28" customFormat="1" ht="28.5" customHeight="1">
      <c r="A87" s="23" t="s">
        <v>106</v>
      </c>
      <c r="B87" s="23"/>
      <c r="C87" s="23"/>
      <c r="D87" s="1" t="s">
        <v>16</v>
      </c>
      <c r="E87" s="1"/>
      <c r="F87" s="1"/>
      <c r="G87" s="25">
        <f t="shared" si="6"/>
        <v>0</v>
      </c>
      <c r="H87" s="1"/>
      <c r="I87" s="1"/>
      <c r="J87" s="25">
        <f t="shared" si="5"/>
        <v>0</v>
      </c>
      <c r="K87" s="26">
        <f>K88+K89+K94+K139+K146+K95+K130+K142</f>
        <v>150548720.94</v>
      </c>
      <c r="L87" s="26">
        <f>L88+L89+L94+L139+L146+L95+L130+L142</f>
        <v>-955000</v>
      </c>
      <c r="M87" s="26">
        <f>M88+M89+M94+M139+M146+M95+M130+M142</f>
        <v>149593720.94</v>
      </c>
      <c r="N87" s="27">
        <f>N88+N89+N94+N139+N146+N95+N130+N142</f>
        <v>148157.19999999998</v>
      </c>
      <c r="O87" s="30"/>
      <c r="P87" s="29"/>
      <c r="Q87" s="51"/>
      <c r="R87" s="31"/>
      <c r="S87" s="31"/>
      <c r="T87" s="29"/>
      <c r="U87" s="29"/>
      <c r="V87" s="36"/>
    </row>
    <row r="88" spans="1:22" s="36" customFormat="1" ht="45" customHeight="1">
      <c r="A88" s="32" t="s">
        <v>107</v>
      </c>
      <c r="B88" s="32" t="s">
        <v>58</v>
      </c>
      <c r="C88" s="32" t="s">
        <v>26</v>
      </c>
      <c r="D88" s="33" t="s">
        <v>59</v>
      </c>
      <c r="E88" s="33"/>
      <c r="F88" s="33"/>
      <c r="G88" s="25">
        <f t="shared" si="6"/>
        <v>0</v>
      </c>
      <c r="H88" s="33"/>
      <c r="I88" s="33"/>
      <c r="J88" s="25">
        <f t="shared" si="5"/>
        <v>0</v>
      </c>
      <c r="K88" s="34">
        <f>200000-137500</f>
        <v>62500</v>
      </c>
      <c r="L88" s="34"/>
      <c r="M88" s="34">
        <f>L88+K88</f>
        <v>62500</v>
      </c>
      <c r="N88" s="35">
        <f t="shared" si="7"/>
        <v>62.5</v>
      </c>
      <c r="O88" s="30"/>
      <c r="P88" s="29"/>
      <c r="Q88" s="51"/>
      <c r="R88" s="31"/>
      <c r="S88" s="29"/>
      <c r="T88" s="31"/>
      <c r="U88" s="31"/>
      <c r="V88" s="28"/>
    </row>
    <row r="89" spans="1:21" s="36" customFormat="1" ht="27" customHeight="1">
      <c r="A89" s="32" t="s">
        <v>108</v>
      </c>
      <c r="B89" s="32" t="s">
        <v>40</v>
      </c>
      <c r="C89" s="32"/>
      <c r="D89" s="33" t="s">
        <v>399</v>
      </c>
      <c r="E89" s="33"/>
      <c r="F89" s="33"/>
      <c r="G89" s="25">
        <f t="shared" si="6"/>
        <v>0</v>
      </c>
      <c r="H89" s="33"/>
      <c r="I89" s="33"/>
      <c r="J89" s="25">
        <f t="shared" si="5"/>
        <v>0</v>
      </c>
      <c r="K89" s="34">
        <f>K90+K92+K91+K93</f>
        <v>64019890</v>
      </c>
      <c r="L89" s="34">
        <f>L90+L92+L91+L93</f>
        <v>60000</v>
      </c>
      <c r="M89" s="34">
        <f>M90+M92+M91+M93</f>
        <v>64079890</v>
      </c>
      <c r="N89" s="37">
        <f>N90+N92+N91+N93</f>
        <v>65654.9</v>
      </c>
      <c r="O89" s="30"/>
      <c r="P89" s="29"/>
      <c r="Q89" s="30"/>
      <c r="R89" s="31"/>
      <c r="S89" s="29"/>
      <c r="T89" s="29"/>
      <c r="U89" s="29"/>
    </row>
    <row r="90" spans="1:22" s="52" customFormat="1" ht="24.75" customHeight="1">
      <c r="A90" s="39" t="s">
        <v>109</v>
      </c>
      <c r="B90" s="39" t="s">
        <v>65</v>
      </c>
      <c r="C90" s="39" t="s">
        <v>41</v>
      </c>
      <c r="D90" s="40" t="s">
        <v>66</v>
      </c>
      <c r="E90" s="40"/>
      <c r="F90" s="40"/>
      <c r="G90" s="25">
        <f t="shared" si="6"/>
        <v>0</v>
      </c>
      <c r="H90" s="40"/>
      <c r="I90" s="40"/>
      <c r="J90" s="25">
        <f t="shared" si="5"/>
        <v>0</v>
      </c>
      <c r="K90" s="43">
        <f>20000000+15000000-150000-4100000+20000+350000+96000+118268</f>
        <v>31334268</v>
      </c>
      <c r="L90" s="43">
        <v>60000</v>
      </c>
      <c r="M90" s="43">
        <f>L90+K90</f>
        <v>31394268</v>
      </c>
      <c r="N90" s="44">
        <f>ROUND(M90/1000,1)+1480+70+25</f>
        <v>32969.3</v>
      </c>
      <c r="O90" s="30"/>
      <c r="P90" s="29"/>
      <c r="Q90" s="30"/>
      <c r="R90" s="31"/>
      <c r="S90" s="53"/>
      <c r="T90" s="29"/>
      <c r="U90" s="29"/>
      <c r="V90" s="36"/>
    </row>
    <row r="91" spans="1:21" s="52" customFormat="1" ht="30.75" customHeight="1">
      <c r="A91" s="39" t="s">
        <v>259</v>
      </c>
      <c r="B91" s="39" t="s">
        <v>260</v>
      </c>
      <c r="C91" s="39" t="s">
        <v>41</v>
      </c>
      <c r="D91" s="59" t="s">
        <v>261</v>
      </c>
      <c r="E91" s="40"/>
      <c r="F91" s="40"/>
      <c r="G91" s="25">
        <f t="shared" si="6"/>
        <v>0</v>
      </c>
      <c r="H91" s="40"/>
      <c r="I91" s="40"/>
      <c r="J91" s="25">
        <f t="shared" si="5"/>
        <v>0</v>
      </c>
      <c r="K91" s="43">
        <f>222622+320000</f>
        <v>542622</v>
      </c>
      <c r="L91" s="43"/>
      <c r="M91" s="43">
        <f>L91+K91</f>
        <v>542622</v>
      </c>
      <c r="N91" s="44">
        <f t="shared" si="7"/>
        <v>542.6</v>
      </c>
      <c r="O91" s="30"/>
      <c r="P91" s="29"/>
      <c r="Q91" s="30"/>
      <c r="R91" s="31"/>
      <c r="S91" s="53"/>
      <c r="T91" s="53"/>
      <c r="U91" s="53"/>
    </row>
    <row r="92" spans="1:21" s="52" customFormat="1" ht="32.25" customHeight="1">
      <c r="A92" s="39" t="s">
        <v>126</v>
      </c>
      <c r="B92" s="39" t="s">
        <v>127</v>
      </c>
      <c r="C92" s="39" t="s">
        <v>41</v>
      </c>
      <c r="D92" s="40" t="s">
        <v>128</v>
      </c>
      <c r="E92" s="40"/>
      <c r="F92" s="40"/>
      <c r="G92" s="25">
        <f t="shared" si="6"/>
        <v>0</v>
      </c>
      <c r="H92" s="40"/>
      <c r="I92" s="40"/>
      <c r="J92" s="25">
        <f t="shared" si="5"/>
        <v>0</v>
      </c>
      <c r="K92" s="43">
        <f>20000000+10000000-35000</f>
        <v>29965000</v>
      </c>
      <c r="L92" s="43"/>
      <c r="M92" s="43">
        <f>L92+K92</f>
        <v>29965000</v>
      </c>
      <c r="N92" s="44">
        <f t="shared" si="7"/>
        <v>29965</v>
      </c>
      <c r="O92" s="30"/>
      <c r="P92" s="29"/>
      <c r="Q92" s="30"/>
      <c r="R92" s="31"/>
      <c r="S92" s="53"/>
      <c r="T92" s="53"/>
      <c r="U92" s="53"/>
    </row>
    <row r="93" spans="1:21" s="52" customFormat="1" ht="31.5" customHeight="1">
      <c r="A93" s="39" t="s">
        <v>262</v>
      </c>
      <c r="B93" s="39" t="s">
        <v>263</v>
      </c>
      <c r="C93" s="39" t="s">
        <v>41</v>
      </c>
      <c r="D93" s="40" t="s">
        <v>264</v>
      </c>
      <c r="E93" s="40"/>
      <c r="F93" s="40"/>
      <c r="G93" s="25">
        <f t="shared" si="6"/>
        <v>0</v>
      </c>
      <c r="H93" s="40"/>
      <c r="I93" s="40"/>
      <c r="J93" s="25">
        <f t="shared" si="5"/>
        <v>0</v>
      </c>
      <c r="K93" s="43">
        <v>2178000</v>
      </c>
      <c r="L93" s="43"/>
      <c r="M93" s="43">
        <f>L93+K93</f>
        <v>2178000</v>
      </c>
      <c r="N93" s="44">
        <f t="shared" si="7"/>
        <v>2178</v>
      </c>
      <c r="O93" s="30"/>
      <c r="P93" s="29"/>
      <c r="Q93" s="30"/>
      <c r="R93" s="31"/>
      <c r="S93" s="53"/>
      <c r="T93" s="53"/>
      <c r="U93" s="53"/>
    </row>
    <row r="94" spans="1:22" s="36" customFormat="1" ht="30" customHeight="1">
      <c r="A94" s="32" t="s">
        <v>110</v>
      </c>
      <c r="B94" s="32" t="s">
        <v>67</v>
      </c>
      <c r="C94" s="32" t="s">
        <v>41</v>
      </c>
      <c r="D94" s="33" t="s">
        <v>68</v>
      </c>
      <c r="E94" s="33"/>
      <c r="F94" s="33"/>
      <c r="G94" s="25">
        <f t="shared" si="6"/>
        <v>0</v>
      </c>
      <c r="H94" s="33"/>
      <c r="I94" s="33"/>
      <c r="J94" s="25">
        <f t="shared" si="5"/>
        <v>0</v>
      </c>
      <c r="K94" s="34">
        <f>37188104+9000000+2000000+7000000-1000000+3150000-7524305-825875-865089-265716.65-1167674</f>
        <v>46689444.35</v>
      </c>
      <c r="L94" s="34">
        <v>-130000</v>
      </c>
      <c r="M94" s="34">
        <f>L94+K94</f>
        <v>46559444.35</v>
      </c>
      <c r="N94" s="35">
        <f>ROUND(M94/1000,1)-1579.5-1059-77-610</f>
        <v>43233.9</v>
      </c>
      <c r="O94" s="30"/>
      <c r="P94" s="29"/>
      <c r="Q94" s="30"/>
      <c r="R94" s="31"/>
      <c r="S94" s="29"/>
      <c r="T94" s="53"/>
      <c r="U94" s="53"/>
      <c r="V94" s="52"/>
    </row>
    <row r="95" spans="1:21" s="36" customFormat="1" ht="28.5" customHeight="1">
      <c r="A95" s="32" t="s">
        <v>135</v>
      </c>
      <c r="B95" s="32" t="s">
        <v>136</v>
      </c>
      <c r="C95" s="32" t="s">
        <v>52</v>
      </c>
      <c r="D95" s="1" t="s">
        <v>400</v>
      </c>
      <c r="E95" s="33"/>
      <c r="F95" s="33"/>
      <c r="G95" s="25">
        <f t="shared" si="6"/>
        <v>0</v>
      </c>
      <c r="H95" s="33"/>
      <c r="I95" s="33"/>
      <c r="J95" s="25">
        <f t="shared" si="5"/>
        <v>0</v>
      </c>
      <c r="K95" s="26">
        <f>K96+K104+K119</f>
        <v>27709194.13</v>
      </c>
      <c r="L95" s="26">
        <f>L96+L104+L119</f>
        <v>0</v>
      </c>
      <c r="M95" s="26">
        <f>M96+M104+M119</f>
        <v>27709194.13</v>
      </c>
      <c r="N95" s="27">
        <f>N96+N104+N119</f>
        <v>27909.2</v>
      </c>
      <c r="O95" s="30"/>
      <c r="P95" s="29"/>
      <c r="Q95" s="30"/>
      <c r="R95" s="31"/>
      <c r="S95" s="29"/>
      <c r="T95" s="29"/>
      <c r="U95" s="29"/>
    </row>
    <row r="96" spans="1:21" s="36" customFormat="1" ht="27.75" customHeight="1">
      <c r="A96" s="32"/>
      <c r="B96" s="32"/>
      <c r="C96" s="32"/>
      <c r="D96" s="72" t="s">
        <v>143</v>
      </c>
      <c r="E96" s="72" t="s">
        <v>143</v>
      </c>
      <c r="F96" s="33"/>
      <c r="G96" s="25">
        <f t="shared" si="6"/>
        <v>0</v>
      </c>
      <c r="H96" s="33"/>
      <c r="I96" s="33"/>
      <c r="J96" s="25">
        <f t="shared" si="5"/>
        <v>0</v>
      </c>
      <c r="K96" s="26">
        <f>SUM(K97:K103)</f>
        <v>6217344</v>
      </c>
      <c r="L96" s="26">
        <f>SUM(L97:L103)</f>
        <v>0</v>
      </c>
      <c r="M96" s="26">
        <f>SUM(M97:M103)</f>
        <v>6217344</v>
      </c>
      <c r="N96" s="27">
        <f>SUM(N97:N103)</f>
        <v>6217.3</v>
      </c>
      <c r="O96" s="30"/>
      <c r="P96" s="29"/>
      <c r="Q96" s="30"/>
      <c r="R96" s="31"/>
      <c r="S96" s="29"/>
      <c r="T96" s="29"/>
      <c r="U96" s="29"/>
    </row>
    <row r="97" spans="1:21" s="36" customFormat="1" ht="45.75" customHeight="1">
      <c r="A97" s="32"/>
      <c r="B97" s="32"/>
      <c r="C97" s="32"/>
      <c r="D97" s="33" t="s">
        <v>401</v>
      </c>
      <c r="E97" s="33" t="s">
        <v>307</v>
      </c>
      <c r="F97" s="33"/>
      <c r="G97" s="25">
        <f t="shared" si="6"/>
        <v>0</v>
      </c>
      <c r="H97" s="33"/>
      <c r="I97" s="33"/>
      <c r="J97" s="25">
        <f t="shared" si="5"/>
        <v>0</v>
      </c>
      <c r="K97" s="34">
        <v>650000</v>
      </c>
      <c r="L97" s="34"/>
      <c r="M97" s="34">
        <f>L97+K97</f>
        <v>650000</v>
      </c>
      <c r="N97" s="35">
        <f t="shared" si="7"/>
        <v>650</v>
      </c>
      <c r="O97" s="30"/>
      <c r="P97" s="29"/>
      <c r="Q97" s="30"/>
      <c r="R97" s="31"/>
      <c r="S97" s="29"/>
      <c r="T97" s="29"/>
      <c r="U97" s="29"/>
    </row>
    <row r="98" spans="1:21" s="36" customFormat="1" ht="58.5" customHeight="1">
      <c r="A98" s="32"/>
      <c r="B98" s="32"/>
      <c r="C98" s="32"/>
      <c r="D98" s="33" t="s">
        <v>402</v>
      </c>
      <c r="E98" s="33" t="s">
        <v>308</v>
      </c>
      <c r="F98" s="33"/>
      <c r="G98" s="25">
        <f t="shared" si="6"/>
        <v>0</v>
      </c>
      <c r="H98" s="33"/>
      <c r="I98" s="33"/>
      <c r="J98" s="25">
        <f t="shared" si="5"/>
        <v>0</v>
      </c>
      <c r="K98" s="34">
        <v>350000</v>
      </c>
      <c r="L98" s="34"/>
      <c r="M98" s="34">
        <v>350000</v>
      </c>
      <c r="N98" s="35">
        <f t="shared" si="7"/>
        <v>350</v>
      </c>
      <c r="O98" s="30"/>
      <c r="P98" s="29"/>
      <c r="Q98" s="30"/>
      <c r="R98" s="31"/>
      <c r="S98" s="29"/>
      <c r="T98" s="29"/>
      <c r="U98" s="29"/>
    </row>
    <row r="99" spans="1:21" s="36" customFormat="1" ht="47.25" customHeight="1">
      <c r="A99" s="32"/>
      <c r="B99" s="32"/>
      <c r="C99" s="32"/>
      <c r="D99" s="33" t="s">
        <v>375</v>
      </c>
      <c r="E99" s="33" t="s">
        <v>375</v>
      </c>
      <c r="F99" s="33"/>
      <c r="G99" s="25">
        <f t="shared" si="6"/>
        <v>0</v>
      </c>
      <c r="H99" s="33"/>
      <c r="I99" s="33"/>
      <c r="J99" s="25">
        <f t="shared" si="5"/>
        <v>0</v>
      </c>
      <c r="K99" s="34">
        <v>350000</v>
      </c>
      <c r="L99" s="34"/>
      <c r="M99" s="34">
        <f>L99+K99</f>
        <v>350000</v>
      </c>
      <c r="N99" s="35">
        <f t="shared" si="7"/>
        <v>350</v>
      </c>
      <c r="O99" s="30"/>
      <c r="P99" s="29"/>
      <c r="Q99" s="30"/>
      <c r="R99" s="31"/>
      <c r="S99" s="29"/>
      <c r="T99" s="29"/>
      <c r="U99" s="29"/>
    </row>
    <row r="100" spans="1:21" s="36" customFormat="1" ht="48.75" customHeight="1">
      <c r="A100" s="32"/>
      <c r="B100" s="32"/>
      <c r="C100" s="32"/>
      <c r="D100" s="33" t="s">
        <v>376</v>
      </c>
      <c r="E100" s="33" t="s">
        <v>376</v>
      </c>
      <c r="F100" s="33"/>
      <c r="G100" s="25">
        <f t="shared" si="6"/>
        <v>0</v>
      </c>
      <c r="H100" s="33"/>
      <c r="I100" s="33"/>
      <c r="J100" s="25">
        <f t="shared" si="5"/>
        <v>0</v>
      </c>
      <c r="K100" s="34">
        <f>250000</f>
        <v>250000</v>
      </c>
      <c r="L100" s="34"/>
      <c r="M100" s="34">
        <f>L100+K100</f>
        <v>250000</v>
      </c>
      <c r="N100" s="35">
        <f t="shared" si="7"/>
        <v>250</v>
      </c>
      <c r="O100" s="30"/>
      <c r="P100" s="29"/>
      <c r="Q100" s="30"/>
      <c r="R100" s="31"/>
      <c r="S100" s="29"/>
      <c r="T100" s="29"/>
      <c r="U100" s="29"/>
    </row>
    <row r="101" spans="1:21" s="36" customFormat="1" ht="51.75" customHeight="1">
      <c r="A101" s="32"/>
      <c r="B101" s="32"/>
      <c r="C101" s="32"/>
      <c r="D101" s="33" t="s">
        <v>335</v>
      </c>
      <c r="E101" s="33" t="s">
        <v>335</v>
      </c>
      <c r="F101" s="33"/>
      <c r="G101" s="25">
        <f t="shared" si="6"/>
        <v>0</v>
      </c>
      <c r="H101" s="33"/>
      <c r="I101" s="33"/>
      <c r="J101" s="25">
        <f t="shared" si="5"/>
        <v>0</v>
      </c>
      <c r="K101" s="34">
        <v>1337344</v>
      </c>
      <c r="L101" s="34"/>
      <c r="M101" s="34">
        <f>L101+K101</f>
        <v>1337344</v>
      </c>
      <c r="N101" s="35">
        <f t="shared" si="7"/>
        <v>1337.3</v>
      </c>
      <c r="O101" s="30"/>
      <c r="P101" s="29"/>
      <c r="Q101" s="30"/>
      <c r="R101" s="31"/>
      <c r="S101" s="29"/>
      <c r="T101" s="29"/>
      <c r="U101" s="29"/>
    </row>
    <row r="102" spans="1:21" s="36" customFormat="1" ht="46.5" customHeight="1">
      <c r="A102" s="32"/>
      <c r="B102" s="32"/>
      <c r="C102" s="32"/>
      <c r="D102" s="33" t="s">
        <v>305</v>
      </c>
      <c r="E102" s="33" t="s">
        <v>305</v>
      </c>
      <c r="F102" s="33"/>
      <c r="G102" s="25">
        <f t="shared" si="6"/>
        <v>0</v>
      </c>
      <c r="H102" s="33"/>
      <c r="I102" s="33"/>
      <c r="J102" s="25">
        <f t="shared" si="5"/>
        <v>0</v>
      </c>
      <c r="K102" s="34">
        <v>1300000</v>
      </c>
      <c r="L102" s="34"/>
      <c r="M102" s="34">
        <f>L102+K102</f>
        <v>1300000</v>
      </c>
      <c r="N102" s="35">
        <f t="shared" si="7"/>
        <v>1300</v>
      </c>
      <c r="O102" s="30"/>
      <c r="P102" s="29"/>
      <c r="Q102" s="30"/>
      <c r="R102" s="31"/>
      <c r="S102" s="29"/>
      <c r="T102" s="29"/>
      <c r="U102" s="29"/>
    </row>
    <row r="103" spans="1:21" s="36" customFormat="1" ht="47.25" customHeight="1">
      <c r="A103" s="32"/>
      <c r="B103" s="32"/>
      <c r="C103" s="32"/>
      <c r="D103" s="60" t="s">
        <v>333</v>
      </c>
      <c r="E103" s="60" t="s">
        <v>333</v>
      </c>
      <c r="F103" s="33"/>
      <c r="G103" s="25">
        <f t="shared" si="6"/>
        <v>0</v>
      </c>
      <c r="H103" s="33"/>
      <c r="I103" s="33"/>
      <c r="J103" s="25">
        <f t="shared" si="5"/>
        <v>0</v>
      </c>
      <c r="K103" s="34">
        <v>1980000</v>
      </c>
      <c r="L103" s="34"/>
      <c r="M103" s="34">
        <f>L103+K103</f>
        <v>1980000</v>
      </c>
      <c r="N103" s="35">
        <f t="shared" si="7"/>
        <v>1980</v>
      </c>
      <c r="O103" s="30"/>
      <c r="P103" s="29"/>
      <c r="Q103" s="30"/>
      <c r="R103" s="31"/>
      <c r="S103" s="29"/>
      <c r="T103" s="29"/>
      <c r="U103" s="29"/>
    </row>
    <row r="104" spans="1:21" s="36" customFormat="1" ht="31.5" customHeight="1">
      <c r="A104" s="32"/>
      <c r="B104" s="32"/>
      <c r="C104" s="32"/>
      <c r="D104" s="72" t="s">
        <v>187</v>
      </c>
      <c r="E104" s="72" t="s">
        <v>187</v>
      </c>
      <c r="F104" s="33"/>
      <c r="G104" s="25">
        <f t="shared" si="6"/>
        <v>0</v>
      </c>
      <c r="H104" s="33"/>
      <c r="I104" s="33"/>
      <c r="J104" s="25">
        <f t="shared" si="5"/>
        <v>0</v>
      </c>
      <c r="K104" s="26">
        <f>SUM(K105:K118)</f>
        <v>795000</v>
      </c>
      <c r="L104" s="26">
        <f>SUM(L105:L118)</f>
        <v>0</v>
      </c>
      <c r="M104" s="26">
        <f>SUM(M105:M118)</f>
        <v>795000</v>
      </c>
      <c r="N104" s="27">
        <f>SUM(N105:N118)</f>
        <v>795</v>
      </c>
      <c r="O104" s="30"/>
      <c r="P104" s="29"/>
      <c r="Q104" s="30"/>
      <c r="R104" s="31"/>
      <c r="S104" s="29"/>
      <c r="T104" s="29"/>
      <c r="U104" s="29"/>
    </row>
    <row r="105" spans="1:21" s="36" customFormat="1" ht="28.5" customHeight="1">
      <c r="A105" s="32"/>
      <c r="B105" s="32"/>
      <c r="C105" s="32"/>
      <c r="D105" s="33" t="s">
        <v>403</v>
      </c>
      <c r="E105" s="33" t="s">
        <v>194</v>
      </c>
      <c r="F105" s="33"/>
      <c r="G105" s="25">
        <f t="shared" si="6"/>
        <v>0</v>
      </c>
      <c r="H105" s="33"/>
      <c r="I105" s="33"/>
      <c r="J105" s="25">
        <f t="shared" si="5"/>
        <v>0</v>
      </c>
      <c r="K105" s="34">
        <f aca="true" t="shared" si="8" ref="K105:K111">50000-15000</f>
        <v>35000</v>
      </c>
      <c r="L105" s="34"/>
      <c r="M105" s="34">
        <f aca="true" t="shared" si="9" ref="M105:M117">L105+K105</f>
        <v>35000</v>
      </c>
      <c r="N105" s="35">
        <f>ROUND(M105/1000,1)-34</f>
        <v>1</v>
      </c>
      <c r="O105" s="30"/>
      <c r="P105" s="29"/>
      <c r="Q105" s="30"/>
      <c r="R105" s="31"/>
      <c r="S105" s="29"/>
      <c r="T105" s="29"/>
      <c r="U105" s="29"/>
    </row>
    <row r="106" spans="1:21" s="36" customFormat="1" ht="26.25" customHeight="1">
      <c r="A106" s="32"/>
      <c r="B106" s="32"/>
      <c r="C106" s="32"/>
      <c r="D106" s="33" t="s">
        <v>404</v>
      </c>
      <c r="E106" s="33" t="s">
        <v>191</v>
      </c>
      <c r="F106" s="33"/>
      <c r="G106" s="25">
        <f t="shared" si="6"/>
        <v>0</v>
      </c>
      <c r="H106" s="33"/>
      <c r="I106" s="33"/>
      <c r="J106" s="25">
        <f t="shared" si="5"/>
        <v>0</v>
      </c>
      <c r="K106" s="34">
        <f t="shared" si="8"/>
        <v>35000</v>
      </c>
      <c r="L106" s="34"/>
      <c r="M106" s="34">
        <f t="shared" si="9"/>
        <v>35000</v>
      </c>
      <c r="N106" s="35">
        <f>ROUND(M106/1000,1)+129</f>
        <v>164</v>
      </c>
      <c r="O106" s="30"/>
      <c r="P106" s="29"/>
      <c r="Q106" s="30"/>
      <c r="R106" s="31"/>
      <c r="S106" s="29"/>
      <c r="T106" s="29"/>
      <c r="U106" s="29"/>
    </row>
    <row r="107" spans="1:21" s="36" customFormat="1" ht="30.75" customHeight="1">
      <c r="A107" s="32"/>
      <c r="B107" s="32"/>
      <c r="C107" s="32"/>
      <c r="D107" s="33" t="s">
        <v>405</v>
      </c>
      <c r="E107" s="33" t="s">
        <v>188</v>
      </c>
      <c r="F107" s="33"/>
      <c r="G107" s="25">
        <f t="shared" si="6"/>
        <v>0</v>
      </c>
      <c r="H107" s="33"/>
      <c r="I107" s="33"/>
      <c r="J107" s="25">
        <f t="shared" si="5"/>
        <v>0</v>
      </c>
      <c r="K107" s="34">
        <f t="shared" si="8"/>
        <v>35000</v>
      </c>
      <c r="L107" s="34"/>
      <c r="M107" s="34">
        <f t="shared" si="9"/>
        <v>35000</v>
      </c>
      <c r="N107" s="35">
        <f>ROUND(M107/1000,1)-34</f>
        <v>1</v>
      </c>
      <c r="O107" s="30"/>
      <c r="P107" s="29"/>
      <c r="Q107" s="30"/>
      <c r="R107" s="31"/>
      <c r="S107" s="29"/>
      <c r="T107" s="29"/>
      <c r="U107" s="29"/>
    </row>
    <row r="108" spans="1:21" s="36" customFormat="1" ht="30.75" customHeight="1">
      <c r="A108" s="32"/>
      <c r="B108" s="32"/>
      <c r="C108" s="32"/>
      <c r="D108" s="33" t="s">
        <v>438</v>
      </c>
      <c r="E108" s="33"/>
      <c r="F108" s="33"/>
      <c r="G108" s="25"/>
      <c r="H108" s="33"/>
      <c r="I108" s="33"/>
      <c r="J108" s="25"/>
      <c r="K108" s="34"/>
      <c r="L108" s="34"/>
      <c r="M108" s="34"/>
      <c r="N108" s="35">
        <v>10</v>
      </c>
      <c r="O108" s="30"/>
      <c r="P108" s="29"/>
      <c r="Q108" s="30"/>
      <c r="R108" s="31"/>
      <c r="S108" s="29"/>
      <c r="T108" s="29"/>
      <c r="U108" s="29"/>
    </row>
    <row r="109" spans="1:21" s="36" customFormat="1" ht="25.5" customHeight="1">
      <c r="A109" s="32"/>
      <c r="B109" s="32"/>
      <c r="C109" s="32"/>
      <c r="D109" s="33" t="s">
        <v>406</v>
      </c>
      <c r="E109" s="33" t="s">
        <v>195</v>
      </c>
      <c r="F109" s="33"/>
      <c r="G109" s="25">
        <f t="shared" si="6"/>
        <v>0</v>
      </c>
      <c r="H109" s="33"/>
      <c r="I109" s="33"/>
      <c r="J109" s="25">
        <f t="shared" si="5"/>
        <v>0</v>
      </c>
      <c r="K109" s="34">
        <f t="shared" si="8"/>
        <v>35000</v>
      </c>
      <c r="L109" s="34"/>
      <c r="M109" s="34">
        <f t="shared" si="9"/>
        <v>35000</v>
      </c>
      <c r="N109" s="35">
        <f>ROUND(M109/1000,1)-25</f>
        <v>10</v>
      </c>
      <c r="O109" s="30"/>
      <c r="P109" s="29"/>
      <c r="Q109" s="30"/>
      <c r="R109" s="31"/>
      <c r="S109" s="29"/>
      <c r="T109" s="29"/>
      <c r="U109" s="29"/>
    </row>
    <row r="110" spans="1:21" s="36" customFormat="1" ht="27.75" customHeight="1">
      <c r="A110" s="32"/>
      <c r="B110" s="32"/>
      <c r="C110" s="32"/>
      <c r="D110" s="33" t="s">
        <v>407</v>
      </c>
      <c r="E110" s="33" t="s">
        <v>190</v>
      </c>
      <c r="F110" s="33"/>
      <c r="G110" s="25">
        <f t="shared" si="6"/>
        <v>0</v>
      </c>
      <c r="H110" s="33"/>
      <c r="I110" s="33"/>
      <c r="J110" s="25">
        <f t="shared" si="5"/>
        <v>0</v>
      </c>
      <c r="K110" s="34">
        <f t="shared" si="8"/>
        <v>35000</v>
      </c>
      <c r="L110" s="34"/>
      <c r="M110" s="34">
        <f t="shared" si="9"/>
        <v>35000</v>
      </c>
      <c r="N110" s="35">
        <f>ROUND(M110/1000,1)-34</f>
        <v>1</v>
      </c>
      <c r="O110" s="30"/>
      <c r="P110" s="29"/>
      <c r="Q110" s="30"/>
      <c r="R110" s="31"/>
      <c r="S110" s="29"/>
      <c r="T110" s="29"/>
      <c r="U110" s="29"/>
    </row>
    <row r="111" spans="1:21" s="36" customFormat="1" ht="27" customHeight="1">
      <c r="A111" s="32"/>
      <c r="B111" s="32"/>
      <c r="C111" s="32"/>
      <c r="D111" s="33" t="s">
        <v>408</v>
      </c>
      <c r="E111" s="33" t="s">
        <v>192</v>
      </c>
      <c r="F111" s="33"/>
      <c r="G111" s="25">
        <f t="shared" si="6"/>
        <v>0</v>
      </c>
      <c r="H111" s="33"/>
      <c r="I111" s="33"/>
      <c r="J111" s="25">
        <f t="shared" si="5"/>
        <v>0</v>
      </c>
      <c r="K111" s="34">
        <f t="shared" si="8"/>
        <v>35000</v>
      </c>
      <c r="L111" s="34"/>
      <c r="M111" s="34">
        <f t="shared" si="9"/>
        <v>35000</v>
      </c>
      <c r="N111" s="35">
        <f>ROUND(M111/1000,1)-26</f>
        <v>9</v>
      </c>
      <c r="O111" s="30"/>
      <c r="P111" s="29"/>
      <c r="Q111" s="30"/>
      <c r="R111" s="31"/>
      <c r="S111" s="29"/>
      <c r="T111" s="29"/>
      <c r="U111" s="29"/>
    </row>
    <row r="112" spans="1:21" s="36" customFormat="1" ht="25.5" customHeight="1">
      <c r="A112" s="32"/>
      <c r="B112" s="32"/>
      <c r="C112" s="32"/>
      <c r="D112" s="33" t="s">
        <v>377</v>
      </c>
      <c r="E112" s="33" t="s">
        <v>377</v>
      </c>
      <c r="F112" s="33"/>
      <c r="G112" s="25">
        <f t="shared" si="6"/>
        <v>0</v>
      </c>
      <c r="H112" s="33"/>
      <c r="I112" s="33"/>
      <c r="J112" s="25">
        <f t="shared" si="5"/>
        <v>0</v>
      </c>
      <c r="K112" s="34">
        <v>130000</v>
      </c>
      <c r="L112" s="34"/>
      <c r="M112" s="34">
        <f t="shared" si="9"/>
        <v>130000</v>
      </c>
      <c r="N112" s="35">
        <f t="shared" si="7"/>
        <v>130</v>
      </c>
      <c r="O112" s="30"/>
      <c r="P112" s="29"/>
      <c r="Q112" s="30"/>
      <c r="R112" s="31"/>
      <c r="S112" s="29"/>
      <c r="T112" s="29"/>
      <c r="U112" s="29"/>
    </row>
    <row r="113" spans="1:21" s="36" customFormat="1" ht="32.25" customHeight="1">
      <c r="A113" s="32"/>
      <c r="B113" s="32"/>
      <c r="C113" s="32"/>
      <c r="D113" s="33" t="s">
        <v>409</v>
      </c>
      <c r="E113" s="33" t="s">
        <v>193</v>
      </c>
      <c r="F113" s="33"/>
      <c r="G113" s="25">
        <f t="shared" si="6"/>
        <v>0</v>
      </c>
      <c r="H113" s="33"/>
      <c r="I113" s="33"/>
      <c r="J113" s="25">
        <f t="shared" si="5"/>
        <v>0</v>
      </c>
      <c r="K113" s="34">
        <f>50000-15000</f>
        <v>35000</v>
      </c>
      <c r="L113" s="34"/>
      <c r="M113" s="34">
        <f t="shared" si="9"/>
        <v>35000</v>
      </c>
      <c r="N113" s="35">
        <f>ROUND(M113/1000,1)-25.4</f>
        <v>9.600000000000001</v>
      </c>
      <c r="O113" s="30"/>
      <c r="P113" s="29"/>
      <c r="Q113" s="30"/>
      <c r="R113" s="31"/>
      <c r="S113" s="29"/>
      <c r="T113" s="29"/>
      <c r="U113" s="29"/>
    </row>
    <row r="114" spans="1:21" s="36" customFormat="1" ht="27.75" customHeight="1">
      <c r="A114" s="32"/>
      <c r="B114" s="32"/>
      <c r="C114" s="32"/>
      <c r="D114" s="33" t="s">
        <v>410</v>
      </c>
      <c r="E114" s="33" t="s">
        <v>189</v>
      </c>
      <c r="F114" s="33"/>
      <c r="G114" s="25">
        <f t="shared" si="6"/>
        <v>0</v>
      </c>
      <c r="H114" s="33"/>
      <c r="I114" s="33"/>
      <c r="J114" s="25">
        <f t="shared" si="5"/>
        <v>0</v>
      </c>
      <c r="K114" s="34">
        <f>50000-15000</f>
        <v>35000</v>
      </c>
      <c r="L114" s="34"/>
      <c r="M114" s="34">
        <f t="shared" si="9"/>
        <v>35000</v>
      </c>
      <c r="N114" s="35">
        <f>ROUND(M114/1000,1)+68.4</f>
        <v>103.4</v>
      </c>
      <c r="O114" s="30"/>
      <c r="P114" s="29"/>
      <c r="Q114" s="30"/>
      <c r="R114" s="31"/>
      <c r="S114" s="29"/>
      <c r="T114" s="29"/>
      <c r="U114" s="29"/>
    </row>
    <row r="115" spans="1:21" s="36" customFormat="1" ht="24.75" customHeight="1">
      <c r="A115" s="32"/>
      <c r="B115" s="32"/>
      <c r="C115" s="32"/>
      <c r="D115" s="33" t="s">
        <v>411</v>
      </c>
      <c r="E115" s="33" t="s">
        <v>327</v>
      </c>
      <c r="F115" s="33"/>
      <c r="G115" s="25">
        <f t="shared" si="6"/>
        <v>0</v>
      </c>
      <c r="H115" s="33"/>
      <c r="I115" s="33"/>
      <c r="J115" s="25">
        <f t="shared" si="5"/>
        <v>0</v>
      </c>
      <c r="K115" s="34">
        <f>33000-3000</f>
        <v>30000</v>
      </c>
      <c r="L115" s="34"/>
      <c r="M115" s="34">
        <f t="shared" si="9"/>
        <v>30000</v>
      </c>
      <c r="N115" s="35">
        <f>ROUND(M115/1000,1)-29</f>
        <v>1</v>
      </c>
      <c r="O115" s="30"/>
      <c r="P115" s="29"/>
      <c r="Q115" s="30"/>
      <c r="R115" s="31"/>
      <c r="S115" s="29"/>
      <c r="T115" s="29"/>
      <c r="U115" s="29"/>
    </row>
    <row r="116" spans="1:21" s="36" customFormat="1" ht="30.75" customHeight="1">
      <c r="A116" s="32"/>
      <c r="B116" s="32"/>
      <c r="C116" s="32"/>
      <c r="D116" s="33" t="s">
        <v>412</v>
      </c>
      <c r="E116" s="33" t="s">
        <v>328</v>
      </c>
      <c r="F116" s="33"/>
      <c r="G116" s="25">
        <f t="shared" si="6"/>
        <v>0</v>
      </c>
      <c r="H116" s="33"/>
      <c r="I116" s="33"/>
      <c r="J116" s="25">
        <f t="shared" si="5"/>
        <v>0</v>
      </c>
      <c r="K116" s="34">
        <f>33000-3000</f>
        <v>30000</v>
      </c>
      <c r="L116" s="34"/>
      <c r="M116" s="34">
        <f t="shared" si="9"/>
        <v>30000</v>
      </c>
      <c r="N116" s="35">
        <f>ROUND(M116/1000,1)-20</f>
        <v>10</v>
      </c>
      <c r="O116" s="30"/>
      <c r="P116" s="29"/>
      <c r="Q116" s="30"/>
      <c r="R116" s="31"/>
      <c r="S116" s="29"/>
      <c r="T116" s="29"/>
      <c r="U116" s="29"/>
    </row>
    <row r="117" spans="1:21" s="36" customFormat="1" ht="32.25" customHeight="1">
      <c r="A117" s="32"/>
      <c r="B117" s="32"/>
      <c r="C117" s="32"/>
      <c r="D117" s="33" t="s">
        <v>413</v>
      </c>
      <c r="E117" s="33" t="s">
        <v>329</v>
      </c>
      <c r="F117" s="33"/>
      <c r="G117" s="25">
        <f t="shared" si="6"/>
        <v>0</v>
      </c>
      <c r="H117" s="33"/>
      <c r="I117" s="33"/>
      <c r="J117" s="25">
        <f t="shared" si="5"/>
        <v>0</v>
      </c>
      <c r="K117" s="34">
        <f>34000-4000</f>
        <v>30000</v>
      </c>
      <c r="L117" s="34"/>
      <c r="M117" s="34">
        <f t="shared" si="9"/>
        <v>30000</v>
      </c>
      <c r="N117" s="35">
        <f>ROUND(M117/1000,1)+20</f>
        <v>50</v>
      </c>
      <c r="O117" s="30"/>
      <c r="P117" s="29"/>
      <c r="Q117" s="30"/>
      <c r="R117" s="31"/>
      <c r="S117" s="29"/>
      <c r="T117" s="29"/>
      <c r="U117" s="29"/>
    </row>
    <row r="118" spans="1:21" s="36" customFormat="1" ht="47.25" customHeight="1">
      <c r="A118" s="32"/>
      <c r="B118" s="32"/>
      <c r="C118" s="32"/>
      <c r="D118" s="33" t="s">
        <v>306</v>
      </c>
      <c r="E118" s="33" t="s">
        <v>306</v>
      </c>
      <c r="F118" s="33"/>
      <c r="G118" s="25">
        <f t="shared" si="6"/>
        <v>0</v>
      </c>
      <c r="H118" s="33"/>
      <c r="I118" s="33"/>
      <c r="J118" s="25">
        <f t="shared" si="5"/>
        <v>0</v>
      </c>
      <c r="K118" s="34">
        <v>295000</v>
      </c>
      <c r="L118" s="34"/>
      <c r="M118" s="34">
        <f>L118+K118</f>
        <v>295000</v>
      </c>
      <c r="N118" s="35">
        <f t="shared" si="7"/>
        <v>295</v>
      </c>
      <c r="O118" s="30"/>
      <c r="P118" s="29"/>
      <c r="Q118" s="30"/>
      <c r="R118" s="31"/>
      <c r="S118" s="29"/>
      <c r="T118" s="29"/>
      <c r="U118" s="29"/>
    </row>
    <row r="119" spans="1:21" s="36" customFormat="1" ht="24.75" customHeight="1">
      <c r="A119" s="32"/>
      <c r="B119" s="32"/>
      <c r="C119" s="32"/>
      <c r="D119" s="1" t="s">
        <v>223</v>
      </c>
      <c r="E119" s="1" t="s">
        <v>223</v>
      </c>
      <c r="F119" s="33"/>
      <c r="G119" s="25">
        <f t="shared" si="6"/>
        <v>0</v>
      </c>
      <c r="H119" s="33"/>
      <c r="I119" s="33"/>
      <c r="J119" s="25">
        <f t="shared" si="5"/>
        <v>0</v>
      </c>
      <c r="K119" s="26">
        <f>SUM(K120:K129)</f>
        <v>20696850.13</v>
      </c>
      <c r="L119" s="26">
        <f>SUM(L120:L129)</f>
        <v>0</v>
      </c>
      <c r="M119" s="26">
        <f>SUM(M120:M129)</f>
        <v>20696850.13</v>
      </c>
      <c r="N119" s="27">
        <f>SUM(N120:N129)</f>
        <v>20896.9</v>
      </c>
      <c r="O119" s="30"/>
      <c r="P119" s="29"/>
      <c r="Q119" s="30"/>
      <c r="R119" s="31"/>
      <c r="S119" s="29"/>
      <c r="T119" s="29"/>
      <c r="U119" s="29"/>
    </row>
    <row r="120" spans="1:21" s="36" customFormat="1" ht="46.5" customHeight="1">
      <c r="A120" s="32"/>
      <c r="B120" s="32"/>
      <c r="C120" s="32"/>
      <c r="D120" s="33" t="s">
        <v>185</v>
      </c>
      <c r="E120" s="33" t="s">
        <v>185</v>
      </c>
      <c r="F120" s="33"/>
      <c r="G120" s="25">
        <f t="shared" si="6"/>
        <v>0</v>
      </c>
      <c r="H120" s="33"/>
      <c r="I120" s="33"/>
      <c r="J120" s="25">
        <f t="shared" si="5"/>
        <v>0</v>
      </c>
      <c r="K120" s="34">
        <v>250000</v>
      </c>
      <c r="L120" s="34"/>
      <c r="M120" s="34">
        <f aca="true" t="shared" si="10" ref="M120:M129">L120+K120</f>
        <v>250000</v>
      </c>
      <c r="N120" s="35">
        <f t="shared" si="7"/>
        <v>250</v>
      </c>
      <c r="O120" s="30"/>
      <c r="P120" s="29"/>
      <c r="Q120" s="30"/>
      <c r="R120" s="31"/>
      <c r="S120" s="29"/>
      <c r="T120" s="29"/>
      <c r="U120" s="29"/>
    </row>
    <row r="121" spans="1:21" s="36" customFormat="1" ht="69" customHeight="1">
      <c r="A121" s="32"/>
      <c r="B121" s="32"/>
      <c r="C121" s="32"/>
      <c r="D121" s="33" t="s">
        <v>316</v>
      </c>
      <c r="E121" s="33" t="s">
        <v>316</v>
      </c>
      <c r="F121" s="33"/>
      <c r="G121" s="25">
        <f t="shared" si="6"/>
        <v>0</v>
      </c>
      <c r="H121" s="33"/>
      <c r="I121" s="33"/>
      <c r="J121" s="25">
        <f t="shared" si="5"/>
        <v>0</v>
      </c>
      <c r="K121" s="34">
        <v>250000</v>
      </c>
      <c r="L121" s="34"/>
      <c r="M121" s="34">
        <f t="shared" si="10"/>
        <v>250000</v>
      </c>
      <c r="N121" s="35">
        <f t="shared" si="7"/>
        <v>250</v>
      </c>
      <c r="O121" s="30"/>
      <c r="P121" s="29"/>
      <c r="Q121" s="30"/>
      <c r="R121" s="31"/>
      <c r="S121" s="29"/>
      <c r="T121" s="29"/>
      <c r="U121" s="29"/>
    </row>
    <row r="122" spans="1:21" s="36" customFormat="1" ht="46.5" customHeight="1">
      <c r="A122" s="32"/>
      <c r="B122" s="32"/>
      <c r="C122" s="32"/>
      <c r="D122" s="33" t="s">
        <v>317</v>
      </c>
      <c r="E122" s="33" t="s">
        <v>317</v>
      </c>
      <c r="F122" s="33"/>
      <c r="G122" s="25">
        <f t="shared" si="6"/>
        <v>0</v>
      </c>
      <c r="H122" s="33"/>
      <c r="I122" s="33"/>
      <c r="J122" s="25">
        <f t="shared" si="5"/>
        <v>0</v>
      </c>
      <c r="K122" s="34">
        <v>240000</v>
      </c>
      <c r="L122" s="34"/>
      <c r="M122" s="34">
        <f t="shared" si="10"/>
        <v>240000</v>
      </c>
      <c r="N122" s="35">
        <f t="shared" si="7"/>
        <v>240</v>
      </c>
      <c r="O122" s="30"/>
      <c r="P122" s="29"/>
      <c r="Q122" s="30"/>
      <c r="R122" s="31"/>
      <c r="S122" s="29"/>
      <c r="T122" s="29"/>
      <c r="U122" s="29"/>
    </row>
    <row r="123" spans="1:21" s="36" customFormat="1" ht="54.75" customHeight="1">
      <c r="A123" s="32"/>
      <c r="B123" s="32"/>
      <c r="C123" s="32"/>
      <c r="D123" s="33" t="s">
        <v>318</v>
      </c>
      <c r="E123" s="33" t="s">
        <v>318</v>
      </c>
      <c r="F123" s="33"/>
      <c r="G123" s="25">
        <f t="shared" si="6"/>
        <v>0</v>
      </c>
      <c r="H123" s="33"/>
      <c r="I123" s="33"/>
      <c r="J123" s="25">
        <f t="shared" si="5"/>
        <v>0</v>
      </c>
      <c r="K123" s="34">
        <v>240000</v>
      </c>
      <c r="L123" s="34"/>
      <c r="M123" s="34">
        <f t="shared" si="10"/>
        <v>240000</v>
      </c>
      <c r="N123" s="35">
        <f t="shared" si="7"/>
        <v>240</v>
      </c>
      <c r="O123" s="30"/>
      <c r="P123" s="29"/>
      <c r="Q123" s="30"/>
      <c r="R123" s="31"/>
      <c r="S123" s="29"/>
      <c r="T123" s="29"/>
      <c r="U123" s="29"/>
    </row>
    <row r="124" spans="1:21" s="36" customFormat="1" ht="46.5" customHeight="1">
      <c r="A124" s="32"/>
      <c r="B124" s="32"/>
      <c r="C124" s="32"/>
      <c r="D124" s="33" t="s">
        <v>363</v>
      </c>
      <c r="E124" s="33" t="s">
        <v>363</v>
      </c>
      <c r="F124" s="33"/>
      <c r="G124" s="25">
        <f t="shared" si="6"/>
        <v>0</v>
      </c>
      <c r="H124" s="33"/>
      <c r="I124" s="33"/>
      <c r="J124" s="25">
        <f t="shared" si="5"/>
        <v>0</v>
      </c>
      <c r="K124" s="34">
        <v>20000</v>
      </c>
      <c r="L124" s="34"/>
      <c r="M124" s="34">
        <f t="shared" si="10"/>
        <v>20000</v>
      </c>
      <c r="N124" s="35">
        <f t="shared" si="7"/>
        <v>20</v>
      </c>
      <c r="O124" s="30"/>
      <c r="P124" s="29"/>
      <c r="Q124" s="30"/>
      <c r="R124" s="31"/>
      <c r="S124" s="29"/>
      <c r="T124" s="29"/>
      <c r="U124" s="29"/>
    </row>
    <row r="125" spans="1:21" s="36" customFormat="1" ht="65.25" customHeight="1">
      <c r="A125" s="32"/>
      <c r="B125" s="32"/>
      <c r="C125" s="32"/>
      <c r="D125" s="33" t="s">
        <v>336</v>
      </c>
      <c r="E125" s="33" t="s">
        <v>336</v>
      </c>
      <c r="F125" s="33"/>
      <c r="G125" s="25">
        <f t="shared" si="6"/>
        <v>0</v>
      </c>
      <c r="H125" s="33"/>
      <c r="I125" s="33"/>
      <c r="J125" s="25">
        <f t="shared" si="5"/>
        <v>0</v>
      </c>
      <c r="K125" s="34">
        <f>20000+1520000</f>
        <v>1540000</v>
      </c>
      <c r="L125" s="34"/>
      <c r="M125" s="34">
        <f t="shared" si="10"/>
        <v>1540000</v>
      </c>
      <c r="N125" s="35">
        <f t="shared" si="7"/>
        <v>1540</v>
      </c>
      <c r="O125" s="30"/>
      <c r="P125" s="29"/>
      <c r="Q125" s="30"/>
      <c r="R125" s="31"/>
      <c r="S125" s="29"/>
      <c r="T125" s="29"/>
      <c r="U125" s="29"/>
    </row>
    <row r="126" spans="1:21" s="36" customFormat="1" ht="51.75" customHeight="1">
      <c r="A126" s="32"/>
      <c r="B126" s="32"/>
      <c r="C126" s="32"/>
      <c r="D126" s="33" t="s">
        <v>414</v>
      </c>
      <c r="E126" s="33" t="s">
        <v>337</v>
      </c>
      <c r="F126" s="33"/>
      <c r="G126" s="25">
        <f t="shared" si="6"/>
        <v>0</v>
      </c>
      <c r="H126" s="33"/>
      <c r="I126" s="33"/>
      <c r="J126" s="25">
        <f t="shared" si="5"/>
        <v>0</v>
      </c>
      <c r="K126" s="34">
        <f>2000000+13000000</f>
        <v>15000000</v>
      </c>
      <c r="L126" s="34"/>
      <c r="M126" s="34">
        <f t="shared" si="10"/>
        <v>15000000</v>
      </c>
      <c r="N126" s="35">
        <f t="shared" si="7"/>
        <v>15000</v>
      </c>
      <c r="O126" s="30"/>
      <c r="P126" s="29"/>
      <c r="Q126" s="30"/>
      <c r="R126" s="31"/>
      <c r="S126" s="29"/>
      <c r="T126" s="29"/>
      <c r="U126" s="29"/>
    </row>
    <row r="127" spans="1:21" s="36" customFormat="1" ht="51.75" customHeight="1">
      <c r="A127" s="32"/>
      <c r="B127" s="32"/>
      <c r="C127" s="32"/>
      <c r="D127" s="33" t="s">
        <v>442</v>
      </c>
      <c r="E127" s="33"/>
      <c r="F127" s="33"/>
      <c r="G127" s="25"/>
      <c r="H127" s="33"/>
      <c r="I127" s="33"/>
      <c r="J127" s="25"/>
      <c r="K127" s="34"/>
      <c r="L127" s="34"/>
      <c r="M127" s="34"/>
      <c r="N127" s="35">
        <v>200</v>
      </c>
      <c r="O127" s="30"/>
      <c r="P127" s="29"/>
      <c r="Q127" s="30"/>
      <c r="R127" s="31"/>
      <c r="S127" s="29"/>
      <c r="T127" s="29"/>
      <c r="U127" s="29"/>
    </row>
    <row r="128" spans="1:21" s="36" customFormat="1" ht="50.25" customHeight="1">
      <c r="A128" s="32"/>
      <c r="B128" s="32"/>
      <c r="C128" s="32"/>
      <c r="D128" s="33" t="s">
        <v>279</v>
      </c>
      <c r="E128" s="33" t="s">
        <v>279</v>
      </c>
      <c r="F128" s="33"/>
      <c r="G128" s="25">
        <f t="shared" si="6"/>
        <v>0</v>
      </c>
      <c r="H128" s="33"/>
      <c r="I128" s="33"/>
      <c r="J128" s="25">
        <f t="shared" si="5"/>
        <v>0</v>
      </c>
      <c r="K128" s="34">
        <v>2887850.13</v>
      </c>
      <c r="L128" s="34"/>
      <c r="M128" s="34">
        <f t="shared" si="10"/>
        <v>2887850.13</v>
      </c>
      <c r="N128" s="35">
        <f t="shared" si="7"/>
        <v>2887.9</v>
      </c>
      <c r="O128" s="64"/>
      <c r="P128" s="29"/>
      <c r="Q128" s="30"/>
      <c r="R128" s="31"/>
      <c r="S128" s="29"/>
      <c r="T128" s="29"/>
      <c r="U128" s="29"/>
    </row>
    <row r="129" spans="1:21" s="36" customFormat="1" ht="38.25" customHeight="1">
      <c r="A129" s="32"/>
      <c r="B129" s="32"/>
      <c r="C129" s="32"/>
      <c r="D129" s="33" t="s">
        <v>326</v>
      </c>
      <c r="E129" s="33" t="s">
        <v>326</v>
      </c>
      <c r="F129" s="33"/>
      <c r="G129" s="25">
        <f t="shared" si="6"/>
        <v>0</v>
      </c>
      <c r="H129" s="33"/>
      <c r="I129" s="33"/>
      <c r="J129" s="25">
        <f t="shared" si="5"/>
        <v>0</v>
      </c>
      <c r="K129" s="34">
        <v>269000</v>
      </c>
      <c r="L129" s="34"/>
      <c r="M129" s="34">
        <f t="shared" si="10"/>
        <v>269000</v>
      </c>
      <c r="N129" s="35">
        <f t="shared" si="7"/>
        <v>269</v>
      </c>
      <c r="O129" s="51"/>
      <c r="P129" s="29"/>
      <c r="Q129" s="30"/>
      <c r="R129" s="31"/>
      <c r="S129" s="29"/>
      <c r="T129" s="29"/>
      <c r="U129" s="29"/>
    </row>
    <row r="130" spans="1:21" s="36" customFormat="1" ht="39" customHeight="1">
      <c r="A130" s="32" t="s">
        <v>137</v>
      </c>
      <c r="B130" s="32" t="s">
        <v>138</v>
      </c>
      <c r="C130" s="32" t="s">
        <v>52</v>
      </c>
      <c r="D130" s="1" t="s">
        <v>415</v>
      </c>
      <c r="E130" s="33"/>
      <c r="F130" s="33"/>
      <c r="G130" s="25">
        <f t="shared" si="6"/>
        <v>0</v>
      </c>
      <c r="H130" s="33"/>
      <c r="I130" s="33"/>
      <c r="J130" s="25">
        <f t="shared" si="5"/>
        <v>0</v>
      </c>
      <c r="K130" s="26">
        <f>K131+K136</f>
        <v>6426800</v>
      </c>
      <c r="L130" s="26">
        <f>L131+L136</f>
        <v>-885000</v>
      </c>
      <c r="M130" s="26">
        <f>M131+M136</f>
        <v>5541800</v>
      </c>
      <c r="N130" s="27">
        <f>N131+N136</f>
        <v>5655.8</v>
      </c>
      <c r="O130" s="51"/>
      <c r="P130" s="29"/>
      <c r="Q130" s="30"/>
      <c r="R130" s="31"/>
      <c r="S130" s="29"/>
      <c r="T130" s="29"/>
      <c r="U130" s="29"/>
    </row>
    <row r="131" spans="1:21" s="36" customFormat="1" ht="22.5" customHeight="1">
      <c r="A131" s="32"/>
      <c r="B131" s="32"/>
      <c r="C131" s="32"/>
      <c r="D131" s="72" t="s">
        <v>143</v>
      </c>
      <c r="E131" s="72" t="s">
        <v>143</v>
      </c>
      <c r="F131" s="33"/>
      <c r="G131" s="25">
        <f t="shared" si="6"/>
        <v>0</v>
      </c>
      <c r="H131" s="33"/>
      <c r="I131" s="33"/>
      <c r="J131" s="25">
        <f t="shared" si="5"/>
        <v>0</v>
      </c>
      <c r="K131" s="26">
        <f>K132+K133+K134+K135</f>
        <v>5076800</v>
      </c>
      <c r="L131" s="26">
        <f>L132+L133+L134+L135</f>
        <v>-885000</v>
      </c>
      <c r="M131" s="26">
        <f>M132+M133+M134+M135</f>
        <v>4191800</v>
      </c>
      <c r="N131" s="27">
        <f>N132+N133+N134+N135</f>
        <v>4211.8</v>
      </c>
      <c r="O131" s="30"/>
      <c r="P131" s="29"/>
      <c r="Q131" s="30"/>
      <c r="R131" s="31"/>
      <c r="S131" s="29"/>
      <c r="T131" s="29"/>
      <c r="U131" s="29"/>
    </row>
    <row r="132" spans="1:21" s="36" customFormat="1" ht="27" customHeight="1">
      <c r="A132" s="32"/>
      <c r="B132" s="32"/>
      <c r="C132" s="32"/>
      <c r="D132" s="33" t="s">
        <v>416</v>
      </c>
      <c r="E132" s="33" t="s">
        <v>219</v>
      </c>
      <c r="F132" s="33"/>
      <c r="G132" s="25">
        <f t="shared" si="6"/>
        <v>0</v>
      </c>
      <c r="H132" s="33"/>
      <c r="I132" s="33"/>
      <c r="J132" s="25">
        <f t="shared" si="5"/>
        <v>0</v>
      </c>
      <c r="K132" s="34">
        <v>1000000</v>
      </c>
      <c r="L132" s="34">
        <f>-385000-500000</f>
        <v>-885000</v>
      </c>
      <c r="M132" s="34">
        <f>L132+K132</f>
        <v>115000</v>
      </c>
      <c r="N132" s="35">
        <f>ROUND(M132/1000,1)+20</f>
        <v>135</v>
      </c>
      <c r="O132" s="30"/>
      <c r="P132" s="29"/>
      <c r="Q132" s="30"/>
      <c r="R132" s="31"/>
      <c r="S132" s="29"/>
      <c r="T132" s="29"/>
      <c r="U132" s="29"/>
    </row>
    <row r="133" spans="1:21" s="36" customFormat="1" ht="27" customHeight="1">
      <c r="A133" s="32"/>
      <c r="B133" s="32"/>
      <c r="C133" s="32"/>
      <c r="D133" s="33" t="s">
        <v>417</v>
      </c>
      <c r="E133" s="33" t="s">
        <v>222</v>
      </c>
      <c r="F133" s="33"/>
      <c r="G133" s="25">
        <f t="shared" si="6"/>
        <v>0</v>
      </c>
      <c r="H133" s="33"/>
      <c r="I133" s="33"/>
      <c r="J133" s="25">
        <f t="shared" si="5"/>
        <v>0</v>
      </c>
      <c r="K133" s="34">
        <v>3000000</v>
      </c>
      <c r="L133" s="34"/>
      <c r="M133" s="34">
        <f>L133+K133</f>
        <v>3000000</v>
      </c>
      <c r="N133" s="35">
        <f t="shared" si="7"/>
        <v>3000</v>
      </c>
      <c r="O133" s="30"/>
      <c r="P133" s="29"/>
      <c r="Q133" s="30"/>
      <c r="R133" s="31"/>
      <c r="S133" s="29"/>
      <c r="T133" s="29"/>
      <c r="U133" s="29"/>
    </row>
    <row r="134" spans="1:21" s="36" customFormat="1" ht="27.75" customHeight="1">
      <c r="A134" s="32"/>
      <c r="B134" s="32"/>
      <c r="C134" s="32"/>
      <c r="D134" s="33" t="s">
        <v>231</v>
      </c>
      <c r="E134" s="33" t="s">
        <v>231</v>
      </c>
      <c r="F134" s="33"/>
      <c r="G134" s="25">
        <f t="shared" si="6"/>
        <v>0</v>
      </c>
      <c r="H134" s="33"/>
      <c r="I134" s="33"/>
      <c r="J134" s="25">
        <f t="shared" si="5"/>
        <v>0</v>
      </c>
      <c r="K134" s="34">
        <v>376800</v>
      </c>
      <c r="L134" s="34"/>
      <c r="M134" s="34">
        <f>L134+K134</f>
        <v>376800</v>
      </c>
      <c r="N134" s="35">
        <f t="shared" si="7"/>
        <v>376.8</v>
      </c>
      <c r="O134" s="51"/>
      <c r="P134" s="29"/>
      <c r="Q134" s="64"/>
      <c r="R134" s="31"/>
      <c r="S134" s="29"/>
      <c r="T134" s="29"/>
      <c r="U134" s="29"/>
    </row>
    <row r="135" spans="1:21" s="36" customFormat="1" ht="72.75" customHeight="1">
      <c r="A135" s="32"/>
      <c r="B135" s="32"/>
      <c r="C135" s="32"/>
      <c r="D135" s="33" t="s">
        <v>334</v>
      </c>
      <c r="E135" s="33" t="s">
        <v>334</v>
      </c>
      <c r="F135" s="33"/>
      <c r="G135" s="25">
        <f t="shared" si="6"/>
        <v>0</v>
      </c>
      <c r="H135" s="33"/>
      <c r="I135" s="33"/>
      <c r="J135" s="25">
        <f t="shared" si="5"/>
        <v>0</v>
      </c>
      <c r="K135" s="34">
        <v>700000</v>
      </c>
      <c r="L135" s="34"/>
      <c r="M135" s="34">
        <f>L135+K135</f>
        <v>700000</v>
      </c>
      <c r="N135" s="35">
        <f t="shared" si="7"/>
        <v>700</v>
      </c>
      <c r="O135" s="30"/>
      <c r="P135" s="29"/>
      <c r="Q135" s="51"/>
      <c r="R135" s="31"/>
      <c r="S135" s="29"/>
      <c r="T135" s="29"/>
      <c r="U135" s="29"/>
    </row>
    <row r="136" spans="1:21" s="36" customFormat="1" ht="28.5" customHeight="1">
      <c r="A136" s="32"/>
      <c r="B136" s="32"/>
      <c r="C136" s="32"/>
      <c r="D136" s="1" t="s">
        <v>147</v>
      </c>
      <c r="E136" s="1" t="s">
        <v>147</v>
      </c>
      <c r="F136" s="33"/>
      <c r="G136" s="25">
        <f t="shared" si="6"/>
        <v>0</v>
      </c>
      <c r="H136" s="33"/>
      <c r="I136" s="33"/>
      <c r="J136" s="25">
        <f t="shared" si="5"/>
        <v>0</v>
      </c>
      <c r="K136" s="26">
        <f>K137+K138</f>
        <v>1350000</v>
      </c>
      <c r="L136" s="26">
        <f>L137+L138</f>
        <v>0</v>
      </c>
      <c r="M136" s="26">
        <f>M137+M138</f>
        <v>1350000</v>
      </c>
      <c r="N136" s="27">
        <f>N137+N138</f>
        <v>1444</v>
      </c>
      <c r="O136" s="64"/>
      <c r="P136" s="29"/>
      <c r="Q136" s="51"/>
      <c r="R136" s="31"/>
      <c r="S136" s="29"/>
      <c r="T136" s="29"/>
      <c r="U136" s="29"/>
    </row>
    <row r="137" spans="1:21" s="36" customFormat="1" ht="43.5" customHeight="1">
      <c r="A137" s="32"/>
      <c r="B137" s="32"/>
      <c r="C137" s="32"/>
      <c r="D137" s="33" t="s">
        <v>220</v>
      </c>
      <c r="E137" s="33" t="s">
        <v>220</v>
      </c>
      <c r="F137" s="33"/>
      <c r="G137" s="25">
        <f t="shared" si="6"/>
        <v>0</v>
      </c>
      <c r="H137" s="33"/>
      <c r="I137" s="33"/>
      <c r="J137" s="25">
        <f t="shared" si="5"/>
        <v>0</v>
      </c>
      <c r="K137" s="34">
        <v>1100000</v>
      </c>
      <c r="L137" s="34"/>
      <c r="M137" s="34">
        <f>L137+K137</f>
        <v>1100000</v>
      </c>
      <c r="N137" s="35">
        <f>ROUND(M137/1000,1)+94</f>
        <v>1194</v>
      </c>
      <c r="O137" s="30"/>
      <c r="P137" s="29"/>
      <c r="Q137" s="30"/>
      <c r="R137" s="31"/>
      <c r="S137" s="29"/>
      <c r="T137" s="29"/>
      <c r="U137" s="29"/>
    </row>
    <row r="138" spans="1:21" s="36" customFormat="1" ht="24" customHeight="1">
      <c r="A138" s="32"/>
      <c r="B138" s="32"/>
      <c r="C138" s="32"/>
      <c r="D138" s="33" t="s">
        <v>221</v>
      </c>
      <c r="E138" s="33" t="s">
        <v>221</v>
      </c>
      <c r="F138" s="33"/>
      <c r="G138" s="25">
        <f t="shared" si="6"/>
        <v>0</v>
      </c>
      <c r="H138" s="33"/>
      <c r="I138" s="33"/>
      <c r="J138" s="25">
        <f t="shared" si="5"/>
        <v>0</v>
      </c>
      <c r="K138" s="34">
        <v>250000</v>
      </c>
      <c r="L138" s="34"/>
      <c r="M138" s="34">
        <f>L138+K138</f>
        <v>250000</v>
      </c>
      <c r="N138" s="35">
        <f t="shared" si="7"/>
        <v>250</v>
      </c>
      <c r="O138" s="64"/>
      <c r="P138" s="29"/>
      <c r="Q138" s="30"/>
      <c r="R138" s="31"/>
      <c r="S138" s="29"/>
      <c r="T138" s="29"/>
      <c r="U138" s="29"/>
    </row>
    <row r="139" spans="1:22" s="28" customFormat="1" ht="29.25" customHeight="1">
      <c r="A139" s="23" t="s">
        <v>111</v>
      </c>
      <c r="B139" s="23" t="s">
        <v>69</v>
      </c>
      <c r="C139" s="23" t="s">
        <v>52</v>
      </c>
      <c r="D139" s="24" t="s">
        <v>418</v>
      </c>
      <c r="E139" s="24"/>
      <c r="F139" s="73"/>
      <c r="G139" s="25">
        <f t="shared" si="6"/>
        <v>0</v>
      </c>
      <c r="H139" s="73"/>
      <c r="I139" s="73"/>
      <c r="J139" s="25">
        <f t="shared" si="5"/>
        <v>0</v>
      </c>
      <c r="K139" s="26">
        <f>K140+K141</f>
        <v>3200000</v>
      </c>
      <c r="L139" s="26">
        <f>L140+L141</f>
        <v>0</v>
      </c>
      <c r="M139" s="26">
        <f>M140+M141</f>
        <v>3200000</v>
      </c>
      <c r="N139" s="27">
        <f>N140+N141</f>
        <v>3200</v>
      </c>
      <c r="O139" s="30"/>
      <c r="P139" s="29"/>
      <c r="Q139" s="30"/>
      <c r="R139" s="31"/>
      <c r="S139" s="31"/>
      <c r="T139" s="29"/>
      <c r="U139" s="29"/>
      <c r="V139" s="36"/>
    </row>
    <row r="140" spans="1:22" s="52" customFormat="1" ht="27" customHeight="1">
      <c r="A140" s="39"/>
      <c r="B140" s="39"/>
      <c r="C140" s="39"/>
      <c r="D140" s="59" t="s">
        <v>179</v>
      </c>
      <c r="E140" s="59" t="s">
        <v>179</v>
      </c>
      <c r="F140" s="74"/>
      <c r="G140" s="25">
        <f t="shared" si="6"/>
        <v>0</v>
      </c>
      <c r="H140" s="74"/>
      <c r="I140" s="74"/>
      <c r="J140" s="25">
        <f t="shared" si="5"/>
        <v>0</v>
      </c>
      <c r="K140" s="43">
        <v>1200000</v>
      </c>
      <c r="L140" s="43"/>
      <c r="M140" s="43">
        <f>L140+K140</f>
        <v>1200000</v>
      </c>
      <c r="N140" s="44">
        <f t="shared" si="7"/>
        <v>1200</v>
      </c>
      <c r="O140" s="30"/>
      <c r="P140" s="29"/>
      <c r="Q140" s="51"/>
      <c r="R140" s="31"/>
      <c r="S140" s="53"/>
      <c r="T140" s="31"/>
      <c r="U140" s="31"/>
      <c r="V140" s="28"/>
    </row>
    <row r="141" spans="1:21" s="52" customFormat="1" ht="29.25" customHeight="1">
      <c r="A141" s="39"/>
      <c r="B141" s="39"/>
      <c r="C141" s="39"/>
      <c r="D141" s="59" t="s">
        <v>197</v>
      </c>
      <c r="E141" s="59" t="s">
        <v>197</v>
      </c>
      <c r="F141" s="74"/>
      <c r="G141" s="25">
        <f t="shared" si="6"/>
        <v>0</v>
      </c>
      <c r="H141" s="74"/>
      <c r="I141" s="74"/>
      <c r="J141" s="25">
        <f t="shared" si="5"/>
        <v>0</v>
      </c>
      <c r="K141" s="43">
        <f>2000000</f>
        <v>2000000</v>
      </c>
      <c r="L141" s="43">
        <f>1000000-1000000</f>
        <v>0</v>
      </c>
      <c r="M141" s="43">
        <f>L141+K141</f>
        <v>2000000</v>
      </c>
      <c r="N141" s="44">
        <f t="shared" si="7"/>
        <v>2000</v>
      </c>
      <c r="O141" s="51"/>
      <c r="P141" s="29"/>
      <c r="Q141" s="30"/>
      <c r="R141" s="31"/>
      <c r="S141" s="53"/>
      <c r="T141" s="53"/>
      <c r="U141" s="53"/>
    </row>
    <row r="142" spans="1:22" s="36" customFormat="1" ht="33" customHeight="1">
      <c r="A142" s="32" t="s">
        <v>273</v>
      </c>
      <c r="B142" s="32" t="s">
        <v>271</v>
      </c>
      <c r="C142" s="32"/>
      <c r="D142" s="58" t="s">
        <v>393</v>
      </c>
      <c r="E142" s="58"/>
      <c r="F142" s="56"/>
      <c r="G142" s="25">
        <f t="shared" si="6"/>
        <v>0</v>
      </c>
      <c r="H142" s="56"/>
      <c r="I142" s="56"/>
      <c r="J142" s="25">
        <f t="shared" si="5"/>
        <v>0</v>
      </c>
      <c r="K142" s="61">
        <f>SUM(K145)+K143</f>
        <v>1220892.46</v>
      </c>
      <c r="L142" s="61">
        <f>SUM(L145)+L143</f>
        <v>0</v>
      </c>
      <c r="M142" s="61">
        <f>SUM(M145)+M143</f>
        <v>1220892.46</v>
      </c>
      <c r="N142" s="37">
        <f>SUM(N145)+N143</f>
        <v>1220.9</v>
      </c>
      <c r="O142" s="77"/>
      <c r="P142" s="29"/>
      <c r="Q142" s="64"/>
      <c r="R142" s="31"/>
      <c r="S142" s="29"/>
      <c r="T142" s="53"/>
      <c r="U142" s="53"/>
      <c r="V142" s="52"/>
    </row>
    <row r="143" spans="1:21" s="36" customFormat="1" ht="49.5" customHeight="1">
      <c r="A143" s="55" t="s">
        <v>280</v>
      </c>
      <c r="B143" s="55" t="s">
        <v>281</v>
      </c>
      <c r="C143" s="39" t="s">
        <v>47</v>
      </c>
      <c r="D143" s="40" t="s">
        <v>419</v>
      </c>
      <c r="E143" s="59"/>
      <c r="F143" s="56"/>
      <c r="G143" s="25">
        <f t="shared" si="6"/>
        <v>0</v>
      </c>
      <c r="H143" s="56"/>
      <c r="I143" s="56"/>
      <c r="J143" s="25">
        <f t="shared" si="5"/>
        <v>0</v>
      </c>
      <c r="K143" s="63">
        <f>K144</f>
        <v>426739</v>
      </c>
      <c r="L143" s="63"/>
      <c r="M143" s="63">
        <f>L143+K143</f>
        <v>426739</v>
      </c>
      <c r="N143" s="44">
        <f>N144</f>
        <v>426.7</v>
      </c>
      <c r="O143" s="78"/>
      <c r="P143" s="29"/>
      <c r="Q143" s="30"/>
      <c r="R143" s="31"/>
      <c r="S143" s="29"/>
      <c r="T143" s="29"/>
      <c r="U143" s="29"/>
    </row>
    <row r="144" spans="1:21" s="36" customFormat="1" ht="63.75" customHeight="1">
      <c r="A144" s="55"/>
      <c r="B144" s="55"/>
      <c r="C144" s="32"/>
      <c r="D144" s="33" t="s">
        <v>383</v>
      </c>
      <c r="E144" s="58" t="s">
        <v>383</v>
      </c>
      <c r="F144" s="56"/>
      <c r="G144" s="25">
        <f t="shared" si="6"/>
        <v>0</v>
      </c>
      <c r="H144" s="56"/>
      <c r="I144" s="56"/>
      <c r="J144" s="25">
        <f t="shared" si="5"/>
        <v>0</v>
      </c>
      <c r="K144" s="61">
        <v>426739</v>
      </c>
      <c r="L144" s="61"/>
      <c r="M144" s="61">
        <f>L144+K144</f>
        <v>426739</v>
      </c>
      <c r="N144" s="35">
        <f t="shared" si="7"/>
        <v>426.7</v>
      </c>
      <c r="O144" s="78"/>
      <c r="P144" s="29"/>
      <c r="Q144" s="64"/>
      <c r="R144" s="31"/>
      <c r="S144" s="29"/>
      <c r="T144" s="29"/>
      <c r="U144" s="29"/>
    </row>
    <row r="145" spans="1:22" s="52" customFormat="1" ht="49.5" customHeight="1">
      <c r="A145" s="39" t="s">
        <v>272</v>
      </c>
      <c r="B145" s="39" t="s">
        <v>278</v>
      </c>
      <c r="C145" s="39" t="s">
        <v>47</v>
      </c>
      <c r="D145" s="59" t="s">
        <v>269</v>
      </c>
      <c r="E145" s="59"/>
      <c r="F145" s="74"/>
      <c r="G145" s="25">
        <f t="shared" si="6"/>
        <v>0</v>
      </c>
      <c r="H145" s="74"/>
      <c r="I145" s="74"/>
      <c r="J145" s="25">
        <f t="shared" si="5"/>
        <v>0</v>
      </c>
      <c r="K145" s="63">
        <v>794153.46</v>
      </c>
      <c r="L145" s="63"/>
      <c r="M145" s="63">
        <f>L145+K145</f>
        <v>794153.46</v>
      </c>
      <c r="N145" s="44">
        <f t="shared" si="7"/>
        <v>794.2</v>
      </c>
      <c r="O145" s="78"/>
      <c r="P145" s="29"/>
      <c r="Q145" s="30"/>
      <c r="R145" s="31"/>
      <c r="S145" s="53"/>
      <c r="T145" s="29"/>
      <c r="U145" s="29"/>
      <c r="V145" s="36"/>
    </row>
    <row r="146" spans="1:22" s="36" customFormat="1" ht="27.75" customHeight="1">
      <c r="A146" s="32" t="s">
        <v>112</v>
      </c>
      <c r="B146" s="66">
        <v>9770</v>
      </c>
      <c r="C146" s="32" t="s">
        <v>25</v>
      </c>
      <c r="D146" s="58" t="s">
        <v>215</v>
      </c>
      <c r="E146" s="58"/>
      <c r="F146" s="58"/>
      <c r="G146" s="25">
        <f t="shared" si="6"/>
        <v>0</v>
      </c>
      <c r="H146" s="58"/>
      <c r="I146" s="58"/>
      <c r="J146" s="25">
        <f t="shared" si="5"/>
        <v>0</v>
      </c>
      <c r="K146" s="34">
        <v>1220000</v>
      </c>
      <c r="L146" s="34"/>
      <c r="M146" s="34">
        <f>L146+K146</f>
        <v>1220000</v>
      </c>
      <c r="N146" s="35">
        <f t="shared" si="7"/>
        <v>1220</v>
      </c>
      <c r="O146" s="78"/>
      <c r="P146" s="29"/>
      <c r="Q146" s="30"/>
      <c r="R146" s="31"/>
      <c r="S146" s="29"/>
      <c r="T146" s="53"/>
      <c r="U146" s="53"/>
      <c r="V146" s="52"/>
    </row>
    <row r="147" spans="1:22" s="28" customFormat="1" ht="29.25" customHeight="1">
      <c r="A147" s="23" t="s">
        <v>57</v>
      </c>
      <c r="B147" s="75"/>
      <c r="C147" s="75"/>
      <c r="D147" s="1" t="s">
        <v>19</v>
      </c>
      <c r="E147" s="1"/>
      <c r="F147" s="1"/>
      <c r="G147" s="25">
        <f t="shared" si="6"/>
        <v>0</v>
      </c>
      <c r="H147" s="1"/>
      <c r="I147" s="1"/>
      <c r="J147" s="25">
        <f t="shared" si="5"/>
        <v>0</v>
      </c>
      <c r="K147" s="26">
        <f>K148</f>
        <v>10000</v>
      </c>
      <c r="L147" s="26">
        <f>L148</f>
        <v>0</v>
      </c>
      <c r="M147" s="26">
        <f>M148</f>
        <v>10000</v>
      </c>
      <c r="N147" s="27">
        <f>N148</f>
        <v>10</v>
      </c>
      <c r="O147" s="78"/>
      <c r="P147" s="29"/>
      <c r="Q147" s="76"/>
      <c r="R147" s="31"/>
      <c r="S147" s="31"/>
      <c r="T147" s="29"/>
      <c r="U147" s="29"/>
      <c r="V147" s="36"/>
    </row>
    <row r="148" spans="1:22" s="36" customFormat="1" ht="52.5" customHeight="1">
      <c r="A148" s="32" t="s">
        <v>0</v>
      </c>
      <c r="B148" s="32" t="s">
        <v>58</v>
      </c>
      <c r="C148" s="32" t="s">
        <v>26</v>
      </c>
      <c r="D148" s="33" t="s">
        <v>59</v>
      </c>
      <c r="E148" s="33"/>
      <c r="F148" s="33"/>
      <c r="G148" s="25">
        <f t="shared" si="6"/>
        <v>0</v>
      </c>
      <c r="H148" s="33"/>
      <c r="I148" s="33"/>
      <c r="J148" s="25">
        <f t="shared" si="5"/>
        <v>0</v>
      </c>
      <c r="K148" s="34">
        <f>20000-10000</f>
        <v>10000</v>
      </c>
      <c r="L148" s="34"/>
      <c r="M148" s="34">
        <f>L148+K148</f>
        <v>10000</v>
      </c>
      <c r="N148" s="35">
        <f t="shared" si="7"/>
        <v>10</v>
      </c>
      <c r="O148" s="78"/>
      <c r="P148" s="29"/>
      <c r="Q148" s="77"/>
      <c r="R148" s="31"/>
      <c r="S148" s="29"/>
      <c r="T148" s="31"/>
      <c r="U148" s="31"/>
      <c r="V148" s="28"/>
    </row>
    <row r="149" spans="1:22" s="28" customFormat="1" ht="35.25" customHeight="1">
      <c r="A149" s="23" t="s">
        <v>13</v>
      </c>
      <c r="B149" s="23"/>
      <c r="C149" s="23"/>
      <c r="D149" s="1" t="s">
        <v>18</v>
      </c>
      <c r="E149" s="1"/>
      <c r="F149" s="1"/>
      <c r="G149" s="25">
        <f t="shared" si="6"/>
        <v>0</v>
      </c>
      <c r="H149" s="1"/>
      <c r="I149" s="1"/>
      <c r="J149" s="25">
        <f t="shared" si="5"/>
        <v>0</v>
      </c>
      <c r="K149" s="26">
        <f>K150+K264+K153+K172+K203+K259+K262+K151</f>
        <v>179124434</v>
      </c>
      <c r="L149" s="26">
        <f>L150+L264+L153+L172+L203+L259+L262+L151</f>
        <v>0</v>
      </c>
      <c r="M149" s="26">
        <f>M150+M264+M153+M172+M203+M259+M262+M151</f>
        <v>179124434</v>
      </c>
      <c r="N149" s="27">
        <f>N150+N264+N153+N172+N203+N259+N262+N151</f>
        <v>179349.4</v>
      </c>
      <c r="O149" s="78"/>
      <c r="P149" s="29"/>
      <c r="Q149" s="78"/>
      <c r="R149" s="31"/>
      <c r="S149" s="31"/>
      <c r="T149" s="29"/>
      <c r="U149" s="29"/>
      <c r="V149" s="36"/>
    </row>
    <row r="150" spans="1:22" s="36" customFormat="1" ht="32.25" customHeight="1">
      <c r="A150" s="32" t="s">
        <v>113</v>
      </c>
      <c r="B150" s="32" t="s">
        <v>67</v>
      </c>
      <c r="C150" s="32" t="s">
        <v>41</v>
      </c>
      <c r="D150" s="33" t="s">
        <v>68</v>
      </c>
      <c r="E150" s="33"/>
      <c r="F150" s="33"/>
      <c r="G150" s="25">
        <f t="shared" si="6"/>
        <v>0</v>
      </c>
      <c r="H150" s="33"/>
      <c r="I150" s="33"/>
      <c r="J150" s="25">
        <f t="shared" si="5"/>
        <v>0</v>
      </c>
      <c r="K150" s="34">
        <f>60000000+30000000-3248000+263500</f>
        <v>87015500</v>
      </c>
      <c r="L150" s="34"/>
      <c r="M150" s="34">
        <f>L150+K150</f>
        <v>87015500</v>
      </c>
      <c r="N150" s="35">
        <f t="shared" si="7"/>
        <v>87015.5</v>
      </c>
      <c r="O150" s="78"/>
      <c r="P150" s="29"/>
      <c r="Q150" s="78"/>
      <c r="R150" s="31"/>
      <c r="S150" s="29"/>
      <c r="T150" s="31"/>
      <c r="U150" s="31"/>
      <c r="V150" s="28"/>
    </row>
    <row r="151" spans="1:21" s="36" customFormat="1" ht="32.25" customHeight="1">
      <c r="A151" s="32" t="s">
        <v>298</v>
      </c>
      <c r="B151" s="32" t="s">
        <v>303</v>
      </c>
      <c r="C151" s="32"/>
      <c r="D151" s="33" t="s">
        <v>420</v>
      </c>
      <c r="E151" s="33"/>
      <c r="F151" s="33"/>
      <c r="G151" s="25">
        <f t="shared" si="6"/>
        <v>0</v>
      </c>
      <c r="H151" s="33"/>
      <c r="I151" s="33"/>
      <c r="J151" s="25">
        <f aca="true" t="shared" si="11" ref="J151:J216">ROUND(I151/1000,1)</f>
        <v>0</v>
      </c>
      <c r="K151" s="34">
        <f>K152</f>
        <v>500000</v>
      </c>
      <c r="L151" s="34">
        <f>L152</f>
        <v>0</v>
      </c>
      <c r="M151" s="34">
        <f>M152</f>
        <v>500000</v>
      </c>
      <c r="N151" s="37">
        <f>N152</f>
        <v>500</v>
      </c>
      <c r="O151" s="78"/>
      <c r="P151" s="29"/>
      <c r="Q151" s="78"/>
      <c r="R151" s="31"/>
      <c r="S151" s="29"/>
      <c r="T151" s="29"/>
      <c r="U151" s="29"/>
    </row>
    <row r="152" spans="1:22" s="52" customFormat="1" ht="30" customHeight="1">
      <c r="A152" s="39" t="s">
        <v>299</v>
      </c>
      <c r="B152" s="39" t="s">
        <v>302</v>
      </c>
      <c r="C152" s="39" t="s">
        <v>301</v>
      </c>
      <c r="D152" s="40" t="s">
        <v>300</v>
      </c>
      <c r="E152" s="40"/>
      <c r="F152" s="40"/>
      <c r="G152" s="25">
        <f aca="true" t="shared" si="12" ref="G152:G217">ROUND(F152/1000,1)</f>
        <v>0</v>
      </c>
      <c r="H152" s="40"/>
      <c r="I152" s="40"/>
      <c r="J152" s="25">
        <f t="shared" si="11"/>
        <v>0</v>
      </c>
      <c r="K152" s="43">
        <v>500000</v>
      </c>
      <c r="L152" s="43"/>
      <c r="M152" s="43">
        <f>L152+K152</f>
        <v>500000</v>
      </c>
      <c r="N152" s="44">
        <f aca="true" t="shared" si="13" ref="N152:N217">ROUND(M152/1000,1)</f>
        <v>500</v>
      </c>
      <c r="O152" s="78"/>
      <c r="P152" s="29"/>
      <c r="Q152" s="78"/>
      <c r="R152" s="31"/>
      <c r="S152" s="53"/>
      <c r="T152" s="29"/>
      <c r="U152" s="29"/>
      <c r="V152" s="36"/>
    </row>
    <row r="153" spans="1:151" s="28" customFormat="1" ht="32.25" customHeight="1">
      <c r="A153" s="16">
        <v>1517310</v>
      </c>
      <c r="B153" s="32" t="s">
        <v>136</v>
      </c>
      <c r="C153" s="32" t="s">
        <v>52</v>
      </c>
      <c r="D153" s="1" t="s">
        <v>400</v>
      </c>
      <c r="E153" s="1"/>
      <c r="F153" s="79"/>
      <c r="G153" s="25">
        <f t="shared" si="12"/>
        <v>0</v>
      </c>
      <c r="H153" s="79"/>
      <c r="I153" s="79"/>
      <c r="J153" s="25">
        <f t="shared" si="11"/>
        <v>0</v>
      </c>
      <c r="K153" s="26">
        <f>K154+K160</f>
        <v>9601000</v>
      </c>
      <c r="L153" s="26">
        <f>L154+L160</f>
        <v>0</v>
      </c>
      <c r="M153" s="26">
        <f>M154+M160</f>
        <v>9601000</v>
      </c>
      <c r="N153" s="27">
        <f>N154+N160</f>
        <v>9601</v>
      </c>
      <c r="O153" s="78"/>
      <c r="P153" s="29"/>
      <c r="Q153" s="77"/>
      <c r="R153" s="31"/>
      <c r="S153" s="53"/>
      <c r="T153" s="53"/>
      <c r="U153" s="53"/>
      <c r="V153" s="52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0"/>
      <c r="DH153" s="80"/>
      <c r="DI153" s="80"/>
      <c r="DJ153" s="80"/>
      <c r="DK153" s="80"/>
      <c r="DL153" s="80"/>
      <c r="DM153" s="80"/>
      <c r="DN153" s="80"/>
      <c r="DO153" s="80"/>
      <c r="DP153" s="80"/>
      <c r="DQ153" s="80"/>
      <c r="DR153" s="80"/>
      <c r="DS153" s="80"/>
      <c r="DT153" s="80"/>
      <c r="DU153" s="80"/>
      <c r="DV153" s="80"/>
      <c r="DW153" s="80"/>
      <c r="DX153" s="80"/>
      <c r="DY153" s="80"/>
      <c r="DZ153" s="80"/>
      <c r="EA153" s="80"/>
      <c r="EB153" s="80"/>
      <c r="EC153" s="80"/>
      <c r="ED153" s="80"/>
      <c r="EE153" s="80"/>
      <c r="EF153" s="80"/>
      <c r="EG153" s="80"/>
      <c r="EH153" s="80"/>
      <c r="EI153" s="80"/>
      <c r="EJ153" s="80"/>
      <c r="EK153" s="80"/>
      <c r="EL153" s="80"/>
      <c r="EM153" s="80"/>
      <c r="EN153" s="80"/>
      <c r="EO153" s="80"/>
      <c r="EP153" s="80"/>
      <c r="EQ153" s="80"/>
      <c r="ER153" s="80"/>
      <c r="ES153" s="80"/>
      <c r="ET153" s="80"/>
      <c r="EU153" s="80"/>
    </row>
    <row r="154" spans="1:151" s="36" customFormat="1" ht="27.75" customHeight="1">
      <c r="A154" s="81"/>
      <c r="B154" s="82"/>
      <c r="C154" s="82"/>
      <c r="D154" s="72" t="s">
        <v>143</v>
      </c>
      <c r="E154" s="72" t="s">
        <v>143</v>
      </c>
      <c r="F154" s="79"/>
      <c r="G154" s="25">
        <f t="shared" si="12"/>
        <v>0</v>
      </c>
      <c r="H154" s="79"/>
      <c r="I154" s="79"/>
      <c r="J154" s="25">
        <f t="shared" si="11"/>
        <v>0</v>
      </c>
      <c r="K154" s="26">
        <f>SUM(K155:K159)</f>
        <v>5458500</v>
      </c>
      <c r="L154" s="26">
        <f>SUM(L155:L159)</f>
        <v>0</v>
      </c>
      <c r="M154" s="26">
        <f>SUM(M155:M159)</f>
        <v>5458500</v>
      </c>
      <c r="N154" s="27">
        <f>SUM(N155:N159)</f>
        <v>5458.5</v>
      </c>
      <c r="O154" s="78"/>
      <c r="P154" s="29"/>
      <c r="Q154" s="78"/>
      <c r="R154" s="31"/>
      <c r="S154" s="83"/>
      <c r="T154" s="83"/>
      <c r="U154" s="83"/>
      <c r="V154" s="80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68"/>
      <c r="CO154" s="68"/>
      <c r="CP154" s="68"/>
      <c r="CQ154" s="68"/>
      <c r="CR154" s="68"/>
      <c r="CS154" s="68"/>
      <c r="CT154" s="68"/>
      <c r="CU154" s="68"/>
      <c r="CV154" s="68"/>
      <c r="CW154" s="68"/>
      <c r="CX154" s="68"/>
      <c r="CY154" s="68"/>
      <c r="CZ154" s="68"/>
      <c r="DA154" s="68"/>
      <c r="DB154" s="68"/>
      <c r="DC154" s="68"/>
      <c r="DD154" s="68"/>
      <c r="DE154" s="68"/>
      <c r="DF154" s="68"/>
      <c r="DG154" s="68"/>
      <c r="DH154" s="68"/>
      <c r="DI154" s="68"/>
      <c r="DJ154" s="68"/>
      <c r="DK154" s="68"/>
      <c r="DL154" s="68"/>
      <c r="DM154" s="68"/>
      <c r="DN154" s="68"/>
      <c r="DO154" s="68"/>
      <c r="DP154" s="68"/>
      <c r="DQ154" s="68"/>
      <c r="DR154" s="68"/>
      <c r="DS154" s="68"/>
      <c r="DT154" s="68"/>
      <c r="DU154" s="68"/>
      <c r="DV154" s="68"/>
      <c r="DW154" s="68"/>
      <c r="DX154" s="68"/>
      <c r="DY154" s="68"/>
      <c r="DZ154" s="68"/>
      <c r="EA154" s="68"/>
      <c r="EB154" s="68"/>
      <c r="EC154" s="68"/>
      <c r="ED154" s="68"/>
      <c r="EE154" s="68"/>
      <c r="EF154" s="68"/>
      <c r="EG154" s="68"/>
      <c r="EH154" s="68"/>
      <c r="EI154" s="68"/>
      <c r="EJ154" s="68"/>
      <c r="EK154" s="68"/>
      <c r="EL154" s="68"/>
      <c r="EM154" s="68"/>
      <c r="EN154" s="68"/>
      <c r="EO154" s="68"/>
      <c r="EP154" s="68"/>
      <c r="EQ154" s="68"/>
      <c r="ER154" s="68"/>
      <c r="ES154" s="68"/>
      <c r="ET154" s="68"/>
      <c r="EU154" s="68"/>
    </row>
    <row r="155" spans="1:151" ht="26.25" customHeight="1">
      <c r="A155" s="81"/>
      <c r="B155" s="81"/>
      <c r="C155" s="81"/>
      <c r="D155" s="56" t="s">
        <v>144</v>
      </c>
      <c r="E155" s="56" t="s">
        <v>144</v>
      </c>
      <c r="F155" s="84">
        <v>9888427</v>
      </c>
      <c r="G155" s="25">
        <f t="shared" si="12"/>
        <v>9888.4</v>
      </c>
      <c r="H155" s="81">
        <v>97.9</v>
      </c>
      <c r="I155" s="84">
        <v>9684425</v>
      </c>
      <c r="J155" s="25">
        <f t="shared" si="11"/>
        <v>9684.4</v>
      </c>
      <c r="K155" s="34">
        <v>3000000</v>
      </c>
      <c r="L155" s="34"/>
      <c r="M155" s="34">
        <f>L155+K155</f>
        <v>3000000</v>
      </c>
      <c r="N155" s="35">
        <f t="shared" si="13"/>
        <v>3000</v>
      </c>
      <c r="O155" s="78"/>
      <c r="P155" s="29"/>
      <c r="Q155" s="78"/>
      <c r="R155" s="31"/>
      <c r="S155" s="67"/>
      <c r="T155" s="67"/>
      <c r="U155" s="67"/>
      <c r="V155" s="67"/>
      <c r="W155" s="67"/>
      <c r="X155" s="67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5"/>
      <c r="DN155" s="85"/>
      <c r="DO155" s="85"/>
      <c r="DP155" s="85"/>
      <c r="DQ155" s="85"/>
      <c r="DR155" s="85"/>
      <c r="DS155" s="85"/>
      <c r="DT155" s="85"/>
      <c r="DU155" s="85"/>
      <c r="DV155" s="85"/>
      <c r="DW155" s="85"/>
      <c r="DX155" s="85"/>
      <c r="DY155" s="85"/>
      <c r="DZ155" s="85"/>
      <c r="EA155" s="85"/>
      <c r="EB155" s="85"/>
      <c r="EC155" s="85"/>
      <c r="ED155" s="85"/>
      <c r="EE155" s="85"/>
      <c r="EF155" s="85"/>
      <c r="EG155" s="85"/>
      <c r="EH155" s="85"/>
      <c r="EI155" s="85"/>
      <c r="EJ155" s="85"/>
      <c r="EK155" s="85"/>
      <c r="EL155" s="85"/>
      <c r="EM155" s="85"/>
      <c r="EN155" s="85"/>
      <c r="EO155" s="85"/>
      <c r="EP155" s="85"/>
      <c r="EQ155" s="85"/>
      <c r="ER155" s="85"/>
      <c r="ES155" s="85"/>
      <c r="ET155" s="85"/>
      <c r="EU155" s="85"/>
    </row>
    <row r="156" spans="1:151" ht="29.25" customHeight="1">
      <c r="A156" s="82"/>
      <c r="B156" s="82"/>
      <c r="C156" s="82"/>
      <c r="D156" s="86" t="s">
        <v>145</v>
      </c>
      <c r="E156" s="86" t="s">
        <v>145</v>
      </c>
      <c r="F156" s="84">
        <v>2186292</v>
      </c>
      <c r="G156" s="25">
        <f t="shared" si="12"/>
        <v>2186.3</v>
      </c>
      <c r="H156" s="25">
        <v>20.23</v>
      </c>
      <c r="I156" s="84">
        <v>442271</v>
      </c>
      <c r="J156" s="25">
        <f t="shared" si="11"/>
        <v>442.3</v>
      </c>
      <c r="K156" s="34">
        <v>400000</v>
      </c>
      <c r="L156" s="34"/>
      <c r="M156" s="34">
        <f>L156+K156</f>
        <v>400000</v>
      </c>
      <c r="N156" s="35">
        <f t="shared" si="13"/>
        <v>400</v>
      </c>
      <c r="O156" s="78"/>
      <c r="P156" s="29"/>
      <c r="Q156" s="78"/>
      <c r="R156" s="31"/>
      <c r="S156" s="87"/>
      <c r="T156" s="87"/>
      <c r="U156" s="87"/>
      <c r="V156" s="67"/>
      <c r="W156" s="67"/>
      <c r="X156" s="67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5"/>
      <c r="DO156" s="85"/>
      <c r="DP156" s="85"/>
      <c r="DQ156" s="85"/>
      <c r="DR156" s="85"/>
      <c r="DS156" s="85"/>
      <c r="DT156" s="85"/>
      <c r="DU156" s="85"/>
      <c r="DV156" s="85"/>
      <c r="DW156" s="85"/>
      <c r="DX156" s="85"/>
      <c r="DY156" s="85"/>
      <c r="DZ156" s="85"/>
      <c r="EA156" s="85"/>
      <c r="EB156" s="85"/>
      <c r="EC156" s="85"/>
      <c r="ED156" s="85"/>
      <c r="EE156" s="85"/>
      <c r="EF156" s="85"/>
      <c r="EG156" s="85"/>
      <c r="EH156" s="85"/>
      <c r="EI156" s="85"/>
      <c r="EJ156" s="85"/>
      <c r="EK156" s="85"/>
      <c r="EL156" s="85"/>
      <c r="EM156" s="85"/>
      <c r="EN156" s="85"/>
      <c r="EO156" s="85"/>
      <c r="EP156" s="85"/>
      <c r="EQ156" s="85"/>
      <c r="ER156" s="85"/>
      <c r="ES156" s="85"/>
      <c r="ET156" s="85"/>
      <c r="EU156" s="85"/>
    </row>
    <row r="157" spans="1:151" ht="51" customHeight="1">
      <c r="A157" s="82"/>
      <c r="B157" s="82"/>
      <c r="C157" s="82"/>
      <c r="D157" s="86" t="s">
        <v>359</v>
      </c>
      <c r="E157" s="86" t="s">
        <v>359</v>
      </c>
      <c r="F157" s="84"/>
      <c r="G157" s="25">
        <f t="shared" si="12"/>
        <v>0</v>
      </c>
      <c r="H157" s="25"/>
      <c r="I157" s="84"/>
      <c r="J157" s="25">
        <f t="shared" si="11"/>
        <v>0</v>
      </c>
      <c r="K157" s="34">
        <v>50000</v>
      </c>
      <c r="L157" s="34"/>
      <c r="M157" s="34">
        <f>L157+K157</f>
        <v>50000</v>
      </c>
      <c r="N157" s="35">
        <f t="shared" si="13"/>
        <v>50</v>
      </c>
      <c r="O157" s="76"/>
      <c r="P157" s="29"/>
      <c r="Q157" s="78"/>
      <c r="R157" s="31"/>
      <c r="S157" s="87"/>
      <c r="T157" s="87"/>
      <c r="U157" s="87"/>
      <c r="V157" s="67"/>
      <c r="W157" s="67"/>
      <c r="X157" s="67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  <c r="DK157" s="85"/>
      <c r="DL157" s="85"/>
      <c r="DM157" s="85"/>
      <c r="DN157" s="85"/>
      <c r="DO157" s="85"/>
      <c r="DP157" s="85"/>
      <c r="DQ157" s="85"/>
      <c r="DR157" s="85"/>
      <c r="DS157" s="85"/>
      <c r="DT157" s="85"/>
      <c r="DU157" s="85"/>
      <c r="DV157" s="85"/>
      <c r="DW157" s="85"/>
      <c r="DX157" s="85"/>
      <c r="DY157" s="85"/>
      <c r="DZ157" s="85"/>
      <c r="EA157" s="85"/>
      <c r="EB157" s="85"/>
      <c r="EC157" s="85"/>
      <c r="ED157" s="85"/>
      <c r="EE157" s="85"/>
      <c r="EF157" s="85"/>
      <c r="EG157" s="85"/>
      <c r="EH157" s="85"/>
      <c r="EI157" s="85"/>
      <c r="EJ157" s="85"/>
      <c r="EK157" s="85"/>
      <c r="EL157" s="85"/>
      <c r="EM157" s="85"/>
      <c r="EN157" s="85"/>
      <c r="EO157" s="85"/>
      <c r="EP157" s="85"/>
      <c r="EQ157" s="85"/>
      <c r="ER157" s="85"/>
      <c r="ES157" s="85"/>
      <c r="ET157" s="85"/>
      <c r="EU157" s="85"/>
    </row>
    <row r="158" spans="1:24" s="85" customFormat="1" ht="27" customHeight="1">
      <c r="A158" s="82"/>
      <c r="B158" s="82"/>
      <c r="C158" s="82"/>
      <c r="D158" s="86" t="s">
        <v>146</v>
      </c>
      <c r="E158" s="86" t="s">
        <v>146</v>
      </c>
      <c r="F158" s="84">
        <v>41125371</v>
      </c>
      <c r="G158" s="25">
        <f t="shared" si="12"/>
        <v>41125.4</v>
      </c>
      <c r="H158" s="25">
        <v>52.38</v>
      </c>
      <c r="I158" s="84">
        <v>21542607</v>
      </c>
      <c r="J158" s="25">
        <f t="shared" si="11"/>
        <v>21542.6</v>
      </c>
      <c r="K158" s="34">
        <v>2000000</v>
      </c>
      <c r="L158" s="34"/>
      <c r="M158" s="34">
        <f>L158+K158</f>
        <v>2000000</v>
      </c>
      <c r="N158" s="35">
        <f t="shared" si="13"/>
        <v>2000</v>
      </c>
      <c r="O158" s="90"/>
      <c r="P158" s="29"/>
      <c r="Q158" s="78"/>
      <c r="R158" s="31"/>
      <c r="S158" s="87"/>
      <c r="T158" s="87"/>
      <c r="U158" s="87"/>
      <c r="V158" s="67"/>
      <c r="W158" s="67"/>
      <c r="X158" s="67"/>
    </row>
    <row r="159" spans="1:24" s="85" customFormat="1" ht="30.75" customHeight="1">
      <c r="A159" s="82"/>
      <c r="B159" s="82"/>
      <c r="C159" s="82"/>
      <c r="D159" s="86" t="s">
        <v>282</v>
      </c>
      <c r="E159" s="86" t="s">
        <v>282</v>
      </c>
      <c r="F159" s="84">
        <v>1681565</v>
      </c>
      <c r="G159" s="25">
        <f t="shared" si="12"/>
        <v>1681.6</v>
      </c>
      <c r="H159" s="25">
        <v>11.6</v>
      </c>
      <c r="I159" s="84">
        <v>194907</v>
      </c>
      <c r="J159" s="25">
        <f t="shared" si="11"/>
        <v>194.9</v>
      </c>
      <c r="K159" s="34">
        <v>8500</v>
      </c>
      <c r="L159" s="34"/>
      <c r="M159" s="34">
        <f>L159+K159</f>
        <v>8500</v>
      </c>
      <c r="N159" s="35">
        <f t="shared" si="13"/>
        <v>8.5</v>
      </c>
      <c r="O159" s="77"/>
      <c r="P159" s="29"/>
      <c r="Q159" s="78"/>
      <c r="R159" s="31"/>
      <c r="S159" s="87"/>
      <c r="T159" s="87"/>
      <c r="U159" s="87"/>
      <c r="V159" s="67"/>
      <c r="W159" s="67"/>
      <c r="X159" s="67"/>
    </row>
    <row r="160" spans="1:151" s="36" customFormat="1" ht="21.75" customHeight="1">
      <c r="A160" s="81"/>
      <c r="B160" s="82"/>
      <c r="C160" s="82"/>
      <c r="D160" s="1" t="s">
        <v>147</v>
      </c>
      <c r="E160" s="1" t="s">
        <v>147</v>
      </c>
      <c r="F160" s="88"/>
      <c r="G160" s="25">
        <f t="shared" si="12"/>
        <v>0</v>
      </c>
      <c r="H160" s="79"/>
      <c r="I160" s="84"/>
      <c r="J160" s="25">
        <f t="shared" si="11"/>
        <v>0</v>
      </c>
      <c r="K160" s="26">
        <f>SUM(K161:K171)</f>
        <v>4142500</v>
      </c>
      <c r="L160" s="26">
        <f>SUM(L161:L171)</f>
        <v>0</v>
      </c>
      <c r="M160" s="26">
        <f>SUM(M161:M171)</f>
        <v>4142500</v>
      </c>
      <c r="N160" s="27">
        <f>SUM(N161:N171)</f>
        <v>4142.5</v>
      </c>
      <c r="O160" s="78"/>
      <c r="P160" s="29"/>
      <c r="Q160" s="78"/>
      <c r="R160" s="31"/>
      <c r="S160" s="87"/>
      <c r="T160" s="87"/>
      <c r="U160" s="87"/>
      <c r="V160" s="67"/>
      <c r="W160" s="67"/>
      <c r="X160" s="67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  <c r="CN160" s="68"/>
      <c r="CO160" s="68"/>
      <c r="CP160" s="68"/>
      <c r="CQ160" s="68"/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8"/>
      <c r="DE160" s="68"/>
      <c r="DF160" s="68"/>
      <c r="DG160" s="68"/>
      <c r="DH160" s="68"/>
      <c r="DI160" s="68"/>
      <c r="DJ160" s="68"/>
      <c r="DK160" s="68"/>
      <c r="DL160" s="68"/>
      <c r="DM160" s="68"/>
      <c r="DN160" s="68"/>
      <c r="DO160" s="68"/>
      <c r="DP160" s="68"/>
      <c r="DQ160" s="68"/>
      <c r="DR160" s="68"/>
      <c r="DS160" s="68"/>
      <c r="DT160" s="68"/>
      <c r="DU160" s="68"/>
      <c r="DV160" s="68"/>
      <c r="DW160" s="68"/>
      <c r="DX160" s="68"/>
      <c r="DY160" s="68"/>
      <c r="DZ160" s="68"/>
      <c r="EA160" s="68"/>
      <c r="EB160" s="68"/>
      <c r="EC160" s="68"/>
      <c r="ED160" s="68"/>
      <c r="EE160" s="68"/>
      <c r="EF160" s="68"/>
      <c r="EG160" s="68"/>
      <c r="EH160" s="68"/>
      <c r="EI160" s="68"/>
      <c r="EJ160" s="68"/>
      <c r="EK160" s="68"/>
      <c r="EL160" s="68"/>
      <c r="EM160" s="68"/>
      <c r="EN160" s="68"/>
      <c r="EO160" s="68"/>
      <c r="EP160" s="68"/>
      <c r="EQ160" s="68"/>
      <c r="ER160" s="68"/>
      <c r="ES160" s="68"/>
      <c r="ET160" s="68"/>
      <c r="EU160" s="68"/>
    </row>
    <row r="161" spans="1:24" s="85" customFormat="1" ht="30.75" customHeight="1">
      <c r="A161" s="82"/>
      <c r="B161" s="82"/>
      <c r="C161" s="82"/>
      <c r="D161" s="86" t="s">
        <v>384</v>
      </c>
      <c r="E161" s="86" t="s">
        <v>384</v>
      </c>
      <c r="F161" s="89"/>
      <c r="G161" s="25">
        <f t="shared" si="12"/>
        <v>0</v>
      </c>
      <c r="H161" s="25"/>
      <c r="I161" s="84"/>
      <c r="J161" s="25">
        <f t="shared" si="11"/>
        <v>0</v>
      </c>
      <c r="K161" s="34">
        <f>500000-400000</f>
        <v>100000</v>
      </c>
      <c r="L161" s="34"/>
      <c r="M161" s="34">
        <f aca="true" t="shared" si="14" ref="M161:M171">L161+K161</f>
        <v>100000</v>
      </c>
      <c r="N161" s="35">
        <f t="shared" si="13"/>
        <v>100</v>
      </c>
      <c r="O161" s="78"/>
      <c r="P161" s="29"/>
      <c r="Q161" s="78"/>
      <c r="R161" s="31"/>
      <c r="S161" s="67"/>
      <c r="T161" s="67"/>
      <c r="U161" s="67"/>
      <c r="V161" s="67"/>
      <c r="W161" s="67"/>
      <c r="X161" s="67"/>
    </row>
    <row r="162" spans="1:24" s="85" customFormat="1" ht="24.75" customHeight="1">
      <c r="A162" s="82"/>
      <c r="B162" s="82"/>
      <c r="C162" s="82"/>
      <c r="D162" s="86" t="s">
        <v>148</v>
      </c>
      <c r="E162" s="86" t="s">
        <v>148</v>
      </c>
      <c r="F162" s="84">
        <v>16481572</v>
      </c>
      <c r="G162" s="25">
        <f t="shared" si="12"/>
        <v>16481.6</v>
      </c>
      <c r="H162" s="25">
        <v>81.3</v>
      </c>
      <c r="I162" s="84">
        <v>13394899</v>
      </c>
      <c r="J162" s="25">
        <f t="shared" si="11"/>
        <v>13394.9</v>
      </c>
      <c r="K162" s="34">
        <v>2000000</v>
      </c>
      <c r="L162" s="34"/>
      <c r="M162" s="34">
        <f t="shared" si="14"/>
        <v>2000000</v>
      </c>
      <c r="N162" s="35">
        <f t="shared" si="13"/>
        <v>2000</v>
      </c>
      <c r="O162" s="78"/>
      <c r="P162" s="29"/>
      <c r="Q162" s="78"/>
      <c r="R162" s="31"/>
      <c r="S162" s="87"/>
      <c r="T162" s="87"/>
      <c r="U162" s="87"/>
      <c r="V162" s="67"/>
      <c r="W162" s="67"/>
      <c r="X162" s="67"/>
    </row>
    <row r="163" spans="1:24" s="85" customFormat="1" ht="29.25" customHeight="1">
      <c r="A163" s="82"/>
      <c r="B163" s="82"/>
      <c r="C163" s="82"/>
      <c r="D163" s="58" t="s">
        <v>149</v>
      </c>
      <c r="E163" s="58" t="s">
        <v>149</v>
      </c>
      <c r="F163" s="89"/>
      <c r="G163" s="25">
        <f t="shared" si="12"/>
        <v>0</v>
      </c>
      <c r="H163" s="25"/>
      <c r="I163" s="84"/>
      <c r="J163" s="25">
        <f t="shared" si="11"/>
        <v>0</v>
      </c>
      <c r="K163" s="34">
        <v>500000</v>
      </c>
      <c r="L163" s="34"/>
      <c r="M163" s="34">
        <f t="shared" si="14"/>
        <v>500000</v>
      </c>
      <c r="N163" s="35">
        <f t="shared" si="13"/>
        <v>500</v>
      </c>
      <c r="O163" s="77"/>
      <c r="P163" s="29"/>
      <c r="Q163" s="78"/>
      <c r="R163" s="31"/>
      <c r="S163" s="87"/>
      <c r="T163" s="87"/>
      <c r="U163" s="87"/>
      <c r="V163" s="67"/>
      <c r="W163" s="67"/>
      <c r="X163" s="67"/>
    </row>
    <row r="164" spans="1:24" s="85" customFormat="1" ht="27.75" customHeight="1">
      <c r="A164" s="82"/>
      <c r="B164" s="82"/>
      <c r="C164" s="82"/>
      <c r="D164" s="58" t="s">
        <v>150</v>
      </c>
      <c r="E164" s="58" t="s">
        <v>150</v>
      </c>
      <c r="F164" s="89"/>
      <c r="G164" s="25">
        <f t="shared" si="12"/>
        <v>0</v>
      </c>
      <c r="H164" s="25"/>
      <c r="I164" s="84"/>
      <c r="J164" s="25">
        <f t="shared" si="11"/>
        <v>0</v>
      </c>
      <c r="K164" s="34">
        <v>500000</v>
      </c>
      <c r="L164" s="34"/>
      <c r="M164" s="34">
        <f t="shared" si="14"/>
        <v>500000</v>
      </c>
      <c r="N164" s="35">
        <f t="shared" si="13"/>
        <v>500</v>
      </c>
      <c r="O164" s="77"/>
      <c r="P164" s="29"/>
      <c r="Q164" s="78"/>
      <c r="R164" s="31"/>
      <c r="S164" s="87"/>
      <c r="T164" s="87"/>
      <c r="U164" s="87"/>
      <c r="V164" s="67"/>
      <c r="W164" s="67"/>
      <c r="X164" s="67"/>
    </row>
    <row r="165" spans="1:24" s="85" customFormat="1" ht="23.25" customHeight="1">
      <c r="A165" s="82"/>
      <c r="B165" s="82"/>
      <c r="C165" s="82"/>
      <c r="D165" s="58" t="s">
        <v>151</v>
      </c>
      <c r="E165" s="58" t="s">
        <v>151</v>
      </c>
      <c r="F165" s="89"/>
      <c r="G165" s="25">
        <f t="shared" si="12"/>
        <v>0</v>
      </c>
      <c r="H165" s="25"/>
      <c r="I165" s="84"/>
      <c r="J165" s="25">
        <f t="shared" si="11"/>
        <v>0</v>
      </c>
      <c r="K165" s="34">
        <v>500000</v>
      </c>
      <c r="L165" s="34"/>
      <c r="M165" s="34">
        <f t="shared" si="14"/>
        <v>500000</v>
      </c>
      <c r="N165" s="35">
        <f t="shared" si="13"/>
        <v>500</v>
      </c>
      <c r="O165" s="77"/>
      <c r="P165" s="29"/>
      <c r="Q165" s="76"/>
      <c r="R165" s="31"/>
      <c r="S165" s="87"/>
      <c r="T165" s="87"/>
      <c r="U165" s="87"/>
      <c r="V165" s="67"/>
      <c r="W165" s="67"/>
      <c r="X165" s="67"/>
    </row>
    <row r="166" spans="1:24" s="85" customFormat="1" ht="24" customHeight="1">
      <c r="A166" s="82"/>
      <c r="B166" s="82"/>
      <c r="C166" s="82"/>
      <c r="D166" s="58" t="s">
        <v>152</v>
      </c>
      <c r="E166" s="58" t="s">
        <v>152</v>
      </c>
      <c r="F166" s="89"/>
      <c r="G166" s="25">
        <f t="shared" si="12"/>
        <v>0</v>
      </c>
      <c r="H166" s="25"/>
      <c r="I166" s="84"/>
      <c r="J166" s="25">
        <f t="shared" si="11"/>
        <v>0</v>
      </c>
      <c r="K166" s="34">
        <v>500000</v>
      </c>
      <c r="L166" s="34"/>
      <c r="M166" s="34">
        <f t="shared" si="14"/>
        <v>500000</v>
      </c>
      <c r="N166" s="35">
        <f t="shared" si="13"/>
        <v>500</v>
      </c>
      <c r="O166" s="77"/>
      <c r="P166" s="29"/>
      <c r="Q166" s="90"/>
      <c r="R166" s="31"/>
      <c r="S166" s="87"/>
      <c r="T166" s="87"/>
      <c r="U166" s="87"/>
      <c r="V166" s="67"/>
      <c r="W166" s="67"/>
      <c r="X166" s="67"/>
    </row>
    <row r="167" spans="1:24" s="85" customFormat="1" ht="24" customHeight="1">
      <c r="A167" s="82"/>
      <c r="B167" s="82"/>
      <c r="C167" s="82"/>
      <c r="D167" s="58" t="s">
        <v>283</v>
      </c>
      <c r="E167" s="58" t="s">
        <v>283</v>
      </c>
      <c r="F167" s="89"/>
      <c r="G167" s="25">
        <f t="shared" si="12"/>
        <v>0</v>
      </c>
      <c r="H167" s="25"/>
      <c r="I167" s="84"/>
      <c r="J167" s="25">
        <f t="shared" si="11"/>
        <v>0</v>
      </c>
      <c r="K167" s="34">
        <v>8500</v>
      </c>
      <c r="L167" s="34"/>
      <c r="M167" s="34">
        <f t="shared" si="14"/>
        <v>8500</v>
      </c>
      <c r="N167" s="35">
        <f t="shared" si="13"/>
        <v>8.5</v>
      </c>
      <c r="O167" s="78"/>
      <c r="P167" s="29"/>
      <c r="Q167" s="77"/>
      <c r="R167" s="31"/>
      <c r="S167" s="87"/>
      <c r="T167" s="87"/>
      <c r="U167" s="87"/>
      <c r="V167" s="67"/>
      <c r="W167" s="67"/>
      <c r="X167" s="67"/>
    </row>
    <row r="168" spans="1:24" s="85" customFormat="1" ht="24" customHeight="1">
      <c r="A168" s="82"/>
      <c r="B168" s="82"/>
      <c r="C168" s="82"/>
      <c r="D168" s="58" t="s">
        <v>284</v>
      </c>
      <c r="E168" s="58" t="s">
        <v>284</v>
      </c>
      <c r="F168" s="89"/>
      <c r="G168" s="25">
        <f t="shared" si="12"/>
        <v>0</v>
      </c>
      <c r="H168" s="25"/>
      <c r="I168" s="84"/>
      <c r="J168" s="25">
        <f t="shared" si="11"/>
        <v>0</v>
      </c>
      <c r="K168" s="34">
        <v>8500</v>
      </c>
      <c r="L168" s="34"/>
      <c r="M168" s="34">
        <f t="shared" si="14"/>
        <v>8500</v>
      </c>
      <c r="N168" s="35">
        <f t="shared" si="13"/>
        <v>8.5</v>
      </c>
      <c r="O168" s="78"/>
      <c r="P168" s="29"/>
      <c r="Q168" s="78"/>
      <c r="R168" s="31"/>
      <c r="S168" s="87"/>
      <c r="T168" s="87"/>
      <c r="U168" s="87"/>
      <c r="V168" s="67"/>
      <c r="W168" s="67"/>
      <c r="X168" s="67"/>
    </row>
    <row r="169" spans="1:24" s="85" customFormat="1" ht="24" customHeight="1">
      <c r="A169" s="82"/>
      <c r="B169" s="82"/>
      <c r="C169" s="82"/>
      <c r="D169" s="58" t="s">
        <v>285</v>
      </c>
      <c r="E169" s="58" t="s">
        <v>285</v>
      </c>
      <c r="F169" s="89"/>
      <c r="G169" s="25">
        <f t="shared" si="12"/>
        <v>0</v>
      </c>
      <c r="H169" s="25"/>
      <c r="I169" s="84"/>
      <c r="J169" s="25">
        <f t="shared" si="11"/>
        <v>0</v>
      </c>
      <c r="K169" s="34">
        <v>8500</v>
      </c>
      <c r="L169" s="34"/>
      <c r="M169" s="34">
        <f t="shared" si="14"/>
        <v>8500</v>
      </c>
      <c r="N169" s="35">
        <f t="shared" si="13"/>
        <v>8.5</v>
      </c>
      <c r="O169" s="78"/>
      <c r="P169" s="29"/>
      <c r="Q169" s="78"/>
      <c r="R169" s="31"/>
      <c r="S169" s="87"/>
      <c r="T169" s="87"/>
      <c r="U169" s="87"/>
      <c r="V169" s="67"/>
      <c r="W169" s="67"/>
      <c r="X169" s="67"/>
    </row>
    <row r="170" spans="1:24" s="85" customFormat="1" ht="29.25" customHeight="1">
      <c r="A170" s="82"/>
      <c r="B170" s="82"/>
      <c r="C170" s="82"/>
      <c r="D170" s="58" t="s">
        <v>286</v>
      </c>
      <c r="E170" s="58" t="s">
        <v>286</v>
      </c>
      <c r="F170" s="89"/>
      <c r="G170" s="25">
        <f t="shared" si="12"/>
        <v>0</v>
      </c>
      <c r="H170" s="25"/>
      <c r="I170" s="84"/>
      <c r="J170" s="25">
        <f t="shared" si="11"/>
        <v>0</v>
      </c>
      <c r="K170" s="34">
        <v>8500</v>
      </c>
      <c r="L170" s="34"/>
      <c r="M170" s="34">
        <f t="shared" si="14"/>
        <v>8500</v>
      </c>
      <c r="N170" s="35">
        <f t="shared" si="13"/>
        <v>8.5</v>
      </c>
      <c r="O170" s="78"/>
      <c r="P170" s="29"/>
      <c r="Q170" s="78"/>
      <c r="R170" s="31"/>
      <c r="S170" s="87"/>
      <c r="T170" s="87"/>
      <c r="U170" s="87"/>
      <c r="V170" s="67"/>
      <c r="W170" s="67"/>
      <c r="X170" s="67"/>
    </row>
    <row r="171" spans="1:24" s="85" customFormat="1" ht="30.75" customHeight="1">
      <c r="A171" s="82"/>
      <c r="B171" s="82"/>
      <c r="C171" s="82"/>
      <c r="D171" s="58" t="s">
        <v>287</v>
      </c>
      <c r="E171" s="58" t="s">
        <v>287</v>
      </c>
      <c r="F171" s="89"/>
      <c r="G171" s="25">
        <f t="shared" si="12"/>
        <v>0</v>
      </c>
      <c r="H171" s="25"/>
      <c r="I171" s="84"/>
      <c r="J171" s="25">
        <f t="shared" si="11"/>
        <v>0</v>
      </c>
      <c r="K171" s="34">
        <v>8500</v>
      </c>
      <c r="L171" s="34"/>
      <c r="M171" s="34">
        <f t="shared" si="14"/>
        <v>8500</v>
      </c>
      <c r="N171" s="35">
        <f t="shared" si="13"/>
        <v>8.5</v>
      </c>
      <c r="O171" s="78"/>
      <c r="P171" s="29"/>
      <c r="Q171" s="77"/>
      <c r="R171" s="31"/>
      <c r="S171" s="87"/>
      <c r="T171" s="87"/>
      <c r="U171" s="87"/>
      <c r="V171" s="67"/>
      <c r="W171" s="67"/>
      <c r="X171" s="67"/>
    </row>
    <row r="172" spans="1:151" s="28" customFormat="1" ht="28.5" customHeight="1">
      <c r="A172" s="16">
        <v>1517320</v>
      </c>
      <c r="B172" s="32" t="s">
        <v>139</v>
      </c>
      <c r="C172" s="32"/>
      <c r="D172" s="1" t="s">
        <v>421</v>
      </c>
      <c r="E172" s="1"/>
      <c r="F172" s="88"/>
      <c r="G172" s="25">
        <f t="shared" si="12"/>
        <v>0</v>
      </c>
      <c r="H172" s="79"/>
      <c r="I172" s="84"/>
      <c r="J172" s="25">
        <f t="shared" si="11"/>
        <v>0</v>
      </c>
      <c r="K172" s="26">
        <f>K173+K190+K198</f>
        <v>20027755</v>
      </c>
      <c r="L172" s="26">
        <f>L173+L190+L198</f>
        <v>0</v>
      </c>
      <c r="M172" s="26">
        <f>M173+M190+M198</f>
        <v>20027755</v>
      </c>
      <c r="N172" s="27">
        <f>N173+N190+N198</f>
        <v>19231.7</v>
      </c>
      <c r="O172" s="78"/>
      <c r="P172" s="29"/>
      <c r="Q172" s="77"/>
      <c r="R172" s="31"/>
      <c r="S172" s="87"/>
      <c r="T172" s="87"/>
      <c r="U172" s="87"/>
      <c r="V172" s="67"/>
      <c r="W172" s="67"/>
      <c r="X172" s="67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  <c r="CB172" s="80"/>
      <c r="CC172" s="80"/>
      <c r="CD172" s="80"/>
      <c r="CE172" s="80"/>
      <c r="CF172" s="80"/>
      <c r="CG172" s="80"/>
      <c r="CH172" s="80"/>
      <c r="CI172" s="80"/>
      <c r="CJ172" s="80"/>
      <c r="CK172" s="80"/>
      <c r="CL172" s="80"/>
      <c r="CM172" s="80"/>
      <c r="CN172" s="80"/>
      <c r="CO172" s="80"/>
      <c r="CP172" s="80"/>
      <c r="CQ172" s="80"/>
      <c r="CR172" s="80"/>
      <c r="CS172" s="80"/>
      <c r="CT172" s="80"/>
      <c r="CU172" s="80"/>
      <c r="CV172" s="80"/>
      <c r="CW172" s="80"/>
      <c r="CX172" s="80"/>
      <c r="CY172" s="80"/>
      <c r="CZ172" s="80"/>
      <c r="DA172" s="80"/>
      <c r="DB172" s="80"/>
      <c r="DC172" s="80"/>
      <c r="DD172" s="80"/>
      <c r="DE172" s="80"/>
      <c r="DF172" s="80"/>
      <c r="DG172" s="80"/>
      <c r="DH172" s="80"/>
      <c r="DI172" s="80"/>
      <c r="DJ172" s="80"/>
      <c r="DK172" s="80"/>
      <c r="DL172" s="80"/>
      <c r="DM172" s="80"/>
      <c r="DN172" s="80"/>
      <c r="DO172" s="80"/>
      <c r="DP172" s="80"/>
      <c r="DQ172" s="80"/>
      <c r="DR172" s="80"/>
      <c r="DS172" s="80"/>
      <c r="DT172" s="80"/>
      <c r="DU172" s="80"/>
      <c r="DV172" s="80"/>
      <c r="DW172" s="80"/>
      <c r="DX172" s="80"/>
      <c r="DY172" s="80"/>
      <c r="DZ172" s="80"/>
      <c r="EA172" s="80"/>
      <c r="EB172" s="80"/>
      <c r="EC172" s="80"/>
      <c r="ED172" s="80"/>
      <c r="EE172" s="80"/>
      <c r="EF172" s="80"/>
      <c r="EG172" s="80"/>
      <c r="EH172" s="80"/>
      <c r="EI172" s="80"/>
      <c r="EJ172" s="80"/>
      <c r="EK172" s="80"/>
      <c r="EL172" s="80"/>
      <c r="EM172" s="80"/>
      <c r="EN172" s="80"/>
      <c r="EO172" s="80"/>
      <c r="EP172" s="80"/>
      <c r="EQ172" s="80"/>
      <c r="ER172" s="80"/>
      <c r="ES172" s="80"/>
      <c r="ET172" s="80"/>
      <c r="EU172" s="80"/>
    </row>
    <row r="173" spans="1:151" s="98" customFormat="1" ht="31.5" customHeight="1">
      <c r="A173" s="91">
        <v>1517321</v>
      </c>
      <c r="B173" s="39" t="s">
        <v>140</v>
      </c>
      <c r="C173" s="39" t="s">
        <v>52</v>
      </c>
      <c r="D173" s="92" t="s">
        <v>422</v>
      </c>
      <c r="E173" s="93"/>
      <c r="F173" s="94"/>
      <c r="G173" s="25">
        <f t="shared" si="12"/>
        <v>0</v>
      </c>
      <c r="H173" s="95"/>
      <c r="I173" s="84"/>
      <c r="J173" s="25">
        <f t="shared" si="11"/>
        <v>0</v>
      </c>
      <c r="K173" s="95">
        <f>K174+K178</f>
        <v>6080755</v>
      </c>
      <c r="L173" s="95">
        <f>L174+L178</f>
        <v>0</v>
      </c>
      <c r="M173" s="95">
        <f>M174+M178</f>
        <v>6080755</v>
      </c>
      <c r="N173" s="96">
        <f>N174+N178</f>
        <v>6110.700000000001</v>
      </c>
      <c r="O173" s="78"/>
      <c r="P173" s="29"/>
      <c r="Q173" s="77"/>
      <c r="R173" s="31"/>
      <c r="S173" s="83"/>
      <c r="T173" s="83"/>
      <c r="U173" s="83"/>
      <c r="V173" s="67"/>
      <c r="W173" s="67"/>
      <c r="X173" s="6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/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/>
      <c r="CI173" s="97"/>
      <c r="CJ173" s="97"/>
      <c r="CK173" s="97"/>
      <c r="CL173" s="97"/>
      <c r="CM173" s="97"/>
      <c r="CN173" s="97"/>
      <c r="CO173" s="97"/>
      <c r="CP173" s="97"/>
      <c r="CQ173" s="97"/>
      <c r="CR173" s="97"/>
      <c r="CS173" s="97"/>
      <c r="CT173" s="97"/>
      <c r="CU173" s="97"/>
      <c r="CV173" s="97"/>
      <c r="CW173" s="97"/>
      <c r="CX173" s="97"/>
      <c r="CY173" s="97"/>
      <c r="CZ173" s="97"/>
      <c r="DA173" s="97"/>
      <c r="DB173" s="97"/>
      <c r="DC173" s="97"/>
      <c r="DD173" s="97"/>
      <c r="DE173" s="97"/>
      <c r="DF173" s="97"/>
      <c r="DG173" s="97"/>
      <c r="DH173" s="97"/>
      <c r="DI173" s="97"/>
      <c r="DJ173" s="97"/>
      <c r="DK173" s="97"/>
      <c r="DL173" s="97"/>
      <c r="DM173" s="97"/>
      <c r="DN173" s="97"/>
      <c r="DO173" s="97"/>
      <c r="DP173" s="97"/>
      <c r="DQ173" s="97"/>
      <c r="DR173" s="97"/>
      <c r="DS173" s="97"/>
      <c r="DT173" s="97"/>
      <c r="DU173" s="97"/>
      <c r="DV173" s="97"/>
      <c r="DW173" s="97"/>
      <c r="DX173" s="97"/>
      <c r="DY173" s="97"/>
      <c r="DZ173" s="97"/>
      <c r="EA173" s="97"/>
      <c r="EB173" s="97"/>
      <c r="EC173" s="97"/>
      <c r="ED173" s="97"/>
      <c r="EE173" s="97"/>
      <c r="EF173" s="97"/>
      <c r="EG173" s="97"/>
      <c r="EH173" s="97"/>
      <c r="EI173" s="97"/>
      <c r="EJ173" s="97"/>
      <c r="EK173" s="97"/>
      <c r="EL173" s="97"/>
      <c r="EM173" s="97"/>
      <c r="EN173" s="97"/>
      <c r="EO173" s="97"/>
      <c r="EP173" s="97"/>
      <c r="EQ173" s="97"/>
      <c r="ER173" s="97"/>
      <c r="ES173" s="97"/>
      <c r="ET173" s="97"/>
      <c r="EU173" s="97"/>
    </row>
    <row r="174" spans="1:151" s="36" customFormat="1" ht="27" customHeight="1">
      <c r="A174" s="81"/>
      <c r="B174" s="82"/>
      <c r="C174" s="82"/>
      <c r="D174" s="72" t="s">
        <v>143</v>
      </c>
      <c r="E174" s="72" t="s">
        <v>143</v>
      </c>
      <c r="F174" s="88"/>
      <c r="G174" s="25">
        <f t="shared" si="12"/>
        <v>0</v>
      </c>
      <c r="H174" s="79"/>
      <c r="I174" s="84"/>
      <c r="J174" s="25">
        <f t="shared" si="11"/>
        <v>0</v>
      </c>
      <c r="K174" s="26">
        <f>SUM(K175:K177)</f>
        <v>1296400</v>
      </c>
      <c r="L174" s="26">
        <f>SUM(L175:L177)</f>
        <v>0</v>
      </c>
      <c r="M174" s="26">
        <f>SUM(M175:M177)</f>
        <v>1296400</v>
      </c>
      <c r="N174" s="27">
        <f>SUM(N175:N177)</f>
        <v>1296.4</v>
      </c>
      <c r="O174" s="78"/>
      <c r="P174" s="29"/>
      <c r="Q174" s="77"/>
      <c r="R174" s="31"/>
      <c r="S174" s="99"/>
      <c r="T174" s="99"/>
      <c r="U174" s="99"/>
      <c r="V174" s="67"/>
      <c r="W174" s="67"/>
      <c r="X174" s="67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68"/>
      <c r="CF174" s="68"/>
      <c r="CG174" s="68"/>
      <c r="CH174" s="68"/>
      <c r="CI174" s="68"/>
      <c r="CJ174" s="68"/>
      <c r="CK174" s="68"/>
      <c r="CL174" s="68"/>
      <c r="CM174" s="68"/>
      <c r="CN174" s="68"/>
      <c r="CO174" s="68"/>
      <c r="CP174" s="68"/>
      <c r="CQ174" s="68"/>
      <c r="CR174" s="68"/>
      <c r="CS174" s="68"/>
      <c r="CT174" s="68"/>
      <c r="CU174" s="68"/>
      <c r="CV174" s="68"/>
      <c r="CW174" s="68"/>
      <c r="CX174" s="68"/>
      <c r="CY174" s="68"/>
      <c r="CZ174" s="68"/>
      <c r="DA174" s="68"/>
      <c r="DB174" s="68"/>
      <c r="DC174" s="68"/>
      <c r="DD174" s="68"/>
      <c r="DE174" s="68"/>
      <c r="DF174" s="68"/>
      <c r="DG174" s="68"/>
      <c r="DH174" s="68"/>
      <c r="DI174" s="68"/>
      <c r="DJ174" s="68"/>
      <c r="DK174" s="68"/>
      <c r="DL174" s="68"/>
      <c r="DM174" s="68"/>
      <c r="DN174" s="68"/>
      <c r="DO174" s="68"/>
      <c r="DP174" s="68"/>
      <c r="DQ174" s="68"/>
      <c r="DR174" s="68"/>
      <c r="DS174" s="68"/>
      <c r="DT174" s="68"/>
      <c r="DU174" s="68"/>
      <c r="DV174" s="68"/>
      <c r="DW174" s="68"/>
      <c r="DX174" s="68"/>
      <c r="DY174" s="68"/>
      <c r="DZ174" s="68"/>
      <c r="EA174" s="68"/>
      <c r="EB174" s="68"/>
      <c r="EC174" s="68"/>
      <c r="ED174" s="68"/>
      <c r="EE174" s="68"/>
      <c r="EF174" s="68"/>
      <c r="EG174" s="68"/>
      <c r="EH174" s="68"/>
      <c r="EI174" s="68"/>
      <c r="EJ174" s="68"/>
      <c r="EK174" s="68"/>
      <c r="EL174" s="68"/>
      <c r="EM174" s="68"/>
      <c r="EN174" s="68"/>
      <c r="EO174" s="68"/>
      <c r="EP174" s="68"/>
      <c r="EQ174" s="68"/>
      <c r="ER174" s="68"/>
      <c r="ES174" s="68"/>
      <c r="ET174" s="68"/>
      <c r="EU174" s="68"/>
    </row>
    <row r="175" spans="1:151" ht="27.75" customHeight="1">
      <c r="A175" s="81"/>
      <c r="B175" s="81"/>
      <c r="C175" s="81"/>
      <c r="D175" s="86" t="s">
        <v>153</v>
      </c>
      <c r="E175" s="86" t="s">
        <v>153</v>
      </c>
      <c r="F175" s="100"/>
      <c r="G175" s="25">
        <f t="shared" si="12"/>
        <v>0</v>
      </c>
      <c r="H175" s="81"/>
      <c r="I175" s="84"/>
      <c r="J175" s="25">
        <f t="shared" si="11"/>
        <v>0</v>
      </c>
      <c r="K175" s="34">
        <f>500000+7000000-3050000-3500000</f>
        <v>950000</v>
      </c>
      <c r="L175" s="34"/>
      <c r="M175" s="34">
        <f>L175+K175</f>
        <v>950000</v>
      </c>
      <c r="N175" s="35">
        <f t="shared" si="13"/>
        <v>950</v>
      </c>
      <c r="O175" s="102"/>
      <c r="P175" s="29"/>
      <c r="Q175" s="78"/>
      <c r="R175" s="31"/>
      <c r="S175" s="67"/>
      <c r="T175" s="67"/>
      <c r="U175" s="67"/>
      <c r="V175" s="67"/>
      <c r="W175" s="67"/>
      <c r="X175" s="67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  <c r="DK175" s="85"/>
      <c r="DL175" s="85"/>
      <c r="DM175" s="85"/>
      <c r="DN175" s="85"/>
      <c r="DO175" s="85"/>
      <c r="DP175" s="85"/>
      <c r="DQ175" s="85"/>
      <c r="DR175" s="85"/>
      <c r="DS175" s="85"/>
      <c r="DT175" s="85"/>
      <c r="DU175" s="85"/>
      <c r="DV175" s="85"/>
      <c r="DW175" s="85"/>
      <c r="DX175" s="85"/>
      <c r="DY175" s="85"/>
      <c r="DZ175" s="85"/>
      <c r="EA175" s="85"/>
      <c r="EB175" s="85"/>
      <c r="EC175" s="85"/>
      <c r="ED175" s="85"/>
      <c r="EE175" s="85"/>
      <c r="EF175" s="85"/>
      <c r="EG175" s="85"/>
      <c r="EH175" s="85"/>
      <c r="EI175" s="85"/>
      <c r="EJ175" s="85"/>
      <c r="EK175" s="85"/>
      <c r="EL175" s="85"/>
      <c r="EM175" s="85"/>
      <c r="EN175" s="85"/>
      <c r="EO175" s="85"/>
      <c r="EP175" s="85"/>
      <c r="EQ175" s="85"/>
      <c r="ER175" s="85"/>
      <c r="ES175" s="85"/>
      <c r="ET175" s="85"/>
      <c r="EU175" s="85"/>
    </row>
    <row r="176" spans="1:24" s="85" customFormat="1" ht="29.25" customHeight="1">
      <c r="A176" s="82"/>
      <c r="B176" s="82"/>
      <c r="C176" s="82"/>
      <c r="D176" s="86" t="s">
        <v>154</v>
      </c>
      <c r="E176" s="86" t="s">
        <v>154</v>
      </c>
      <c r="F176" s="84"/>
      <c r="G176" s="25">
        <f t="shared" si="12"/>
        <v>0</v>
      </c>
      <c r="H176" s="25"/>
      <c r="I176" s="84"/>
      <c r="J176" s="25">
        <f t="shared" si="11"/>
        <v>0</v>
      </c>
      <c r="K176" s="34">
        <f>250000-3600</f>
        <v>246400</v>
      </c>
      <c r="L176" s="34"/>
      <c r="M176" s="34">
        <f aca="true" t="shared" si="15" ref="M176:M275">L176+K176</f>
        <v>246400</v>
      </c>
      <c r="N176" s="35">
        <f t="shared" si="13"/>
        <v>246.4</v>
      </c>
      <c r="O176" s="77"/>
      <c r="P176" s="29"/>
      <c r="Q176" s="78"/>
      <c r="R176" s="31"/>
      <c r="S176" s="87"/>
      <c r="T176" s="87"/>
      <c r="U176" s="87"/>
      <c r="V176" s="67"/>
      <c r="W176" s="67"/>
      <c r="X176" s="67"/>
    </row>
    <row r="177" spans="1:24" s="85" customFormat="1" ht="34.5" customHeight="1">
      <c r="A177" s="82"/>
      <c r="B177" s="82"/>
      <c r="C177" s="82"/>
      <c r="D177" s="86" t="s">
        <v>332</v>
      </c>
      <c r="E177" s="86" t="s">
        <v>332</v>
      </c>
      <c r="F177" s="84"/>
      <c r="G177" s="25">
        <f t="shared" si="12"/>
        <v>0</v>
      </c>
      <c r="H177" s="25"/>
      <c r="I177" s="84"/>
      <c r="J177" s="25">
        <f t="shared" si="11"/>
        <v>0</v>
      </c>
      <c r="K177" s="34">
        <v>100000</v>
      </c>
      <c r="L177" s="34"/>
      <c r="M177" s="34">
        <f>L177+K177</f>
        <v>100000</v>
      </c>
      <c r="N177" s="35">
        <f t="shared" si="13"/>
        <v>100</v>
      </c>
      <c r="O177" s="78"/>
      <c r="P177" s="29"/>
      <c r="Q177" s="78"/>
      <c r="R177" s="31"/>
      <c r="S177" s="87"/>
      <c r="T177" s="87"/>
      <c r="U177" s="87"/>
      <c r="V177" s="67"/>
      <c r="W177" s="67"/>
      <c r="X177" s="67"/>
    </row>
    <row r="178" spans="1:151" s="36" customFormat="1" ht="25.5" customHeight="1">
      <c r="A178" s="81"/>
      <c r="B178" s="82"/>
      <c r="C178" s="82"/>
      <c r="D178" s="1" t="s">
        <v>147</v>
      </c>
      <c r="E178" s="1" t="s">
        <v>147</v>
      </c>
      <c r="F178" s="88"/>
      <c r="G178" s="25">
        <f t="shared" si="12"/>
        <v>0</v>
      </c>
      <c r="H178" s="79"/>
      <c r="I178" s="84"/>
      <c r="J178" s="25">
        <f t="shared" si="11"/>
        <v>0</v>
      </c>
      <c r="K178" s="26">
        <f>SUM(K179:K189)</f>
        <v>4784355</v>
      </c>
      <c r="L178" s="26">
        <f>SUM(L179:L189)</f>
        <v>0</v>
      </c>
      <c r="M178" s="26">
        <f>SUM(M179:M189)</f>
        <v>4784355</v>
      </c>
      <c r="N178" s="27">
        <f>SUM(N179:N189)</f>
        <v>4814.3</v>
      </c>
      <c r="O178" s="77"/>
      <c r="P178" s="29"/>
      <c r="Q178" s="78"/>
      <c r="R178" s="31"/>
      <c r="S178" s="87"/>
      <c r="T178" s="87"/>
      <c r="U178" s="87"/>
      <c r="V178" s="67"/>
      <c r="W178" s="67"/>
      <c r="X178" s="67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68"/>
      <c r="CE178" s="68"/>
      <c r="CF178" s="68"/>
      <c r="CG178" s="68"/>
      <c r="CH178" s="68"/>
      <c r="CI178" s="68"/>
      <c r="CJ178" s="68"/>
      <c r="CK178" s="68"/>
      <c r="CL178" s="68"/>
      <c r="CM178" s="68"/>
      <c r="CN178" s="68"/>
      <c r="CO178" s="68"/>
      <c r="CP178" s="68"/>
      <c r="CQ178" s="68"/>
      <c r="CR178" s="68"/>
      <c r="CS178" s="68"/>
      <c r="CT178" s="68"/>
      <c r="CU178" s="68"/>
      <c r="CV178" s="68"/>
      <c r="CW178" s="68"/>
      <c r="CX178" s="68"/>
      <c r="CY178" s="68"/>
      <c r="CZ178" s="68"/>
      <c r="DA178" s="68"/>
      <c r="DB178" s="68"/>
      <c r="DC178" s="68"/>
      <c r="DD178" s="68"/>
      <c r="DE178" s="68"/>
      <c r="DF178" s="68"/>
      <c r="DG178" s="68"/>
      <c r="DH178" s="68"/>
      <c r="DI178" s="68"/>
      <c r="DJ178" s="68"/>
      <c r="DK178" s="68"/>
      <c r="DL178" s="68"/>
      <c r="DM178" s="68"/>
      <c r="DN178" s="68"/>
      <c r="DO178" s="68"/>
      <c r="DP178" s="68"/>
      <c r="DQ178" s="68"/>
      <c r="DR178" s="68"/>
      <c r="DS178" s="68"/>
      <c r="DT178" s="68"/>
      <c r="DU178" s="68"/>
      <c r="DV178" s="68"/>
      <c r="DW178" s="68"/>
      <c r="DX178" s="68"/>
      <c r="DY178" s="68"/>
      <c r="DZ178" s="68"/>
      <c r="EA178" s="68"/>
      <c r="EB178" s="68"/>
      <c r="EC178" s="68"/>
      <c r="ED178" s="68"/>
      <c r="EE178" s="68"/>
      <c r="EF178" s="68"/>
      <c r="EG178" s="68"/>
      <c r="EH178" s="68"/>
      <c r="EI178" s="68"/>
      <c r="EJ178" s="68"/>
      <c r="EK178" s="68"/>
      <c r="EL178" s="68"/>
      <c r="EM178" s="68"/>
      <c r="EN178" s="68"/>
      <c r="EO178" s="68"/>
      <c r="EP178" s="68"/>
      <c r="EQ178" s="68"/>
      <c r="ER178" s="68"/>
      <c r="ES178" s="68"/>
      <c r="ET178" s="68"/>
      <c r="EU178" s="68"/>
    </row>
    <row r="179" spans="1:151" s="36" customFormat="1" ht="39" customHeight="1">
      <c r="A179" s="81"/>
      <c r="B179" s="82"/>
      <c r="C179" s="82"/>
      <c r="D179" s="56" t="s">
        <v>242</v>
      </c>
      <c r="E179" s="56" t="s">
        <v>242</v>
      </c>
      <c r="F179" s="84">
        <v>237104</v>
      </c>
      <c r="G179" s="25">
        <f t="shared" si="12"/>
        <v>237.1</v>
      </c>
      <c r="H179" s="101">
        <v>100</v>
      </c>
      <c r="I179" s="84">
        <v>237104</v>
      </c>
      <c r="J179" s="25">
        <f t="shared" si="11"/>
        <v>237.1</v>
      </c>
      <c r="K179" s="34">
        <v>221500</v>
      </c>
      <c r="L179" s="34"/>
      <c r="M179" s="34">
        <f t="shared" si="15"/>
        <v>221500</v>
      </c>
      <c r="N179" s="35">
        <f t="shared" si="13"/>
        <v>221.5</v>
      </c>
      <c r="O179" s="78"/>
      <c r="P179" s="29"/>
      <c r="Q179" s="78"/>
      <c r="R179" s="31"/>
      <c r="S179" s="67"/>
      <c r="T179" s="67"/>
      <c r="U179" s="67"/>
      <c r="V179" s="67"/>
      <c r="W179" s="67"/>
      <c r="X179" s="67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68"/>
      <c r="CQ179" s="68"/>
      <c r="CR179" s="68"/>
      <c r="CS179" s="68"/>
      <c r="CT179" s="68"/>
      <c r="CU179" s="68"/>
      <c r="CV179" s="68"/>
      <c r="CW179" s="68"/>
      <c r="CX179" s="68"/>
      <c r="CY179" s="68"/>
      <c r="CZ179" s="68"/>
      <c r="DA179" s="68"/>
      <c r="DB179" s="68"/>
      <c r="DC179" s="68"/>
      <c r="DD179" s="68"/>
      <c r="DE179" s="68"/>
      <c r="DF179" s="68"/>
      <c r="DG179" s="68"/>
      <c r="DH179" s="68"/>
      <c r="DI179" s="68"/>
      <c r="DJ179" s="68"/>
      <c r="DK179" s="68"/>
      <c r="DL179" s="68"/>
      <c r="DM179" s="68"/>
      <c r="DN179" s="68"/>
      <c r="DO179" s="68"/>
      <c r="DP179" s="68"/>
      <c r="DQ179" s="68"/>
      <c r="DR179" s="68"/>
      <c r="DS179" s="68"/>
      <c r="DT179" s="68"/>
      <c r="DU179" s="68"/>
      <c r="DV179" s="68"/>
      <c r="DW179" s="68"/>
      <c r="DX179" s="68"/>
      <c r="DY179" s="68"/>
      <c r="DZ179" s="68"/>
      <c r="EA179" s="68"/>
      <c r="EB179" s="68"/>
      <c r="EC179" s="68"/>
      <c r="ED179" s="68"/>
      <c r="EE179" s="68"/>
      <c r="EF179" s="68"/>
      <c r="EG179" s="68"/>
      <c r="EH179" s="68"/>
      <c r="EI179" s="68"/>
      <c r="EJ179" s="68"/>
      <c r="EK179" s="68"/>
      <c r="EL179" s="68"/>
      <c r="EM179" s="68"/>
      <c r="EN179" s="68"/>
      <c r="EO179" s="68"/>
      <c r="EP179" s="68"/>
      <c r="EQ179" s="68"/>
      <c r="ER179" s="68"/>
      <c r="ES179" s="68"/>
      <c r="ET179" s="68"/>
      <c r="EU179" s="68"/>
    </row>
    <row r="180" spans="1:151" s="36" customFormat="1" ht="27" customHeight="1">
      <c r="A180" s="81"/>
      <c r="B180" s="82"/>
      <c r="C180" s="82"/>
      <c r="D180" s="56" t="s">
        <v>288</v>
      </c>
      <c r="E180" s="56" t="s">
        <v>288</v>
      </c>
      <c r="F180" s="88"/>
      <c r="G180" s="25">
        <f t="shared" si="12"/>
        <v>0</v>
      </c>
      <c r="H180" s="79"/>
      <c r="I180" s="84"/>
      <c r="J180" s="25">
        <f t="shared" si="11"/>
        <v>0</v>
      </c>
      <c r="K180" s="34">
        <v>8500</v>
      </c>
      <c r="L180" s="34"/>
      <c r="M180" s="34">
        <f t="shared" si="15"/>
        <v>8500</v>
      </c>
      <c r="N180" s="35">
        <f t="shared" si="13"/>
        <v>8.5</v>
      </c>
      <c r="O180" s="78"/>
      <c r="P180" s="29"/>
      <c r="Q180" s="78"/>
      <c r="R180" s="31"/>
      <c r="S180" s="67"/>
      <c r="T180" s="67"/>
      <c r="U180" s="67"/>
      <c r="V180" s="67"/>
      <c r="W180" s="67"/>
      <c r="X180" s="67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68"/>
      <c r="CQ180" s="68"/>
      <c r="CR180" s="68"/>
      <c r="CS180" s="68"/>
      <c r="CT180" s="68"/>
      <c r="CU180" s="68"/>
      <c r="CV180" s="68"/>
      <c r="CW180" s="68"/>
      <c r="CX180" s="68"/>
      <c r="CY180" s="68"/>
      <c r="CZ180" s="68"/>
      <c r="DA180" s="68"/>
      <c r="DB180" s="68"/>
      <c r="DC180" s="68"/>
      <c r="DD180" s="68"/>
      <c r="DE180" s="68"/>
      <c r="DF180" s="68"/>
      <c r="DG180" s="68"/>
      <c r="DH180" s="68"/>
      <c r="DI180" s="68"/>
      <c r="DJ180" s="68"/>
      <c r="DK180" s="68"/>
      <c r="DL180" s="68"/>
      <c r="DM180" s="68"/>
      <c r="DN180" s="68"/>
      <c r="DO180" s="68"/>
      <c r="DP180" s="68"/>
      <c r="DQ180" s="68"/>
      <c r="DR180" s="68"/>
      <c r="DS180" s="68"/>
      <c r="DT180" s="68"/>
      <c r="DU180" s="68"/>
      <c r="DV180" s="68"/>
      <c r="DW180" s="68"/>
      <c r="DX180" s="68"/>
      <c r="DY180" s="68"/>
      <c r="DZ180" s="68"/>
      <c r="EA180" s="68"/>
      <c r="EB180" s="68"/>
      <c r="EC180" s="68"/>
      <c r="ED180" s="68"/>
      <c r="EE180" s="68"/>
      <c r="EF180" s="68"/>
      <c r="EG180" s="68"/>
      <c r="EH180" s="68"/>
      <c r="EI180" s="68"/>
      <c r="EJ180" s="68"/>
      <c r="EK180" s="68"/>
      <c r="EL180" s="68"/>
      <c r="EM180" s="68"/>
      <c r="EN180" s="68"/>
      <c r="EO180" s="68"/>
      <c r="EP180" s="68"/>
      <c r="EQ180" s="68"/>
      <c r="ER180" s="68"/>
      <c r="ES180" s="68"/>
      <c r="ET180" s="68"/>
      <c r="EU180" s="68"/>
    </row>
    <row r="181" spans="1:151" s="36" customFormat="1" ht="27" customHeight="1">
      <c r="A181" s="81"/>
      <c r="B181" s="82"/>
      <c r="C181" s="82"/>
      <c r="D181" s="86" t="s">
        <v>289</v>
      </c>
      <c r="E181" s="86" t="s">
        <v>289</v>
      </c>
      <c r="F181" s="88"/>
      <c r="G181" s="25">
        <f t="shared" si="12"/>
        <v>0</v>
      </c>
      <c r="H181" s="79"/>
      <c r="I181" s="84"/>
      <c r="J181" s="25">
        <f t="shared" si="11"/>
        <v>0</v>
      </c>
      <c r="K181" s="34">
        <v>8500</v>
      </c>
      <c r="L181" s="34"/>
      <c r="M181" s="34">
        <f t="shared" si="15"/>
        <v>8500</v>
      </c>
      <c r="N181" s="35">
        <f t="shared" si="13"/>
        <v>8.5</v>
      </c>
      <c r="O181" s="78"/>
      <c r="P181" s="29"/>
      <c r="Q181" s="78"/>
      <c r="R181" s="31"/>
      <c r="S181" s="67"/>
      <c r="T181" s="67"/>
      <c r="U181" s="67"/>
      <c r="V181" s="67"/>
      <c r="W181" s="67"/>
      <c r="X181" s="67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  <c r="CI181" s="68"/>
      <c r="CJ181" s="68"/>
      <c r="CK181" s="68"/>
      <c r="CL181" s="68"/>
      <c r="CM181" s="68"/>
      <c r="CN181" s="68"/>
      <c r="CO181" s="68"/>
      <c r="CP181" s="68"/>
      <c r="CQ181" s="68"/>
      <c r="CR181" s="68"/>
      <c r="CS181" s="68"/>
      <c r="CT181" s="68"/>
      <c r="CU181" s="68"/>
      <c r="CV181" s="68"/>
      <c r="CW181" s="68"/>
      <c r="CX181" s="68"/>
      <c r="CY181" s="68"/>
      <c r="CZ181" s="68"/>
      <c r="DA181" s="68"/>
      <c r="DB181" s="68"/>
      <c r="DC181" s="68"/>
      <c r="DD181" s="68"/>
      <c r="DE181" s="68"/>
      <c r="DF181" s="68"/>
      <c r="DG181" s="68"/>
      <c r="DH181" s="68"/>
      <c r="DI181" s="68"/>
      <c r="DJ181" s="68"/>
      <c r="DK181" s="68"/>
      <c r="DL181" s="68"/>
      <c r="DM181" s="68"/>
      <c r="DN181" s="68"/>
      <c r="DO181" s="68"/>
      <c r="DP181" s="68"/>
      <c r="DQ181" s="68"/>
      <c r="DR181" s="68"/>
      <c r="DS181" s="68"/>
      <c r="DT181" s="68"/>
      <c r="DU181" s="68"/>
      <c r="DV181" s="68"/>
      <c r="DW181" s="68"/>
      <c r="DX181" s="68"/>
      <c r="DY181" s="68"/>
      <c r="DZ181" s="68"/>
      <c r="EA181" s="68"/>
      <c r="EB181" s="68"/>
      <c r="EC181" s="68"/>
      <c r="ED181" s="68"/>
      <c r="EE181" s="68"/>
      <c r="EF181" s="68"/>
      <c r="EG181" s="68"/>
      <c r="EH181" s="68"/>
      <c r="EI181" s="68"/>
      <c r="EJ181" s="68"/>
      <c r="EK181" s="68"/>
      <c r="EL181" s="68"/>
      <c r="EM181" s="68"/>
      <c r="EN181" s="68"/>
      <c r="EO181" s="68"/>
      <c r="EP181" s="68"/>
      <c r="EQ181" s="68"/>
      <c r="ER181" s="68"/>
      <c r="ES181" s="68"/>
      <c r="ET181" s="68"/>
      <c r="EU181" s="68"/>
    </row>
    <row r="182" spans="1:24" s="85" customFormat="1" ht="27" customHeight="1">
      <c r="A182" s="82"/>
      <c r="B182" s="82"/>
      <c r="C182" s="82"/>
      <c r="D182" s="56" t="s">
        <v>155</v>
      </c>
      <c r="E182" s="56" t="s">
        <v>155</v>
      </c>
      <c r="F182" s="84">
        <v>5382485</v>
      </c>
      <c r="G182" s="25">
        <f t="shared" si="12"/>
        <v>5382.5</v>
      </c>
      <c r="H182" s="25">
        <v>59</v>
      </c>
      <c r="I182" s="84">
        <v>3175713</v>
      </c>
      <c r="J182" s="25">
        <f t="shared" si="11"/>
        <v>3175.7</v>
      </c>
      <c r="K182" s="34">
        <f>50000+603355</f>
        <v>653355</v>
      </c>
      <c r="L182" s="34"/>
      <c r="M182" s="34">
        <f t="shared" si="15"/>
        <v>653355</v>
      </c>
      <c r="N182" s="35">
        <f>ROUND(M182/1000,1)-0.1</f>
        <v>653.3</v>
      </c>
      <c r="O182" s="78"/>
      <c r="P182" s="29"/>
      <c r="Q182" s="102"/>
      <c r="R182" s="31"/>
      <c r="S182" s="67"/>
      <c r="T182" s="67"/>
      <c r="U182" s="67"/>
      <c r="V182" s="67"/>
      <c r="W182" s="67"/>
      <c r="X182" s="67"/>
    </row>
    <row r="183" spans="1:24" s="85" customFormat="1" ht="28.5" customHeight="1">
      <c r="A183" s="82"/>
      <c r="B183" s="82"/>
      <c r="C183" s="82"/>
      <c r="D183" s="56" t="s">
        <v>320</v>
      </c>
      <c r="E183" s="56" t="s">
        <v>320</v>
      </c>
      <c r="F183" s="84"/>
      <c r="G183" s="25">
        <f t="shared" si="12"/>
        <v>0</v>
      </c>
      <c r="H183" s="25"/>
      <c r="I183" s="84"/>
      <c r="J183" s="25">
        <f t="shared" si="11"/>
        <v>0</v>
      </c>
      <c r="K183" s="34">
        <v>500000</v>
      </c>
      <c r="L183" s="34"/>
      <c r="M183" s="34">
        <f t="shared" si="15"/>
        <v>500000</v>
      </c>
      <c r="N183" s="35">
        <f t="shared" si="13"/>
        <v>500</v>
      </c>
      <c r="O183" s="102"/>
      <c r="P183" s="29"/>
      <c r="Q183" s="77"/>
      <c r="R183" s="31"/>
      <c r="S183" s="87"/>
      <c r="T183" s="87"/>
      <c r="U183" s="87"/>
      <c r="V183" s="67"/>
      <c r="W183" s="67"/>
      <c r="X183" s="67"/>
    </row>
    <row r="184" spans="1:24" s="85" customFormat="1" ht="28.5" customHeight="1">
      <c r="A184" s="82"/>
      <c r="B184" s="82"/>
      <c r="C184" s="82"/>
      <c r="D184" s="56" t="s">
        <v>439</v>
      </c>
      <c r="E184" s="56"/>
      <c r="F184" s="84"/>
      <c r="G184" s="25"/>
      <c r="H184" s="25"/>
      <c r="I184" s="84"/>
      <c r="J184" s="25"/>
      <c r="K184" s="34"/>
      <c r="L184" s="34"/>
      <c r="M184" s="34"/>
      <c r="N184" s="35">
        <v>30</v>
      </c>
      <c r="O184" s="77"/>
      <c r="P184" s="29"/>
      <c r="Q184" s="77"/>
      <c r="R184" s="31"/>
      <c r="S184" s="87"/>
      <c r="T184" s="87"/>
      <c r="U184" s="87"/>
      <c r="V184" s="67"/>
      <c r="W184" s="67"/>
      <c r="X184" s="67"/>
    </row>
    <row r="185" spans="1:24" s="85" customFormat="1" ht="41.25" customHeight="1">
      <c r="A185" s="82"/>
      <c r="B185" s="82"/>
      <c r="C185" s="82"/>
      <c r="D185" s="86" t="s">
        <v>290</v>
      </c>
      <c r="E185" s="86" t="s">
        <v>290</v>
      </c>
      <c r="F185" s="84"/>
      <c r="G185" s="25">
        <f t="shared" si="12"/>
        <v>0</v>
      </c>
      <c r="H185" s="25"/>
      <c r="I185" s="84"/>
      <c r="J185" s="25">
        <f t="shared" si="11"/>
        <v>0</v>
      </c>
      <c r="K185" s="34">
        <v>100000</v>
      </c>
      <c r="L185" s="34"/>
      <c r="M185" s="34">
        <f t="shared" si="15"/>
        <v>100000</v>
      </c>
      <c r="N185" s="35">
        <f t="shared" si="13"/>
        <v>100</v>
      </c>
      <c r="O185" s="78"/>
      <c r="P185" s="29"/>
      <c r="Q185" s="78"/>
      <c r="R185" s="31"/>
      <c r="S185" s="87"/>
      <c r="T185" s="87"/>
      <c r="U185" s="87"/>
      <c r="V185" s="67"/>
      <c r="W185" s="67"/>
      <c r="X185" s="67"/>
    </row>
    <row r="186" spans="1:24" s="85" customFormat="1" ht="29.25" customHeight="1">
      <c r="A186" s="82"/>
      <c r="B186" s="82"/>
      <c r="C186" s="82"/>
      <c r="D186" s="86" t="s">
        <v>291</v>
      </c>
      <c r="E186" s="86" t="s">
        <v>291</v>
      </c>
      <c r="F186" s="84"/>
      <c r="G186" s="25">
        <f t="shared" si="12"/>
        <v>0</v>
      </c>
      <c r="H186" s="25"/>
      <c r="I186" s="84"/>
      <c r="J186" s="25">
        <f t="shared" si="11"/>
        <v>0</v>
      </c>
      <c r="K186" s="34">
        <v>8500</v>
      </c>
      <c r="L186" s="34"/>
      <c r="M186" s="34">
        <f t="shared" si="15"/>
        <v>8500</v>
      </c>
      <c r="N186" s="35">
        <f t="shared" si="13"/>
        <v>8.5</v>
      </c>
      <c r="O186" s="78"/>
      <c r="P186" s="29"/>
      <c r="Q186" s="77"/>
      <c r="R186" s="31"/>
      <c r="S186" s="87"/>
      <c r="T186" s="87"/>
      <c r="U186" s="87"/>
      <c r="V186" s="67"/>
      <c r="W186" s="67"/>
      <c r="X186" s="67"/>
    </row>
    <row r="187" spans="1:24" s="85" customFormat="1" ht="42.75" customHeight="1">
      <c r="A187" s="82"/>
      <c r="B187" s="82"/>
      <c r="C187" s="82"/>
      <c r="D187" s="58" t="s">
        <v>156</v>
      </c>
      <c r="E187" s="58" t="s">
        <v>156</v>
      </c>
      <c r="F187" s="100"/>
      <c r="G187" s="25">
        <f t="shared" si="12"/>
        <v>0</v>
      </c>
      <c r="H187" s="25"/>
      <c r="I187" s="84"/>
      <c r="J187" s="25">
        <f t="shared" si="11"/>
        <v>0</v>
      </c>
      <c r="K187" s="34">
        <v>500000</v>
      </c>
      <c r="L187" s="34"/>
      <c r="M187" s="34">
        <f t="shared" si="15"/>
        <v>500000</v>
      </c>
      <c r="N187" s="35">
        <f t="shared" si="13"/>
        <v>500</v>
      </c>
      <c r="O187" s="78"/>
      <c r="P187" s="29"/>
      <c r="Q187" s="78"/>
      <c r="R187" s="31"/>
      <c r="S187" s="87"/>
      <c r="T187" s="87"/>
      <c r="U187" s="87"/>
      <c r="V187" s="67"/>
      <c r="W187" s="67"/>
      <c r="X187" s="67"/>
    </row>
    <row r="188" spans="1:24" s="85" customFormat="1" ht="42.75" customHeight="1">
      <c r="A188" s="82"/>
      <c r="B188" s="82"/>
      <c r="C188" s="82"/>
      <c r="D188" s="58" t="s">
        <v>157</v>
      </c>
      <c r="E188" s="58" t="s">
        <v>157</v>
      </c>
      <c r="F188" s="84">
        <v>1388402</v>
      </c>
      <c r="G188" s="25">
        <f t="shared" si="12"/>
        <v>1388.4</v>
      </c>
      <c r="H188" s="25">
        <v>97.1</v>
      </c>
      <c r="I188" s="84">
        <v>1348369</v>
      </c>
      <c r="J188" s="25">
        <f t="shared" si="11"/>
        <v>1348.4</v>
      </c>
      <c r="K188" s="34">
        <f>986000+400000-57000</f>
        <v>1329000</v>
      </c>
      <c r="L188" s="34"/>
      <c r="M188" s="34">
        <f t="shared" si="15"/>
        <v>1329000</v>
      </c>
      <c r="N188" s="35">
        <f t="shared" si="13"/>
        <v>1329</v>
      </c>
      <c r="O188" s="78"/>
      <c r="P188" s="29"/>
      <c r="Q188" s="78"/>
      <c r="R188" s="31"/>
      <c r="S188" s="87"/>
      <c r="T188" s="87"/>
      <c r="U188" s="87"/>
      <c r="V188" s="67"/>
      <c r="W188" s="67"/>
      <c r="X188" s="67"/>
    </row>
    <row r="189" spans="1:24" s="85" customFormat="1" ht="42" customHeight="1">
      <c r="A189" s="82"/>
      <c r="B189" s="82"/>
      <c r="C189" s="82"/>
      <c r="D189" s="58" t="s">
        <v>158</v>
      </c>
      <c r="E189" s="58" t="s">
        <v>158</v>
      </c>
      <c r="F189" s="84">
        <v>1479061</v>
      </c>
      <c r="G189" s="25">
        <f t="shared" si="12"/>
        <v>1479.1</v>
      </c>
      <c r="H189" s="25">
        <v>98.39</v>
      </c>
      <c r="I189" s="84">
        <v>1455282</v>
      </c>
      <c r="J189" s="25">
        <f t="shared" si="11"/>
        <v>1455.3</v>
      </c>
      <c r="K189" s="34">
        <v>1455000</v>
      </c>
      <c r="L189" s="34"/>
      <c r="M189" s="34">
        <f t="shared" si="15"/>
        <v>1455000</v>
      </c>
      <c r="N189" s="35">
        <f t="shared" si="13"/>
        <v>1455</v>
      </c>
      <c r="O189" s="78"/>
      <c r="P189" s="29"/>
      <c r="Q189" s="78"/>
      <c r="R189" s="31"/>
      <c r="S189" s="87"/>
      <c r="T189" s="87"/>
      <c r="U189" s="87"/>
      <c r="V189" s="67"/>
      <c r="W189" s="67"/>
      <c r="X189" s="67"/>
    </row>
    <row r="190" spans="1:24" s="104" customFormat="1" ht="29.25" customHeight="1">
      <c r="A190" s="91">
        <v>1517322</v>
      </c>
      <c r="B190" s="39" t="s">
        <v>141</v>
      </c>
      <c r="C190" s="39" t="s">
        <v>52</v>
      </c>
      <c r="D190" s="92" t="s">
        <v>423</v>
      </c>
      <c r="E190" s="93"/>
      <c r="F190" s="103"/>
      <c r="G190" s="25">
        <f t="shared" si="12"/>
        <v>0</v>
      </c>
      <c r="H190" s="42"/>
      <c r="I190" s="84"/>
      <c r="J190" s="25">
        <f t="shared" si="11"/>
        <v>0</v>
      </c>
      <c r="K190" s="95">
        <f>K191+K193</f>
        <v>5572000</v>
      </c>
      <c r="L190" s="95">
        <f>L191+L193</f>
        <v>0</v>
      </c>
      <c r="M190" s="95">
        <f>M191+M193</f>
        <v>5572000</v>
      </c>
      <c r="N190" s="96">
        <f>N191+N193</f>
        <v>5560</v>
      </c>
      <c r="O190" s="78"/>
      <c r="P190" s="29"/>
      <c r="Q190" s="78"/>
      <c r="R190" s="31"/>
      <c r="S190" s="87"/>
      <c r="T190" s="87"/>
      <c r="U190" s="87"/>
      <c r="V190" s="67"/>
      <c r="W190" s="67"/>
      <c r="X190" s="67"/>
    </row>
    <row r="191" spans="1:151" s="36" customFormat="1" ht="24" customHeight="1">
      <c r="A191" s="81"/>
      <c r="B191" s="82"/>
      <c r="C191" s="82"/>
      <c r="D191" s="72" t="s">
        <v>143</v>
      </c>
      <c r="E191" s="72" t="s">
        <v>143</v>
      </c>
      <c r="F191" s="88"/>
      <c r="G191" s="25">
        <f t="shared" si="12"/>
        <v>0</v>
      </c>
      <c r="H191" s="79"/>
      <c r="I191" s="84"/>
      <c r="J191" s="25">
        <f t="shared" si="11"/>
        <v>0</v>
      </c>
      <c r="K191" s="26">
        <f>K192</f>
        <v>500000</v>
      </c>
      <c r="L191" s="26">
        <f>L192</f>
        <v>0</v>
      </c>
      <c r="M191" s="26">
        <f>M192</f>
        <v>500000</v>
      </c>
      <c r="N191" s="27">
        <f>N192</f>
        <v>500</v>
      </c>
      <c r="O191" s="78"/>
      <c r="P191" s="29"/>
      <c r="Q191" s="102"/>
      <c r="R191" s="31"/>
      <c r="S191" s="105"/>
      <c r="T191" s="105"/>
      <c r="U191" s="105"/>
      <c r="V191" s="67"/>
      <c r="W191" s="67"/>
      <c r="X191" s="67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  <c r="CZ191" s="68"/>
      <c r="DA191" s="68"/>
      <c r="DB191" s="68"/>
      <c r="DC191" s="68"/>
      <c r="DD191" s="68"/>
      <c r="DE191" s="68"/>
      <c r="DF191" s="68"/>
      <c r="DG191" s="68"/>
      <c r="DH191" s="68"/>
      <c r="DI191" s="68"/>
      <c r="DJ191" s="68"/>
      <c r="DK191" s="68"/>
      <c r="DL191" s="68"/>
      <c r="DM191" s="68"/>
      <c r="DN191" s="68"/>
      <c r="DO191" s="68"/>
      <c r="DP191" s="68"/>
      <c r="DQ191" s="68"/>
      <c r="DR191" s="68"/>
      <c r="DS191" s="68"/>
      <c r="DT191" s="68"/>
      <c r="DU191" s="68"/>
      <c r="DV191" s="68"/>
      <c r="DW191" s="68"/>
      <c r="DX191" s="68"/>
      <c r="DY191" s="68"/>
      <c r="DZ191" s="68"/>
      <c r="EA191" s="68"/>
      <c r="EB191" s="68"/>
      <c r="EC191" s="68"/>
      <c r="ED191" s="68"/>
      <c r="EE191" s="68"/>
      <c r="EF191" s="68"/>
      <c r="EG191" s="68"/>
      <c r="EH191" s="68"/>
      <c r="EI191" s="68"/>
      <c r="EJ191" s="68"/>
      <c r="EK191" s="68"/>
      <c r="EL191" s="68"/>
      <c r="EM191" s="68"/>
      <c r="EN191" s="68"/>
      <c r="EO191" s="68"/>
      <c r="EP191" s="68"/>
      <c r="EQ191" s="68"/>
      <c r="ER191" s="68"/>
      <c r="ES191" s="68"/>
      <c r="ET191" s="68"/>
      <c r="EU191" s="68"/>
    </row>
    <row r="192" spans="1:24" s="85" customFormat="1" ht="28.5" customHeight="1">
      <c r="A192" s="16"/>
      <c r="B192" s="82"/>
      <c r="C192" s="82"/>
      <c r="D192" s="86" t="s">
        <v>249</v>
      </c>
      <c r="E192" s="86" t="s">
        <v>249</v>
      </c>
      <c r="F192" s="84"/>
      <c r="G192" s="25">
        <f t="shared" si="12"/>
        <v>0</v>
      </c>
      <c r="H192" s="25"/>
      <c r="I192" s="84"/>
      <c r="J192" s="25">
        <f t="shared" si="11"/>
        <v>0</v>
      </c>
      <c r="K192" s="34">
        <v>500000</v>
      </c>
      <c r="L192" s="34"/>
      <c r="M192" s="34">
        <f t="shared" si="15"/>
        <v>500000</v>
      </c>
      <c r="N192" s="35">
        <f t="shared" si="13"/>
        <v>500</v>
      </c>
      <c r="O192" s="78"/>
      <c r="P192" s="29"/>
      <c r="Q192" s="77"/>
      <c r="R192" s="31"/>
      <c r="S192" s="67"/>
      <c r="T192" s="67"/>
      <c r="U192" s="67"/>
      <c r="V192" s="67"/>
      <c r="W192" s="67"/>
      <c r="X192" s="67"/>
    </row>
    <row r="193" spans="1:151" s="36" customFormat="1" ht="28.5" customHeight="1">
      <c r="A193" s="81"/>
      <c r="B193" s="82"/>
      <c r="C193" s="82"/>
      <c r="D193" s="1" t="s">
        <v>147</v>
      </c>
      <c r="E193" s="1" t="s">
        <v>147</v>
      </c>
      <c r="F193" s="88"/>
      <c r="G193" s="25">
        <f t="shared" si="12"/>
        <v>0</v>
      </c>
      <c r="H193" s="79"/>
      <c r="I193" s="84"/>
      <c r="J193" s="25">
        <f t="shared" si="11"/>
        <v>0</v>
      </c>
      <c r="K193" s="26">
        <f>SUM(K194:K197)</f>
        <v>5072000</v>
      </c>
      <c r="L193" s="26">
        <f>SUM(L194:L197)</f>
        <v>0</v>
      </c>
      <c r="M193" s="26">
        <f>SUM(M194:M197)</f>
        <v>5072000</v>
      </c>
      <c r="N193" s="27">
        <f>SUM(N194:N197)</f>
        <v>5060</v>
      </c>
      <c r="O193" s="78"/>
      <c r="P193" s="29"/>
      <c r="Q193" s="78"/>
      <c r="R193" s="31"/>
      <c r="S193" s="87"/>
      <c r="T193" s="87"/>
      <c r="U193" s="87"/>
      <c r="V193" s="67"/>
      <c r="W193" s="67"/>
      <c r="X193" s="67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C193" s="68"/>
      <c r="CD193" s="68"/>
      <c r="CE193" s="68"/>
      <c r="CF193" s="68"/>
      <c r="CG193" s="68"/>
      <c r="CH193" s="68"/>
      <c r="CI193" s="68"/>
      <c r="CJ193" s="68"/>
      <c r="CK193" s="68"/>
      <c r="CL193" s="68"/>
      <c r="CM193" s="68"/>
      <c r="CN193" s="68"/>
      <c r="CO193" s="68"/>
      <c r="CP193" s="68"/>
      <c r="CQ193" s="68"/>
      <c r="CR193" s="68"/>
      <c r="CS193" s="68"/>
      <c r="CT193" s="68"/>
      <c r="CU193" s="68"/>
      <c r="CV193" s="68"/>
      <c r="CW193" s="68"/>
      <c r="CX193" s="68"/>
      <c r="CY193" s="68"/>
      <c r="CZ193" s="68"/>
      <c r="DA193" s="68"/>
      <c r="DB193" s="68"/>
      <c r="DC193" s="68"/>
      <c r="DD193" s="68"/>
      <c r="DE193" s="68"/>
      <c r="DF193" s="68"/>
      <c r="DG193" s="68"/>
      <c r="DH193" s="68"/>
      <c r="DI193" s="68"/>
      <c r="DJ193" s="68"/>
      <c r="DK193" s="68"/>
      <c r="DL193" s="68"/>
      <c r="DM193" s="68"/>
      <c r="DN193" s="68"/>
      <c r="DO193" s="68"/>
      <c r="DP193" s="68"/>
      <c r="DQ193" s="68"/>
      <c r="DR193" s="68"/>
      <c r="DS193" s="68"/>
      <c r="DT193" s="68"/>
      <c r="DU193" s="68"/>
      <c r="DV193" s="68"/>
      <c r="DW193" s="68"/>
      <c r="DX193" s="68"/>
      <c r="DY193" s="68"/>
      <c r="DZ193" s="68"/>
      <c r="EA193" s="68"/>
      <c r="EB193" s="68"/>
      <c r="EC193" s="68"/>
      <c r="ED193" s="68"/>
      <c r="EE193" s="68"/>
      <c r="EF193" s="68"/>
      <c r="EG193" s="68"/>
      <c r="EH193" s="68"/>
      <c r="EI193" s="68"/>
      <c r="EJ193" s="68"/>
      <c r="EK193" s="68"/>
      <c r="EL193" s="68"/>
      <c r="EM193" s="68"/>
      <c r="EN193" s="68"/>
      <c r="EO193" s="68"/>
      <c r="EP193" s="68"/>
      <c r="EQ193" s="68"/>
      <c r="ER193" s="68"/>
      <c r="ES193" s="68"/>
      <c r="ET193" s="68"/>
      <c r="EU193" s="68"/>
    </row>
    <row r="194" spans="1:24" s="85" customFormat="1" ht="23.25" customHeight="1">
      <c r="A194" s="16"/>
      <c r="B194" s="82"/>
      <c r="C194" s="82"/>
      <c r="D194" s="86" t="s">
        <v>180</v>
      </c>
      <c r="E194" s="86" t="s">
        <v>180</v>
      </c>
      <c r="F194" s="106">
        <v>16272770</v>
      </c>
      <c r="G194" s="25">
        <f t="shared" si="12"/>
        <v>16272.8</v>
      </c>
      <c r="H194" s="107">
        <v>98.66</v>
      </c>
      <c r="I194" s="84">
        <v>16054529</v>
      </c>
      <c r="J194" s="25">
        <f t="shared" si="11"/>
        <v>16054.5</v>
      </c>
      <c r="K194" s="34">
        <f>2000000+300000</f>
        <v>2300000</v>
      </c>
      <c r="L194" s="34"/>
      <c r="M194" s="34">
        <f t="shared" si="15"/>
        <v>2300000</v>
      </c>
      <c r="N194" s="35">
        <f t="shared" si="13"/>
        <v>2300</v>
      </c>
      <c r="O194" s="78"/>
      <c r="P194" s="29"/>
      <c r="Q194" s="78"/>
      <c r="R194" s="31"/>
      <c r="S194" s="67"/>
      <c r="T194" s="67"/>
      <c r="U194" s="67"/>
      <c r="V194" s="67"/>
      <c r="W194" s="67"/>
      <c r="X194" s="67"/>
    </row>
    <row r="195" spans="1:24" s="85" customFormat="1" ht="24" customHeight="1">
      <c r="A195" s="16"/>
      <c r="B195" s="82"/>
      <c r="C195" s="82"/>
      <c r="D195" s="33" t="s">
        <v>159</v>
      </c>
      <c r="E195" s="33" t="s">
        <v>159</v>
      </c>
      <c r="F195" s="106"/>
      <c r="G195" s="25">
        <f t="shared" si="12"/>
        <v>0</v>
      </c>
      <c r="H195" s="108"/>
      <c r="I195" s="84"/>
      <c r="J195" s="25">
        <f t="shared" si="11"/>
        <v>0</v>
      </c>
      <c r="K195" s="34">
        <f>1000000-741000-150000</f>
        <v>109000</v>
      </c>
      <c r="L195" s="34"/>
      <c r="M195" s="34">
        <f t="shared" si="15"/>
        <v>109000</v>
      </c>
      <c r="N195" s="35">
        <f t="shared" si="13"/>
        <v>109</v>
      </c>
      <c r="O195" s="78"/>
      <c r="P195" s="29"/>
      <c r="Q195" s="78"/>
      <c r="R195" s="31"/>
      <c r="S195" s="87"/>
      <c r="T195" s="87"/>
      <c r="U195" s="87"/>
      <c r="V195" s="67"/>
      <c r="W195" s="67"/>
      <c r="X195" s="67"/>
    </row>
    <row r="196" spans="1:24" s="85" customFormat="1" ht="29.25" customHeight="1">
      <c r="A196" s="16"/>
      <c r="B196" s="82"/>
      <c r="C196" s="82"/>
      <c r="D196" s="33" t="s">
        <v>160</v>
      </c>
      <c r="E196" s="33" t="s">
        <v>160</v>
      </c>
      <c r="F196" s="106">
        <v>1591924</v>
      </c>
      <c r="G196" s="25">
        <f t="shared" si="12"/>
        <v>1591.9</v>
      </c>
      <c r="H196" s="107">
        <v>100</v>
      </c>
      <c r="I196" s="84">
        <v>1591924</v>
      </c>
      <c r="J196" s="25">
        <f t="shared" si="11"/>
        <v>1591.9</v>
      </c>
      <c r="K196" s="34">
        <f>1000000+350000</f>
        <v>1350000</v>
      </c>
      <c r="L196" s="34"/>
      <c r="M196" s="34">
        <f t="shared" si="15"/>
        <v>1350000</v>
      </c>
      <c r="N196" s="35">
        <f>ROUND(M196/1000,1)-12</f>
        <v>1338</v>
      </c>
      <c r="O196" s="78"/>
      <c r="P196" s="29"/>
      <c r="Q196" s="78"/>
      <c r="R196" s="31"/>
      <c r="S196" s="87"/>
      <c r="T196" s="87"/>
      <c r="U196" s="87"/>
      <c r="V196" s="67"/>
      <c r="W196" s="67"/>
      <c r="X196" s="67"/>
    </row>
    <row r="197" spans="1:151" ht="45" customHeight="1">
      <c r="A197" s="16"/>
      <c r="B197" s="82"/>
      <c r="C197" s="82"/>
      <c r="D197" s="58" t="s">
        <v>181</v>
      </c>
      <c r="E197" s="58" t="s">
        <v>181</v>
      </c>
      <c r="F197" s="89"/>
      <c r="G197" s="25">
        <f t="shared" si="12"/>
        <v>0</v>
      </c>
      <c r="H197" s="25"/>
      <c r="I197" s="84"/>
      <c r="J197" s="25">
        <f t="shared" si="11"/>
        <v>0</v>
      </c>
      <c r="K197" s="34">
        <f>1000000+350000-37000</f>
        <v>1313000</v>
      </c>
      <c r="L197" s="34"/>
      <c r="M197" s="34">
        <f t="shared" si="15"/>
        <v>1313000</v>
      </c>
      <c r="N197" s="35">
        <f t="shared" si="13"/>
        <v>1313</v>
      </c>
      <c r="O197" s="78"/>
      <c r="P197" s="29"/>
      <c r="Q197" s="78"/>
      <c r="R197" s="31"/>
      <c r="S197" s="87"/>
      <c r="T197" s="87"/>
      <c r="U197" s="87"/>
      <c r="V197" s="67"/>
      <c r="W197" s="67"/>
      <c r="X197" s="67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  <c r="DK197" s="85"/>
      <c r="DL197" s="85"/>
      <c r="DM197" s="85"/>
      <c r="DN197" s="85"/>
      <c r="DO197" s="85"/>
      <c r="DP197" s="85"/>
      <c r="DQ197" s="85"/>
      <c r="DR197" s="85"/>
      <c r="DS197" s="85"/>
      <c r="DT197" s="85"/>
      <c r="DU197" s="85"/>
      <c r="DV197" s="85"/>
      <c r="DW197" s="85"/>
      <c r="DX197" s="85"/>
      <c r="DY197" s="85"/>
      <c r="DZ197" s="85"/>
      <c r="EA197" s="85"/>
      <c r="EB197" s="85"/>
      <c r="EC197" s="85"/>
      <c r="ED197" s="85"/>
      <c r="EE197" s="85"/>
      <c r="EF197" s="85"/>
      <c r="EG197" s="85"/>
      <c r="EH197" s="85"/>
      <c r="EI197" s="85"/>
      <c r="EJ197" s="85"/>
      <c r="EK197" s="85"/>
      <c r="EL197" s="85"/>
      <c r="EM197" s="85"/>
      <c r="EN197" s="85"/>
      <c r="EO197" s="85"/>
      <c r="EP197" s="85"/>
      <c r="EQ197" s="85"/>
      <c r="ER197" s="85"/>
      <c r="ES197" s="85"/>
      <c r="ET197" s="85"/>
      <c r="EU197" s="85"/>
    </row>
    <row r="198" spans="1:151" s="111" customFormat="1" ht="27" customHeight="1">
      <c r="A198" s="91">
        <v>1517325</v>
      </c>
      <c r="B198" s="39" t="s">
        <v>142</v>
      </c>
      <c r="C198" s="39" t="s">
        <v>52</v>
      </c>
      <c r="D198" s="92" t="s">
        <v>424</v>
      </c>
      <c r="E198" s="109"/>
      <c r="F198" s="110"/>
      <c r="G198" s="25">
        <f t="shared" si="12"/>
        <v>0</v>
      </c>
      <c r="H198" s="42"/>
      <c r="I198" s="84"/>
      <c r="J198" s="25">
        <f t="shared" si="11"/>
        <v>0</v>
      </c>
      <c r="K198" s="95">
        <f>K199</f>
        <v>8375000</v>
      </c>
      <c r="L198" s="95">
        <f>L199</f>
        <v>0</v>
      </c>
      <c r="M198" s="95">
        <f>M199</f>
        <v>8375000</v>
      </c>
      <c r="N198" s="96">
        <f>N199</f>
        <v>7561</v>
      </c>
      <c r="O198" s="78"/>
      <c r="P198" s="29"/>
      <c r="Q198" s="78"/>
      <c r="R198" s="31"/>
      <c r="S198" s="87"/>
      <c r="T198" s="87"/>
      <c r="U198" s="87"/>
      <c r="V198" s="67"/>
      <c r="W198" s="67"/>
      <c r="X198" s="67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04"/>
      <c r="BA198" s="104"/>
      <c r="BB198" s="104"/>
      <c r="BC198" s="104"/>
      <c r="BD198" s="104"/>
      <c r="BE198" s="104"/>
      <c r="BF198" s="104"/>
      <c r="BG198" s="104"/>
      <c r="BH198" s="104"/>
      <c r="BI198" s="104"/>
      <c r="BJ198" s="104"/>
      <c r="BK198" s="104"/>
      <c r="BL198" s="104"/>
      <c r="BM198" s="104"/>
      <c r="BN198" s="104"/>
      <c r="BO198" s="104"/>
      <c r="BP198" s="104"/>
      <c r="BQ198" s="104"/>
      <c r="BR198" s="104"/>
      <c r="BS198" s="104"/>
      <c r="BT198" s="104"/>
      <c r="BU198" s="104"/>
      <c r="BV198" s="104"/>
      <c r="BW198" s="104"/>
      <c r="BX198" s="104"/>
      <c r="BY198" s="104"/>
      <c r="BZ198" s="104"/>
      <c r="CA198" s="104"/>
      <c r="CB198" s="104"/>
      <c r="CC198" s="104"/>
      <c r="CD198" s="104"/>
      <c r="CE198" s="104"/>
      <c r="CF198" s="104"/>
      <c r="CG198" s="104"/>
      <c r="CH198" s="104"/>
      <c r="CI198" s="104"/>
      <c r="CJ198" s="104"/>
      <c r="CK198" s="104"/>
      <c r="CL198" s="104"/>
      <c r="CM198" s="104"/>
      <c r="CN198" s="104"/>
      <c r="CO198" s="104"/>
      <c r="CP198" s="104"/>
      <c r="CQ198" s="104"/>
      <c r="CR198" s="104"/>
      <c r="CS198" s="104"/>
      <c r="CT198" s="104"/>
      <c r="CU198" s="104"/>
      <c r="CV198" s="104"/>
      <c r="CW198" s="104"/>
      <c r="CX198" s="104"/>
      <c r="CY198" s="104"/>
      <c r="CZ198" s="104"/>
      <c r="DA198" s="104"/>
      <c r="DB198" s="104"/>
      <c r="DC198" s="104"/>
      <c r="DD198" s="104"/>
      <c r="DE198" s="104"/>
      <c r="DF198" s="104"/>
      <c r="DG198" s="104"/>
      <c r="DH198" s="104"/>
      <c r="DI198" s="104"/>
      <c r="DJ198" s="104"/>
      <c r="DK198" s="104"/>
      <c r="DL198" s="104"/>
      <c r="DM198" s="104"/>
      <c r="DN198" s="104"/>
      <c r="DO198" s="104"/>
      <c r="DP198" s="104"/>
      <c r="DQ198" s="104"/>
      <c r="DR198" s="104"/>
      <c r="DS198" s="104"/>
      <c r="DT198" s="104"/>
      <c r="DU198" s="104"/>
      <c r="DV198" s="104"/>
      <c r="DW198" s="104"/>
      <c r="DX198" s="104"/>
      <c r="DY198" s="104"/>
      <c r="DZ198" s="104"/>
      <c r="EA198" s="104"/>
      <c r="EB198" s="104"/>
      <c r="EC198" s="104"/>
      <c r="ED198" s="104"/>
      <c r="EE198" s="104"/>
      <c r="EF198" s="104"/>
      <c r="EG198" s="104"/>
      <c r="EH198" s="104"/>
      <c r="EI198" s="104"/>
      <c r="EJ198" s="104"/>
      <c r="EK198" s="104"/>
      <c r="EL198" s="104"/>
      <c r="EM198" s="104"/>
      <c r="EN198" s="104"/>
      <c r="EO198" s="104"/>
      <c r="EP198" s="104"/>
      <c r="EQ198" s="104"/>
      <c r="ER198" s="104"/>
      <c r="ES198" s="104"/>
      <c r="ET198" s="104"/>
      <c r="EU198" s="104"/>
    </row>
    <row r="199" spans="1:151" s="36" customFormat="1" ht="22.5" customHeight="1">
      <c r="A199" s="81"/>
      <c r="B199" s="82"/>
      <c r="C199" s="82"/>
      <c r="D199" s="1" t="s">
        <v>147</v>
      </c>
      <c r="E199" s="1" t="s">
        <v>147</v>
      </c>
      <c r="F199" s="88"/>
      <c r="G199" s="25">
        <f t="shared" si="12"/>
        <v>0</v>
      </c>
      <c r="H199" s="79"/>
      <c r="I199" s="84"/>
      <c r="J199" s="25">
        <f t="shared" si="11"/>
        <v>0</v>
      </c>
      <c r="K199" s="26">
        <f>SUM(K200:K202)</f>
        <v>8375000</v>
      </c>
      <c r="L199" s="26">
        <f>SUM(L200:L202)</f>
        <v>0</v>
      </c>
      <c r="M199" s="26">
        <f>SUM(M200:M202)</f>
        <v>8375000</v>
      </c>
      <c r="N199" s="27">
        <f>SUM(N200:N202)</f>
        <v>7561</v>
      </c>
      <c r="O199" s="78"/>
      <c r="P199" s="29"/>
      <c r="Q199" s="78"/>
      <c r="R199" s="31"/>
      <c r="S199" s="105"/>
      <c r="T199" s="105"/>
      <c r="U199" s="105"/>
      <c r="V199" s="67"/>
      <c r="W199" s="67"/>
      <c r="X199" s="67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O199" s="68"/>
      <c r="CP199" s="68"/>
      <c r="CQ199" s="68"/>
      <c r="CR199" s="68"/>
      <c r="CS199" s="68"/>
      <c r="CT199" s="68"/>
      <c r="CU199" s="68"/>
      <c r="CV199" s="68"/>
      <c r="CW199" s="68"/>
      <c r="CX199" s="68"/>
      <c r="CY199" s="68"/>
      <c r="CZ199" s="68"/>
      <c r="DA199" s="68"/>
      <c r="DB199" s="68"/>
      <c r="DC199" s="68"/>
      <c r="DD199" s="68"/>
      <c r="DE199" s="68"/>
      <c r="DF199" s="68"/>
      <c r="DG199" s="68"/>
      <c r="DH199" s="68"/>
      <c r="DI199" s="68"/>
      <c r="DJ199" s="68"/>
      <c r="DK199" s="68"/>
      <c r="DL199" s="68"/>
      <c r="DM199" s="68"/>
      <c r="DN199" s="68"/>
      <c r="DO199" s="68"/>
      <c r="DP199" s="68"/>
      <c r="DQ199" s="68"/>
      <c r="DR199" s="68"/>
      <c r="DS199" s="68"/>
      <c r="DT199" s="68"/>
      <c r="DU199" s="68"/>
      <c r="DV199" s="68"/>
      <c r="DW199" s="68"/>
      <c r="DX199" s="68"/>
      <c r="DY199" s="68"/>
      <c r="DZ199" s="68"/>
      <c r="EA199" s="68"/>
      <c r="EB199" s="68"/>
      <c r="EC199" s="68"/>
      <c r="ED199" s="68"/>
      <c r="EE199" s="68"/>
      <c r="EF199" s="68"/>
      <c r="EG199" s="68"/>
      <c r="EH199" s="68"/>
      <c r="EI199" s="68"/>
      <c r="EJ199" s="68"/>
      <c r="EK199" s="68"/>
      <c r="EL199" s="68"/>
      <c r="EM199" s="68"/>
      <c r="EN199" s="68"/>
      <c r="EO199" s="68"/>
      <c r="EP199" s="68"/>
      <c r="EQ199" s="68"/>
      <c r="ER199" s="68"/>
      <c r="ES199" s="68"/>
      <c r="ET199" s="68"/>
      <c r="EU199" s="68"/>
    </row>
    <row r="200" spans="1:24" s="85" customFormat="1" ht="32.25" customHeight="1">
      <c r="A200" s="82"/>
      <c r="B200" s="82"/>
      <c r="C200" s="82"/>
      <c r="D200" s="86" t="s">
        <v>161</v>
      </c>
      <c r="E200" s="86" t="s">
        <v>161</v>
      </c>
      <c r="F200" s="84">
        <v>8134171</v>
      </c>
      <c r="G200" s="25">
        <f t="shared" si="12"/>
        <v>8134.2</v>
      </c>
      <c r="H200" s="25">
        <v>36</v>
      </c>
      <c r="I200" s="84">
        <v>2927689</v>
      </c>
      <c r="J200" s="25">
        <f t="shared" si="11"/>
        <v>2927.7</v>
      </c>
      <c r="K200" s="34">
        <f>2000000-125000</f>
        <v>1875000</v>
      </c>
      <c r="L200" s="34"/>
      <c r="M200" s="34">
        <f t="shared" si="15"/>
        <v>1875000</v>
      </c>
      <c r="N200" s="35">
        <f>ROUND(M200/1000,1)-234</f>
        <v>1641</v>
      </c>
      <c r="O200" s="78"/>
      <c r="P200" s="29"/>
      <c r="Q200" s="78"/>
      <c r="R200" s="31"/>
      <c r="S200" s="67"/>
      <c r="T200" s="67"/>
      <c r="U200" s="67"/>
      <c r="V200" s="67"/>
      <c r="W200" s="67"/>
      <c r="X200" s="67"/>
    </row>
    <row r="201" spans="1:24" s="85" customFormat="1" ht="28.5" customHeight="1">
      <c r="A201" s="82"/>
      <c r="B201" s="82"/>
      <c r="C201" s="82"/>
      <c r="D201" s="86" t="s">
        <v>162</v>
      </c>
      <c r="E201" s="86" t="s">
        <v>162</v>
      </c>
      <c r="F201" s="100">
        <v>33898627</v>
      </c>
      <c r="G201" s="25">
        <f t="shared" si="12"/>
        <v>33898.6</v>
      </c>
      <c r="H201" s="25">
        <v>64.8</v>
      </c>
      <c r="I201" s="84">
        <v>21964382</v>
      </c>
      <c r="J201" s="25">
        <f t="shared" si="11"/>
        <v>21964.4</v>
      </c>
      <c r="K201" s="34">
        <v>4000000</v>
      </c>
      <c r="L201" s="34"/>
      <c r="M201" s="34">
        <f t="shared" si="15"/>
        <v>4000000</v>
      </c>
      <c r="N201" s="35">
        <f>ROUND(M201/1000,1)-485-580</f>
        <v>2935</v>
      </c>
      <c r="O201" s="78"/>
      <c r="P201" s="29"/>
      <c r="Q201" s="78"/>
      <c r="R201" s="31"/>
      <c r="S201" s="87"/>
      <c r="T201" s="87"/>
      <c r="U201" s="87"/>
      <c r="V201" s="67"/>
      <c r="W201" s="67"/>
      <c r="X201" s="67"/>
    </row>
    <row r="202" spans="1:24" s="85" customFormat="1" ht="30" customHeight="1">
      <c r="A202" s="82"/>
      <c r="B202" s="82"/>
      <c r="C202" s="82"/>
      <c r="D202" s="86" t="s">
        <v>182</v>
      </c>
      <c r="E202" s="86" t="s">
        <v>182</v>
      </c>
      <c r="F202" s="84">
        <v>3821803</v>
      </c>
      <c r="G202" s="25">
        <f t="shared" si="12"/>
        <v>3821.8</v>
      </c>
      <c r="H202" s="25">
        <v>97.6</v>
      </c>
      <c r="I202" s="84">
        <v>3729106</v>
      </c>
      <c r="J202" s="25">
        <f t="shared" si="11"/>
        <v>3729.1</v>
      </c>
      <c r="K202" s="34">
        <v>2500000</v>
      </c>
      <c r="L202" s="34"/>
      <c r="M202" s="34">
        <f t="shared" si="15"/>
        <v>2500000</v>
      </c>
      <c r="N202" s="35">
        <f>ROUND(M202/1000,1)+485</f>
        <v>2985</v>
      </c>
      <c r="O202" s="78"/>
      <c r="P202" s="29"/>
      <c r="Q202" s="78"/>
      <c r="R202" s="31"/>
      <c r="S202" s="87"/>
      <c r="T202" s="87"/>
      <c r="U202" s="87"/>
      <c r="V202" s="67"/>
      <c r="W202" s="67"/>
      <c r="X202" s="67"/>
    </row>
    <row r="203" spans="1:151" ht="34.5" customHeight="1">
      <c r="A203" s="16">
        <v>1517330</v>
      </c>
      <c r="B203" s="32" t="s">
        <v>138</v>
      </c>
      <c r="C203" s="32" t="s">
        <v>52</v>
      </c>
      <c r="D203" s="24" t="s">
        <v>415</v>
      </c>
      <c r="E203" s="73"/>
      <c r="F203" s="89"/>
      <c r="G203" s="25">
        <f t="shared" si="12"/>
        <v>0</v>
      </c>
      <c r="H203" s="25"/>
      <c r="I203" s="84"/>
      <c r="J203" s="25">
        <f t="shared" si="11"/>
        <v>0</v>
      </c>
      <c r="K203" s="26">
        <f>K204+K236</f>
        <v>42104486</v>
      </c>
      <c r="L203" s="26">
        <f>L204+L236</f>
        <v>0</v>
      </c>
      <c r="M203" s="26">
        <f>M204+M236</f>
        <v>42104486</v>
      </c>
      <c r="N203" s="27">
        <f>N204+N236</f>
        <v>42625.5</v>
      </c>
      <c r="O203" s="78"/>
      <c r="P203" s="29"/>
      <c r="Q203" s="78"/>
      <c r="R203" s="31"/>
      <c r="S203" s="87"/>
      <c r="T203" s="87"/>
      <c r="U203" s="87"/>
      <c r="V203" s="67"/>
      <c r="W203" s="67"/>
      <c r="X203" s="67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  <c r="DK203" s="85"/>
      <c r="DL203" s="85"/>
      <c r="DM203" s="85"/>
      <c r="DN203" s="85"/>
      <c r="DO203" s="85"/>
      <c r="DP203" s="85"/>
      <c r="DQ203" s="85"/>
      <c r="DR203" s="85"/>
      <c r="DS203" s="85"/>
      <c r="DT203" s="85"/>
      <c r="DU203" s="85"/>
      <c r="DV203" s="85"/>
      <c r="DW203" s="85"/>
      <c r="DX203" s="85"/>
      <c r="DY203" s="85"/>
      <c r="DZ203" s="85"/>
      <c r="EA203" s="85"/>
      <c r="EB203" s="85"/>
      <c r="EC203" s="85"/>
      <c r="ED203" s="85"/>
      <c r="EE203" s="85"/>
      <c r="EF203" s="85"/>
      <c r="EG203" s="85"/>
      <c r="EH203" s="85"/>
      <c r="EI203" s="85"/>
      <c r="EJ203" s="85"/>
      <c r="EK203" s="85"/>
      <c r="EL203" s="85"/>
      <c r="EM203" s="85"/>
      <c r="EN203" s="85"/>
      <c r="EO203" s="85"/>
      <c r="EP203" s="85"/>
      <c r="EQ203" s="85"/>
      <c r="ER203" s="85"/>
      <c r="ES203" s="85"/>
      <c r="ET203" s="85"/>
      <c r="EU203" s="85"/>
    </row>
    <row r="204" spans="1:151" ht="24.75" customHeight="1">
      <c r="A204" s="112"/>
      <c r="B204" s="82"/>
      <c r="C204" s="82"/>
      <c r="D204" s="72" t="s">
        <v>143</v>
      </c>
      <c r="E204" s="72" t="s">
        <v>143</v>
      </c>
      <c r="F204" s="88"/>
      <c r="G204" s="25">
        <f t="shared" si="12"/>
        <v>0</v>
      </c>
      <c r="H204" s="113"/>
      <c r="I204" s="84"/>
      <c r="J204" s="25">
        <f t="shared" si="11"/>
        <v>0</v>
      </c>
      <c r="K204" s="26">
        <f>SUM(K205:K235)</f>
        <v>19831386</v>
      </c>
      <c r="L204" s="26">
        <f>SUM(L205:L235)</f>
        <v>0</v>
      </c>
      <c r="M204" s="26">
        <f>SUM(M205:M235)</f>
        <v>19831386</v>
      </c>
      <c r="N204" s="27">
        <f>SUM(N205:N235)</f>
        <v>20152.399999999998</v>
      </c>
      <c r="O204" s="78"/>
      <c r="P204" s="29"/>
      <c r="Q204" s="78"/>
      <c r="R204" s="31"/>
      <c r="S204" s="87"/>
      <c r="T204" s="87"/>
      <c r="U204" s="87"/>
      <c r="V204" s="67"/>
      <c r="W204" s="67"/>
      <c r="X204" s="67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  <c r="DK204" s="85"/>
      <c r="DL204" s="85"/>
      <c r="DM204" s="85"/>
      <c r="DN204" s="85"/>
      <c r="DO204" s="85"/>
      <c r="DP204" s="85"/>
      <c r="DQ204" s="85"/>
      <c r="DR204" s="85"/>
      <c r="DS204" s="85"/>
      <c r="DT204" s="85"/>
      <c r="DU204" s="85"/>
      <c r="DV204" s="85"/>
      <c r="DW204" s="85"/>
      <c r="DX204" s="85"/>
      <c r="DY204" s="85"/>
      <c r="DZ204" s="85"/>
      <c r="EA204" s="85"/>
      <c r="EB204" s="85"/>
      <c r="EC204" s="85"/>
      <c r="ED204" s="85"/>
      <c r="EE204" s="85"/>
      <c r="EF204" s="85"/>
      <c r="EG204" s="85"/>
      <c r="EH204" s="85"/>
      <c r="EI204" s="85"/>
      <c r="EJ204" s="85"/>
      <c r="EK204" s="85"/>
      <c r="EL204" s="85"/>
      <c r="EM204" s="85"/>
      <c r="EN204" s="85"/>
      <c r="EO204" s="85"/>
      <c r="EP204" s="85"/>
      <c r="EQ204" s="85"/>
      <c r="ER204" s="85"/>
      <c r="ES204" s="85"/>
      <c r="ET204" s="85"/>
      <c r="EU204" s="85"/>
    </row>
    <row r="205" spans="1:151" ht="31.5" customHeight="1">
      <c r="A205" s="112"/>
      <c r="B205" s="82"/>
      <c r="C205" s="82"/>
      <c r="D205" s="33" t="s">
        <v>358</v>
      </c>
      <c r="E205" s="33" t="s">
        <v>358</v>
      </c>
      <c r="F205" s="88"/>
      <c r="G205" s="25">
        <f t="shared" si="12"/>
        <v>0</v>
      </c>
      <c r="H205" s="113"/>
      <c r="I205" s="84"/>
      <c r="J205" s="25">
        <f t="shared" si="11"/>
        <v>0</v>
      </c>
      <c r="K205" s="34">
        <v>500000</v>
      </c>
      <c r="L205" s="34"/>
      <c r="M205" s="34">
        <f t="shared" si="15"/>
        <v>500000</v>
      </c>
      <c r="N205" s="35">
        <f t="shared" si="13"/>
        <v>500</v>
      </c>
      <c r="O205" s="78"/>
      <c r="P205" s="29"/>
      <c r="Q205" s="78"/>
      <c r="R205" s="31"/>
      <c r="S205" s="87"/>
      <c r="T205" s="87"/>
      <c r="U205" s="87"/>
      <c r="V205" s="67"/>
      <c r="W205" s="67"/>
      <c r="X205" s="67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  <c r="DK205" s="85"/>
      <c r="DL205" s="85"/>
      <c r="DM205" s="85"/>
      <c r="DN205" s="85"/>
      <c r="DO205" s="85"/>
      <c r="DP205" s="85"/>
      <c r="DQ205" s="85"/>
      <c r="DR205" s="85"/>
      <c r="DS205" s="85"/>
      <c r="DT205" s="85"/>
      <c r="DU205" s="85"/>
      <c r="DV205" s="85"/>
      <c r="DW205" s="85"/>
      <c r="DX205" s="85"/>
      <c r="DY205" s="85"/>
      <c r="DZ205" s="85"/>
      <c r="EA205" s="85"/>
      <c r="EB205" s="85"/>
      <c r="EC205" s="85"/>
      <c r="ED205" s="85"/>
      <c r="EE205" s="85"/>
      <c r="EF205" s="85"/>
      <c r="EG205" s="85"/>
      <c r="EH205" s="85"/>
      <c r="EI205" s="85"/>
      <c r="EJ205" s="85"/>
      <c r="EK205" s="85"/>
      <c r="EL205" s="85"/>
      <c r="EM205" s="85"/>
      <c r="EN205" s="85"/>
      <c r="EO205" s="85"/>
      <c r="EP205" s="85"/>
      <c r="EQ205" s="85"/>
      <c r="ER205" s="85"/>
      <c r="ES205" s="85"/>
      <c r="ET205" s="85"/>
      <c r="EU205" s="85"/>
    </row>
    <row r="206" spans="1:151" ht="30" customHeight="1">
      <c r="A206" s="81"/>
      <c r="B206" s="81"/>
      <c r="C206" s="81"/>
      <c r="D206" s="86" t="s">
        <v>163</v>
      </c>
      <c r="E206" s="86" t="s">
        <v>163</v>
      </c>
      <c r="F206" s="100">
        <v>28556946</v>
      </c>
      <c r="G206" s="25">
        <f t="shared" si="12"/>
        <v>28556.9</v>
      </c>
      <c r="H206" s="114">
        <v>89.5</v>
      </c>
      <c r="I206" s="84">
        <v>25554164</v>
      </c>
      <c r="J206" s="25">
        <f t="shared" si="11"/>
        <v>25554.2</v>
      </c>
      <c r="K206" s="34">
        <v>3000000</v>
      </c>
      <c r="L206" s="34"/>
      <c r="M206" s="34">
        <f t="shared" si="15"/>
        <v>3000000</v>
      </c>
      <c r="N206" s="35">
        <f t="shared" si="13"/>
        <v>3000</v>
      </c>
      <c r="O206" s="78"/>
      <c r="P206" s="29"/>
      <c r="Q206" s="78"/>
      <c r="R206" s="31"/>
      <c r="S206" s="87"/>
      <c r="T206" s="87"/>
      <c r="U206" s="87"/>
      <c r="V206" s="67"/>
      <c r="W206" s="67"/>
      <c r="X206" s="67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  <c r="DK206" s="85"/>
      <c r="DL206" s="85"/>
      <c r="DM206" s="85"/>
      <c r="DN206" s="85"/>
      <c r="DO206" s="85"/>
      <c r="DP206" s="85"/>
      <c r="DQ206" s="85"/>
      <c r="DR206" s="85"/>
      <c r="DS206" s="85"/>
      <c r="DT206" s="85"/>
      <c r="DU206" s="85"/>
      <c r="DV206" s="85"/>
      <c r="DW206" s="85"/>
      <c r="DX206" s="85"/>
      <c r="DY206" s="85"/>
      <c r="DZ206" s="85"/>
      <c r="EA206" s="85"/>
      <c r="EB206" s="85"/>
      <c r="EC206" s="85"/>
      <c r="ED206" s="85"/>
      <c r="EE206" s="85"/>
      <c r="EF206" s="85"/>
      <c r="EG206" s="85"/>
      <c r="EH206" s="85"/>
      <c r="EI206" s="85"/>
      <c r="EJ206" s="85"/>
      <c r="EK206" s="85"/>
      <c r="EL206" s="85"/>
      <c r="EM206" s="85"/>
      <c r="EN206" s="85"/>
      <c r="EO206" s="85"/>
      <c r="EP206" s="85"/>
      <c r="EQ206" s="85"/>
      <c r="ER206" s="85"/>
      <c r="ES206" s="85"/>
      <c r="ET206" s="85"/>
      <c r="EU206" s="85"/>
    </row>
    <row r="207" spans="1:151" ht="45" customHeight="1">
      <c r="A207" s="81"/>
      <c r="B207" s="81"/>
      <c r="C207" s="81"/>
      <c r="D207" s="58" t="s">
        <v>164</v>
      </c>
      <c r="E207" s="58" t="s">
        <v>164</v>
      </c>
      <c r="F207" s="84"/>
      <c r="G207" s="25">
        <f t="shared" si="12"/>
        <v>0</v>
      </c>
      <c r="H207" s="81"/>
      <c r="I207" s="84"/>
      <c r="J207" s="25">
        <f t="shared" si="11"/>
        <v>0</v>
      </c>
      <c r="K207" s="34">
        <f>2659000-1111500-448500-100000-900000</f>
        <v>99000</v>
      </c>
      <c r="L207" s="34"/>
      <c r="M207" s="34">
        <f t="shared" si="15"/>
        <v>99000</v>
      </c>
      <c r="N207" s="35">
        <f>ROUND(M207/1000,1)-29</f>
        <v>70</v>
      </c>
      <c r="O207" s="78"/>
      <c r="P207" s="29"/>
      <c r="Q207" s="78"/>
      <c r="R207" s="31"/>
      <c r="S207" s="87"/>
      <c r="T207" s="87"/>
      <c r="U207" s="87"/>
      <c r="V207" s="67"/>
      <c r="W207" s="67"/>
      <c r="X207" s="67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  <c r="DK207" s="85"/>
      <c r="DL207" s="85"/>
      <c r="DM207" s="85"/>
      <c r="DN207" s="85"/>
      <c r="DO207" s="85"/>
      <c r="DP207" s="85"/>
      <c r="DQ207" s="85"/>
      <c r="DR207" s="85"/>
      <c r="DS207" s="85"/>
      <c r="DT207" s="85"/>
      <c r="DU207" s="85"/>
      <c r="DV207" s="85"/>
      <c r="DW207" s="85"/>
      <c r="DX207" s="85"/>
      <c r="DY207" s="85"/>
      <c r="DZ207" s="85"/>
      <c r="EA207" s="85"/>
      <c r="EB207" s="85"/>
      <c r="EC207" s="85"/>
      <c r="ED207" s="85"/>
      <c r="EE207" s="85"/>
      <c r="EF207" s="85"/>
      <c r="EG207" s="85"/>
      <c r="EH207" s="85"/>
      <c r="EI207" s="85"/>
      <c r="EJ207" s="85"/>
      <c r="EK207" s="85"/>
      <c r="EL207" s="85"/>
      <c r="EM207" s="85"/>
      <c r="EN207" s="85"/>
      <c r="EO207" s="85"/>
      <c r="EP207" s="85"/>
      <c r="EQ207" s="85"/>
      <c r="ER207" s="85"/>
      <c r="ES207" s="85"/>
      <c r="ET207" s="85"/>
      <c r="EU207" s="85"/>
    </row>
    <row r="208" spans="1:24" s="85" customFormat="1" ht="30" customHeight="1">
      <c r="A208" s="82"/>
      <c r="B208" s="82"/>
      <c r="C208" s="82"/>
      <c r="D208" s="58" t="s">
        <v>165</v>
      </c>
      <c r="E208" s="58" t="s">
        <v>165</v>
      </c>
      <c r="F208" s="84"/>
      <c r="G208" s="25">
        <f t="shared" si="12"/>
        <v>0</v>
      </c>
      <c r="H208" s="25"/>
      <c r="I208" s="84"/>
      <c r="J208" s="25">
        <f t="shared" si="11"/>
        <v>0</v>
      </c>
      <c r="K208" s="34">
        <f>5000000+4000000</f>
        <v>9000000</v>
      </c>
      <c r="L208" s="34"/>
      <c r="M208" s="34">
        <f>L208+K208</f>
        <v>9000000</v>
      </c>
      <c r="N208" s="35">
        <f t="shared" si="13"/>
        <v>9000</v>
      </c>
      <c r="O208" s="78"/>
      <c r="P208" s="29"/>
      <c r="Q208" s="78"/>
      <c r="R208" s="31"/>
      <c r="S208" s="87"/>
      <c r="T208" s="87"/>
      <c r="U208" s="87"/>
      <c r="V208" s="67"/>
      <c r="W208" s="67"/>
      <c r="X208" s="67"/>
    </row>
    <row r="209" spans="1:24" s="85" customFormat="1" ht="34.5" customHeight="1">
      <c r="A209" s="82"/>
      <c r="B209" s="82"/>
      <c r="C209" s="82"/>
      <c r="D209" s="86" t="s">
        <v>196</v>
      </c>
      <c r="E209" s="86" t="s">
        <v>196</v>
      </c>
      <c r="F209" s="84"/>
      <c r="G209" s="25">
        <f t="shared" si="12"/>
        <v>0</v>
      </c>
      <c r="H209" s="25"/>
      <c r="I209" s="84"/>
      <c r="J209" s="25">
        <f t="shared" si="11"/>
        <v>0</v>
      </c>
      <c r="K209" s="34">
        <v>870000</v>
      </c>
      <c r="L209" s="34"/>
      <c r="M209" s="34">
        <f t="shared" si="15"/>
        <v>870000</v>
      </c>
      <c r="N209" s="35">
        <f t="shared" si="13"/>
        <v>870</v>
      </c>
      <c r="O209" s="78"/>
      <c r="P209" s="29"/>
      <c r="Q209" s="78"/>
      <c r="R209" s="31"/>
      <c r="S209" s="87"/>
      <c r="T209" s="87"/>
      <c r="U209" s="87"/>
      <c r="V209" s="67"/>
      <c r="W209" s="67"/>
      <c r="X209" s="67"/>
    </row>
    <row r="210" spans="1:24" s="85" customFormat="1" ht="30" customHeight="1">
      <c r="A210" s="82"/>
      <c r="B210" s="82"/>
      <c r="C210" s="82"/>
      <c r="D210" s="86" t="s">
        <v>374</v>
      </c>
      <c r="E210" s="86" t="s">
        <v>374</v>
      </c>
      <c r="F210" s="84"/>
      <c r="G210" s="25">
        <f t="shared" si="12"/>
        <v>0</v>
      </c>
      <c r="H210" s="25"/>
      <c r="I210" s="84"/>
      <c r="J210" s="25">
        <f t="shared" si="11"/>
        <v>0</v>
      </c>
      <c r="K210" s="34">
        <v>155800</v>
      </c>
      <c r="L210" s="34"/>
      <c r="M210" s="34">
        <f t="shared" si="15"/>
        <v>155800</v>
      </c>
      <c r="N210" s="35">
        <f t="shared" si="13"/>
        <v>155.8</v>
      </c>
      <c r="O210" s="78"/>
      <c r="P210" s="29"/>
      <c r="Q210" s="78"/>
      <c r="R210" s="31"/>
      <c r="S210" s="87"/>
      <c r="T210" s="87"/>
      <c r="U210" s="87"/>
      <c r="V210" s="67"/>
      <c r="W210" s="67"/>
      <c r="X210" s="67"/>
    </row>
    <row r="211" spans="1:24" s="85" customFormat="1" ht="27.75" customHeight="1">
      <c r="A211" s="82"/>
      <c r="B211" s="82"/>
      <c r="C211" s="82"/>
      <c r="D211" s="86" t="s">
        <v>378</v>
      </c>
      <c r="E211" s="86" t="s">
        <v>378</v>
      </c>
      <c r="F211" s="84"/>
      <c r="G211" s="25">
        <f t="shared" si="12"/>
        <v>0</v>
      </c>
      <c r="H211" s="25"/>
      <c r="I211" s="84"/>
      <c r="J211" s="25">
        <f t="shared" si="11"/>
        <v>0</v>
      </c>
      <c r="K211" s="34">
        <v>100000</v>
      </c>
      <c r="L211" s="34"/>
      <c r="M211" s="34">
        <f t="shared" si="15"/>
        <v>100000</v>
      </c>
      <c r="N211" s="35">
        <f t="shared" si="13"/>
        <v>100</v>
      </c>
      <c r="O211" s="78"/>
      <c r="P211" s="29"/>
      <c r="Q211" s="78"/>
      <c r="R211" s="31"/>
      <c r="S211" s="87"/>
      <c r="T211" s="87"/>
      <c r="U211" s="87"/>
      <c r="V211" s="67"/>
      <c r="W211" s="67"/>
      <c r="X211" s="67"/>
    </row>
    <row r="212" spans="1:24" s="85" customFormat="1" ht="27.75" customHeight="1">
      <c r="A212" s="82"/>
      <c r="B212" s="82"/>
      <c r="C212" s="82"/>
      <c r="D212" s="86" t="s">
        <v>435</v>
      </c>
      <c r="E212" s="86"/>
      <c r="F212" s="84"/>
      <c r="G212" s="25"/>
      <c r="H212" s="25"/>
      <c r="I212" s="84"/>
      <c r="J212" s="25"/>
      <c r="K212" s="34"/>
      <c r="L212" s="34"/>
      <c r="M212" s="34"/>
      <c r="N212" s="35">
        <v>100</v>
      </c>
      <c r="O212" s="78"/>
      <c r="P212" s="29"/>
      <c r="Q212" s="78"/>
      <c r="R212" s="31"/>
      <c r="S212" s="87"/>
      <c r="T212" s="87"/>
      <c r="U212" s="87"/>
      <c r="V212" s="67"/>
      <c r="W212" s="67"/>
      <c r="X212" s="67"/>
    </row>
    <row r="213" spans="1:24" s="85" customFormat="1" ht="33" customHeight="1">
      <c r="A213" s="82"/>
      <c r="B213" s="82"/>
      <c r="C213" s="82"/>
      <c r="D213" s="86" t="s">
        <v>379</v>
      </c>
      <c r="E213" s="86" t="s">
        <v>379</v>
      </c>
      <c r="F213" s="84"/>
      <c r="G213" s="25">
        <f t="shared" si="12"/>
        <v>0</v>
      </c>
      <c r="H213" s="25"/>
      <c r="I213" s="84"/>
      <c r="J213" s="25">
        <f t="shared" si="11"/>
        <v>0</v>
      </c>
      <c r="K213" s="34">
        <v>100000</v>
      </c>
      <c r="L213" s="34"/>
      <c r="M213" s="34">
        <f t="shared" si="15"/>
        <v>100000</v>
      </c>
      <c r="N213" s="35">
        <f t="shared" si="13"/>
        <v>100</v>
      </c>
      <c r="O213" s="78"/>
      <c r="P213" s="29"/>
      <c r="Q213" s="78"/>
      <c r="R213" s="31"/>
      <c r="S213" s="87"/>
      <c r="T213" s="87"/>
      <c r="U213" s="87"/>
      <c r="V213" s="67"/>
      <c r="W213" s="67"/>
      <c r="X213" s="67"/>
    </row>
    <row r="214" spans="1:24" s="85" customFormat="1" ht="30" customHeight="1">
      <c r="A214" s="82"/>
      <c r="B214" s="82"/>
      <c r="C214" s="82"/>
      <c r="D214" s="58" t="s">
        <v>240</v>
      </c>
      <c r="E214" s="58" t="s">
        <v>240</v>
      </c>
      <c r="F214" s="84"/>
      <c r="G214" s="25">
        <f t="shared" si="12"/>
        <v>0</v>
      </c>
      <c r="H214" s="25"/>
      <c r="I214" s="84"/>
      <c r="J214" s="25">
        <f t="shared" si="11"/>
        <v>0</v>
      </c>
      <c r="K214" s="34">
        <f>100000-5700</f>
        <v>94300</v>
      </c>
      <c r="L214" s="34"/>
      <c r="M214" s="34">
        <f t="shared" si="15"/>
        <v>94300</v>
      </c>
      <c r="N214" s="35">
        <f t="shared" si="13"/>
        <v>94.3</v>
      </c>
      <c r="O214" s="78"/>
      <c r="P214" s="29"/>
      <c r="Q214" s="78"/>
      <c r="R214" s="31"/>
      <c r="S214" s="87"/>
      <c r="T214" s="87"/>
      <c r="U214" s="87"/>
      <c r="V214" s="67"/>
      <c r="W214" s="67"/>
      <c r="X214" s="67"/>
    </row>
    <row r="215" spans="1:24" s="85" customFormat="1" ht="25.5" customHeight="1">
      <c r="A215" s="82"/>
      <c r="B215" s="82"/>
      <c r="C215" s="82"/>
      <c r="D215" s="58" t="s">
        <v>248</v>
      </c>
      <c r="E215" s="58" t="s">
        <v>248</v>
      </c>
      <c r="F215" s="84"/>
      <c r="G215" s="25">
        <f t="shared" si="12"/>
        <v>0</v>
      </c>
      <c r="H215" s="25"/>
      <c r="I215" s="84"/>
      <c r="J215" s="25">
        <f t="shared" si="11"/>
        <v>0</v>
      </c>
      <c r="K215" s="34">
        <f>300000-5700</f>
        <v>294300</v>
      </c>
      <c r="L215" s="34"/>
      <c r="M215" s="34">
        <f t="shared" si="15"/>
        <v>294300</v>
      </c>
      <c r="N215" s="35">
        <f t="shared" si="13"/>
        <v>294.3</v>
      </c>
      <c r="O215" s="78"/>
      <c r="P215" s="29"/>
      <c r="Q215" s="78"/>
      <c r="R215" s="31"/>
      <c r="S215" s="87"/>
      <c r="T215" s="87"/>
      <c r="U215" s="87"/>
      <c r="V215" s="67"/>
      <c r="W215" s="67"/>
      <c r="X215" s="67"/>
    </row>
    <row r="216" spans="1:24" s="85" customFormat="1" ht="42.75" customHeight="1">
      <c r="A216" s="82"/>
      <c r="B216" s="82"/>
      <c r="C216" s="82"/>
      <c r="D216" s="58" t="s">
        <v>314</v>
      </c>
      <c r="E216" s="58" t="s">
        <v>314</v>
      </c>
      <c r="F216" s="84"/>
      <c r="G216" s="25">
        <f t="shared" si="12"/>
        <v>0</v>
      </c>
      <c r="H216" s="25"/>
      <c r="I216" s="84"/>
      <c r="J216" s="25">
        <f t="shared" si="11"/>
        <v>0</v>
      </c>
      <c r="K216" s="34">
        <v>70000</v>
      </c>
      <c r="L216" s="34"/>
      <c r="M216" s="34">
        <f t="shared" si="15"/>
        <v>70000</v>
      </c>
      <c r="N216" s="35">
        <f t="shared" si="13"/>
        <v>70</v>
      </c>
      <c r="O216" s="78"/>
      <c r="P216" s="29"/>
      <c r="Q216" s="78"/>
      <c r="R216" s="31"/>
      <c r="S216" s="87"/>
      <c r="T216" s="87"/>
      <c r="U216" s="87"/>
      <c r="V216" s="67"/>
      <c r="W216" s="67"/>
      <c r="X216" s="67"/>
    </row>
    <row r="217" spans="1:24" s="85" customFormat="1" ht="46.5" customHeight="1">
      <c r="A217" s="82"/>
      <c r="B217" s="82"/>
      <c r="C217" s="82"/>
      <c r="D217" s="58" t="s">
        <v>313</v>
      </c>
      <c r="E217" s="58" t="s">
        <v>313</v>
      </c>
      <c r="F217" s="84"/>
      <c r="G217" s="25">
        <f t="shared" si="12"/>
        <v>0</v>
      </c>
      <c r="H217" s="25"/>
      <c r="I217" s="84"/>
      <c r="J217" s="25">
        <f aca="true" t="shared" si="16" ref="J217:J277">ROUND(I217/1000,1)</f>
        <v>0</v>
      </c>
      <c r="K217" s="34">
        <v>90000</v>
      </c>
      <c r="L217" s="34"/>
      <c r="M217" s="34">
        <f>L217+K217</f>
        <v>90000</v>
      </c>
      <c r="N217" s="35">
        <f t="shared" si="13"/>
        <v>90</v>
      </c>
      <c r="O217" s="78"/>
      <c r="P217" s="29"/>
      <c r="Q217" s="78"/>
      <c r="R217" s="31"/>
      <c r="S217" s="87"/>
      <c r="T217" s="87"/>
      <c r="U217" s="87"/>
      <c r="V217" s="67"/>
      <c r="W217" s="67"/>
      <c r="X217" s="67"/>
    </row>
    <row r="218" spans="1:24" s="85" customFormat="1" ht="28.5" customHeight="1">
      <c r="A218" s="82"/>
      <c r="B218" s="82"/>
      <c r="C218" s="82"/>
      <c r="D218" s="58" t="s">
        <v>292</v>
      </c>
      <c r="E218" s="58" t="s">
        <v>292</v>
      </c>
      <c r="F218" s="84"/>
      <c r="G218" s="25">
        <f aca="true" t="shared" si="17" ref="G218:G277">ROUND(F218/1000,1)</f>
        <v>0</v>
      </c>
      <c r="H218" s="25"/>
      <c r="I218" s="84"/>
      <c r="J218" s="25">
        <f t="shared" si="16"/>
        <v>0</v>
      </c>
      <c r="K218" s="34">
        <v>50000</v>
      </c>
      <c r="L218" s="34"/>
      <c r="M218" s="34">
        <f t="shared" si="15"/>
        <v>50000</v>
      </c>
      <c r="N218" s="35">
        <f aca="true" t="shared" si="18" ref="N218:N276">ROUND(M218/1000,1)</f>
        <v>50</v>
      </c>
      <c r="O218" s="78"/>
      <c r="P218" s="29"/>
      <c r="Q218" s="78"/>
      <c r="R218" s="31"/>
      <c r="S218" s="87"/>
      <c r="T218" s="87"/>
      <c r="U218" s="87"/>
      <c r="V218" s="67"/>
      <c r="W218" s="67"/>
      <c r="X218" s="67"/>
    </row>
    <row r="219" spans="1:24" s="85" customFormat="1" ht="36.75" customHeight="1">
      <c r="A219" s="82"/>
      <c r="B219" s="82"/>
      <c r="C219" s="82"/>
      <c r="D219" s="58" t="s">
        <v>293</v>
      </c>
      <c r="E219" s="58" t="s">
        <v>293</v>
      </c>
      <c r="F219" s="84"/>
      <c r="G219" s="25">
        <f t="shared" si="17"/>
        <v>0</v>
      </c>
      <c r="H219" s="25"/>
      <c r="I219" s="84"/>
      <c r="J219" s="25">
        <f t="shared" si="16"/>
        <v>0</v>
      </c>
      <c r="K219" s="34">
        <v>50000</v>
      </c>
      <c r="L219" s="34"/>
      <c r="M219" s="34">
        <f t="shared" si="15"/>
        <v>50000</v>
      </c>
      <c r="N219" s="35">
        <f t="shared" si="18"/>
        <v>50</v>
      </c>
      <c r="O219" s="78"/>
      <c r="P219" s="29"/>
      <c r="Q219" s="78"/>
      <c r="R219" s="31"/>
      <c r="S219" s="87"/>
      <c r="T219" s="87"/>
      <c r="U219" s="87"/>
      <c r="V219" s="67"/>
      <c r="W219" s="67"/>
      <c r="X219" s="67"/>
    </row>
    <row r="220" spans="1:24" s="85" customFormat="1" ht="29.25" customHeight="1">
      <c r="A220" s="82"/>
      <c r="B220" s="82"/>
      <c r="C220" s="82"/>
      <c r="D220" s="58" t="s">
        <v>366</v>
      </c>
      <c r="E220" s="58" t="s">
        <v>366</v>
      </c>
      <c r="F220" s="84"/>
      <c r="G220" s="25">
        <f t="shared" si="17"/>
        <v>0</v>
      </c>
      <c r="H220" s="25"/>
      <c r="I220" s="84"/>
      <c r="J220" s="25">
        <f t="shared" si="16"/>
        <v>0</v>
      </c>
      <c r="K220" s="34">
        <v>50000</v>
      </c>
      <c r="L220" s="34"/>
      <c r="M220" s="34">
        <f t="shared" si="15"/>
        <v>50000</v>
      </c>
      <c r="N220" s="35">
        <f t="shared" si="18"/>
        <v>50</v>
      </c>
      <c r="O220" s="78"/>
      <c r="P220" s="29"/>
      <c r="Q220" s="78"/>
      <c r="R220" s="31"/>
      <c r="S220" s="87"/>
      <c r="T220" s="87"/>
      <c r="U220" s="87"/>
      <c r="V220" s="67"/>
      <c r="W220" s="67"/>
      <c r="X220" s="67"/>
    </row>
    <row r="221" spans="1:24" s="85" customFormat="1" ht="27" customHeight="1">
      <c r="A221" s="82"/>
      <c r="B221" s="82"/>
      <c r="C221" s="82"/>
      <c r="D221" s="58" t="s">
        <v>365</v>
      </c>
      <c r="E221" s="58" t="s">
        <v>365</v>
      </c>
      <c r="F221" s="84"/>
      <c r="G221" s="25">
        <f t="shared" si="17"/>
        <v>0</v>
      </c>
      <c r="H221" s="25"/>
      <c r="I221" s="84"/>
      <c r="J221" s="25">
        <f t="shared" si="16"/>
        <v>0</v>
      </c>
      <c r="K221" s="34">
        <v>150000</v>
      </c>
      <c r="L221" s="34"/>
      <c r="M221" s="34">
        <f t="shared" si="15"/>
        <v>150000</v>
      </c>
      <c r="N221" s="35">
        <f t="shared" si="18"/>
        <v>150</v>
      </c>
      <c r="O221" s="78"/>
      <c r="P221" s="29"/>
      <c r="Q221" s="78"/>
      <c r="R221" s="31"/>
      <c r="S221" s="87"/>
      <c r="T221" s="87"/>
      <c r="U221" s="87"/>
      <c r="V221" s="67"/>
      <c r="W221" s="67"/>
      <c r="X221" s="67"/>
    </row>
    <row r="222" spans="1:24" s="85" customFormat="1" ht="27" customHeight="1">
      <c r="A222" s="82"/>
      <c r="B222" s="82"/>
      <c r="C222" s="82"/>
      <c r="D222" s="58" t="s">
        <v>436</v>
      </c>
      <c r="E222" s="58"/>
      <c r="F222" s="84"/>
      <c r="G222" s="25"/>
      <c r="H222" s="25"/>
      <c r="I222" s="84"/>
      <c r="J222" s="25"/>
      <c r="K222" s="34"/>
      <c r="L222" s="34"/>
      <c r="M222" s="34"/>
      <c r="N222" s="35">
        <v>175</v>
      </c>
      <c r="O222" s="78"/>
      <c r="P222" s="29"/>
      <c r="Q222" s="78"/>
      <c r="R222" s="31"/>
      <c r="S222" s="87"/>
      <c r="T222" s="87"/>
      <c r="U222" s="87"/>
      <c r="V222" s="67"/>
      <c r="W222" s="67"/>
      <c r="X222" s="67"/>
    </row>
    <row r="223" spans="1:24" s="85" customFormat="1" ht="26.25" customHeight="1">
      <c r="A223" s="82"/>
      <c r="B223" s="82"/>
      <c r="C223" s="82"/>
      <c r="D223" s="86" t="s">
        <v>425</v>
      </c>
      <c r="E223" s="86" t="s">
        <v>364</v>
      </c>
      <c r="F223" s="84"/>
      <c r="G223" s="25">
        <f t="shared" si="17"/>
        <v>0</v>
      </c>
      <c r="H223" s="25"/>
      <c r="I223" s="84"/>
      <c r="J223" s="25">
        <f t="shared" si="16"/>
        <v>0</v>
      </c>
      <c r="K223" s="34">
        <v>104845</v>
      </c>
      <c r="L223" s="34"/>
      <c r="M223" s="34">
        <f t="shared" si="15"/>
        <v>104845</v>
      </c>
      <c r="N223" s="35">
        <f t="shared" si="18"/>
        <v>104.8</v>
      </c>
      <c r="O223" s="78"/>
      <c r="P223" s="29"/>
      <c r="Q223" s="78"/>
      <c r="R223" s="31"/>
      <c r="S223" s="87"/>
      <c r="T223" s="87"/>
      <c r="U223" s="87"/>
      <c r="V223" s="67"/>
      <c r="W223" s="67"/>
      <c r="X223" s="67"/>
    </row>
    <row r="224" spans="1:24" s="85" customFormat="1" ht="25.5" customHeight="1">
      <c r="A224" s="82"/>
      <c r="B224" s="82"/>
      <c r="C224" s="82"/>
      <c r="D224" s="86" t="s">
        <v>426</v>
      </c>
      <c r="E224" s="86" t="s">
        <v>294</v>
      </c>
      <c r="F224" s="84"/>
      <c r="G224" s="25">
        <f t="shared" si="17"/>
        <v>0</v>
      </c>
      <c r="H224" s="25"/>
      <c r="I224" s="84"/>
      <c r="J224" s="25">
        <f t="shared" si="16"/>
        <v>0</v>
      </c>
      <c r="K224" s="34">
        <v>61400</v>
      </c>
      <c r="L224" s="34"/>
      <c r="M224" s="34">
        <f t="shared" si="15"/>
        <v>61400</v>
      </c>
      <c r="N224" s="35">
        <f t="shared" si="18"/>
        <v>61.4</v>
      </c>
      <c r="O224" s="78"/>
      <c r="P224" s="29"/>
      <c r="Q224" s="78"/>
      <c r="R224" s="31"/>
      <c r="S224" s="87"/>
      <c r="T224" s="87"/>
      <c r="U224" s="87"/>
      <c r="V224" s="67"/>
      <c r="W224" s="67"/>
      <c r="X224" s="67"/>
    </row>
    <row r="225" spans="1:24" s="85" customFormat="1" ht="27" customHeight="1">
      <c r="A225" s="82"/>
      <c r="B225" s="82"/>
      <c r="C225" s="82"/>
      <c r="D225" s="86" t="s">
        <v>427</v>
      </c>
      <c r="E225" s="86" t="s">
        <v>295</v>
      </c>
      <c r="F225" s="84"/>
      <c r="G225" s="25">
        <f t="shared" si="17"/>
        <v>0</v>
      </c>
      <c r="H225" s="25"/>
      <c r="I225" s="84"/>
      <c r="J225" s="25">
        <f t="shared" si="16"/>
        <v>0</v>
      </c>
      <c r="K225" s="34">
        <f>71000-2800</f>
        <v>68200</v>
      </c>
      <c r="L225" s="34"/>
      <c r="M225" s="34">
        <f t="shared" si="15"/>
        <v>68200</v>
      </c>
      <c r="N225" s="35">
        <f t="shared" si="18"/>
        <v>68.2</v>
      </c>
      <c r="O225" s="78"/>
      <c r="P225" s="29"/>
      <c r="Q225" s="78"/>
      <c r="R225" s="31"/>
      <c r="S225" s="87"/>
      <c r="T225" s="87"/>
      <c r="U225" s="87"/>
      <c r="V225" s="67"/>
      <c r="W225" s="67"/>
      <c r="X225" s="67"/>
    </row>
    <row r="226" spans="1:24" s="85" customFormat="1" ht="29.25" customHeight="1">
      <c r="A226" s="82"/>
      <c r="B226" s="82"/>
      <c r="C226" s="82"/>
      <c r="D226" s="86" t="s">
        <v>315</v>
      </c>
      <c r="E226" s="86" t="s">
        <v>315</v>
      </c>
      <c r="F226" s="84"/>
      <c r="G226" s="25">
        <f t="shared" si="17"/>
        <v>0</v>
      </c>
      <c r="H226" s="25"/>
      <c r="I226" s="84"/>
      <c r="J226" s="25">
        <f t="shared" si="16"/>
        <v>0</v>
      </c>
      <c r="K226" s="34">
        <f>55000+100000-1600</f>
        <v>153400</v>
      </c>
      <c r="L226" s="34"/>
      <c r="M226" s="34">
        <f t="shared" si="15"/>
        <v>153400</v>
      </c>
      <c r="N226" s="35">
        <f t="shared" si="18"/>
        <v>153.4</v>
      </c>
      <c r="O226" s="78"/>
      <c r="P226" s="29"/>
      <c r="Q226" s="78"/>
      <c r="R226" s="31"/>
      <c r="S226" s="87"/>
      <c r="T226" s="87"/>
      <c r="U226" s="87"/>
      <c r="V226" s="67"/>
      <c r="W226" s="67"/>
      <c r="X226" s="67"/>
    </row>
    <row r="227" spans="1:24" s="85" customFormat="1" ht="29.25" customHeight="1">
      <c r="A227" s="82"/>
      <c r="B227" s="82"/>
      <c r="C227" s="82"/>
      <c r="D227" s="86" t="s">
        <v>441</v>
      </c>
      <c r="E227" s="86"/>
      <c r="F227" s="84"/>
      <c r="G227" s="25"/>
      <c r="H227" s="25"/>
      <c r="I227" s="84"/>
      <c r="J227" s="25"/>
      <c r="K227" s="34"/>
      <c r="L227" s="34"/>
      <c r="M227" s="34"/>
      <c r="N227" s="35">
        <v>75</v>
      </c>
      <c r="O227" s="78"/>
      <c r="P227" s="29"/>
      <c r="Q227" s="78"/>
      <c r="R227" s="31"/>
      <c r="S227" s="87"/>
      <c r="T227" s="87"/>
      <c r="U227" s="87"/>
      <c r="V227" s="67"/>
      <c r="W227" s="67"/>
      <c r="X227" s="67"/>
    </row>
    <row r="228" spans="1:24" s="85" customFormat="1" ht="28.5" customHeight="1">
      <c r="A228" s="82"/>
      <c r="B228" s="82"/>
      <c r="C228" s="82"/>
      <c r="D228" s="58" t="s">
        <v>232</v>
      </c>
      <c r="E228" s="58" t="s">
        <v>232</v>
      </c>
      <c r="F228" s="84"/>
      <c r="G228" s="25">
        <f t="shared" si="17"/>
        <v>0</v>
      </c>
      <c r="H228" s="25"/>
      <c r="I228" s="84"/>
      <c r="J228" s="25">
        <f t="shared" si="16"/>
        <v>0</v>
      </c>
      <c r="K228" s="34">
        <v>998774</v>
      </c>
      <c r="L228" s="34"/>
      <c r="M228" s="34">
        <f t="shared" si="15"/>
        <v>998774</v>
      </c>
      <c r="N228" s="35">
        <f t="shared" si="18"/>
        <v>998.8</v>
      </c>
      <c r="O228" s="78"/>
      <c r="P228" s="29"/>
      <c r="Q228" s="78"/>
      <c r="R228" s="31"/>
      <c r="S228" s="87"/>
      <c r="T228" s="87"/>
      <c r="U228" s="87"/>
      <c r="V228" s="67"/>
      <c r="W228" s="67"/>
      <c r="X228" s="67"/>
    </row>
    <row r="229" spans="1:24" s="85" customFormat="1" ht="27.75" customHeight="1">
      <c r="A229" s="82"/>
      <c r="B229" s="82"/>
      <c r="C229" s="82"/>
      <c r="D229" s="58" t="s">
        <v>233</v>
      </c>
      <c r="E229" s="58" t="s">
        <v>233</v>
      </c>
      <c r="F229" s="84"/>
      <c r="G229" s="25">
        <f t="shared" si="17"/>
        <v>0</v>
      </c>
      <c r="H229" s="25"/>
      <c r="I229" s="84"/>
      <c r="J229" s="25">
        <f t="shared" si="16"/>
        <v>0</v>
      </c>
      <c r="K229" s="34">
        <v>489680</v>
      </c>
      <c r="L229" s="34"/>
      <c r="M229" s="34">
        <f t="shared" si="15"/>
        <v>489680</v>
      </c>
      <c r="N229" s="35">
        <f t="shared" si="18"/>
        <v>489.7</v>
      </c>
      <c r="O229" s="78"/>
      <c r="P229" s="29"/>
      <c r="Q229" s="78"/>
      <c r="R229" s="31"/>
      <c r="S229" s="87"/>
      <c r="T229" s="87"/>
      <c r="U229" s="87"/>
      <c r="V229" s="67"/>
      <c r="W229" s="67"/>
      <c r="X229" s="67"/>
    </row>
    <row r="230" spans="1:24" s="85" customFormat="1" ht="27.75" customHeight="1">
      <c r="A230" s="82"/>
      <c r="B230" s="82"/>
      <c r="C230" s="82"/>
      <c r="D230" s="58" t="s">
        <v>234</v>
      </c>
      <c r="E230" s="58" t="s">
        <v>234</v>
      </c>
      <c r="F230" s="84"/>
      <c r="G230" s="25">
        <f t="shared" si="17"/>
        <v>0</v>
      </c>
      <c r="H230" s="25"/>
      <c r="I230" s="84"/>
      <c r="J230" s="25">
        <f t="shared" si="16"/>
        <v>0</v>
      </c>
      <c r="K230" s="34">
        <v>498116</v>
      </c>
      <c r="L230" s="34"/>
      <c r="M230" s="34">
        <f t="shared" si="15"/>
        <v>498116</v>
      </c>
      <c r="N230" s="35">
        <f t="shared" si="18"/>
        <v>498.1</v>
      </c>
      <c r="O230" s="78"/>
      <c r="P230" s="29"/>
      <c r="Q230" s="78"/>
      <c r="R230" s="31"/>
      <c r="S230" s="87"/>
      <c r="T230" s="87"/>
      <c r="U230" s="87"/>
      <c r="V230" s="67"/>
      <c r="W230" s="67"/>
      <c r="X230" s="67"/>
    </row>
    <row r="231" spans="1:24" s="85" customFormat="1" ht="33" customHeight="1">
      <c r="A231" s="82"/>
      <c r="B231" s="82"/>
      <c r="C231" s="82"/>
      <c r="D231" s="58" t="s">
        <v>235</v>
      </c>
      <c r="E231" s="58" t="s">
        <v>235</v>
      </c>
      <c r="F231" s="84"/>
      <c r="G231" s="25">
        <f t="shared" si="17"/>
        <v>0</v>
      </c>
      <c r="H231" s="25"/>
      <c r="I231" s="84"/>
      <c r="J231" s="25">
        <f t="shared" si="16"/>
        <v>0</v>
      </c>
      <c r="K231" s="34">
        <v>409160</v>
      </c>
      <c r="L231" s="34"/>
      <c r="M231" s="34">
        <f t="shared" si="15"/>
        <v>409160</v>
      </c>
      <c r="N231" s="35">
        <f t="shared" si="18"/>
        <v>409.2</v>
      </c>
      <c r="O231" s="78"/>
      <c r="P231" s="29"/>
      <c r="Q231" s="78"/>
      <c r="R231" s="31"/>
      <c r="S231" s="87"/>
      <c r="T231" s="87"/>
      <c r="U231" s="87"/>
      <c r="V231" s="67"/>
      <c r="W231" s="67"/>
      <c r="X231" s="67"/>
    </row>
    <row r="232" spans="1:24" s="85" customFormat="1" ht="27.75" customHeight="1">
      <c r="A232" s="82"/>
      <c r="B232" s="82"/>
      <c r="C232" s="82"/>
      <c r="D232" s="58" t="s">
        <v>236</v>
      </c>
      <c r="E232" s="58" t="s">
        <v>236</v>
      </c>
      <c r="F232" s="84"/>
      <c r="G232" s="25">
        <f t="shared" si="17"/>
        <v>0</v>
      </c>
      <c r="H232" s="25"/>
      <c r="I232" s="84"/>
      <c r="J232" s="25">
        <f t="shared" si="16"/>
        <v>0</v>
      </c>
      <c r="K232" s="34">
        <v>998900</v>
      </c>
      <c r="L232" s="34"/>
      <c r="M232" s="34">
        <f t="shared" si="15"/>
        <v>998900</v>
      </c>
      <c r="N232" s="35">
        <f t="shared" si="18"/>
        <v>998.9</v>
      </c>
      <c r="O232" s="78"/>
      <c r="P232" s="29"/>
      <c r="Q232" s="78"/>
      <c r="R232" s="31"/>
      <c r="S232" s="87"/>
      <c r="T232" s="87"/>
      <c r="U232" s="87"/>
      <c r="V232" s="67"/>
      <c r="W232" s="67"/>
      <c r="X232" s="67"/>
    </row>
    <row r="233" spans="1:24" s="85" customFormat="1" ht="40.5">
      <c r="A233" s="82"/>
      <c r="B233" s="82"/>
      <c r="C233" s="82"/>
      <c r="D233" s="58" t="s">
        <v>237</v>
      </c>
      <c r="E233" s="58" t="s">
        <v>237</v>
      </c>
      <c r="F233" s="84"/>
      <c r="G233" s="25">
        <f t="shared" si="17"/>
        <v>0</v>
      </c>
      <c r="H233" s="25"/>
      <c r="I233" s="84"/>
      <c r="J233" s="25">
        <f t="shared" si="16"/>
        <v>0</v>
      </c>
      <c r="K233" s="34">
        <v>482174</v>
      </c>
      <c r="L233" s="34"/>
      <c r="M233" s="34">
        <f t="shared" si="15"/>
        <v>482174</v>
      </c>
      <c r="N233" s="35">
        <f t="shared" si="18"/>
        <v>482.2</v>
      </c>
      <c r="O233" s="78"/>
      <c r="P233" s="29"/>
      <c r="Q233" s="78"/>
      <c r="R233" s="31"/>
      <c r="S233" s="87"/>
      <c r="T233" s="87"/>
      <c r="U233" s="87"/>
      <c r="V233" s="67"/>
      <c r="W233" s="67"/>
      <c r="X233" s="67"/>
    </row>
    <row r="234" spans="1:24" s="85" customFormat="1" ht="28.5" customHeight="1">
      <c r="A234" s="82"/>
      <c r="B234" s="82"/>
      <c r="C234" s="82"/>
      <c r="D234" s="58" t="s">
        <v>238</v>
      </c>
      <c r="E234" s="58" t="s">
        <v>238</v>
      </c>
      <c r="F234" s="84"/>
      <c r="G234" s="25">
        <f t="shared" si="17"/>
        <v>0</v>
      </c>
      <c r="H234" s="25"/>
      <c r="I234" s="84"/>
      <c r="J234" s="25">
        <f t="shared" si="16"/>
        <v>0</v>
      </c>
      <c r="K234" s="34">
        <v>425207</v>
      </c>
      <c r="L234" s="34"/>
      <c r="M234" s="34">
        <f t="shared" si="15"/>
        <v>425207</v>
      </c>
      <c r="N234" s="35">
        <f t="shared" si="18"/>
        <v>425.2</v>
      </c>
      <c r="O234" s="78"/>
      <c r="P234" s="29"/>
      <c r="Q234" s="78"/>
      <c r="R234" s="31"/>
      <c r="S234" s="87"/>
      <c r="T234" s="87"/>
      <c r="U234" s="87"/>
      <c r="V234" s="67"/>
      <c r="W234" s="67"/>
      <c r="X234" s="67"/>
    </row>
    <row r="235" spans="1:24" s="85" customFormat="1" ht="23.25" customHeight="1">
      <c r="A235" s="82"/>
      <c r="B235" s="82"/>
      <c r="C235" s="82"/>
      <c r="D235" s="58" t="s">
        <v>239</v>
      </c>
      <c r="E235" s="58" t="s">
        <v>239</v>
      </c>
      <c r="F235" s="84"/>
      <c r="G235" s="25">
        <f t="shared" si="17"/>
        <v>0</v>
      </c>
      <c r="H235" s="25"/>
      <c r="I235" s="84"/>
      <c r="J235" s="25">
        <f t="shared" si="16"/>
        <v>0</v>
      </c>
      <c r="K235" s="34">
        <v>468130</v>
      </c>
      <c r="L235" s="34"/>
      <c r="M235" s="34">
        <f t="shared" si="15"/>
        <v>468130</v>
      </c>
      <c r="N235" s="35">
        <f t="shared" si="18"/>
        <v>468.1</v>
      </c>
      <c r="O235" s="78"/>
      <c r="P235" s="29"/>
      <c r="Q235" s="78"/>
      <c r="R235" s="31"/>
      <c r="S235" s="87"/>
      <c r="T235" s="87"/>
      <c r="U235" s="87"/>
      <c r="V235" s="67"/>
      <c r="W235" s="67"/>
      <c r="X235" s="67"/>
    </row>
    <row r="236" spans="1:24" s="85" customFormat="1" ht="27" customHeight="1">
      <c r="A236" s="82"/>
      <c r="B236" s="82"/>
      <c r="C236" s="82"/>
      <c r="D236" s="1" t="s">
        <v>147</v>
      </c>
      <c r="E236" s="1" t="s">
        <v>147</v>
      </c>
      <c r="F236" s="115"/>
      <c r="G236" s="25">
        <f t="shared" si="17"/>
        <v>0</v>
      </c>
      <c r="H236" s="115"/>
      <c r="I236" s="84"/>
      <c r="J236" s="25">
        <f t="shared" si="16"/>
        <v>0</v>
      </c>
      <c r="K236" s="116">
        <f>SUM(K237:K258)</f>
        <v>22273100</v>
      </c>
      <c r="L236" s="116">
        <f>SUM(L237:L258)</f>
        <v>0</v>
      </c>
      <c r="M236" s="116">
        <f>SUM(M237:M258)</f>
        <v>22273100</v>
      </c>
      <c r="N236" s="117">
        <f>SUM(N237:N258)</f>
        <v>22473.1</v>
      </c>
      <c r="O236" s="78"/>
      <c r="P236" s="29"/>
      <c r="Q236" s="78"/>
      <c r="R236" s="31"/>
      <c r="S236" s="87"/>
      <c r="T236" s="87"/>
      <c r="U236" s="87"/>
      <c r="V236" s="67"/>
      <c r="W236" s="67"/>
      <c r="X236" s="67"/>
    </row>
    <row r="237" spans="1:24" s="85" customFormat="1" ht="58.5" customHeight="1">
      <c r="A237" s="82"/>
      <c r="B237" s="82"/>
      <c r="C237" s="82"/>
      <c r="D237" s="86" t="s">
        <v>310</v>
      </c>
      <c r="E237" s="86" t="s">
        <v>310</v>
      </c>
      <c r="F237" s="115"/>
      <c r="G237" s="25">
        <f t="shared" si="17"/>
        <v>0</v>
      </c>
      <c r="H237" s="115"/>
      <c r="I237" s="84"/>
      <c r="J237" s="25">
        <f t="shared" si="16"/>
        <v>0</v>
      </c>
      <c r="K237" s="118">
        <v>8500</v>
      </c>
      <c r="L237" s="118"/>
      <c r="M237" s="34">
        <f t="shared" si="15"/>
        <v>8500</v>
      </c>
      <c r="N237" s="35">
        <f t="shared" si="18"/>
        <v>8.5</v>
      </c>
      <c r="O237" s="78"/>
      <c r="P237" s="29"/>
      <c r="Q237" s="78"/>
      <c r="R237" s="31"/>
      <c r="S237" s="87"/>
      <c r="T237" s="87"/>
      <c r="U237" s="87"/>
      <c r="V237" s="67"/>
      <c r="W237" s="67"/>
      <c r="X237" s="67"/>
    </row>
    <row r="238" spans="1:24" s="85" customFormat="1" ht="38.25" customHeight="1">
      <c r="A238" s="82"/>
      <c r="B238" s="82"/>
      <c r="C238" s="82"/>
      <c r="D238" s="86" t="s">
        <v>319</v>
      </c>
      <c r="E238" s="86" t="s">
        <v>319</v>
      </c>
      <c r="F238" s="115"/>
      <c r="G238" s="25">
        <f t="shared" si="17"/>
        <v>0</v>
      </c>
      <c r="H238" s="115"/>
      <c r="I238" s="84"/>
      <c r="J238" s="25">
        <f t="shared" si="16"/>
        <v>0</v>
      </c>
      <c r="K238" s="118">
        <v>100000</v>
      </c>
      <c r="L238" s="118"/>
      <c r="M238" s="34">
        <f t="shared" si="15"/>
        <v>100000</v>
      </c>
      <c r="N238" s="35">
        <f t="shared" si="18"/>
        <v>100</v>
      </c>
      <c r="O238" s="78"/>
      <c r="P238" s="29"/>
      <c r="Q238" s="78"/>
      <c r="R238" s="31"/>
      <c r="S238" s="87"/>
      <c r="T238" s="87"/>
      <c r="U238" s="87"/>
      <c r="V238" s="67"/>
      <c r="W238" s="67"/>
      <c r="X238" s="67"/>
    </row>
    <row r="239" spans="1:24" s="85" customFormat="1" ht="28.5" customHeight="1">
      <c r="A239" s="82"/>
      <c r="B239" s="82"/>
      <c r="C239" s="82"/>
      <c r="D239" s="86" t="s">
        <v>166</v>
      </c>
      <c r="E239" s="86" t="s">
        <v>166</v>
      </c>
      <c r="F239" s="84"/>
      <c r="G239" s="25">
        <f t="shared" si="17"/>
        <v>0</v>
      </c>
      <c r="H239" s="25"/>
      <c r="I239" s="84"/>
      <c r="J239" s="25">
        <f t="shared" si="16"/>
        <v>0</v>
      </c>
      <c r="K239" s="34">
        <f>100000+1000</f>
        <v>101000</v>
      </c>
      <c r="L239" s="34"/>
      <c r="M239" s="34">
        <f t="shared" si="15"/>
        <v>101000</v>
      </c>
      <c r="N239" s="35">
        <f t="shared" si="18"/>
        <v>101</v>
      </c>
      <c r="O239" s="78"/>
      <c r="P239" s="29"/>
      <c r="Q239" s="78"/>
      <c r="R239" s="31"/>
      <c r="S239" s="87"/>
      <c r="T239" s="87"/>
      <c r="U239" s="87"/>
      <c r="V239" s="67"/>
      <c r="W239" s="67"/>
      <c r="X239" s="67"/>
    </row>
    <row r="240" spans="1:24" s="85" customFormat="1" ht="30.75" customHeight="1">
      <c r="A240" s="82"/>
      <c r="B240" s="82"/>
      <c r="C240" s="82"/>
      <c r="D240" s="58" t="s">
        <v>243</v>
      </c>
      <c r="E240" s="58" t="s">
        <v>243</v>
      </c>
      <c r="F240" s="84">
        <v>510218</v>
      </c>
      <c r="G240" s="25">
        <f t="shared" si="17"/>
        <v>510.2</v>
      </c>
      <c r="H240" s="25">
        <v>47.9</v>
      </c>
      <c r="I240" s="84">
        <v>244626</v>
      </c>
      <c r="J240" s="25">
        <f t="shared" si="16"/>
        <v>244.6</v>
      </c>
      <c r="K240" s="34">
        <f>240000-17400</f>
        <v>222600</v>
      </c>
      <c r="L240" s="34"/>
      <c r="M240" s="34">
        <f t="shared" si="15"/>
        <v>222600</v>
      </c>
      <c r="N240" s="35">
        <f t="shared" si="18"/>
        <v>222.6</v>
      </c>
      <c r="O240" s="78"/>
      <c r="P240" s="29"/>
      <c r="Q240" s="78"/>
      <c r="R240" s="31"/>
      <c r="S240" s="87"/>
      <c r="T240" s="87"/>
      <c r="U240" s="87"/>
      <c r="V240" s="67"/>
      <c r="W240" s="67"/>
      <c r="X240" s="67"/>
    </row>
    <row r="241" spans="1:24" s="85" customFormat="1" ht="27.75" customHeight="1">
      <c r="A241" s="82"/>
      <c r="B241" s="82"/>
      <c r="C241" s="82"/>
      <c r="D241" s="58" t="s">
        <v>362</v>
      </c>
      <c r="E241" s="58" t="s">
        <v>362</v>
      </c>
      <c r="F241" s="84"/>
      <c r="G241" s="25">
        <f t="shared" si="17"/>
        <v>0</v>
      </c>
      <c r="H241" s="25"/>
      <c r="I241" s="84"/>
      <c r="J241" s="25">
        <f t="shared" si="16"/>
        <v>0</v>
      </c>
      <c r="K241" s="34">
        <v>500000</v>
      </c>
      <c r="L241" s="34"/>
      <c r="M241" s="34">
        <f t="shared" si="15"/>
        <v>500000</v>
      </c>
      <c r="N241" s="35">
        <f t="shared" si="18"/>
        <v>500</v>
      </c>
      <c r="O241" s="78"/>
      <c r="P241" s="29"/>
      <c r="Q241" s="78"/>
      <c r="R241" s="31"/>
      <c r="S241" s="87"/>
      <c r="T241" s="87"/>
      <c r="U241" s="87"/>
      <c r="V241" s="67"/>
      <c r="W241" s="67"/>
      <c r="X241" s="67"/>
    </row>
    <row r="242" spans="1:24" s="85" customFormat="1" ht="30" customHeight="1">
      <c r="A242" s="82"/>
      <c r="B242" s="82"/>
      <c r="C242" s="82"/>
      <c r="D242" s="58" t="s">
        <v>360</v>
      </c>
      <c r="E242" s="58" t="s">
        <v>360</v>
      </c>
      <c r="F242" s="84"/>
      <c r="G242" s="25">
        <f t="shared" si="17"/>
        <v>0</v>
      </c>
      <c r="H242" s="25"/>
      <c r="I242" s="84"/>
      <c r="J242" s="25">
        <f t="shared" si="16"/>
        <v>0</v>
      </c>
      <c r="K242" s="34">
        <v>291000</v>
      </c>
      <c r="L242" s="34"/>
      <c r="M242" s="34">
        <f t="shared" si="15"/>
        <v>291000</v>
      </c>
      <c r="N242" s="35">
        <f t="shared" si="18"/>
        <v>291</v>
      </c>
      <c r="O242" s="78"/>
      <c r="P242" s="29"/>
      <c r="Q242" s="78"/>
      <c r="R242" s="31"/>
      <c r="S242" s="87"/>
      <c r="T242" s="87"/>
      <c r="U242" s="87"/>
      <c r="V242" s="67"/>
      <c r="W242" s="67"/>
      <c r="X242" s="67"/>
    </row>
    <row r="243" spans="1:24" s="85" customFormat="1" ht="30" customHeight="1">
      <c r="A243" s="82"/>
      <c r="B243" s="82"/>
      <c r="C243" s="82"/>
      <c r="D243" s="58" t="s">
        <v>361</v>
      </c>
      <c r="E243" s="58" t="s">
        <v>361</v>
      </c>
      <c r="F243" s="84"/>
      <c r="G243" s="25">
        <f t="shared" si="17"/>
        <v>0</v>
      </c>
      <c r="H243" s="25"/>
      <c r="I243" s="84"/>
      <c r="J243" s="25">
        <f t="shared" si="16"/>
        <v>0</v>
      </c>
      <c r="K243" s="34">
        <v>400000</v>
      </c>
      <c r="L243" s="34"/>
      <c r="M243" s="34">
        <f t="shared" si="15"/>
        <v>400000</v>
      </c>
      <c r="N243" s="35">
        <f t="shared" si="18"/>
        <v>400</v>
      </c>
      <c r="O243" s="78"/>
      <c r="P243" s="29"/>
      <c r="Q243" s="78"/>
      <c r="R243" s="31"/>
      <c r="S243" s="87"/>
      <c r="T243" s="87"/>
      <c r="U243" s="87"/>
      <c r="V243" s="67"/>
      <c r="W243" s="67"/>
      <c r="X243" s="67"/>
    </row>
    <row r="244" spans="1:151" ht="29.25" customHeight="1">
      <c r="A244" s="82"/>
      <c r="B244" s="82"/>
      <c r="C244" s="82"/>
      <c r="D244" s="58" t="s">
        <v>267</v>
      </c>
      <c r="E244" s="58" t="s">
        <v>267</v>
      </c>
      <c r="F244" s="89"/>
      <c r="G244" s="25">
        <f t="shared" si="17"/>
        <v>0</v>
      </c>
      <c r="H244" s="25"/>
      <c r="I244" s="119"/>
      <c r="J244" s="25">
        <f t="shared" si="16"/>
        <v>0</v>
      </c>
      <c r="K244" s="34">
        <v>100000</v>
      </c>
      <c r="L244" s="34"/>
      <c r="M244" s="34">
        <f>L244+K244</f>
        <v>100000</v>
      </c>
      <c r="N244" s="35">
        <f t="shared" si="18"/>
        <v>100</v>
      </c>
      <c r="O244" s="120"/>
      <c r="P244" s="29"/>
      <c r="Q244" s="78"/>
      <c r="R244" s="31"/>
      <c r="S244" s="87"/>
      <c r="T244" s="87"/>
      <c r="U244" s="87"/>
      <c r="V244" s="67"/>
      <c r="W244" s="67"/>
      <c r="X244" s="67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  <c r="DK244" s="85"/>
      <c r="DL244" s="85"/>
      <c r="DM244" s="85"/>
      <c r="DN244" s="85"/>
      <c r="DO244" s="85"/>
      <c r="DP244" s="85"/>
      <c r="DQ244" s="85"/>
      <c r="DR244" s="85"/>
      <c r="DS244" s="85"/>
      <c r="DT244" s="85"/>
      <c r="DU244" s="85"/>
      <c r="DV244" s="85"/>
      <c r="DW244" s="85"/>
      <c r="DX244" s="85"/>
      <c r="DY244" s="85"/>
      <c r="DZ244" s="85"/>
      <c r="EA244" s="85"/>
      <c r="EB244" s="85"/>
      <c r="EC244" s="85"/>
      <c r="ED244" s="85"/>
      <c r="EE244" s="85"/>
      <c r="EF244" s="85"/>
      <c r="EG244" s="85"/>
      <c r="EH244" s="85"/>
      <c r="EI244" s="85"/>
      <c r="EJ244" s="85"/>
      <c r="EK244" s="85"/>
      <c r="EL244" s="85"/>
      <c r="EM244" s="85"/>
      <c r="EN244" s="85"/>
      <c r="EO244" s="85"/>
      <c r="EP244" s="85"/>
      <c r="EQ244" s="85"/>
      <c r="ER244" s="85"/>
      <c r="ES244" s="85"/>
      <c r="ET244" s="85"/>
      <c r="EU244" s="85"/>
    </row>
    <row r="245" spans="1:151" ht="29.25" customHeight="1">
      <c r="A245" s="82"/>
      <c r="B245" s="82"/>
      <c r="C245" s="82"/>
      <c r="D245" s="58" t="s">
        <v>440</v>
      </c>
      <c r="E245" s="58"/>
      <c r="F245" s="89"/>
      <c r="G245" s="25"/>
      <c r="H245" s="25"/>
      <c r="I245" s="119"/>
      <c r="J245" s="25"/>
      <c r="K245" s="34"/>
      <c r="L245" s="34"/>
      <c r="M245" s="34"/>
      <c r="N245" s="35">
        <v>200</v>
      </c>
      <c r="O245" s="102"/>
      <c r="P245" s="29"/>
      <c r="Q245" s="78"/>
      <c r="R245" s="31"/>
      <c r="S245" s="87"/>
      <c r="T245" s="87"/>
      <c r="U245" s="87"/>
      <c r="V245" s="67"/>
      <c r="W245" s="67"/>
      <c r="X245" s="67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  <c r="DK245" s="85"/>
      <c r="DL245" s="85"/>
      <c r="DM245" s="85"/>
      <c r="DN245" s="85"/>
      <c r="DO245" s="85"/>
      <c r="DP245" s="85"/>
      <c r="DQ245" s="85"/>
      <c r="DR245" s="85"/>
      <c r="DS245" s="85"/>
      <c r="DT245" s="85"/>
      <c r="DU245" s="85"/>
      <c r="DV245" s="85"/>
      <c r="DW245" s="85"/>
      <c r="DX245" s="85"/>
      <c r="DY245" s="85"/>
      <c r="DZ245" s="85"/>
      <c r="EA245" s="85"/>
      <c r="EB245" s="85"/>
      <c r="EC245" s="85"/>
      <c r="ED245" s="85"/>
      <c r="EE245" s="85"/>
      <c r="EF245" s="85"/>
      <c r="EG245" s="85"/>
      <c r="EH245" s="85"/>
      <c r="EI245" s="85"/>
      <c r="EJ245" s="85"/>
      <c r="EK245" s="85"/>
      <c r="EL245" s="85"/>
      <c r="EM245" s="85"/>
      <c r="EN245" s="85"/>
      <c r="EO245" s="85"/>
      <c r="EP245" s="85"/>
      <c r="EQ245" s="85"/>
      <c r="ER245" s="85"/>
      <c r="ES245" s="85"/>
      <c r="ET245" s="85"/>
      <c r="EU245" s="85"/>
    </row>
    <row r="246" spans="1:24" s="85" customFormat="1" ht="31.5" customHeight="1">
      <c r="A246" s="82"/>
      <c r="B246" s="82"/>
      <c r="C246" s="82"/>
      <c r="D246" s="86" t="s">
        <v>183</v>
      </c>
      <c r="E246" s="86" t="s">
        <v>183</v>
      </c>
      <c r="F246" s="100">
        <v>7995986</v>
      </c>
      <c r="G246" s="25">
        <f t="shared" si="17"/>
        <v>7996</v>
      </c>
      <c r="H246" s="25">
        <v>92.1</v>
      </c>
      <c r="I246" s="84">
        <v>7363893</v>
      </c>
      <c r="J246" s="25">
        <f t="shared" si="16"/>
        <v>7363.9</v>
      </c>
      <c r="K246" s="34">
        <f>500000+2000000</f>
        <v>2500000</v>
      </c>
      <c r="L246" s="34"/>
      <c r="M246" s="34">
        <f t="shared" si="15"/>
        <v>2500000</v>
      </c>
      <c r="N246" s="35">
        <f t="shared" si="18"/>
        <v>2500</v>
      </c>
      <c r="O246" s="30"/>
      <c r="P246" s="29"/>
      <c r="Q246" s="78"/>
      <c r="R246" s="31"/>
      <c r="S246" s="87"/>
      <c r="T246" s="87"/>
      <c r="U246" s="87"/>
      <c r="V246" s="67"/>
      <c r="W246" s="67"/>
      <c r="X246" s="67"/>
    </row>
    <row r="247" spans="1:24" s="85" customFormat="1" ht="30" customHeight="1">
      <c r="A247" s="82"/>
      <c r="B247" s="82"/>
      <c r="C247" s="82"/>
      <c r="D247" s="58" t="s">
        <v>184</v>
      </c>
      <c r="E247" s="58" t="s">
        <v>184</v>
      </c>
      <c r="F247" s="100">
        <v>5617491</v>
      </c>
      <c r="G247" s="25">
        <f t="shared" si="17"/>
        <v>5617.5</v>
      </c>
      <c r="H247" s="25">
        <v>70.6</v>
      </c>
      <c r="I247" s="84">
        <v>3967874</v>
      </c>
      <c r="J247" s="25">
        <f t="shared" si="16"/>
        <v>3967.9</v>
      </c>
      <c r="K247" s="34">
        <v>3000000</v>
      </c>
      <c r="L247" s="34"/>
      <c r="M247" s="34">
        <f t="shared" si="15"/>
        <v>3000000</v>
      </c>
      <c r="N247" s="35">
        <f t="shared" si="18"/>
        <v>3000</v>
      </c>
      <c r="O247" s="51"/>
      <c r="P247" s="29"/>
      <c r="Q247" s="78"/>
      <c r="R247" s="31"/>
      <c r="S247" s="87"/>
      <c r="T247" s="87"/>
      <c r="U247" s="87"/>
      <c r="V247" s="67"/>
      <c r="W247" s="67"/>
      <c r="X247" s="67"/>
    </row>
    <row r="248" spans="1:24" s="85" customFormat="1" ht="27.75" customHeight="1">
      <c r="A248" s="82"/>
      <c r="B248" s="82"/>
      <c r="C248" s="82"/>
      <c r="D248" s="58" t="s">
        <v>167</v>
      </c>
      <c r="E248" s="58" t="s">
        <v>167</v>
      </c>
      <c r="F248" s="84">
        <v>9995386</v>
      </c>
      <c r="G248" s="25">
        <f t="shared" si="17"/>
        <v>9995.4</v>
      </c>
      <c r="H248" s="25">
        <v>20.8</v>
      </c>
      <c r="I248" s="84">
        <v>2081885</v>
      </c>
      <c r="J248" s="25">
        <f t="shared" si="16"/>
        <v>2081.9</v>
      </c>
      <c r="K248" s="34">
        <f>500000-450000</f>
        <v>50000</v>
      </c>
      <c r="L248" s="34"/>
      <c r="M248" s="34">
        <f t="shared" si="15"/>
        <v>50000</v>
      </c>
      <c r="N248" s="35">
        <f t="shared" si="18"/>
        <v>50</v>
      </c>
      <c r="O248" s="30"/>
      <c r="P248" s="29"/>
      <c r="Q248" s="78"/>
      <c r="R248" s="31"/>
      <c r="S248" s="87"/>
      <c r="T248" s="87"/>
      <c r="U248" s="87"/>
      <c r="V248" s="67"/>
      <c r="W248" s="67"/>
      <c r="X248" s="67"/>
    </row>
    <row r="249" spans="1:24" s="85" customFormat="1" ht="30.75" customHeight="1">
      <c r="A249" s="82"/>
      <c r="B249" s="82"/>
      <c r="C249" s="82"/>
      <c r="D249" s="58" t="s">
        <v>367</v>
      </c>
      <c r="E249" s="58" t="s">
        <v>367</v>
      </c>
      <c r="F249" s="84"/>
      <c r="G249" s="25">
        <f t="shared" si="17"/>
        <v>0</v>
      </c>
      <c r="H249" s="25"/>
      <c r="I249" s="84"/>
      <c r="J249" s="25">
        <f t="shared" si="16"/>
        <v>0</v>
      </c>
      <c r="K249" s="34">
        <v>100000</v>
      </c>
      <c r="L249" s="34"/>
      <c r="M249" s="34">
        <f t="shared" si="15"/>
        <v>100000</v>
      </c>
      <c r="N249" s="35">
        <f t="shared" si="18"/>
        <v>100</v>
      </c>
      <c r="O249" s="30"/>
      <c r="P249" s="29"/>
      <c r="Q249" s="78"/>
      <c r="R249" s="31"/>
      <c r="S249" s="87"/>
      <c r="T249" s="87"/>
      <c r="U249" s="87"/>
      <c r="V249" s="67"/>
      <c r="W249" s="67"/>
      <c r="X249" s="67"/>
    </row>
    <row r="250" spans="1:24" s="85" customFormat="1" ht="31.5" customHeight="1">
      <c r="A250" s="82"/>
      <c r="B250" s="82"/>
      <c r="C250" s="82"/>
      <c r="D250" s="58" t="s">
        <v>168</v>
      </c>
      <c r="E250" s="58" t="s">
        <v>168</v>
      </c>
      <c r="F250" s="100">
        <v>31834622</v>
      </c>
      <c r="G250" s="25">
        <f t="shared" si="17"/>
        <v>31834.6</v>
      </c>
      <c r="H250" s="25">
        <v>65.2</v>
      </c>
      <c r="I250" s="84">
        <v>20752957</v>
      </c>
      <c r="J250" s="25">
        <f t="shared" si="16"/>
        <v>20753</v>
      </c>
      <c r="K250" s="34">
        <v>7000000</v>
      </c>
      <c r="L250" s="34"/>
      <c r="M250" s="34">
        <f t="shared" si="15"/>
        <v>7000000</v>
      </c>
      <c r="N250" s="35">
        <f t="shared" si="18"/>
        <v>7000</v>
      </c>
      <c r="O250" s="30"/>
      <c r="P250" s="29"/>
      <c r="Q250" s="78"/>
      <c r="R250" s="31"/>
      <c r="S250" s="87"/>
      <c r="T250" s="87"/>
      <c r="U250" s="87"/>
      <c r="V250" s="67"/>
      <c r="W250" s="67"/>
      <c r="X250" s="67"/>
    </row>
    <row r="251" spans="1:24" s="85" customFormat="1" ht="29.25" customHeight="1">
      <c r="A251" s="82"/>
      <c r="B251" s="82"/>
      <c r="C251" s="82"/>
      <c r="D251" s="86" t="s">
        <v>169</v>
      </c>
      <c r="E251" s="86" t="s">
        <v>169</v>
      </c>
      <c r="F251" s="100">
        <v>14670250</v>
      </c>
      <c r="G251" s="25">
        <f t="shared" si="17"/>
        <v>14670.3</v>
      </c>
      <c r="H251" s="25">
        <v>48.7</v>
      </c>
      <c r="I251" s="84">
        <v>7146429</v>
      </c>
      <c r="J251" s="25">
        <f t="shared" si="16"/>
        <v>7146.4</v>
      </c>
      <c r="K251" s="34">
        <v>500000</v>
      </c>
      <c r="L251" s="34"/>
      <c r="M251" s="34">
        <f t="shared" si="15"/>
        <v>500000</v>
      </c>
      <c r="N251" s="35">
        <f t="shared" si="18"/>
        <v>500</v>
      </c>
      <c r="O251" s="64"/>
      <c r="P251" s="29"/>
      <c r="Q251" s="120"/>
      <c r="R251" s="31"/>
      <c r="S251" s="87"/>
      <c r="T251" s="87"/>
      <c r="U251" s="87"/>
      <c r="V251" s="67"/>
      <c r="W251" s="67"/>
      <c r="X251" s="67"/>
    </row>
    <row r="252" spans="1:24" s="85" customFormat="1" ht="27" customHeight="1">
      <c r="A252" s="82"/>
      <c r="B252" s="82"/>
      <c r="C252" s="82"/>
      <c r="D252" s="86" t="s">
        <v>331</v>
      </c>
      <c r="E252" s="86" t="s">
        <v>331</v>
      </c>
      <c r="F252" s="100"/>
      <c r="G252" s="25">
        <f t="shared" si="17"/>
        <v>0</v>
      </c>
      <c r="H252" s="25"/>
      <c r="I252" s="84"/>
      <c r="J252" s="25">
        <f t="shared" si="16"/>
        <v>0</v>
      </c>
      <c r="K252" s="34">
        <f>1000000-600000</f>
        <v>400000</v>
      </c>
      <c r="L252" s="34"/>
      <c r="M252" s="34">
        <f t="shared" si="15"/>
        <v>400000</v>
      </c>
      <c r="N252" s="35">
        <f t="shared" si="18"/>
        <v>400</v>
      </c>
      <c r="O252" s="51"/>
      <c r="P252" s="29"/>
      <c r="Q252" s="102"/>
      <c r="R252" s="31"/>
      <c r="S252" s="87"/>
      <c r="T252" s="87"/>
      <c r="U252" s="87"/>
      <c r="V252" s="67"/>
      <c r="W252" s="67"/>
      <c r="X252" s="67"/>
    </row>
    <row r="253" spans="1:24" s="85" customFormat="1" ht="44.25" customHeight="1">
      <c r="A253" s="82"/>
      <c r="B253" s="82"/>
      <c r="C253" s="82"/>
      <c r="D253" s="58" t="s">
        <v>338</v>
      </c>
      <c r="E253" s="58" t="s">
        <v>338</v>
      </c>
      <c r="F253" s="100">
        <v>1581853</v>
      </c>
      <c r="G253" s="25">
        <f t="shared" si="17"/>
        <v>1581.9</v>
      </c>
      <c r="H253" s="25">
        <v>46.8</v>
      </c>
      <c r="I253" s="84">
        <v>739746</v>
      </c>
      <c r="J253" s="25">
        <f t="shared" si="16"/>
        <v>739.7</v>
      </c>
      <c r="K253" s="34">
        <v>500000</v>
      </c>
      <c r="L253" s="34"/>
      <c r="M253" s="34">
        <f t="shared" si="15"/>
        <v>500000</v>
      </c>
      <c r="N253" s="35">
        <f t="shared" si="18"/>
        <v>500</v>
      </c>
      <c r="O253" s="64"/>
      <c r="P253" s="29"/>
      <c r="Q253" s="30"/>
      <c r="R253" s="31"/>
      <c r="S253" s="87"/>
      <c r="T253" s="87"/>
      <c r="U253" s="87"/>
      <c r="V253" s="67"/>
      <c r="W253" s="67"/>
      <c r="X253" s="67"/>
    </row>
    <row r="254" spans="1:24" s="85" customFormat="1" ht="33.75" customHeight="1">
      <c r="A254" s="82"/>
      <c r="B254" s="82"/>
      <c r="C254" s="82"/>
      <c r="D254" s="58" t="s">
        <v>339</v>
      </c>
      <c r="E254" s="58" t="s">
        <v>339</v>
      </c>
      <c r="F254" s="100"/>
      <c r="G254" s="25">
        <f t="shared" si="17"/>
        <v>0</v>
      </c>
      <c r="H254" s="25"/>
      <c r="I254" s="84"/>
      <c r="J254" s="25">
        <f t="shared" si="16"/>
        <v>0</v>
      </c>
      <c r="K254" s="34">
        <v>500000</v>
      </c>
      <c r="L254" s="34"/>
      <c r="M254" s="34">
        <f t="shared" si="15"/>
        <v>500000</v>
      </c>
      <c r="N254" s="35">
        <f t="shared" si="18"/>
        <v>500</v>
      </c>
      <c r="O254" s="64"/>
      <c r="P254" s="29"/>
      <c r="Q254" s="51"/>
      <c r="R254" s="31"/>
      <c r="S254" s="87"/>
      <c r="T254" s="87"/>
      <c r="U254" s="87"/>
      <c r="V254" s="67"/>
      <c r="W254" s="67"/>
      <c r="X254" s="67"/>
    </row>
    <row r="255" spans="1:24" s="85" customFormat="1" ht="45.75" customHeight="1">
      <c r="A255" s="82"/>
      <c r="B255" s="82"/>
      <c r="C255" s="82"/>
      <c r="D255" s="58" t="s">
        <v>170</v>
      </c>
      <c r="E255" s="58" t="s">
        <v>170</v>
      </c>
      <c r="F255" s="89"/>
      <c r="G255" s="25">
        <f t="shared" si="17"/>
        <v>0</v>
      </c>
      <c r="H255" s="25"/>
      <c r="I255" s="84"/>
      <c r="J255" s="25">
        <f t="shared" si="16"/>
        <v>0</v>
      </c>
      <c r="K255" s="34">
        <v>1500000</v>
      </c>
      <c r="L255" s="34"/>
      <c r="M255" s="34">
        <f t="shared" si="15"/>
        <v>1500000</v>
      </c>
      <c r="N255" s="35">
        <f t="shared" si="18"/>
        <v>1500</v>
      </c>
      <c r="O255" s="30"/>
      <c r="P255" s="29"/>
      <c r="Q255" s="30"/>
      <c r="R255" s="31"/>
      <c r="S255" s="87"/>
      <c r="T255" s="87"/>
      <c r="U255" s="87"/>
      <c r="V255" s="67"/>
      <c r="W255" s="67"/>
      <c r="X255" s="67"/>
    </row>
    <row r="256" spans="1:24" s="85" customFormat="1" ht="46.5" customHeight="1">
      <c r="A256" s="82"/>
      <c r="B256" s="82"/>
      <c r="C256" s="82"/>
      <c r="D256" s="58" t="s">
        <v>171</v>
      </c>
      <c r="E256" s="58" t="s">
        <v>171</v>
      </c>
      <c r="F256" s="89"/>
      <c r="G256" s="25">
        <f t="shared" si="17"/>
        <v>0</v>
      </c>
      <c r="H256" s="25"/>
      <c r="I256" s="84"/>
      <c r="J256" s="25">
        <f t="shared" si="16"/>
        <v>0</v>
      </c>
      <c r="K256" s="34">
        <v>1500000</v>
      </c>
      <c r="L256" s="34"/>
      <c r="M256" s="34">
        <f t="shared" si="15"/>
        <v>1500000</v>
      </c>
      <c r="N256" s="35">
        <f t="shared" si="18"/>
        <v>1500</v>
      </c>
      <c r="O256" s="30"/>
      <c r="P256" s="29"/>
      <c r="Q256" s="30"/>
      <c r="R256" s="31"/>
      <c r="S256" s="87"/>
      <c r="T256" s="87"/>
      <c r="U256" s="87"/>
      <c r="V256" s="67"/>
      <c r="W256" s="67"/>
      <c r="X256" s="67"/>
    </row>
    <row r="257" spans="1:24" s="85" customFormat="1" ht="45" customHeight="1">
      <c r="A257" s="82"/>
      <c r="B257" s="82"/>
      <c r="C257" s="82"/>
      <c r="D257" s="58" t="s">
        <v>172</v>
      </c>
      <c r="E257" s="58" t="s">
        <v>172</v>
      </c>
      <c r="F257" s="89"/>
      <c r="G257" s="25">
        <f t="shared" si="17"/>
        <v>0</v>
      </c>
      <c r="H257" s="25"/>
      <c r="I257" s="119"/>
      <c r="J257" s="25">
        <f t="shared" si="16"/>
        <v>0</v>
      </c>
      <c r="K257" s="34">
        <v>1500000</v>
      </c>
      <c r="L257" s="34"/>
      <c r="M257" s="34">
        <f t="shared" si="15"/>
        <v>1500000</v>
      </c>
      <c r="N257" s="35">
        <f t="shared" si="18"/>
        <v>1500</v>
      </c>
      <c r="O257" s="64"/>
      <c r="P257" s="29"/>
      <c r="Q257" s="30"/>
      <c r="R257" s="31"/>
      <c r="S257" s="87"/>
      <c r="T257" s="87"/>
      <c r="U257" s="87"/>
      <c r="V257" s="67"/>
      <c r="W257" s="67"/>
      <c r="X257" s="67"/>
    </row>
    <row r="258" spans="1:151" ht="33" customHeight="1">
      <c r="A258" s="82"/>
      <c r="B258" s="82"/>
      <c r="C258" s="82"/>
      <c r="D258" s="58" t="s">
        <v>173</v>
      </c>
      <c r="E258" s="58" t="s">
        <v>173</v>
      </c>
      <c r="F258" s="89"/>
      <c r="G258" s="25">
        <f t="shared" si="17"/>
        <v>0</v>
      </c>
      <c r="H258" s="25"/>
      <c r="I258" s="119"/>
      <c r="J258" s="25">
        <f t="shared" si="16"/>
        <v>0</v>
      </c>
      <c r="K258" s="34">
        <v>1500000</v>
      </c>
      <c r="L258" s="34"/>
      <c r="M258" s="34">
        <f t="shared" si="15"/>
        <v>1500000</v>
      </c>
      <c r="N258" s="35">
        <f t="shared" si="18"/>
        <v>1500</v>
      </c>
      <c r="O258" s="30"/>
      <c r="P258" s="29"/>
      <c r="Q258" s="64"/>
      <c r="R258" s="31"/>
      <c r="S258" s="87"/>
      <c r="T258" s="87"/>
      <c r="U258" s="87"/>
      <c r="V258" s="67"/>
      <c r="W258" s="67"/>
      <c r="X258" s="67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  <c r="DK258" s="85"/>
      <c r="DL258" s="85"/>
      <c r="DM258" s="85"/>
      <c r="DN258" s="85"/>
      <c r="DO258" s="85"/>
      <c r="DP258" s="85"/>
      <c r="DQ258" s="85"/>
      <c r="DR258" s="85"/>
      <c r="DS258" s="85"/>
      <c r="DT258" s="85"/>
      <c r="DU258" s="85"/>
      <c r="DV258" s="85"/>
      <c r="DW258" s="85"/>
      <c r="DX258" s="85"/>
      <c r="DY258" s="85"/>
      <c r="DZ258" s="85"/>
      <c r="EA258" s="85"/>
      <c r="EB258" s="85"/>
      <c r="EC258" s="85"/>
      <c r="ED258" s="85"/>
      <c r="EE258" s="85"/>
      <c r="EF258" s="85"/>
      <c r="EG258" s="85"/>
      <c r="EH258" s="85"/>
      <c r="EI258" s="85"/>
      <c r="EJ258" s="85"/>
      <c r="EK258" s="85"/>
      <c r="EL258" s="85"/>
      <c r="EM258" s="85"/>
      <c r="EN258" s="85"/>
      <c r="EO258" s="85"/>
      <c r="EP258" s="85"/>
      <c r="EQ258" s="85"/>
      <c r="ER258" s="85"/>
      <c r="ES258" s="85"/>
      <c r="ET258" s="85"/>
      <c r="EU258" s="85"/>
    </row>
    <row r="259" spans="1:151" s="18" customFormat="1" ht="29.25" customHeight="1">
      <c r="A259" s="23" t="s">
        <v>241</v>
      </c>
      <c r="B259" s="23" t="s">
        <v>69</v>
      </c>
      <c r="C259" s="23" t="s">
        <v>52</v>
      </c>
      <c r="D259" s="24" t="s">
        <v>418</v>
      </c>
      <c r="E259" s="24"/>
      <c r="F259" s="121"/>
      <c r="G259" s="25">
        <f t="shared" si="17"/>
        <v>0</v>
      </c>
      <c r="H259" s="122"/>
      <c r="I259" s="123"/>
      <c r="J259" s="25">
        <f t="shared" si="16"/>
        <v>0</v>
      </c>
      <c r="K259" s="26">
        <f>K261</f>
        <v>500000</v>
      </c>
      <c r="L259" s="26">
        <f>L261</f>
        <v>0</v>
      </c>
      <c r="M259" s="26">
        <f t="shared" si="15"/>
        <v>500000</v>
      </c>
      <c r="N259" s="4">
        <f>N261+N260</f>
        <v>1000</v>
      </c>
      <c r="O259" s="64"/>
      <c r="P259" s="29"/>
      <c r="Q259" s="51"/>
      <c r="R259" s="31"/>
      <c r="S259" s="87"/>
      <c r="T259" s="87"/>
      <c r="U259" s="87"/>
      <c r="V259" s="67"/>
      <c r="W259" s="67"/>
      <c r="X259" s="67"/>
      <c r="Y259" s="124"/>
      <c r="Z259" s="124"/>
      <c r="AA259" s="124"/>
      <c r="AB259" s="124"/>
      <c r="AC259" s="124"/>
      <c r="AD259" s="124"/>
      <c r="AE259" s="124"/>
      <c r="AF259" s="124"/>
      <c r="AG259" s="124"/>
      <c r="AH259" s="124"/>
      <c r="AI259" s="124"/>
      <c r="AJ259" s="124"/>
      <c r="AK259" s="124"/>
      <c r="AL259" s="124"/>
      <c r="AM259" s="124"/>
      <c r="AN259" s="124"/>
      <c r="AO259" s="124"/>
      <c r="AP259" s="124"/>
      <c r="AQ259" s="124"/>
      <c r="AR259" s="124"/>
      <c r="AS259" s="124"/>
      <c r="AT259" s="124"/>
      <c r="AU259" s="124"/>
      <c r="AV259" s="124"/>
      <c r="AW259" s="124"/>
      <c r="AX259" s="124"/>
      <c r="AY259" s="124"/>
      <c r="AZ259" s="124"/>
      <c r="BA259" s="124"/>
      <c r="BB259" s="124"/>
      <c r="BC259" s="124"/>
      <c r="BD259" s="124"/>
      <c r="BE259" s="124"/>
      <c r="BF259" s="124"/>
      <c r="BG259" s="124"/>
      <c r="BH259" s="124"/>
      <c r="BI259" s="124"/>
      <c r="BJ259" s="124"/>
      <c r="BK259" s="124"/>
      <c r="BL259" s="124"/>
      <c r="BM259" s="124"/>
      <c r="BN259" s="124"/>
      <c r="BO259" s="124"/>
      <c r="BP259" s="124"/>
      <c r="BQ259" s="124"/>
      <c r="BR259" s="124"/>
      <c r="BS259" s="124"/>
      <c r="BT259" s="124"/>
      <c r="BU259" s="124"/>
      <c r="BV259" s="124"/>
      <c r="BW259" s="124"/>
      <c r="BX259" s="124"/>
      <c r="BY259" s="124"/>
      <c r="BZ259" s="124"/>
      <c r="CA259" s="124"/>
      <c r="CB259" s="124"/>
      <c r="CC259" s="124"/>
      <c r="CD259" s="124"/>
      <c r="CE259" s="124"/>
      <c r="CF259" s="124"/>
      <c r="CG259" s="124"/>
      <c r="CH259" s="124"/>
      <c r="CI259" s="124"/>
      <c r="CJ259" s="124"/>
      <c r="CK259" s="124"/>
      <c r="CL259" s="124"/>
      <c r="CM259" s="124"/>
      <c r="CN259" s="124"/>
      <c r="CO259" s="124"/>
      <c r="CP259" s="124"/>
      <c r="CQ259" s="124"/>
      <c r="CR259" s="124"/>
      <c r="CS259" s="124"/>
      <c r="CT259" s="124"/>
      <c r="CU259" s="124"/>
      <c r="CV259" s="124"/>
      <c r="CW259" s="124"/>
      <c r="CX259" s="124"/>
      <c r="CY259" s="124"/>
      <c r="CZ259" s="124"/>
      <c r="DA259" s="124"/>
      <c r="DB259" s="124"/>
      <c r="DC259" s="124"/>
      <c r="DD259" s="124"/>
      <c r="DE259" s="124"/>
      <c r="DF259" s="124"/>
      <c r="DG259" s="124"/>
      <c r="DH259" s="124"/>
      <c r="DI259" s="124"/>
      <c r="DJ259" s="124"/>
      <c r="DK259" s="124"/>
      <c r="DL259" s="124"/>
      <c r="DM259" s="124"/>
      <c r="DN259" s="124"/>
      <c r="DO259" s="124"/>
      <c r="DP259" s="124"/>
      <c r="DQ259" s="124"/>
      <c r="DR259" s="124"/>
      <c r="DS259" s="124"/>
      <c r="DT259" s="124"/>
      <c r="DU259" s="124"/>
      <c r="DV259" s="124"/>
      <c r="DW259" s="124"/>
      <c r="DX259" s="124"/>
      <c r="DY259" s="124"/>
      <c r="DZ259" s="124"/>
      <c r="EA259" s="124"/>
      <c r="EB259" s="124"/>
      <c r="EC259" s="124"/>
      <c r="ED259" s="124"/>
      <c r="EE259" s="124"/>
      <c r="EF259" s="124"/>
      <c r="EG259" s="124"/>
      <c r="EH259" s="124"/>
      <c r="EI259" s="124"/>
      <c r="EJ259" s="124"/>
      <c r="EK259" s="124"/>
      <c r="EL259" s="124"/>
      <c r="EM259" s="124"/>
      <c r="EN259" s="124"/>
      <c r="EO259" s="124"/>
      <c r="EP259" s="124"/>
      <c r="EQ259" s="124"/>
      <c r="ER259" s="124"/>
      <c r="ES259" s="124"/>
      <c r="ET259" s="124"/>
      <c r="EU259" s="124"/>
    </row>
    <row r="260" spans="1:151" s="18" customFormat="1" ht="29.25" customHeight="1">
      <c r="A260" s="23"/>
      <c r="B260" s="23"/>
      <c r="C260" s="23"/>
      <c r="D260" s="59" t="s">
        <v>455</v>
      </c>
      <c r="E260" s="24"/>
      <c r="F260" s="121"/>
      <c r="G260" s="25"/>
      <c r="H260" s="122"/>
      <c r="I260" s="123"/>
      <c r="J260" s="25"/>
      <c r="K260" s="26"/>
      <c r="L260" s="26"/>
      <c r="M260" s="26"/>
      <c r="N260" s="44">
        <v>500</v>
      </c>
      <c r="O260" s="130"/>
      <c r="P260" s="29"/>
      <c r="Q260" s="51"/>
      <c r="R260" s="31"/>
      <c r="S260" s="87"/>
      <c r="T260" s="87"/>
      <c r="U260" s="87"/>
      <c r="V260" s="67"/>
      <c r="W260" s="67"/>
      <c r="X260" s="67"/>
      <c r="Y260" s="124"/>
      <c r="Z260" s="124"/>
      <c r="AA260" s="124"/>
      <c r="AB260" s="124"/>
      <c r="AC260" s="124"/>
      <c r="AD260" s="124"/>
      <c r="AE260" s="124"/>
      <c r="AF260" s="124"/>
      <c r="AG260" s="124"/>
      <c r="AH260" s="124"/>
      <c r="AI260" s="124"/>
      <c r="AJ260" s="124"/>
      <c r="AK260" s="124"/>
      <c r="AL260" s="124"/>
      <c r="AM260" s="124"/>
      <c r="AN260" s="124"/>
      <c r="AO260" s="124"/>
      <c r="AP260" s="124"/>
      <c r="AQ260" s="124"/>
      <c r="AR260" s="124"/>
      <c r="AS260" s="124"/>
      <c r="AT260" s="124"/>
      <c r="AU260" s="124"/>
      <c r="AV260" s="124"/>
      <c r="AW260" s="124"/>
      <c r="AX260" s="124"/>
      <c r="AY260" s="124"/>
      <c r="AZ260" s="124"/>
      <c r="BA260" s="124"/>
      <c r="BB260" s="124"/>
      <c r="BC260" s="124"/>
      <c r="BD260" s="124"/>
      <c r="BE260" s="124"/>
      <c r="BF260" s="124"/>
      <c r="BG260" s="124"/>
      <c r="BH260" s="124"/>
      <c r="BI260" s="124"/>
      <c r="BJ260" s="124"/>
      <c r="BK260" s="124"/>
      <c r="BL260" s="124"/>
      <c r="BM260" s="124"/>
      <c r="BN260" s="124"/>
      <c r="BO260" s="124"/>
      <c r="BP260" s="124"/>
      <c r="BQ260" s="124"/>
      <c r="BR260" s="124"/>
      <c r="BS260" s="124"/>
      <c r="BT260" s="124"/>
      <c r="BU260" s="124"/>
      <c r="BV260" s="124"/>
      <c r="BW260" s="124"/>
      <c r="BX260" s="124"/>
      <c r="BY260" s="124"/>
      <c r="BZ260" s="124"/>
      <c r="CA260" s="124"/>
      <c r="CB260" s="124"/>
      <c r="CC260" s="124"/>
      <c r="CD260" s="124"/>
      <c r="CE260" s="124"/>
      <c r="CF260" s="124"/>
      <c r="CG260" s="124"/>
      <c r="CH260" s="124"/>
      <c r="CI260" s="124"/>
      <c r="CJ260" s="124"/>
      <c r="CK260" s="124"/>
      <c r="CL260" s="124"/>
      <c r="CM260" s="124"/>
      <c r="CN260" s="124"/>
      <c r="CO260" s="124"/>
      <c r="CP260" s="124"/>
      <c r="CQ260" s="124"/>
      <c r="CR260" s="124"/>
      <c r="CS260" s="124"/>
      <c r="CT260" s="124"/>
      <c r="CU260" s="124"/>
      <c r="CV260" s="124"/>
      <c r="CW260" s="124"/>
      <c r="CX260" s="124"/>
      <c r="CY260" s="124"/>
      <c r="CZ260" s="124"/>
      <c r="DA260" s="124"/>
      <c r="DB260" s="124"/>
      <c r="DC260" s="124"/>
      <c r="DD260" s="124"/>
      <c r="DE260" s="124"/>
      <c r="DF260" s="124"/>
      <c r="DG260" s="124"/>
      <c r="DH260" s="124"/>
      <c r="DI260" s="124"/>
      <c r="DJ260" s="124"/>
      <c r="DK260" s="124"/>
      <c r="DL260" s="124"/>
      <c r="DM260" s="124"/>
      <c r="DN260" s="124"/>
      <c r="DO260" s="124"/>
      <c r="DP260" s="124"/>
      <c r="DQ260" s="124"/>
      <c r="DR260" s="124"/>
      <c r="DS260" s="124"/>
      <c r="DT260" s="124"/>
      <c r="DU260" s="124"/>
      <c r="DV260" s="124"/>
      <c r="DW260" s="124"/>
      <c r="DX260" s="124"/>
      <c r="DY260" s="124"/>
      <c r="DZ260" s="124"/>
      <c r="EA260" s="124"/>
      <c r="EB260" s="124"/>
      <c r="EC260" s="124"/>
      <c r="ED260" s="124"/>
      <c r="EE260" s="124"/>
      <c r="EF260" s="124"/>
      <c r="EG260" s="124"/>
      <c r="EH260" s="124"/>
      <c r="EI260" s="124"/>
      <c r="EJ260" s="124"/>
      <c r="EK260" s="124"/>
      <c r="EL260" s="124"/>
      <c r="EM260" s="124"/>
      <c r="EN260" s="124"/>
      <c r="EO260" s="124"/>
      <c r="EP260" s="124"/>
      <c r="EQ260" s="124"/>
      <c r="ER260" s="124"/>
      <c r="ES260" s="124"/>
      <c r="ET260" s="124"/>
      <c r="EU260" s="124"/>
    </row>
    <row r="261" spans="1:151" s="111" customFormat="1" ht="32.25" customHeight="1">
      <c r="A261" s="39"/>
      <c r="B261" s="39"/>
      <c r="C261" s="39"/>
      <c r="D261" s="59" t="s">
        <v>250</v>
      </c>
      <c r="E261" s="59" t="s">
        <v>250</v>
      </c>
      <c r="F261" s="103">
        <v>1579560</v>
      </c>
      <c r="G261" s="25">
        <f t="shared" si="17"/>
        <v>1579.6</v>
      </c>
      <c r="H261" s="25">
        <v>38.4</v>
      </c>
      <c r="I261" s="84">
        <v>605818</v>
      </c>
      <c r="J261" s="25">
        <f t="shared" si="16"/>
        <v>605.8</v>
      </c>
      <c r="K261" s="43">
        <v>500000</v>
      </c>
      <c r="L261" s="43"/>
      <c r="M261" s="43">
        <f t="shared" si="15"/>
        <v>500000</v>
      </c>
      <c r="N261" s="44">
        <f t="shared" si="18"/>
        <v>500</v>
      </c>
      <c r="O261" s="130"/>
      <c r="P261" s="29"/>
      <c r="Q261" s="64"/>
      <c r="R261" s="31"/>
      <c r="S261" s="125"/>
      <c r="T261" s="125"/>
      <c r="U261" s="125"/>
      <c r="V261" s="67"/>
      <c r="W261" s="67"/>
      <c r="X261" s="67"/>
      <c r="Y261" s="104"/>
      <c r="Z261" s="104"/>
      <c r="AA261" s="104"/>
      <c r="AB261" s="104"/>
      <c r="AC261" s="104"/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4"/>
      <c r="AT261" s="104"/>
      <c r="AU261" s="104"/>
      <c r="AV261" s="104"/>
      <c r="AW261" s="104"/>
      <c r="AX261" s="104"/>
      <c r="AY261" s="104"/>
      <c r="AZ261" s="104"/>
      <c r="BA261" s="104"/>
      <c r="BB261" s="104"/>
      <c r="BC261" s="104"/>
      <c r="BD261" s="104"/>
      <c r="BE261" s="104"/>
      <c r="BF261" s="104"/>
      <c r="BG261" s="104"/>
      <c r="BH261" s="104"/>
      <c r="BI261" s="104"/>
      <c r="BJ261" s="104"/>
      <c r="BK261" s="104"/>
      <c r="BL261" s="104"/>
      <c r="BM261" s="104"/>
      <c r="BN261" s="104"/>
      <c r="BO261" s="104"/>
      <c r="BP261" s="104"/>
      <c r="BQ261" s="104"/>
      <c r="BR261" s="104"/>
      <c r="BS261" s="104"/>
      <c r="BT261" s="104"/>
      <c r="BU261" s="104"/>
      <c r="BV261" s="104"/>
      <c r="BW261" s="104"/>
      <c r="BX261" s="104"/>
      <c r="BY261" s="104"/>
      <c r="BZ261" s="104"/>
      <c r="CA261" s="104"/>
      <c r="CB261" s="104"/>
      <c r="CC261" s="104"/>
      <c r="CD261" s="104"/>
      <c r="CE261" s="104"/>
      <c r="CF261" s="104"/>
      <c r="CG261" s="104"/>
      <c r="CH261" s="104"/>
      <c r="CI261" s="104"/>
      <c r="CJ261" s="104"/>
      <c r="CK261" s="104"/>
      <c r="CL261" s="104"/>
      <c r="CM261" s="104"/>
      <c r="CN261" s="104"/>
      <c r="CO261" s="104"/>
      <c r="CP261" s="104"/>
      <c r="CQ261" s="104"/>
      <c r="CR261" s="104"/>
      <c r="CS261" s="104"/>
      <c r="CT261" s="104"/>
      <c r="CU261" s="104"/>
      <c r="CV261" s="104"/>
      <c r="CW261" s="104"/>
      <c r="CX261" s="104"/>
      <c r="CY261" s="104"/>
      <c r="CZ261" s="104"/>
      <c r="DA261" s="104"/>
      <c r="DB261" s="104"/>
      <c r="DC261" s="104"/>
      <c r="DD261" s="104"/>
      <c r="DE261" s="104"/>
      <c r="DF261" s="104"/>
      <c r="DG261" s="104"/>
      <c r="DH261" s="104"/>
      <c r="DI261" s="104"/>
      <c r="DJ261" s="104"/>
      <c r="DK261" s="104"/>
      <c r="DL261" s="104"/>
      <c r="DM261" s="104"/>
      <c r="DN261" s="104"/>
      <c r="DO261" s="104"/>
      <c r="DP261" s="104"/>
      <c r="DQ261" s="104"/>
      <c r="DR261" s="104"/>
      <c r="DS261" s="104"/>
      <c r="DT261" s="104"/>
      <c r="DU261" s="104"/>
      <c r="DV261" s="104"/>
      <c r="DW261" s="104"/>
      <c r="DX261" s="104"/>
      <c r="DY261" s="104"/>
      <c r="DZ261" s="104"/>
      <c r="EA261" s="104"/>
      <c r="EB261" s="104"/>
      <c r="EC261" s="104"/>
      <c r="ED261" s="104"/>
      <c r="EE261" s="104"/>
      <c r="EF261" s="104"/>
      <c r="EG261" s="104"/>
      <c r="EH261" s="104"/>
      <c r="EI261" s="104"/>
      <c r="EJ261" s="104"/>
      <c r="EK261" s="104"/>
      <c r="EL261" s="104"/>
      <c r="EM261" s="104"/>
      <c r="EN261" s="104"/>
      <c r="EO261" s="104"/>
      <c r="EP261" s="104"/>
      <c r="EQ261" s="104"/>
      <c r="ER261" s="104"/>
      <c r="ES261" s="104"/>
      <c r="ET261" s="104"/>
      <c r="EU261" s="104"/>
    </row>
    <row r="262" spans="1:24" s="36" customFormat="1" ht="30.75" customHeight="1">
      <c r="A262" s="32" t="s">
        <v>274</v>
      </c>
      <c r="B262" s="32" t="s">
        <v>271</v>
      </c>
      <c r="C262" s="32"/>
      <c r="D262" s="33" t="s">
        <v>393</v>
      </c>
      <c r="E262" s="33"/>
      <c r="F262" s="126"/>
      <c r="G262" s="25">
        <f t="shared" si="17"/>
        <v>0</v>
      </c>
      <c r="H262" s="33"/>
      <c r="I262" s="33"/>
      <c r="J262" s="25">
        <f t="shared" si="16"/>
        <v>0</v>
      </c>
      <c r="K262" s="61">
        <f>SUM(K263)</f>
        <v>289538</v>
      </c>
      <c r="L262" s="127">
        <f>SUM(L263)</f>
        <v>0</v>
      </c>
      <c r="M262" s="127">
        <f>SUM(M263)</f>
        <v>289538</v>
      </c>
      <c r="N262" s="35">
        <f>SUM(N263)</f>
        <v>289.5</v>
      </c>
      <c r="O262" s="130"/>
      <c r="P262" s="29"/>
      <c r="Q262" s="30"/>
      <c r="R262" s="31"/>
      <c r="S262" s="105"/>
      <c r="T262" s="105"/>
      <c r="U262" s="105"/>
      <c r="V262" s="67"/>
      <c r="W262" s="67"/>
      <c r="X262" s="67"/>
    </row>
    <row r="263" spans="1:24" s="52" customFormat="1" ht="48.75" customHeight="1">
      <c r="A263" s="39" t="s">
        <v>275</v>
      </c>
      <c r="B263" s="39" t="s">
        <v>278</v>
      </c>
      <c r="C263" s="39" t="s">
        <v>47</v>
      </c>
      <c r="D263" s="40" t="s">
        <v>269</v>
      </c>
      <c r="E263" s="40"/>
      <c r="F263" s="128"/>
      <c r="G263" s="25">
        <f t="shared" si="17"/>
        <v>0</v>
      </c>
      <c r="H263" s="40"/>
      <c r="I263" s="40"/>
      <c r="J263" s="25">
        <f t="shared" si="16"/>
        <v>0</v>
      </c>
      <c r="K263" s="63">
        <v>289538</v>
      </c>
      <c r="L263" s="129"/>
      <c r="M263" s="129">
        <f>L263+K263</f>
        <v>289538</v>
      </c>
      <c r="N263" s="44">
        <f t="shared" si="18"/>
        <v>289.5</v>
      </c>
      <c r="O263" s="130"/>
      <c r="P263" s="29"/>
      <c r="Q263" s="30"/>
      <c r="R263" s="31"/>
      <c r="S263" s="29"/>
      <c r="T263" s="29"/>
      <c r="U263" s="29"/>
      <c r="V263" s="67"/>
      <c r="W263" s="67"/>
      <c r="X263" s="67"/>
    </row>
    <row r="264" spans="1:24" s="36" customFormat="1" ht="30.75" customHeight="1">
      <c r="A264" s="32" t="s">
        <v>75</v>
      </c>
      <c r="B264" s="32" t="s">
        <v>1</v>
      </c>
      <c r="C264" s="32" t="s">
        <v>48</v>
      </c>
      <c r="D264" s="33" t="s">
        <v>17</v>
      </c>
      <c r="E264" s="33"/>
      <c r="F264" s="126"/>
      <c r="G264" s="25">
        <f t="shared" si="17"/>
        <v>0</v>
      </c>
      <c r="H264" s="33"/>
      <c r="I264" s="33"/>
      <c r="J264" s="25">
        <f t="shared" si="16"/>
        <v>0</v>
      </c>
      <c r="K264" s="34">
        <f>18557000-160000+529155+160000</f>
        <v>19086155</v>
      </c>
      <c r="L264" s="127"/>
      <c r="M264" s="127">
        <f t="shared" si="15"/>
        <v>19086155</v>
      </c>
      <c r="N264" s="35">
        <f t="shared" si="18"/>
        <v>19086.2</v>
      </c>
      <c r="O264" s="131"/>
      <c r="P264" s="29"/>
      <c r="Q264" s="30"/>
      <c r="R264" s="31"/>
      <c r="S264" s="53"/>
      <c r="T264" s="53"/>
      <c r="U264" s="53"/>
      <c r="V264" s="67"/>
      <c r="W264" s="67"/>
      <c r="X264" s="67"/>
    </row>
    <row r="265" spans="1:24" s="36" customFormat="1" ht="34.5" customHeight="1">
      <c r="A265" s="23" t="s">
        <v>322</v>
      </c>
      <c r="B265" s="75"/>
      <c r="C265" s="75"/>
      <c r="D265" s="1" t="s">
        <v>321</v>
      </c>
      <c r="E265" s="1"/>
      <c r="F265" s="1"/>
      <c r="G265" s="25">
        <f t="shared" si="17"/>
        <v>0</v>
      </c>
      <c r="H265" s="1"/>
      <c r="I265" s="1"/>
      <c r="J265" s="25">
        <f t="shared" si="16"/>
        <v>0</v>
      </c>
      <c r="K265" s="26">
        <f>K266</f>
        <v>140000</v>
      </c>
      <c r="L265" s="26">
        <f>L266</f>
        <v>0</v>
      </c>
      <c r="M265" s="26">
        <f>M266</f>
        <v>140000</v>
      </c>
      <c r="N265" s="27">
        <f>N266</f>
        <v>140</v>
      </c>
      <c r="O265" s="130"/>
      <c r="P265" s="29"/>
      <c r="Q265" s="30"/>
      <c r="R265" s="31"/>
      <c r="S265" s="29"/>
      <c r="T265" s="29"/>
      <c r="U265" s="29"/>
      <c r="V265" s="67"/>
      <c r="W265" s="67"/>
      <c r="X265" s="67"/>
    </row>
    <row r="266" spans="1:24" s="36" customFormat="1" ht="29.25" customHeight="1">
      <c r="A266" s="32" t="s">
        <v>323</v>
      </c>
      <c r="B266" s="32" t="s">
        <v>324</v>
      </c>
      <c r="C266" s="32" t="s">
        <v>52</v>
      </c>
      <c r="D266" s="33" t="s">
        <v>325</v>
      </c>
      <c r="E266" s="33"/>
      <c r="F266" s="33"/>
      <c r="G266" s="25">
        <f t="shared" si="17"/>
        <v>0</v>
      </c>
      <c r="H266" s="33"/>
      <c r="I266" s="33"/>
      <c r="J266" s="25">
        <f t="shared" si="16"/>
        <v>0</v>
      </c>
      <c r="K266" s="34">
        <v>140000</v>
      </c>
      <c r="L266" s="34"/>
      <c r="M266" s="34">
        <f t="shared" si="15"/>
        <v>140000</v>
      </c>
      <c r="N266" s="35">
        <f t="shared" si="18"/>
        <v>140</v>
      </c>
      <c r="O266" s="130"/>
      <c r="P266" s="29"/>
      <c r="Q266" s="30"/>
      <c r="R266" s="31"/>
      <c r="S266" s="29"/>
      <c r="T266" s="29"/>
      <c r="U266" s="29"/>
      <c r="V266" s="67"/>
      <c r="W266" s="67"/>
      <c r="X266" s="67"/>
    </row>
    <row r="267" spans="1:24" s="28" customFormat="1" ht="33.75" customHeight="1">
      <c r="A267" s="23" t="s">
        <v>114</v>
      </c>
      <c r="B267" s="75"/>
      <c r="C267" s="75"/>
      <c r="D267" s="1" t="s">
        <v>24</v>
      </c>
      <c r="E267" s="1"/>
      <c r="F267" s="1"/>
      <c r="G267" s="25">
        <f t="shared" si="17"/>
        <v>0</v>
      </c>
      <c r="H267" s="1"/>
      <c r="I267" s="1"/>
      <c r="J267" s="25">
        <f t="shared" si="16"/>
        <v>0</v>
      </c>
      <c r="K267" s="26">
        <f>K268</f>
        <v>40000</v>
      </c>
      <c r="L267" s="26">
        <f>L268</f>
        <v>0</v>
      </c>
      <c r="M267" s="26">
        <f>M268</f>
        <v>40000</v>
      </c>
      <c r="N267" s="27">
        <f>N268</f>
        <v>40</v>
      </c>
      <c r="O267" s="130"/>
      <c r="P267" s="29"/>
      <c r="Q267" s="130"/>
      <c r="R267" s="31"/>
      <c r="S267" s="29"/>
      <c r="T267" s="29"/>
      <c r="U267" s="29"/>
      <c r="V267" s="67"/>
      <c r="W267" s="67"/>
      <c r="X267" s="67"/>
    </row>
    <row r="268" spans="1:24" s="52" customFormat="1" ht="47.25" customHeight="1">
      <c r="A268" s="32" t="s">
        <v>115</v>
      </c>
      <c r="B268" s="32" t="s">
        <v>58</v>
      </c>
      <c r="C268" s="32" t="s">
        <v>26</v>
      </c>
      <c r="D268" s="33" t="s">
        <v>59</v>
      </c>
      <c r="E268" s="33"/>
      <c r="F268" s="33"/>
      <c r="G268" s="25">
        <f t="shared" si="17"/>
        <v>0</v>
      </c>
      <c r="H268" s="33"/>
      <c r="I268" s="33"/>
      <c r="J268" s="25">
        <f t="shared" si="16"/>
        <v>0</v>
      </c>
      <c r="K268" s="34">
        <v>40000</v>
      </c>
      <c r="L268" s="34"/>
      <c r="M268" s="34">
        <f t="shared" si="15"/>
        <v>40000</v>
      </c>
      <c r="N268" s="35">
        <f t="shared" si="18"/>
        <v>40</v>
      </c>
      <c r="O268" s="9"/>
      <c r="P268" s="29"/>
      <c r="Q268" s="130"/>
      <c r="R268" s="31"/>
      <c r="S268" s="31"/>
      <c r="T268" s="31"/>
      <c r="U268" s="31"/>
      <c r="V268" s="67"/>
      <c r="W268" s="67"/>
      <c r="X268" s="67"/>
    </row>
    <row r="269" spans="1:24" s="28" customFormat="1" ht="34.5" customHeight="1">
      <c r="A269" s="23" t="s">
        <v>116</v>
      </c>
      <c r="B269" s="23"/>
      <c r="C269" s="23"/>
      <c r="D269" s="1" t="s">
        <v>22</v>
      </c>
      <c r="E269" s="1"/>
      <c r="F269" s="1"/>
      <c r="G269" s="25">
        <f t="shared" si="17"/>
        <v>0</v>
      </c>
      <c r="H269" s="1"/>
      <c r="I269" s="1"/>
      <c r="J269" s="25">
        <f t="shared" si="16"/>
        <v>0</v>
      </c>
      <c r="K269" s="26">
        <f>K270+K271+K272+K273</f>
        <v>273500</v>
      </c>
      <c r="L269" s="26">
        <f>L270+L271+L272+L273</f>
        <v>0</v>
      </c>
      <c r="M269" s="26">
        <f>M270+M271+M272+M273</f>
        <v>273500</v>
      </c>
      <c r="N269" s="27">
        <f>N270+N271+N272+N273</f>
        <v>273.5</v>
      </c>
      <c r="O269" s="9"/>
      <c r="P269" s="29"/>
      <c r="Q269" s="130"/>
      <c r="R269" s="31"/>
      <c r="S269" s="53"/>
      <c r="T269" s="53"/>
      <c r="U269" s="53"/>
      <c r="V269" s="67"/>
      <c r="W269" s="67"/>
      <c r="X269" s="67"/>
    </row>
    <row r="270" spans="1:24" s="28" customFormat="1" ht="42.75" customHeight="1">
      <c r="A270" s="32" t="s">
        <v>117</v>
      </c>
      <c r="B270" s="32" t="s">
        <v>58</v>
      </c>
      <c r="C270" s="32" t="s">
        <v>26</v>
      </c>
      <c r="D270" s="33" t="s">
        <v>59</v>
      </c>
      <c r="E270" s="33"/>
      <c r="F270" s="33"/>
      <c r="G270" s="25">
        <f t="shared" si="17"/>
        <v>0</v>
      </c>
      <c r="H270" s="33"/>
      <c r="I270" s="33"/>
      <c r="J270" s="25">
        <f t="shared" si="16"/>
        <v>0</v>
      </c>
      <c r="K270" s="34">
        <f>150000-130500</f>
        <v>19500</v>
      </c>
      <c r="L270" s="34"/>
      <c r="M270" s="34">
        <f t="shared" si="15"/>
        <v>19500</v>
      </c>
      <c r="N270" s="35">
        <f t="shared" si="18"/>
        <v>19.5</v>
      </c>
      <c r="O270" s="9"/>
      <c r="P270" s="29"/>
      <c r="Q270" s="130"/>
      <c r="R270" s="31"/>
      <c r="S270" s="31"/>
      <c r="T270" s="31"/>
      <c r="U270" s="31"/>
      <c r="V270" s="67"/>
      <c r="W270" s="67"/>
      <c r="X270" s="67"/>
    </row>
    <row r="271" spans="1:24" s="36" customFormat="1" ht="30" customHeight="1">
      <c r="A271" s="54" t="s">
        <v>129</v>
      </c>
      <c r="B271" s="54" t="s">
        <v>130</v>
      </c>
      <c r="C271" s="54" t="s">
        <v>47</v>
      </c>
      <c r="D271" s="33" t="s">
        <v>133</v>
      </c>
      <c r="E271" s="33"/>
      <c r="F271" s="33"/>
      <c r="G271" s="25">
        <f t="shared" si="17"/>
        <v>0</v>
      </c>
      <c r="H271" s="33"/>
      <c r="I271" s="33"/>
      <c r="J271" s="25">
        <f t="shared" si="16"/>
        <v>0</v>
      </c>
      <c r="K271" s="34">
        <f>25000+25000</f>
        <v>50000</v>
      </c>
      <c r="L271" s="34"/>
      <c r="M271" s="34">
        <f t="shared" si="15"/>
        <v>50000</v>
      </c>
      <c r="N271" s="35">
        <f t="shared" si="18"/>
        <v>50</v>
      </c>
      <c r="O271" s="9"/>
      <c r="P271" s="29"/>
      <c r="Q271" s="130"/>
      <c r="R271" s="31"/>
      <c r="S271" s="31"/>
      <c r="T271" s="31"/>
      <c r="U271" s="31"/>
      <c r="V271" s="67"/>
      <c r="W271" s="67"/>
      <c r="X271" s="67"/>
    </row>
    <row r="272" spans="1:24" s="36" customFormat="1" ht="52.5" customHeight="1">
      <c r="A272" s="54" t="s">
        <v>131</v>
      </c>
      <c r="B272" s="54" t="s">
        <v>132</v>
      </c>
      <c r="C272" s="54" t="s">
        <v>47</v>
      </c>
      <c r="D272" s="33" t="s">
        <v>134</v>
      </c>
      <c r="E272" s="33"/>
      <c r="F272" s="33"/>
      <c r="G272" s="25">
        <f t="shared" si="17"/>
        <v>0</v>
      </c>
      <c r="H272" s="33"/>
      <c r="I272" s="33"/>
      <c r="J272" s="25">
        <f t="shared" si="16"/>
        <v>0</v>
      </c>
      <c r="K272" s="34">
        <v>25000</v>
      </c>
      <c r="L272" s="34"/>
      <c r="M272" s="34">
        <f t="shared" si="15"/>
        <v>25000</v>
      </c>
      <c r="N272" s="35">
        <f t="shared" si="18"/>
        <v>25</v>
      </c>
      <c r="O272" s="9"/>
      <c r="P272" s="29"/>
      <c r="Q272" s="130"/>
      <c r="R272" s="31"/>
      <c r="S272" s="29"/>
      <c r="T272" s="29"/>
      <c r="U272" s="29"/>
      <c r="V272" s="67"/>
      <c r="W272" s="67"/>
      <c r="X272" s="67"/>
    </row>
    <row r="273" spans="1:24" s="36" customFormat="1" ht="47.25" customHeight="1">
      <c r="A273" s="54" t="s">
        <v>265</v>
      </c>
      <c r="B273" s="54" t="s">
        <v>266</v>
      </c>
      <c r="C273" s="54" t="s">
        <v>25</v>
      </c>
      <c r="D273" s="58" t="s">
        <v>276</v>
      </c>
      <c r="E273" s="33"/>
      <c r="F273" s="33"/>
      <c r="G273" s="25">
        <f t="shared" si="17"/>
        <v>0</v>
      </c>
      <c r="H273" s="33"/>
      <c r="I273" s="33"/>
      <c r="J273" s="25">
        <f t="shared" si="16"/>
        <v>0</v>
      </c>
      <c r="K273" s="34">
        <v>179000</v>
      </c>
      <c r="L273" s="34"/>
      <c r="M273" s="34">
        <f t="shared" si="15"/>
        <v>179000</v>
      </c>
      <c r="N273" s="35">
        <f t="shared" si="18"/>
        <v>179</v>
      </c>
      <c r="O273" s="9"/>
      <c r="P273" s="29"/>
      <c r="Q273" s="131"/>
      <c r="R273" s="31"/>
      <c r="S273" s="29"/>
      <c r="T273" s="29"/>
      <c r="U273" s="29"/>
      <c r="V273" s="67"/>
      <c r="W273" s="67"/>
      <c r="X273" s="67"/>
    </row>
    <row r="274" spans="1:24" s="28" customFormat="1" ht="33.75" customHeight="1">
      <c r="A274" s="23" t="s">
        <v>118</v>
      </c>
      <c r="B274" s="23"/>
      <c r="C274" s="23"/>
      <c r="D274" s="1" t="s">
        <v>23</v>
      </c>
      <c r="E274" s="1"/>
      <c r="F274" s="1"/>
      <c r="G274" s="25">
        <f t="shared" si="17"/>
        <v>0</v>
      </c>
      <c r="H274" s="1"/>
      <c r="I274" s="1"/>
      <c r="J274" s="25">
        <f t="shared" si="16"/>
        <v>0</v>
      </c>
      <c r="K274" s="26">
        <f>K275+K276</f>
        <v>613800</v>
      </c>
      <c r="L274" s="26">
        <f>L275+L276</f>
        <v>0</v>
      </c>
      <c r="M274" s="26">
        <f>M275+M276</f>
        <v>613800</v>
      </c>
      <c r="N274" s="27">
        <f>N275+N276</f>
        <v>613.8</v>
      </c>
      <c r="O274" s="9"/>
      <c r="P274" s="29"/>
      <c r="Q274" s="130"/>
      <c r="R274" s="31"/>
      <c r="S274" s="29"/>
      <c r="T274" s="29"/>
      <c r="U274" s="29"/>
      <c r="V274" s="67"/>
      <c r="W274" s="67"/>
      <c r="X274" s="67"/>
    </row>
    <row r="275" spans="1:24" s="36" customFormat="1" ht="42" customHeight="1">
      <c r="A275" s="32" t="s">
        <v>119</v>
      </c>
      <c r="B275" s="32" t="s">
        <v>58</v>
      </c>
      <c r="C275" s="32" t="s">
        <v>26</v>
      </c>
      <c r="D275" s="33" t="s">
        <v>59</v>
      </c>
      <c r="E275" s="33"/>
      <c r="F275" s="33"/>
      <c r="G275" s="25">
        <f t="shared" si="17"/>
        <v>0</v>
      </c>
      <c r="H275" s="33"/>
      <c r="I275" s="33"/>
      <c r="J275" s="25">
        <f t="shared" si="16"/>
        <v>0</v>
      </c>
      <c r="K275" s="34">
        <f>184000-123000</f>
        <v>61000</v>
      </c>
      <c r="L275" s="34"/>
      <c r="M275" s="34">
        <f t="shared" si="15"/>
        <v>61000</v>
      </c>
      <c r="N275" s="35">
        <f t="shared" si="18"/>
        <v>61</v>
      </c>
      <c r="O275" s="9"/>
      <c r="P275" s="29"/>
      <c r="Q275" s="130"/>
      <c r="R275" s="31"/>
      <c r="S275" s="31"/>
      <c r="T275" s="31"/>
      <c r="U275" s="31"/>
      <c r="V275" s="67"/>
      <c r="W275" s="67"/>
      <c r="X275" s="67"/>
    </row>
    <row r="276" spans="1:24" s="36" customFormat="1" ht="27" customHeight="1">
      <c r="A276" s="32" t="s">
        <v>216</v>
      </c>
      <c r="B276" s="32" t="s">
        <v>217</v>
      </c>
      <c r="C276" s="32" t="s">
        <v>25</v>
      </c>
      <c r="D276" s="33" t="s">
        <v>218</v>
      </c>
      <c r="E276" s="33"/>
      <c r="F276" s="33"/>
      <c r="G276" s="25">
        <f t="shared" si="17"/>
        <v>0</v>
      </c>
      <c r="H276" s="33"/>
      <c r="I276" s="33"/>
      <c r="J276" s="25">
        <f t="shared" si="16"/>
        <v>0</v>
      </c>
      <c r="K276" s="34">
        <f>514800+38000</f>
        <v>552800</v>
      </c>
      <c r="L276" s="34"/>
      <c r="M276" s="34">
        <f>K276+L276</f>
        <v>552800</v>
      </c>
      <c r="N276" s="35">
        <f t="shared" si="18"/>
        <v>552.8</v>
      </c>
      <c r="O276" s="9"/>
      <c r="P276" s="29"/>
      <c r="Q276" s="130"/>
      <c r="R276" s="31"/>
      <c r="S276" s="29"/>
      <c r="T276" s="29"/>
      <c r="U276" s="29"/>
      <c r="V276" s="67"/>
      <c r="W276" s="67"/>
      <c r="X276" s="67"/>
    </row>
    <row r="277" spans="1:24" s="28" customFormat="1" ht="29.25" customHeight="1">
      <c r="A277" s="23"/>
      <c r="B277" s="75"/>
      <c r="C277" s="75"/>
      <c r="D277" s="1" t="s">
        <v>429</v>
      </c>
      <c r="E277" s="1"/>
      <c r="F277" s="1"/>
      <c r="G277" s="25">
        <f t="shared" si="17"/>
        <v>0</v>
      </c>
      <c r="H277" s="1"/>
      <c r="I277" s="1"/>
      <c r="J277" s="25">
        <f t="shared" si="16"/>
        <v>0</v>
      </c>
      <c r="K277" s="26">
        <f>K18+K42+K58+K69+K80+K87+K147+K149+K265+K267+K269+K274</f>
        <v>470245923.96000004</v>
      </c>
      <c r="L277" s="26">
        <f>L18+L42+L58+L69+L80+L87+L147+L149+L265+L267+L269+L274</f>
        <v>-442000</v>
      </c>
      <c r="M277" s="26">
        <f>M18+M42+M58+M69+M80+M87+M147+M149+M265+M267+M269+M274</f>
        <v>469803923.96000004</v>
      </c>
      <c r="N277" s="27">
        <f>N18+N42+N58+N69+N80+N87+N147+N149+N265+N267+N269+N274</f>
        <v>472870.99999999994</v>
      </c>
      <c r="O277" s="9"/>
      <c r="P277" s="29"/>
      <c r="Q277" s="130"/>
      <c r="R277" s="31"/>
      <c r="S277" s="29"/>
      <c r="T277" s="29"/>
      <c r="U277" s="29"/>
      <c r="V277" s="67"/>
      <c r="W277" s="67"/>
      <c r="X277" s="67"/>
    </row>
    <row r="278" spans="1:24" ht="27.75" customHeight="1">
      <c r="A278" s="132"/>
      <c r="B278" s="133"/>
      <c r="C278" s="133"/>
      <c r="D278" s="2" t="s">
        <v>430</v>
      </c>
      <c r="E278" s="134"/>
      <c r="F278" s="134"/>
      <c r="G278" s="134"/>
      <c r="H278" s="134"/>
      <c r="I278" s="134"/>
      <c r="J278" s="134"/>
      <c r="K278" s="135"/>
      <c r="L278" s="136"/>
      <c r="M278" s="136"/>
      <c r="N278" s="4">
        <v>6084.1</v>
      </c>
      <c r="P278" s="29"/>
      <c r="R278" s="31"/>
      <c r="S278" s="31"/>
      <c r="T278" s="31"/>
      <c r="U278" s="31"/>
      <c r="V278" s="67"/>
      <c r="W278" s="67"/>
      <c r="X278" s="67"/>
    </row>
    <row r="279" spans="1:24" ht="27.75" customHeight="1">
      <c r="A279" s="132"/>
      <c r="B279" s="133"/>
      <c r="C279" s="133"/>
      <c r="D279" s="2" t="s">
        <v>431</v>
      </c>
      <c r="E279" s="134"/>
      <c r="F279" s="134"/>
      <c r="G279" s="134"/>
      <c r="H279" s="134"/>
      <c r="I279" s="134"/>
      <c r="J279" s="134"/>
      <c r="K279" s="137"/>
      <c r="L279" s="137"/>
      <c r="M279" s="137"/>
      <c r="N279" s="4">
        <v>73.4</v>
      </c>
      <c r="P279" s="29"/>
      <c r="R279" s="31"/>
      <c r="S279" s="138"/>
      <c r="T279" s="138"/>
      <c r="U279" s="138"/>
      <c r="V279" s="67"/>
      <c r="W279" s="67"/>
      <c r="X279" s="67"/>
    </row>
    <row r="280" spans="1:24" ht="27.75" customHeight="1">
      <c r="A280" s="132"/>
      <c r="B280" s="133"/>
      <c r="C280" s="133"/>
      <c r="D280" s="3" t="s">
        <v>148</v>
      </c>
      <c r="E280" s="134"/>
      <c r="F280" s="134"/>
      <c r="G280" s="134"/>
      <c r="H280" s="134"/>
      <c r="I280" s="134"/>
      <c r="J280" s="134"/>
      <c r="K280" s="135"/>
      <c r="L280" s="136"/>
      <c r="M280" s="136"/>
      <c r="N280" s="139">
        <v>73.4</v>
      </c>
      <c r="P280" s="29"/>
      <c r="R280" s="31"/>
      <c r="S280" s="138"/>
      <c r="T280" s="138"/>
      <c r="U280" s="138"/>
      <c r="V280" s="67"/>
      <c r="W280" s="67"/>
      <c r="X280" s="67"/>
    </row>
    <row r="281" spans="1:18" ht="20.25">
      <c r="A281" s="162"/>
      <c r="B281" s="162"/>
      <c r="C281" s="162"/>
      <c r="D281" s="162"/>
      <c r="E281" s="162"/>
      <c r="F281" s="9"/>
      <c r="G281" s="9"/>
      <c r="H281" s="9"/>
      <c r="I281" s="140"/>
      <c r="J281" s="140"/>
      <c r="K281" s="140"/>
      <c r="P281" s="29"/>
      <c r="R281" s="31"/>
    </row>
    <row r="282" spans="1:18" ht="20.25">
      <c r="A282" s="6"/>
      <c r="K282" s="141"/>
      <c r="P282" s="29"/>
      <c r="R282" s="31"/>
    </row>
    <row r="283" spans="1:18" ht="6" customHeight="1">
      <c r="A283" s="6"/>
      <c r="K283" s="141"/>
      <c r="P283" s="29"/>
      <c r="R283" s="31"/>
    </row>
    <row r="284" spans="1:18" ht="20.25">
      <c r="A284" s="142"/>
      <c r="B284" s="143"/>
      <c r="C284" s="144"/>
      <c r="D284" s="145"/>
      <c r="E284" s="146"/>
      <c r="F284" s="146"/>
      <c r="G284" s="146"/>
      <c r="H284" s="146"/>
      <c r="I284" s="147"/>
      <c r="J284" s="147"/>
      <c r="K284" s="15"/>
      <c r="P284" s="29"/>
      <c r="R284" s="31"/>
    </row>
    <row r="285" spans="1:22" s="154" customFormat="1" ht="32.25" customHeight="1">
      <c r="A285" s="150"/>
      <c r="B285" s="151"/>
      <c r="C285" s="151"/>
      <c r="D285" s="152" t="s">
        <v>445</v>
      </c>
      <c r="E285" s="153"/>
      <c r="F285" s="153"/>
      <c r="G285" s="153"/>
      <c r="H285" s="153"/>
      <c r="I285" s="153"/>
      <c r="J285" s="157" t="s">
        <v>446</v>
      </c>
      <c r="K285" s="157"/>
      <c r="L285" s="157"/>
      <c r="M285" s="157"/>
      <c r="N285" s="157"/>
      <c r="O285" s="9"/>
      <c r="P285" s="29"/>
      <c r="Q285" s="9"/>
      <c r="R285" s="29"/>
      <c r="S285" s="9"/>
      <c r="T285" s="9"/>
      <c r="U285" s="9"/>
      <c r="V285" s="9"/>
    </row>
    <row r="286" spans="16:22" ht="27.75" customHeight="1">
      <c r="P286" s="29"/>
      <c r="R286" s="31"/>
      <c r="S286" s="148"/>
      <c r="T286" s="148"/>
      <c r="U286" s="148"/>
      <c r="V286" s="148"/>
    </row>
    <row r="287" spans="4:18" ht="27.75" customHeight="1">
      <c r="D287" s="155" t="s">
        <v>456</v>
      </c>
      <c r="P287" s="29"/>
      <c r="R287" s="31"/>
    </row>
    <row r="288" spans="4:18" ht="27.75" customHeight="1">
      <c r="D288" s="7" t="s">
        <v>447</v>
      </c>
      <c r="P288" s="29"/>
      <c r="R288" s="31"/>
    </row>
    <row r="289" spans="16:18" ht="27.75" customHeight="1">
      <c r="P289" s="29"/>
      <c r="R289" s="31"/>
    </row>
    <row r="290" ht="27.75" customHeight="1">
      <c r="P290" s="29"/>
    </row>
    <row r="291" ht="27.75" customHeight="1"/>
    <row r="292" ht="27.75" customHeight="1"/>
  </sheetData>
  <sheetProtection/>
  <mergeCells count="26">
    <mergeCell ref="K14:K16"/>
    <mergeCell ref="J14:J16"/>
    <mergeCell ref="N14:N16"/>
    <mergeCell ref="A281:E281"/>
    <mergeCell ref="B14:B16"/>
    <mergeCell ref="C14:C16"/>
    <mergeCell ref="I14:I16"/>
    <mergeCell ref="H14:H16"/>
    <mergeCell ref="D14:D16"/>
    <mergeCell ref="A14:A16"/>
    <mergeCell ref="J285:N285"/>
    <mergeCell ref="D11:N11"/>
    <mergeCell ref="D12:N12"/>
    <mergeCell ref="E14:E16"/>
    <mergeCell ref="G14:G16"/>
    <mergeCell ref="G1:N1"/>
    <mergeCell ref="I8:M8"/>
    <mergeCell ref="L14:L16"/>
    <mergeCell ref="M14:M16"/>
    <mergeCell ref="F14:F16"/>
    <mergeCell ref="G3:N3"/>
    <mergeCell ref="G2:N2"/>
    <mergeCell ref="G4:N4"/>
    <mergeCell ref="G5:N5"/>
    <mergeCell ref="G6:N6"/>
    <mergeCell ref="G7:N7"/>
  </mergeCells>
  <printOptions horizontalCentered="1"/>
  <pageMargins left="0.3937007874015748" right="0.3937007874015748" top="1.1811023622047245" bottom="0.3937007874015748" header="0.1968503937007874" footer="0.2362204724409449"/>
  <pageSetup firstPageNumber="6" useFirstPageNumber="1" fitToHeight="19" fitToWidth="1" horizontalDpi="600" verticalDpi="600" orientation="landscape" paperSize="9" scale="54" r:id="rId1"/>
  <rowBreaks count="6" manualBreakCount="6">
    <brk id="79" max="13" man="1"/>
    <brk id="95" max="13" man="1"/>
    <brk id="161" max="13" man="1"/>
    <brk id="185" max="13" man="1"/>
    <brk id="235" max="13" man="1"/>
    <brk id="26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2018-06-21T11:31:43Z</cp:lastPrinted>
  <dcterms:created xsi:type="dcterms:W3CDTF">2014-01-17T10:52:16Z</dcterms:created>
  <dcterms:modified xsi:type="dcterms:W3CDTF">2018-06-22T05:04:40Z</dcterms:modified>
  <cp:category/>
  <cp:version/>
  <cp:contentType/>
  <cp:contentStatus/>
</cp:coreProperties>
</file>