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tabRatio="125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'Лист1'!$9:$13</definedName>
    <definedName name="_xlnm.Print_Area" localSheetId="0">'Лист1'!$A$1:$S$322</definedName>
  </definedNames>
  <calcPr fullCalcOnLoad="1"/>
</workbook>
</file>

<file path=xl/sharedStrings.xml><?xml version="1.0" encoding="utf-8"?>
<sst xmlns="http://schemas.openxmlformats.org/spreadsheetml/2006/main" count="336" uniqueCount="149">
  <si>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</si>
  <si>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</si>
  <si>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</si>
  <si>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</si>
  <si>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</si>
  <si>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</si>
  <si>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</si>
  <si>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</si>
  <si>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</si>
  <si>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</si>
  <si>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</si>
  <si>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</si>
  <si>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</si>
  <si>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</si>
  <si>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</si>
  <si>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</si>
  <si>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</si>
  <si>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</si>
  <si>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</si>
  <si>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</si>
  <si>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</si>
  <si>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</si>
  <si>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</si>
  <si>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</si>
  <si>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</si>
  <si>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</si>
  <si>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</si>
  <si>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</si>
  <si>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</si>
  <si>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</si>
  <si>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</si>
  <si>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</si>
  <si>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</si>
  <si>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</si>
  <si>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</si>
  <si>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</si>
  <si>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</si>
  <si>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</si>
  <si>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</si>
  <si>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</si>
  <si>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</si>
  <si>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</si>
  <si>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</si>
  <si>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</si>
  <si>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</si>
  <si>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</si>
  <si>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</si>
  <si>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</si>
  <si>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</si>
  <si>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</si>
  <si>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</si>
  <si>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</si>
  <si>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</si>
  <si>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</si>
  <si>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</si>
  <si>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</si>
  <si>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</si>
  <si>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</si>
  <si>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</si>
  <si>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</si>
  <si>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</si>
  <si>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</si>
  <si>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</si>
  <si>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</si>
  <si>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</si>
  <si>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</si>
  <si>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</si>
  <si>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</si>
  <si>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</si>
  <si>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</si>
  <si>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</si>
  <si>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</si>
  <si>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</si>
  <si>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</si>
  <si>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</si>
  <si>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</si>
  <si>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</si>
  <si>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</si>
  <si>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</si>
  <si>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</si>
  <si>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</si>
  <si>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</si>
  <si>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</si>
  <si>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</si>
  <si>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</si>
  <si>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</si>
  <si>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</si>
  <si>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</si>
  <si>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</si>
  <si>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</si>
  <si>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</si>
  <si>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</si>
  <si>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</si>
  <si>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</si>
  <si>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</si>
  <si>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</si>
  <si>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</si>
  <si>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</si>
  <si>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r>
      <t>площа замінених огороджуючих конструкцій (вікна, дверні полотна), м</t>
    </r>
    <r>
      <rPr>
        <vertAlign val="superscript"/>
        <sz val="14"/>
        <color indexed="8"/>
        <rFont val="Times New Roman"/>
        <family val="1"/>
      </rPr>
      <t>2</t>
    </r>
  </si>
  <si>
    <r>
      <t>Завдання 2.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</si>
  <si>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</si>
  <si>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грн/м</t>
    </r>
    <r>
      <rPr>
        <vertAlign val="superscript"/>
        <sz val="14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</si>
  <si>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</si>
  <si>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</si>
  <si>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</si>
  <si>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</si>
  <si>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4"/>
        <color indexed="8"/>
        <rFont val="Times New Roman"/>
        <family val="1"/>
      </rPr>
      <t>2</t>
    </r>
  </si>
  <si>
    <r>
      <t>середні витрати на заміну віконних блоків, грн/м</t>
    </r>
    <r>
      <rPr>
        <vertAlign val="superscript"/>
        <sz val="14"/>
        <color indexed="8"/>
        <rFont val="Times New Roman"/>
        <family val="1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</si>
  <si>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</si>
  <si>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6"/>
        <color indexed="8"/>
        <rFont val="Times New Roman"/>
        <family val="1"/>
      </rPr>
      <t>2</t>
    </r>
  </si>
  <si>
    <r>
      <t>площа замінених віконних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</si>
  <si>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</si>
  <si>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</si>
  <si>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КТКВК 180107 " Фінансування енергозберігаючих заходів", тис грн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</si>
  <si>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</si>
  <si>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</si>
  <si>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</si>
  <si>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</si>
  <si>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</si>
  <si>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КТКВК 150101" Капітальні вкладення", тис грн</t>
  </si>
  <si>
    <t>середні витрати на капітальний ремонт 1-ого елеваторного вузла, тис грн/од</t>
  </si>
  <si>
    <t>середні витрати на придбання твердопаливного котла, тис грн/од</t>
  </si>
  <si>
    <t>-</t>
  </si>
  <si>
    <t>Додаток 4</t>
  </si>
  <si>
    <t xml:space="preserve">до рішення Сумської міської ради «Про внесення змін до рішення Сумської міської ради від 21 грудня 2016 року               № 1548-МР «Про Програму підвищення енергоефективності в бюджетній сфері міста Суми на 2017-2019 роки» (зі змінами)                                                 </t>
  </si>
  <si>
    <t>Завдання 3. Термомодернізація будівель (придбання енергозберігаючих віконних блоків)</t>
  </si>
  <si>
    <t>Завдання 3. Термомодернізація будівель (капітальний ремонт покрівлі (утеплення)</t>
  </si>
  <si>
    <t>площа покрівлі, м2</t>
  </si>
  <si>
    <r>
      <t>середні витрати на утеплення 1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зовнішніх стін, тис грн/м2</t>
    </r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</si>
  <si>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</si>
  <si>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</si>
  <si>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</si>
  <si>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</si>
  <si>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</si>
  <si>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Виконавець: Липова С.А.</t>
  </si>
  <si>
    <t>Завдання 8. Модернізація систем освітлення</t>
  </si>
  <si>
    <t>Завдання 9. Термомодернізація будівель (капітальний ремонт будівель (заміна віконних блоків))</t>
  </si>
  <si>
    <t>Завдання 14. Участь у Добровільному об` єднанні органів місцевого самоврядування  Асоціації "Енергоефективні міста України"</t>
  </si>
  <si>
    <t>Завдання 15.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</si>
  <si>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t>Завдання 15. Популяризація ідеї сталого енергетичного розвитку міста (проведення Днів Сталої енергії у місті Суми)</t>
  </si>
  <si>
    <t>кількість обстежених об'єктів, од</t>
  </si>
  <si>
    <t>Завдання 10. Проведення енергоаудитів будівель</t>
  </si>
  <si>
    <t>Завдання 11. Термомодернізція будівель (капітальний ремонт будівель (заміна віконних блоків))</t>
  </si>
  <si>
    <t>Завдання 11. Термомодернізація будівель (капітальний ремонт будівель (утеплення фасаду)</t>
  </si>
  <si>
    <t>Завдання 12. Модернізація систем опалення</t>
  </si>
  <si>
    <t>Завдання 13. Капітальний ремонт будівлі</t>
  </si>
  <si>
    <t>Секретар Сумської міської ради</t>
  </si>
  <si>
    <t>А.В. Баранов</t>
  </si>
  <si>
    <t>від  25 жовтня 2017 року № 2666- МР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</si>
</sst>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180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13" fillId="0" borderId="0" xfId="0" applyFont="1" applyAlignment="1">
      <alignment horizontal="center" vertical="center" textRotation="180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textRotation="90" wrapText="1"/>
    </xf>
    <xf numFmtId="0" fontId="2" fillId="33" borderId="10" xfId="0" applyFont="1" applyFill="1" applyBorder="1" applyAlignment="1">
      <alignment vertical="center" textRotation="90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5" fillId="33" borderId="18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textRotation="90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vertical="center" wrapText="1"/>
    </xf>
    <xf numFmtId="180" fontId="15" fillId="33" borderId="1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horizontal="justify" vertical="center" wrapText="1"/>
    </xf>
    <xf numFmtId="0" fontId="18" fillId="33" borderId="16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/>
    </xf>
    <xf numFmtId="0" fontId="2" fillId="33" borderId="18" xfId="0" applyFont="1" applyFill="1" applyBorder="1" applyAlignment="1">
      <alignment horizontal="justify" vertical="center"/>
    </xf>
    <xf numFmtId="180" fontId="2" fillId="33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33" borderId="21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21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textRotation="180" wrapText="1"/>
    </xf>
    <xf numFmtId="0" fontId="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textRotation="180" wrapText="1"/>
    </xf>
    <xf numFmtId="0" fontId="0" fillId="0" borderId="22" xfId="0" applyBorder="1" applyAlignment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15" fillId="33" borderId="20" xfId="0" applyFont="1" applyFill="1" applyBorder="1" applyAlignment="1">
      <alignment vertical="center"/>
    </xf>
    <xf numFmtId="180" fontId="3" fillId="0" borderId="0" xfId="0" applyNumberFormat="1" applyFont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 textRotation="45" wrapText="1"/>
    </xf>
    <xf numFmtId="1" fontId="7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horizontal="center" textRotation="90" wrapText="1"/>
    </xf>
    <xf numFmtId="43" fontId="15" fillId="33" borderId="16" xfId="60" applyFont="1" applyFill="1" applyBorder="1" applyAlignment="1">
      <alignment vertical="center" wrapText="1"/>
    </xf>
    <xf numFmtId="43" fontId="15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15" fillId="33" borderId="10" xfId="60" applyFont="1" applyFill="1" applyBorder="1" applyAlignment="1">
      <alignment vertical="center" wrapText="1"/>
    </xf>
    <xf numFmtId="43" fontId="2" fillId="33" borderId="10" xfId="60" applyFont="1" applyFill="1" applyBorder="1" applyAlignment="1">
      <alignment vertical="center" wrapText="1"/>
    </xf>
    <xf numFmtId="43" fontId="2" fillId="33" borderId="10" xfId="60" applyFont="1" applyFill="1" applyBorder="1" applyAlignment="1">
      <alignment horizontal="justify" vertical="center" wrapText="1"/>
    </xf>
    <xf numFmtId="43" fontId="15" fillId="33" borderId="10" xfId="60" applyFont="1" applyFill="1" applyBorder="1" applyAlignment="1">
      <alignment horizontal="justify" vertical="center" wrapText="1"/>
    </xf>
    <xf numFmtId="43" fontId="2" fillId="33" borderId="0" xfId="60" applyFont="1" applyFill="1" applyAlignment="1">
      <alignment/>
    </xf>
    <xf numFmtId="43" fontId="15" fillId="33" borderId="18" xfId="60" applyFont="1" applyFill="1" applyBorder="1" applyAlignment="1">
      <alignment horizontal="center" vertical="center" wrapText="1"/>
    </xf>
    <xf numFmtId="43" fontId="2" fillId="33" borderId="18" xfId="60" applyFont="1" applyFill="1" applyBorder="1" applyAlignment="1">
      <alignment horizontal="center" vertical="center" wrapText="1"/>
    </xf>
    <xf numFmtId="43" fontId="15" fillId="33" borderId="18" xfId="60" applyFont="1" applyFill="1" applyBorder="1" applyAlignment="1">
      <alignment horizontal="justify" vertical="center" wrapText="1"/>
    </xf>
    <xf numFmtId="43" fontId="2" fillId="33" borderId="10" xfId="60" applyFont="1" applyFill="1" applyBorder="1" applyAlignment="1">
      <alignment horizontal="justify" vertical="center"/>
    </xf>
    <xf numFmtId="0" fontId="0" fillId="0" borderId="22" xfId="0" applyBorder="1" applyAlignment="1">
      <alignment horizontal="center" vertical="center" textRotation="180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43" fontId="2" fillId="33" borderId="10" xfId="60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vertical="top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top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3" fontId="15" fillId="33" borderId="10" xfId="60" applyFont="1" applyFill="1" applyBorder="1" applyAlignment="1">
      <alignment horizontal="left" vertical="center" wrapText="1"/>
    </xf>
    <xf numFmtId="43" fontId="2" fillId="0" borderId="10" xfId="60" applyFont="1" applyBorder="1" applyAlignment="1">
      <alignment/>
    </xf>
    <xf numFmtId="43" fontId="2" fillId="33" borderId="10" xfId="0" applyNumberFormat="1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14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 textRotation="180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 horizontal="center" vertical="center" textRotation="180"/>
    </xf>
    <xf numFmtId="0" fontId="10" fillId="0" borderId="0" xfId="0" applyFont="1" applyAlignment="1">
      <alignment horizontal="center" vertical="center" textRotation="180"/>
    </xf>
    <xf numFmtId="0" fontId="15" fillId="33" borderId="23" xfId="0" applyFont="1" applyFill="1" applyBorder="1" applyAlignment="1">
      <alignment horizontal="justify" vertical="center" wrapText="1"/>
    </xf>
    <xf numFmtId="0" fontId="15" fillId="33" borderId="20" xfId="0" applyFont="1" applyFill="1" applyBorder="1" applyAlignment="1">
      <alignment horizontal="justify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21" xfId="0" applyFont="1" applyFill="1" applyBorder="1" applyAlignment="1">
      <alignment horizontal="left" vertical="top" wrapText="1"/>
    </xf>
    <xf numFmtId="0" fontId="15" fillId="33" borderId="20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justify" vertical="center"/>
    </xf>
    <xf numFmtId="0" fontId="2" fillId="33" borderId="20" xfId="0" applyFont="1" applyFill="1" applyBorder="1" applyAlignment="1">
      <alignment horizontal="justify" vertical="center"/>
    </xf>
    <xf numFmtId="0" fontId="2" fillId="33" borderId="16" xfId="0" applyFont="1" applyFill="1" applyBorder="1" applyAlignment="1">
      <alignment horizontal="justify" vertical="center"/>
    </xf>
    <xf numFmtId="0" fontId="15" fillId="33" borderId="21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justify" vertical="center"/>
    </xf>
    <xf numFmtId="0" fontId="15" fillId="33" borderId="21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 horizontal="center" vertical="center" textRotation="90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textRotation="90" wrapText="1"/>
    </xf>
    <xf numFmtId="0" fontId="21" fillId="33" borderId="28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15" fillId="0" borderId="2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/>
    </xf>
    <xf numFmtId="0" fontId="15" fillId="0" borderId="21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27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15" fillId="33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15" fillId="33" borderId="20" xfId="0" applyFont="1" applyFill="1" applyBorder="1" applyAlignment="1">
      <alignment horizontal="justify" vertical="center"/>
    </xf>
    <xf numFmtId="0" fontId="15" fillId="33" borderId="16" xfId="0" applyFont="1" applyFill="1" applyBorder="1" applyAlignment="1">
      <alignment horizontal="justify" vertical="center"/>
    </xf>
    <xf numFmtId="0" fontId="15" fillId="33" borderId="31" xfId="0" applyFont="1" applyFill="1" applyBorder="1" applyAlignment="1">
      <alignment horizontal="justify" vertical="center" wrapText="1"/>
    </xf>
    <xf numFmtId="0" fontId="15" fillId="33" borderId="32" xfId="0" applyFont="1" applyFill="1" applyBorder="1" applyAlignment="1">
      <alignment horizontal="justify" vertical="center" wrapText="1"/>
    </xf>
    <xf numFmtId="0" fontId="15" fillId="33" borderId="33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92" fontId="15" fillId="33" borderId="10" xfId="60" applyNumberFormat="1" applyFont="1" applyFill="1" applyBorder="1" applyAlignment="1">
      <alignment horizontal="justify" vertical="center" wrapText="1"/>
    </xf>
    <xf numFmtId="190" fontId="15" fillId="33" borderId="10" xfId="0" applyNumberFormat="1" applyFont="1" applyFill="1" applyBorder="1" applyAlignment="1">
      <alignment horizontal="justify" vertical="center" wrapText="1"/>
    </xf>
    <xf numFmtId="192" fontId="2" fillId="33" borderId="10" xfId="60" applyNumberFormat="1" applyFont="1" applyFill="1" applyBorder="1" applyAlignment="1">
      <alignment horizontal="center" vertical="center" wrapText="1"/>
    </xf>
    <xf numFmtId="192" fontId="15" fillId="33" borderId="10" xfId="60" applyNumberFormat="1" applyFont="1" applyFill="1" applyBorder="1" applyAlignment="1">
      <alignment horizontal="left" vertical="center" wrapText="1"/>
    </xf>
    <xf numFmtId="190" fontId="15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2"/>
  <sheetViews>
    <sheetView tabSelected="1" view="pageBreakPreview" zoomScale="80" zoomScaleNormal="55" zoomScaleSheetLayoutView="80" zoomScalePageLayoutView="0" workbookViewId="0" topLeftCell="A289">
      <selection activeCell="B290" sqref="B290"/>
    </sheetView>
  </sheetViews>
  <sheetFormatPr defaultColWidth="9.140625" defaultRowHeight="15"/>
  <cols>
    <col min="1" max="1" width="23.8515625" style="0" customWidth="1"/>
    <col min="2" max="2" width="16.421875" style="0" bestFit="1" customWidth="1"/>
    <col min="3" max="3" width="17.140625" style="0" customWidth="1"/>
    <col min="4" max="4" width="13.57421875" style="0" customWidth="1"/>
    <col min="5" max="5" width="14.8515625" style="0" customWidth="1"/>
    <col min="6" max="6" width="12.28125" style="0" customWidth="1"/>
    <col min="7" max="7" width="15.7109375" style="0" customWidth="1"/>
    <col min="8" max="8" width="16.00390625" style="0" customWidth="1"/>
    <col min="9" max="9" width="10.8515625" style="0" customWidth="1"/>
    <col min="10" max="10" width="15.00390625" style="0" customWidth="1"/>
    <col min="11" max="11" width="10.57421875" style="0" customWidth="1"/>
    <col min="12" max="12" width="16.421875" style="0" customWidth="1"/>
    <col min="13" max="13" width="16.8515625" style="0" customWidth="1"/>
    <col min="14" max="14" width="12.00390625" style="0" customWidth="1"/>
    <col min="15" max="15" width="15.7109375" style="0" customWidth="1"/>
    <col min="16" max="16" width="13.8515625" style="0" hidden="1" customWidth="1"/>
    <col min="17" max="17" width="9.57421875" style="0" hidden="1" customWidth="1"/>
    <col min="18" max="18" width="9.57421875" style="0" customWidth="1"/>
    <col min="19" max="19" width="16.421875" style="0" customWidth="1"/>
    <col min="20" max="20" width="6.8515625" style="0" customWidth="1"/>
  </cols>
  <sheetData>
    <row r="1" spans="5:20" ht="27.75" customHeight="1">
      <c r="E1" s="84"/>
      <c r="K1" s="92"/>
      <c r="L1" s="87"/>
      <c r="M1" s="118" t="s">
        <v>123</v>
      </c>
      <c r="N1" s="118"/>
      <c r="O1" s="118"/>
      <c r="P1" s="118"/>
      <c r="Q1" s="118"/>
      <c r="R1" s="118"/>
      <c r="S1" s="118"/>
      <c r="T1" s="118"/>
    </row>
    <row r="2" spans="4:20" ht="135.75" customHeight="1">
      <c r="D2" s="84"/>
      <c r="E2" s="84"/>
      <c r="G2" s="84"/>
      <c r="K2" s="135" t="s">
        <v>124</v>
      </c>
      <c r="L2" s="135"/>
      <c r="M2" s="135"/>
      <c r="N2" s="135"/>
      <c r="O2" s="135"/>
      <c r="P2" s="135"/>
      <c r="Q2" s="135"/>
      <c r="R2" s="135"/>
      <c r="S2" s="135"/>
      <c r="T2" s="87"/>
    </row>
    <row r="3" spans="4:20" s="116" customFormat="1" ht="28.5" customHeight="1">
      <c r="D3" s="84"/>
      <c r="E3" s="84"/>
      <c r="G3" s="84"/>
      <c r="K3" s="223" t="s">
        <v>148</v>
      </c>
      <c r="L3" s="223"/>
      <c r="M3" s="223"/>
      <c r="N3" s="223"/>
      <c r="O3" s="223"/>
      <c r="P3" s="223"/>
      <c r="Q3" s="223"/>
      <c r="R3" s="223"/>
      <c r="S3" s="87"/>
      <c r="T3" s="87"/>
    </row>
    <row r="4" spans="15:20" ht="15.75" customHeight="1">
      <c r="O4" s="2"/>
      <c r="P4" s="2"/>
      <c r="Q4" s="2"/>
      <c r="R4" s="2"/>
      <c r="S4" s="2"/>
      <c r="T4" s="24"/>
    </row>
    <row r="5" spans="15:20" s="116" customFormat="1" ht="15.75" customHeight="1">
      <c r="O5" s="2"/>
      <c r="P5" s="2"/>
      <c r="Q5" s="2"/>
      <c r="R5" s="2"/>
      <c r="S5" s="2"/>
      <c r="T5" s="24"/>
    </row>
    <row r="6" spans="1:20" s="1" customFormat="1" ht="24" customHeight="1">
      <c r="A6" s="137" t="s">
        <v>115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T6" s="96"/>
    </row>
    <row r="7" spans="1:20" s="1" customFormat="1" ht="24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T7" s="96"/>
    </row>
    <row r="8" spans="3:20" s="1" customFormat="1" ht="15" customHeight="1" thickBot="1">
      <c r="C8" s="94"/>
      <c r="T8" s="88"/>
    </row>
    <row r="9" spans="1:20" s="3" customFormat="1" ht="20.25" customHeight="1">
      <c r="A9" s="182" t="s">
        <v>80</v>
      </c>
      <c r="B9" s="160" t="s">
        <v>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  <c r="T9" s="90"/>
    </row>
    <row r="10" spans="1:20" s="3" customFormat="1" ht="18.75">
      <c r="A10" s="183"/>
      <c r="B10" s="30"/>
      <c r="C10" s="78" t="s">
        <v>1</v>
      </c>
      <c r="D10" s="93"/>
      <c r="E10" s="93"/>
      <c r="F10" s="61"/>
      <c r="G10" s="62"/>
      <c r="H10" s="184" t="s">
        <v>2</v>
      </c>
      <c r="I10" s="185"/>
      <c r="J10" s="185"/>
      <c r="K10" s="186"/>
      <c r="L10" s="181"/>
      <c r="M10" s="187" t="s">
        <v>3</v>
      </c>
      <c r="N10" s="187"/>
      <c r="O10" s="187"/>
      <c r="P10" s="187"/>
      <c r="Q10" s="187"/>
      <c r="R10" s="187"/>
      <c r="S10" s="187"/>
      <c r="T10" s="91"/>
    </row>
    <row r="11" spans="1:20" s="3" customFormat="1" ht="58.5" customHeight="1">
      <c r="A11" s="183"/>
      <c r="B11" s="188" t="s">
        <v>81</v>
      </c>
      <c r="C11" s="159" t="s">
        <v>4</v>
      </c>
      <c r="D11" s="176" t="s">
        <v>5</v>
      </c>
      <c r="E11" s="176"/>
      <c r="F11" s="190" t="s">
        <v>10</v>
      </c>
      <c r="G11" s="191"/>
      <c r="H11" s="159" t="s">
        <v>4</v>
      </c>
      <c r="I11" s="192" t="s">
        <v>5</v>
      </c>
      <c r="J11" s="192"/>
      <c r="K11" s="180" t="s">
        <v>10</v>
      </c>
      <c r="L11" s="181"/>
      <c r="M11" s="159" t="s">
        <v>4</v>
      </c>
      <c r="N11" s="176" t="s">
        <v>5</v>
      </c>
      <c r="O11" s="176"/>
      <c r="P11" s="176" t="s">
        <v>6</v>
      </c>
      <c r="Q11" s="176"/>
      <c r="R11" s="168" t="s">
        <v>97</v>
      </c>
      <c r="S11" s="169"/>
      <c r="T11" s="91"/>
    </row>
    <row r="12" spans="1:21" s="3" customFormat="1" ht="87.75" customHeight="1">
      <c r="A12" s="183"/>
      <c r="B12" s="189"/>
      <c r="C12" s="159"/>
      <c r="D12" s="31" t="s">
        <v>51</v>
      </c>
      <c r="E12" s="31" t="s">
        <v>50</v>
      </c>
      <c r="F12" s="31" t="s">
        <v>51</v>
      </c>
      <c r="G12" s="31" t="s">
        <v>49</v>
      </c>
      <c r="H12" s="159"/>
      <c r="I12" s="31" t="s">
        <v>51</v>
      </c>
      <c r="J12" s="31" t="s">
        <v>50</v>
      </c>
      <c r="K12" s="31" t="s">
        <v>51</v>
      </c>
      <c r="L12" s="114" t="s">
        <v>49</v>
      </c>
      <c r="M12" s="159"/>
      <c r="N12" s="31" t="s">
        <v>51</v>
      </c>
      <c r="O12" s="114" t="s">
        <v>50</v>
      </c>
      <c r="P12" s="31" t="s">
        <v>51</v>
      </c>
      <c r="Q12" s="32" t="s">
        <v>50</v>
      </c>
      <c r="R12" s="32" t="s">
        <v>51</v>
      </c>
      <c r="S12" s="114" t="s">
        <v>49</v>
      </c>
      <c r="T12" s="111"/>
      <c r="U12" s="89"/>
    </row>
    <row r="13" spans="1:21" s="3" customFormat="1" ht="18.75">
      <c r="A13" s="33">
        <v>1</v>
      </c>
      <c r="B13" s="30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16</v>
      </c>
      <c r="S13" s="34">
        <v>17</v>
      </c>
      <c r="T13" s="138"/>
      <c r="U13" s="89"/>
    </row>
    <row r="14" spans="1:21" s="3" customFormat="1" ht="105" customHeight="1">
      <c r="A14" s="35" t="s">
        <v>7</v>
      </c>
      <c r="B14" s="99">
        <f>C14+H14+M14</f>
        <v>169172.316</v>
      </c>
      <c r="C14" s="100">
        <f>D14+E14+G14+F14</f>
        <v>76921.716</v>
      </c>
      <c r="D14" s="101">
        <f>D37+D142+D155+D163+D188+D283+D309+D278+D224+D64+D202+D175+D215</f>
        <v>1411.65</v>
      </c>
      <c r="E14" s="101">
        <f>E19+E51+E76+E102+E129+E142+E202+E224+E237+E265+E20+E118+E250+E89</f>
        <v>34284.273</v>
      </c>
      <c r="F14" s="101">
        <f>F51+F64+F175+F215</f>
        <v>470.408</v>
      </c>
      <c r="G14" s="101">
        <f>G19+G20+G51+G202+G76+G89</f>
        <v>40755.385</v>
      </c>
      <c r="H14" s="100">
        <f>I14+J14+L14</f>
        <v>42917.6</v>
      </c>
      <c r="I14" s="101">
        <f>I37+I142+I155+I163+I188+I283+I278</f>
        <v>816</v>
      </c>
      <c r="J14" s="101">
        <f>J19+J51+J129+J142+J202+J237+J250</f>
        <v>10792.8</v>
      </c>
      <c r="K14" s="101"/>
      <c r="L14" s="101">
        <v>31308.8</v>
      </c>
      <c r="M14" s="102">
        <f>S14+O14+N14</f>
        <v>49333</v>
      </c>
      <c r="N14" s="103">
        <f>N37+N142+N155+N163+N188+N283+N278</f>
        <v>641</v>
      </c>
      <c r="O14" s="104">
        <f>O19+O51+O129+O142+O250</f>
        <v>10429.5</v>
      </c>
      <c r="P14" s="105"/>
      <c r="Q14" s="105"/>
      <c r="R14" s="105"/>
      <c r="S14" s="104">
        <v>38262.5</v>
      </c>
      <c r="T14" s="138"/>
      <c r="U14" s="89"/>
    </row>
    <row r="15" spans="1:21" s="3" customFormat="1" ht="63" customHeight="1">
      <c r="A15" s="172" t="s">
        <v>8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138"/>
      <c r="U15" s="89"/>
    </row>
    <row r="16" spans="1:20" s="20" customFormat="1" ht="36.75" customHeight="1">
      <c r="A16" s="142" t="s">
        <v>62</v>
      </c>
      <c r="B16" s="177"/>
      <c r="C16" s="177"/>
      <c r="D16" s="17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138"/>
    </row>
    <row r="17" spans="1:21" s="3" customFormat="1" ht="19.5" customHeight="1">
      <c r="A17" s="142" t="s">
        <v>75</v>
      </c>
      <c r="B17" s="14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38"/>
      <c r="U17" s="89"/>
    </row>
    <row r="18" spans="1:21" s="3" customFormat="1" ht="22.5" customHeight="1">
      <c r="A18" s="157" t="s">
        <v>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5"/>
      <c r="T18" s="138"/>
      <c r="U18" s="89"/>
    </row>
    <row r="19" spans="1:22" s="11" customFormat="1" ht="112.5" customHeight="1">
      <c r="A19" s="45" t="s">
        <v>11</v>
      </c>
      <c r="B19" s="46">
        <v>4717410</v>
      </c>
      <c r="C19" s="100">
        <f>E19+G19</f>
        <v>30918.4</v>
      </c>
      <c r="D19" s="115"/>
      <c r="E19" s="105">
        <v>5153.1</v>
      </c>
      <c r="F19" s="105"/>
      <c r="G19" s="105">
        <f>25765.3</f>
        <v>25765.3</v>
      </c>
      <c r="H19" s="100">
        <f>J19+L19</f>
        <v>37570.6</v>
      </c>
      <c r="I19" s="101"/>
      <c r="J19" s="105">
        <v>6261.8</v>
      </c>
      <c r="K19" s="105"/>
      <c r="L19" s="105">
        <f>L14</f>
        <v>31308.8</v>
      </c>
      <c r="M19" s="100">
        <f>O19+S19</f>
        <v>45915</v>
      </c>
      <c r="N19" s="101"/>
      <c r="O19" s="104">
        <v>7652.5</v>
      </c>
      <c r="P19" s="104"/>
      <c r="Q19" s="104"/>
      <c r="R19" s="104"/>
      <c r="S19" s="104">
        <v>38262.5</v>
      </c>
      <c r="T19" s="138"/>
      <c r="U19" s="113"/>
      <c r="V19" s="112"/>
    </row>
    <row r="20" spans="1:22" s="11" customFormat="1" ht="90" customHeight="1">
      <c r="A20" s="45" t="s">
        <v>31</v>
      </c>
      <c r="B20" s="46">
        <v>4716310</v>
      </c>
      <c r="C20" s="100">
        <f>E20+G20</f>
        <v>6846</v>
      </c>
      <c r="D20" s="115"/>
      <c r="E20" s="105">
        <v>2500</v>
      </c>
      <c r="F20" s="105"/>
      <c r="G20" s="105">
        <v>4346</v>
      </c>
      <c r="H20" s="100"/>
      <c r="I20" s="101"/>
      <c r="J20" s="105"/>
      <c r="K20" s="105"/>
      <c r="L20" s="105"/>
      <c r="M20" s="100"/>
      <c r="N20" s="101"/>
      <c r="O20" s="104"/>
      <c r="P20" s="104"/>
      <c r="Q20" s="104"/>
      <c r="R20" s="104"/>
      <c r="S20" s="104"/>
      <c r="T20" s="138"/>
      <c r="U20" s="113"/>
      <c r="V20" s="112"/>
    </row>
    <row r="21" spans="1:21" s="3" customFormat="1" ht="37.5" customHeight="1">
      <c r="A21" s="48" t="s">
        <v>12</v>
      </c>
      <c r="B21" s="46"/>
      <c r="C21" s="34"/>
      <c r="D21" s="47"/>
      <c r="E21" s="42"/>
      <c r="F21" s="42"/>
      <c r="G21" s="42"/>
      <c r="H21" s="34"/>
      <c r="I21" s="38"/>
      <c r="J21" s="42"/>
      <c r="K21" s="42"/>
      <c r="L21" s="42"/>
      <c r="M21" s="34"/>
      <c r="N21" s="38"/>
      <c r="O21" s="41"/>
      <c r="P21" s="41"/>
      <c r="Q21" s="41"/>
      <c r="R21" s="41"/>
      <c r="S21" s="41"/>
      <c r="T21" s="138"/>
      <c r="U21" s="89"/>
    </row>
    <row r="22" spans="1:21" s="3" customFormat="1" ht="37.5" customHeight="1">
      <c r="A22" s="46" t="s">
        <v>13</v>
      </c>
      <c r="B22" s="46"/>
      <c r="C22" s="34"/>
      <c r="D22" s="47"/>
      <c r="E22" s="42"/>
      <c r="F22" s="42"/>
      <c r="G22" s="42"/>
      <c r="H22" s="34"/>
      <c r="I22" s="38"/>
      <c r="J22" s="42"/>
      <c r="K22" s="42"/>
      <c r="L22" s="42"/>
      <c r="M22" s="34"/>
      <c r="N22" s="38"/>
      <c r="O22" s="41"/>
      <c r="P22" s="41"/>
      <c r="Q22" s="41"/>
      <c r="R22" s="41"/>
      <c r="S22" s="41"/>
      <c r="T22" s="138"/>
      <c r="U22" s="89"/>
    </row>
    <row r="23" spans="1:20" s="3" customFormat="1" ht="57.75" customHeight="1">
      <c r="A23" s="48" t="s">
        <v>14</v>
      </c>
      <c r="B23" s="46"/>
      <c r="C23" s="34">
        <f>E23+G23</f>
        <v>35324.4</v>
      </c>
      <c r="D23" s="47"/>
      <c r="E23" s="42">
        <f>5183.1+30</f>
        <v>5213.1</v>
      </c>
      <c r="F23" s="42"/>
      <c r="G23" s="42">
        <f>G19+G20</f>
        <v>30111.3</v>
      </c>
      <c r="H23" s="34"/>
      <c r="I23" s="38"/>
      <c r="J23" s="42"/>
      <c r="K23" s="42"/>
      <c r="L23" s="42"/>
      <c r="M23" s="34"/>
      <c r="N23" s="38"/>
      <c r="O23" s="41"/>
      <c r="P23" s="41"/>
      <c r="Q23" s="41"/>
      <c r="R23" s="41"/>
      <c r="S23" s="41"/>
      <c r="T23" s="138"/>
    </row>
    <row r="24" spans="1:20" s="3" customFormat="1" ht="100.5" customHeight="1">
      <c r="A24" s="48" t="s">
        <v>15</v>
      </c>
      <c r="B24" s="46"/>
      <c r="C24" s="38">
        <v>7</v>
      </c>
      <c r="D24" s="47"/>
      <c r="E24" s="42"/>
      <c r="F24" s="42"/>
      <c r="G24" s="42"/>
      <c r="H24" s="34">
        <v>7</v>
      </c>
      <c r="I24" s="38"/>
      <c r="J24" s="42"/>
      <c r="K24" s="42"/>
      <c r="L24" s="42"/>
      <c r="M24" s="34">
        <v>7</v>
      </c>
      <c r="N24" s="38"/>
      <c r="O24" s="41"/>
      <c r="P24" s="41"/>
      <c r="Q24" s="41"/>
      <c r="R24" s="41"/>
      <c r="S24" s="41"/>
      <c r="T24" s="138"/>
    </row>
    <row r="25" spans="1:20" s="3" customFormat="1" ht="37.5">
      <c r="A25" s="46" t="s">
        <v>16</v>
      </c>
      <c r="B25" s="46"/>
      <c r="C25" s="34"/>
      <c r="D25" s="47"/>
      <c r="E25" s="42"/>
      <c r="F25" s="42"/>
      <c r="G25" s="42"/>
      <c r="H25" s="34"/>
      <c r="I25" s="38"/>
      <c r="J25" s="42"/>
      <c r="K25" s="42"/>
      <c r="L25" s="42"/>
      <c r="M25" s="34"/>
      <c r="N25" s="38"/>
      <c r="O25" s="41"/>
      <c r="P25" s="41"/>
      <c r="Q25" s="41"/>
      <c r="R25" s="41"/>
      <c r="S25" s="41"/>
      <c r="T25" s="138"/>
    </row>
    <row r="26" spans="1:20" s="3" customFormat="1" ht="78.75">
      <c r="A26" s="48" t="s">
        <v>98</v>
      </c>
      <c r="B26" s="46"/>
      <c r="C26" s="34">
        <v>2503</v>
      </c>
      <c r="D26" s="47"/>
      <c r="E26" s="42"/>
      <c r="F26" s="42"/>
      <c r="G26" s="42"/>
      <c r="H26" s="34">
        <v>3856</v>
      </c>
      <c r="I26" s="38"/>
      <c r="J26" s="42"/>
      <c r="K26" s="42"/>
      <c r="L26" s="42"/>
      <c r="M26" s="34">
        <v>2574</v>
      </c>
      <c r="N26" s="38"/>
      <c r="O26" s="41"/>
      <c r="P26" s="41"/>
      <c r="Q26" s="41"/>
      <c r="R26" s="41"/>
      <c r="S26" s="41"/>
      <c r="T26" s="138"/>
    </row>
    <row r="27" spans="1:20" s="3" customFormat="1" ht="147" customHeight="1">
      <c r="A27" s="48" t="s">
        <v>74</v>
      </c>
      <c r="B27" s="46"/>
      <c r="C27" s="34">
        <v>3</v>
      </c>
      <c r="D27" s="47"/>
      <c r="E27" s="42"/>
      <c r="F27" s="42"/>
      <c r="G27" s="42"/>
      <c r="H27" s="34">
        <v>7</v>
      </c>
      <c r="I27" s="38"/>
      <c r="J27" s="42"/>
      <c r="K27" s="42"/>
      <c r="L27" s="42"/>
      <c r="M27" s="34">
        <v>7</v>
      </c>
      <c r="N27" s="38"/>
      <c r="O27" s="41"/>
      <c r="P27" s="41"/>
      <c r="Q27" s="41"/>
      <c r="R27" s="41"/>
      <c r="S27" s="41"/>
      <c r="T27" s="138"/>
    </row>
    <row r="28" spans="1:20" s="3" customFormat="1" ht="37.5">
      <c r="A28" s="46" t="s">
        <v>17</v>
      </c>
      <c r="B28" s="46"/>
      <c r="C28" s="34"/>
      <c r="D28" s="47"/>
      <c r="E28" s="42"/>
      <c r="F28" s="42"/>
      <c r="G28" s="42"/>
      <c r="H28" s="34"/>
      <c r="I28" s="38"/>
      <c r="J28" s="42"/>
      <c r="K28" s="42"/>
      <c r="L28" s="42"/>
      <c r="M28" s="34"/>
      <c r="N28" s="38"/>
      <c r="O28" s="41"/>
      <c r="P28" s="41"/>
      <c r="Q28" s="41"/>
      <c r="R28" s="41"/>
      <c r="S28" s="41"/>
      <c r="T28" s="138"/>
    </row>
    <row r="29" spans="1:20" s="3" customFormat="1" ht="99" customHeight="1">
      <c r="A29" s="48" t="s">
        <v>54</v>
      </c>
      <c r="B29" s="48"/>
      <c r="C29" s="40">
        <f>C23/C24</f>
        <v>5046.342857142858</v>
      </c>
      <c r="D29" s="47"/>
      <c r="E29" s="41"/>
      <c r="F29" s="41"/>
      <c r="G29" s="41"/>
      <c r="H29" s="40">
        <f>H19/H24</f>
        <v>5367.228571428571</v>
      </c>
      <c r="I29" s="38"/>
      <c r="J29" s="41"/>
      <c r="K29" s="41"/>
      <c r="L29" s="41"/>
      <c r="M29" s="40">
        <f>M19/M24</f>
        <v>6559.285714285715</v>
      </c>
      <c r="N29" s="38"/>
      <c r="O29" s="41"/>
      <c r="P29" s="41"/>
      <c r="Q29" s="41"/>
      <c r="R29" s="41"/>
      <c r="S29" s="41"/>
      <c r="T29" s="138"/>
    </row>
    <row r="30" spans="1:20" s="3" customFormat="1" ht="18.75">
      <c r="A30" s="46" t="s">
        <v>18</v>
      </c>
      <c r="B30" s="48"/>
      <c r="C30" s="38"/>
      <c r="D30" s="47"/>
      <c r="E30" s="41"/>
      <c r="F30" s="41"/>
      <c r="G30" s="41"/>
      <c r="H30" s="38"/>
      <c r="I30" s="38"/>
      <c r="J30" s="41"/>
      <c r="K30" s="41"/>
      <c r="L30" s="41"/>
      <c r="M30" s="38"/>
      <c r="N30" s="38"/>
      <c r="O30" s="41"/>
      <c r="P30" s="41"/>
      <c r="Q30" s="41"/>
      <c r="R30" s="41"/>
      <c r="S30" s="41"/>
      <c r="T30" s="138"/>
    </row>
    <row r="31" spans="1:20" s="3" customFormat="1" ht="91.5" customHeight="1">
      <c r="A31" s="48" t="s">
        <v>69</v>
      </c>
      <c r="B31" s="48"/>
      <c r="C31" s="38">
        <v>33</v>
      </c>
      <c r="D31" s="47"/>
      <c r="E31" s="41"/>
      <c r="F31" s="41"/>
      <c r="G31" s="41"/>
      <c r="H31" s="38">
        <v>55</v>
      </c>
      <c r="I31" s="38"/>
      <c r="J31" s="41"/>
      <c r="K31" s="41"/>
      <c r="L31" s="41"/>
      <c r="M31" s="38">
        <v>24</v>
      </c>
      <c r="N31" s="38"/>
      <c r="O31" s="41"/>
      <c r="P31" s="41"/>
      <c r="Q31" s="41"/>
      <c r="R31" s="41"/>
      <c r="S31" s="41"/>
      <c r="T31" s="138"/>
    </row>
    <row r="32" spans="1:20" s="3" customFormat="1" ht="90.75" customHeight="1">
      <c r="A32" s="48" t="s">
        <v>53</v>
      </c>
      <c r="B32" s="48"/>
      <c r="C32" s="38">
        <v>367.4</v>
      </c>
      <c r="D32" s="47"/>
      <c r="E32" s="41"/>
      <c r="F32" s="41"/>
      <c r="G32" s="41"/>
      <c r="H32" s="38"/>
      <c r="I32" s="38"/>
      <c r="J32" s="41"/>
      <c r="K32" s="41"/>
      <c r="L32" s="41"/>
      <c r="M32" s="38"/>
      <c r="N32" s="38"/>
      <c r="O32" s="41"/>
      <c r="P32" s="41"/>
      <c r="Q32" s="41"/>
      <c r="R32" s="41"/>
      <c r="S32" s="41"/>
      <c r="T32" s="138"/>
    </row>
    <row r="33" spans="1:20" s="3" customFormat="1" ht="64.5" customHeight="1">
      <c r="A33" s="49" t="s">
        <v>70</v>
      </c>
      <c r="B33" s="50"/>
      <c r="C33" s="51">
        <f>2126+545</f>
        <v>2671</v>
      </c>
      <c r="D33" s="52"/>
      <c r="E33" s="53"/>
      <c r="F33" s="53"/>
      <c r="G33" s="53"/>
      <c r="H33" s="51">
        <v>2802</v>
      </c>
      <c r="I33" s="54"/>
      <c r="J33" s="53"/>
      <c r="K33" s="53"/>
      <c r="L33" s="53"/>
      <c r="M33" s="51">
        <v>2239</v>
      </c>
      <c r="N33" s="54"/>
      <c r="O33" s="55"/>
      <c r="P33" s="55"/>
      <c r="Q33" s="55"/>
      <c r="R33" s="55"/>
      <c r="S33" s="55"/>
      <c r="T33" s="138"/>
    </row>
    <row r="34" spans="1:21" s="4" customFormat="1" ht="37.5">
      <c r="A34" s="48" t="s">
        <v>56</v>
      </c>
      <c r="B34" s="46"/>
      <c r="C34" s="56">
        <f>C23/(0.001*(C31*1000*2.364*1.09+C32*9379.22*1.14/9.39+C33*0.86*1416*1.1235))</f>
        <v>8.496086831737218</v>
      </c>
      <c r="D34" s="47"/>
      <c r="E34" s="42"/>
      <c r="F34" s="42"/>
      <c r="G34" s="42"/>
      <c r="H34" s="56">
        <f>H19/3566.059</f>
        <v>10.53560807603015</v>
      </c>
      <c r="I34" s="38"/>
      <c r="J34" s="42"/>
      <c r="K34" s="42"/>
      <c r="L34" s="42"/>
      <c r="M34" s="56">
        <f>M19/3609.274</f>
        <v>12.721394939813381</v>
      </c>
      <c r="N34" s="38"/>
      <c r="O34" s="41"/>
      <c r="P34" s="41"/>
      <c r="Q34" s="41"/>
      <c r="R34" s="41"/>
      <c r="S34" s="41"/>
      <c r="T34" s="138"/>
      <c r="U34" s="21"/>
    </row>
    <row r="35" spans="1:20" s="3" customFormat="1" ht="18.75">
      <c r="A35" s="142" t="s">
        <v>99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4"/>
      <c r="T35" s="138"/>
    </row>
    <row r="36" spans="1:20" s="3" customFormat="1" ht="18.75" customHeight="1">
      <c r="A36" s="151" t="s">
        <v>19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3"/>
      <c r="T36" s="138"/>
    </row>
    <row r="37" spans="1:20" s="3" customFormat="1" ht="112.5" customHeight="1">
      <c r="A37" s="57" t="s">
        <v>95</v>
      </c>
      <c r="B37" s="36">
        <v>1017410</v>
      </c>
      <c r="C37" s="34">
        <v>413.5</v>
      </c>
      <c r="D37" s="38">
        <v>413.5</v>
      </c>
      <c r="E37" s="42"/>
      <c r="F37" s="42"/>
      <c r="G37" s="42"/>
      <c r="H37" s="34">
        <v>509</v>
      </c>
      <c r="I37" s="38">
        <f>H37</f>
        <v>509</v>
      </c>
      <c r="J37" s="42"/>
      <c r="K37" s="42"/>
      <c r="L37" s="42"/>
      <c r="M37" s="34">
        <v>352</v>
      </c>
      <c r="N37" s="38">
        <f>M37</f>
        <v>352</v>
      </c>
      <c r="O37" s="41"/>
      <c r="P37" s="41"/>
      <c r="Q37" s="41"/>
      <c r="R37" s="41"/>
      <c r="S37" s="41"/>
      <c r="T37" s="138"/>
    </row>
    <row r="38" spans="1:20" s="3" customFormat="1" ht="45" customHeight="1">
      <c r="A38" s="46" t="s">
        <v>12</v>
      </c>
      <c r="B38" s="36"/>
      <c r="C38" s="34"/>
      <c r="D38" s="38"/>
      <c r="E38" s="42"/>
      <c r="F38" s="42"/>
      <c r="G38" s="42"/>
      <c r="H38" s="34"/>
      <c r="I38" s="38"/>
      <c r="J38" s="42"/>
      <c r="K38" s="42"/>
      <c r="L38" s="42"/>
      <c r="M38" s="34"/>
      <c r="N38" s="38"/>
      <c r="O38" s="41"/>
      <c r="P38" s="41"/>
      <c r="Q38" s="41"/>
      <c r="R38" s="41"/>
      <c r="S38" s="41"/>
      <c r="T38" s="138"/>
    </row>
    <row r="39" spans="1:20" s="3" customFormat="1" ht="45" customHeight="1">
      <c r="A39" s="46" t="s">
        <v>21</v>
      </c>
      <c r="B39" s="36"/>
      <c r="C39" s="34"/>
      <c r="D39" s="38"/>
      <c r="E39" s="42"/>
      <c r="F39" s="42"/>
      <c r="G39" s="42"/>
      <c r="H39" s="34"/>
      <c r="I39" s="38"/>
      <c r="J39" s="42"/>
      <c r="K39" s="42"/>
      <c r="L39" s="42"/>
      <c r="M39" s="34"/>
      <c r="N39" s="38"/>
      <c r="O39" s="41"/>
      <c r="P39" s="41"/>
      <c r="Q39" s="41"/>
      <c r="R39" s="41"/>
      <c r="S39" s="41"/>
      <c r="T39" s="138"/>
    </row>
    <row r="40" spans="1:20" s="3" customFormat="1" ht="60" customHeight="1">
      <c r="A40" s="48" t="s">
        <v>14</v>
      </c>
      <c r="B40" s="36"/>
      <c r="C40" s="34">
        <f>D37</f>
        <v>413.5</v>
      </c>
      <c r="D40" s="38"/>
      <c r="E40" s="42"/>
      <c r="F40" s="42"/>
      <c r="G40" s="42"/>
      <c r="H40" s="34">
        <f>I37</f>
        <v>509</v>
      </c>
      <c r="I40" s="38"/>
      <c r="J40" s="42"/>
      <c r="K40" s="42"/>
      <c r="L40" s="42"/>
      <c r="M40" s="34">
        <f>N37</f>
        <v>352</v>
      </c>
      <c r="N40" s="38"/>
      <c r="O40" s="41"/>
      <c r="P40" s="41"/>
      <c r="Q40" s="41"/>
      <c r="R40" s="41"/>
      <c r="S40" s="41"/>
      <c r="T40" s="138"/>
    </row>
    <row r="41" spans="1:20" s="3" customFormat="1" ht="37.5">
      <c r="A41" s="46" t="s">
        <v>16</v>
      </c>
      <c r="B41" s="36"/>
      <c r="C41" s="34"/>
      <c r="D41" s="38"/>
      <c r="E41" s="42"/>
      <c r="F41" s="42"/>
      <c r="G41" s="42"/>
      <c r="H41" s="34"/>
      <c r="I41" s="38"/>
      <c r="J41" s="42"/>
      <c r="K41" s="42"/>
      <c r="L41" s="42"/>
      <c r="M41" s="34"/>
      <c r="N41" s="38"/>
      <c r="O41" s="41"/>
      <c r="P41" s="41"/>
      <c r="Q41" s="41"/>
      <c r="R41" s="41"/>
      <c r="S41" s="41"/>
      <c r="T41" s="138"/>
    </row>
    <row r="42" spans="1:20" s="3" customFormat="1" ht="80.25" customHeight="1">
      <c r="A42" s="48" t="s">
        <v>22</v>
      </c>
      <c r="B42" s="36"/>
      <c r="C42" s="34">
        <v>3181</v>
      </c>
      <c r="D42" s="38"/>
      <c r="E42" s="42"/>
      <c r="F42" s="42"/>
      <c r="G42" s="42"/>
      <c r="H42" s="34">
        <v>3258</v>
      </c>
      <c r="I42" s="38"/>
      <c r="J42" s="42"/>
      <c r="K42" s="42"/>
      <c r="L42" s="42"/>
      <c r="M42" s="34">
        <v>1876</v>
      </c>
      <c r="N42" s="38"/>
      <c r="O42" s="41"/>
      <c r="P42" s="41"/>
      <c r="Q42" s="41"/>
      <c r="R42" s="41"/>
      <c r="S42" s="41"/>
      <c r="T42" s="138"/>
    </row>
    <row r="43" spans="1:20" s="3" customFormat="1" ht="69" customHeight="1">
      <c r="A43" s="48" t="s">
        <v>63</v>
      </c>
      <c r="B43" s="36"/>
      <c r="C43" s="34">
        <v>5</v>
      </c>
      <c r="D43" s="38"/>
      <c r="E43" s="42"/>
      <c r="F43" s="42"/>
      <c r="G43" s="42"/>
      <c r="H43" s="34">
        <v>6</v>
      </c>
      <c r="I43" s="38"/>
      <c r="J43" s="42"/>
      <c r="K43" s="42"/>
      <c r="L43" s="42"/>
      <c r="M43" s="34">
        <v>6</v>
      </c>
      <c r="N43" s="38"/>
      <c r="O43" s="41"/>
      <c r="P43" s="41"/>
      <c r="Q43" s="41"/>
      <c r="R43" s="41"/>
      <c r="S43" s="41"/>
      <c r="T43" s="138"/>
    </row>
    <row r="44" spans="1:20" s="3" customFormat="1" ht="37.5">
      <c r="A44" s="46" t="s">
        <v>23</v>
      </c>
      <c r="B44" s="36"/>
      <c r="C44" s="34"/>
      <c r="D44" s="38"/>
      <c r="E44" s="42"/>
      <c r="F44" s="42"/>
      <c r="G44" s="42"/>
      <c r="H44" s="34"/>
      <c r="I44" s="38"/>
      <c r="J44" s="42"/>
      <c r="K44" s="42"/>
      <c r="L44" s="42"/>
      <c r="M44" s="34"/>
      <c r="N44" s="38"/>
      <c r="O44" s="41"/>
      <c r="P44" s="41"/>
      <c r="Q44" s="41"/>
      <c r="R44" s="41"/>
      <c r="S44" s="41"/>
      <c r="T44" s="138"/>
    </row>
    <row r="45" spans="1:20" s="3" customFormat="1" ht="117" customHeight="1">
      <c r="A45" s="48" t="s">
        <v>24</v>
      </c>
      <c r="B45" s="36"/>
      <c r="C45" s="58">
        <f>C37/C42</f>
        <v>0.12999056900345804</v>
      </c>
      <c r="D45" s="38"/>
      <c r="E45" s="42"/>
      <c r="F45" s="42"/>
      <c r="G45" s="42"/>
      <c r="H45" s="58">
        <f>H37/H42</f>
        <v>0.15623081645181092</v>
      </c>
      <c r="I45" s="38"/>
      <c r="J45" s="42"/>
      <c r="K45" s="42"/>
      <c r="L45" s="42"/>
      <c r="M45" s="58">
        <f>M37/M42</f>
        <v>0.18763326226012794</v>
      </c>
      <c r="N45" s="38"/>
      <c r="O45" s="41"/>
      <c r="P45" s="41"/>
      <c r="Q45" s="41"/>
      <c r="R45" s="41"/>
      <c r="S45" s="41"/>
      <c r="T45" s="138"/>
    </row>
    <row r="46" spans="1:20" s="3" customFormat="1" ht="18.75">
      <c r="A46" s="46" t="s">
        <v>25</v>
      </c>
      <c r="B46" s="36"/>
      <c r="C46" s="34"/>
      <c r="D46" s="38"/>
      <c r="E46" s="42"/>
      <c r="F46" s="42"/>
      <c r="G46" s="42"/>
      <c r="H46" s="34"/>
      <c r="I46" s="38"/>
      <c r="J46" s="42"/>
      <c r="K46" s="42"/>
      <c r="L46" s="42"/>
      <c r="M46" s="34"/>
      <c r="N46" s="38"/>
      <c r="O46" s="41"/>
      <c r="P46" s="41"/>
      <c r="Q46" s="41"/>
      <c r="R46" s="41"/>
      <c r="S46" s="41"/>
      <c r="T46" s="138"/>
    </row>
    <row r="47" spans="1:20" s="3" customFormat="1" ht="78" customHeight="1">
      <c r="A47" s="48" t="s">
        <v>71</v>
      </c>
      <c r="B47" s="59"/>
      <c r="C47" s="51">
        <v>128</v>
      </c>
      <c r="D47" s="54"/>
      <c r="E47" s="53"/>
      <c r="F47" s="53"/>
      <c r="G47" s="53"/>
      <c r="H47" s="51">
        <v>165</v>
      </c>
      <c r="I47" s="54"/>
      <c r="J47" s="53"/>
      <c r="K47" s="53"/>
      <c r="L47" s="53"/>
      <c r="M47" s="51">
        <v>88</v>
      </c>
      <c r="N47" s="54"/>
      <c r="O47" s="55"/>
      <c r="P47" s="55"/>
      <c r="Q47" s="55"/>
      <c r="R47" s="55"/>
      <c r="S47" s="55"/>
      <c r="T47" s="138"/>
    </row>
    <row r="48" spans="1:21" s="4" customFormat="1" ht="43.5" customHeight="1">
      <c r="A48" s="48" t="s">
        <v>56</v>
      </c>
      <c r="B48" s="46"/>
      <c r="C48" s="39">
        <f>C37/(C47*2.577)</f>
        <v>1.2535773185875048</v>
      </c>
      <c r="D48" s="38"/>
      <c r="E48" s="42"/>
      <c r="F48" s="42"/>
      <c r="G48" s="42"/>
      <c r="H48" s="39">
        <f>H37/(H47*2.751)</f>
        <v>1.1213553198286024</v>
      </c>
      <c r="I48" s="38"/>
      <c r="J48" s="42"/>
      <c r="K48" s="42"/>
      <c r="L48" s="42"/>
      <c r="M48" s="39">
        <f>M37/(M47*2.895)</f>
        <v>1.381692573402418</v>
      </c>
      <c r="N48" s="38"/>
      <c r="O48" s="41"/>
      <c r="P48" s="41"/>
      <c r="Q48" s="41"/>
      <c r="R48" s="41"/>
      <c r="S48" s="41"/>
      <c r="T48" s="138"/>
      <c r="U48" s="21"/>
    </row>
    <row r="49" spans="1:20" s="5" customFormat="1" ht="22.5" customHeight="1">
      <c r="A49" s="142" t="s">
        <v>76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  <c r="T49" s="138"/>
    </row>
    <row r="50" spans="1:20" s="3" customFormat="1" ht="18.75">
      <c r="A50" s="151" t="s">
        <v>19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3"/>
      <c r="T50" s="138"/>
    </row>
    <row r="51" spans="1:20" s="3" customFormat="1" ht="100.5" customHeight="1">
      <c r="A51" s="98" t="s">
        <v>96</v>
      </c>
      <c r="B51" s="36">
        <v>1017410</v>
      </c>
      <c r="C51" s="100">
        <f>C54</f>
        <v>10039.658</v>
      </c>
      <c r="D51" s="106"/>
      <c r="E51" s="101">
        <f>1557.36+9+9+24.75+41.85+41.7+41.7+80.5+15+9.213+43.5+9</f>
        <v>1882.5729999999999</v>
      </c>
      <c r="F51" s="105"/>
      <c r="G51" s="105">
        <f>600+825+1395+1390+1390+500+307.085+1450+300</f>
        <v>8157.085</v>
      </c>
      <c r="H51" s="100">
        <f>J51</f>
        <v>2399</v>
      </c>
      <c r="I51" s="101"/>
      <c r="J51" s="105">
        <v>2399</v>
      </c>
      <c r="K51" s="105"/>
      <c r="L51" s="105"/>
      <c r="M51" s="100">
        <f>O51</f>
        <v>1726</v>
      </c>
      <c r="N51" s="101"/>
      <c r="O51" s="41">
        <v>1726</v>
      </c>
      <c r="P51" s="41"/>
      <c r="Q51" s="41"/>
      <c r="R51" s="41"/>
      <c r="S51" s="41"/>
      <c r="T51" s="138"/>
    </row>
    <row r="52" spans="1:20" s="3" customFormat="1" ht="39" customHeight="1">
      <c r="A52" s="46" t="s">
        <v>26</v>
      </c>
      <c r="B52" s="36"/>
      <c r="C52" s="34"/>
      <c r="D52" s="38"/>
      <c r="E52" s="42"/>
      <c r="F52" s="42"/>
      <c r="G52" s="42"/>
      <c r="H52" s="34"/>
      <c r="I52" s="38"/>
      <c r="J52" s="42"/>
      <c r="K52" s="42"/>
      <c r="L52" s="42"/>
      <c r="M52" s="34"/>
      <c r="N52" s="38"/>
      <c r="O52" s="41"/>
      <c r="P52" s="41"/>
      <c r="Q52" s="41"/>
      <c r="R52" s="41"/>
      <c r="S52" s="41"/>
      <c r="T52" s="138"/>
    </row>
    <row r="53" spans="1:20" s="3" customFormat="1" ht="41.25" customHeight="1">
      <c r="A53" s="46" t="s">
        <v>27</v>
      </c>
      <c r="B53" s="36"/>
      <c r="C53" s="34"/>
      <c r="D53" s="38"/>
      <c r="E53" s="42"/>
      <c r="F53" s="42"/>
      <c r="G53" s="42"/>
      <c r="H53" s="34"/>
      <c r="I53" s="38"/>
      <c r="J53" s="42"/>
      <c r="K53" s="42"/>
      <c r="L53" s="42"/>
      <c r="M53" s="34"/>
      <c r="N53" s="38"/>
      <c r="O53" s="41"/>
      <c r="P53" s="41"/>
      <c r="Q53" s="41"/>
      <c r="R53" s="41"/>
      <c r="S53" s="41"/>
      <c r="T53" s="138"/>
    </row>
    <row r="54" spans="1:20" s="3" customFormat="1" ht="54" customHeight="1">
      <c r="A54" s="48" t="s">
        <v>14</v>
      </c>
      <c r="B54" s="36"/>
      <c r="C54" s="100">
        <f>E54+F54+G54</f>
        <v>10039.658</v>
      </c>
      <c r="D54" s="101"/>
      <c r="E54" s="105">
        <f>E51</f>
        <v>1882.5729999999999</v>
      </c>
      <c r="F54" s="105"/>
      <c r="G54" s="105">
        <f>G51</f>
        <v>8157.085</v>
      </c>
      <c r="H54" s="100">
        <v>2399</v>
      </c>
      <c r="I54" s="101"/>
      <c r="J54" s="105">
        <f>J51</f>
        <v>2399</v>
      </c>
      <c r="K54" s="105"/>
      <c r="L54" s="105"/>
      <c r="M54" s="100">
        <v>1726</v>
      </c>
      <c r="N54" s="101"/>
      <c r="O54" s="104">
        <v>1726</v>
      </c>
      <c r="P54" s="41"/>
      <c r="Q54" s="41"/>
      <c r="R54" s="41"/>
      <c r="S54" s="41"/>
      <c r="T54" s="138"/>
    </row>
    <row r="55" spans="1:20" s="3" customFormat="1" ht="37.5">
      <c r="A55" s="46" t="s">
        <v>16</v>
      </c>
      <c r="B55" s="36"/>
      <c r="C55" s="34"/>
      <c r="D55" s="38"/>
      <c r="E55" s="42"/>
      <c r="F55" s="42"/>
      <c r="G55" s="42"/>
      <c r="H55" s="34"/>
      <c r="I55" s="38"/>
      <c r="J55" s="42"/>
      <c r="K55" s="42"/>
      <c r="L55" s="42"/>
      <c r="M55" s="34"/>
      <c r="N55" s="38"/>
      <c r="O55" s="41"/>
      <c r="P55" s="41"/>
      <c r="Q55" s="41"/>
      <c r="R55" s="41"/>
      <c r="S55" s="41"/>
      <c r="T55" s="138"/>
    </row>
    <row r="56" spans="1:20" s="3" customFormat="1" ht="61.5" customHeight="1">
      <c r="A56" s="48" t="s">
        <v>100</v>
      </c>
      <c r="B56" s="36"/>
      <c r="C56" s="100">
        <f>1038.24+128+120+333.47+647.75+586.68+578.44+41.9+200+169.8+327.7+153.2+9.45</f>
        <v>4334.63</v>
      </c>
      <c r="D56" s="101"/>
      <c r="E56" s="105"/>
      <c r="F56" s="105"/>
      <c r="G56" s="105"/>
      <c r="H56" s="100">
        <v>1499.61</v>
      </c>
      <c r="I56" s="101"/>
      <c r="J56" s="105"/>
      <c r="K56" s="105"/>
      <c r="L56" s="105"/>
      <c r="M56" s="100">
        <v>1046.52</v>
      </c>
      <c r="N56" s="38"/>
      <c r="O56" s="41"/>
      <c r="P56" s="41"/>
      <c r="Q56" s="41"/>
      <c r="R56" s="41"/>
      <c r="S56" s="41"/>
      <c r="T56" s="138"/>
    </row>
    <row r="57" spans="1:20" s="3" customFormat="1" ht="37.5">
      <c r="A57" s="46" t="s">
        <v>23</v>
      </c>
      <c r="B57" s="36"/>
      <c r="C57" s="34"/>
      <c r="D57" s="38"/>
      <c r="E57" s="42"/>
      <c r="F57" s="42"/>
      <c r="G57" s="42"/>
      <c r="H57" s="34"/>
      <c r="I57" s="38"/>
      <c r="J57" s="42"/>
      <c r="K57" s="42"/>
      <c r="L57" s="42"/>
      <c r="M57" s="34"/>
      <c r="N57" s="38"/>
      <c r="O57" s="41"/>
      <c r="P57" s="41"/>
      <c r="Q57" s="41"/>
      <c r="R57" s="41"/>
      <c r="S57" s="41"/>
      <c r="T57" s="138"/>
    </row>
    <row r="58" spans="1:20" s="3" customFormat="1" ht="82.5" customHeight="1">
      <c r="A58" s="48" t="s">
        <v>106</v>
      </c>
      <c r="B58" s="36"/>
      <c r="C58" s="39">
        <f>C51/C56</f>
        <v>2.3161510901737863</v>
      </c>
      <c r="D58" s="38"/>
      <c r="E58" s="42"/>
      <c r="F58" s="42"/>
      <c r="G58" s="42"/>
      <c r="H58" s="39">
        <f>H54/H56</f>
        <v>1.5997492681430507</v>
      </c>
      <c r="I58" s="38"/>
      <c r="J58" s="42"/>
      <c r="K58" s="42"/>
      <c r="L58" s="42"/>
      <c r="M58" s="58">
        <f>M54/M56</f>
        <v>1.6492756946833314</v>
      </c>
      <c r="N58" s="38"/>
      <c r="O58" s="41"/>
      <c r="P58" s="41"/>
      <c r="Q58" s="41"/>
      <c r="R58" s="41"/>
      <c r="S58" s="41"/>
      <c r="T58" s="138"/>
    </row>
    <row r="59" spans="1:20" s="3" customFormat="1" ht="33" customHeight="1">
      <c r="A59" s="48" t="s">
        <v>25</v>
      </c>
      <c r="B59" s="46"/>
      <c r="C59" s="34"/>
      <c r="D59" s="38"/>
      <c r="E59" s="42"/>
      <c r="F59" s="42"/>
      <c r="G59" s="42"/>
      <c r="H59" s="39"/>
      <c r="I59" s="38"/>
      <c r="J59" s="42"/>
      <c r="K59" s="42"/>
      <c r="L59" s="42"/>
      <c r="M59" s="58"/>
      <c r="N59" s="38"/>
      <c r="O59" s="41"/>
      <c r="P59" s="41"/>
      <c r="Q59" s="41"/>
      <c r="R59" s="41"/>
      <c r="S59" s="41"/>
      <c r="T59" s="140"/>
    </row>
    <row r="60" spans="1:20" s="3" customFormat="1" ht="56.25">
      <c r="A60" s="48" t="s">
        <v>72</v>
      </c>
      <c r="B60" s="50"/>
      <c r="C60" s="107">
        <f>99.84+14.4+11.2+50.6+98.3+89.1+76.4+5.5+24+20.3+45.3+18.3</f>
        <v>553.24</v>
      </c>
      <c r="D60" s="108"/>
      <c r="E60" s="109"/>
      <c r="F60" s="109"/>
      <c r="G60" s="109"/>
      <c r="H60" s="107">
        <v>144.2</v>
      </c>
      <c r="I60" s="108"/>
      <c r="J60" s="109"/>
      <c r="K60" s="109"/>
      <c r="L60" s="109"/>
      <c r="M60" s="107">
        <v>100.6</v>
      </c>
      <c r="N60" s="54"/>
      <c r="O60" s="55"/>
      <c r="P60" s="55"/>
      <c r="Q60" s="55"/>
      <c r="R60" s="55"/>
      <c r="S60" s="55"/>
      <c r="T60" s="140"/>
    </row>
    <row r="61" spans="1:21" s="4" customFormat="1" ht="37.5">
      <c r="A61" s="48" t="s">
        <v>56</v>
      </c>
      <c r="B61" s="46"/>
      <c r="C61" s="56">
        <f>C51/(C60*0.86*1591.105*0.001)</f>
        <v>13.261970406478621</v>
      </c>
      <c r="D61" s="38"/>
      <c r="E61" s="42"/>
      <c r="F61" s="42"/>
      <c r="G61" s="42"/>
      <c r="H61" s="56">
        <f>H51/(H60*0.86*1604.896*0.001)</f>
        <v>12.053679556960565</v>
      </c>
      <c r="I61" s="38"/>
      <c r="J61" s="42"/>
      <c r="K61" s="42"/>
      <c r="L61" s="42"/>
      <c r="M61" s="56">
        <f>M54/(M60*1787.664*0.001)</f>
        <v>9.597473380946056</v>
      </c>
      <c r="N61" s="38"/>
      <c r="O61" s="41"/>
      <c r="P61" s="41"/>
      <c r="Q61" s="41"/>
      <c r="R61" s="41"/>
      <c r="S61" s="41"/>
      <c r="T61" s="140"/>
      <c r="U61" s="21"/>
    </row>
    <row r="62" spans="1:20" s="89" customFormat="1" ht="16.5">
      <c r="A62" s="163" t="s">
        <v>125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  <c r="T62" s="140"/>
    </row>
    <row r="63" spans="1:20" s="89" customFormat="1" ht="16.5">
      <c r="A63" s="163" t="s">
        <v>19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5"/>
      <c r="T63" s="140"/>
    </row>
    <row r="64" spans="1:20" s="89" customFormat="1" ht="75">
      <c r="A64" s="48" t="s">
        <v>82</v>
      </c>
      <c r="B64" s="46">
        <v>1017410</v>
      </c>
      <c r="C64" s="221">
        <f>D64+F64</f>
        <v>513.408</v>
      </c>
      <c r="D64" s="220">
        <f>75+180</f>
        <v>255</v>
      </c>
      <c r="E64" s="105"/>
      <c r="F64" s="218">
        <f>50+50+50+98.6+9.808</f>
        <v>258.408</v>
      </c>
      <c r="G64" s="42"/>
      <c r="H64" s="56"/>
      <c r="I64" s="38"/>
      <c r="J64" s="42"/>
      <c r="K64" s="42"/>
      <c r="L64" s="42"/>
      <c r="M64" s="56"/>
      <c r="N64" s="38"/>
      <c r="O64" s="41"/>
      <c r="P64" s="41"/>
      <c r="Q64" s="41"/>
      <c r="R64" s="41"/>
      <c r="S64" s="41"/>
      <c r="T64" s="140"/>
    </row>
    <row r="65" spans="1:20" s="89" customFormat="1" ht="37.5">
      <c r="A65" s="48" t="s">
        <v>28</v>
      </c>
      <c r="B65" s="46"/>
      <c r="C65" s="56"/>
      <c r="D65" s="38"/>
      <c r="E65" s="42"/>
      <c r="F65" s="42"/>
      <c r="G65" s="42"/>
      <c r="H65" s="56"/>
      <c r="I65" s="38"/>
      <c r="J65" s="42"/>
      <c r="K65" s="42"/>
      <c r="L65" s="42"/>
      <c r="M65" s="56"/>
      <c r="N65" s="38"/>
      <c r="O65" s="41"/>
      <c r="P65" s="41"/>
      <c r="Q65" s="41"/>
      <c r="R65" s="41"/>
      <c r="S65" s="41"/>
      <c r="T65" s="140"/>
    </row>
    <row r="66" spans="1:20" s="89" customFormat="1" ht="37.5">
      <c r="A66" s="48" t="s">
        <v>29</v>
      </c>
      <c r="B66" s="46"/>
      <c r="C66" s="222">
        <f>C64</f>
        <v>513.408</v>
      </c>
      <c r="D66" s="37">
        <f>D64</f>
        <v>255</v>
      </c>
      <c r="E66" s="68"/>
      <c r="F66" s="219">
        <f>50+50+50+98.6+9.808</f>
        <v>258.408</v>
      </c>
      <c r="G66" s="42"/>
      <c r="H66" s="56"/>
      <c r="I66" s="38"/>
      <c r="J66" s="42"/>
      <c r="K66" s="42"/>
      <c r="L66" s="42"/>
      <c r="M66" s="56"/>
      <c r="N66" s="38"/>
      <c r="O66" s="41"/>
      <c r="P66" s="41"/>
      <c r="Q66" s="41"/>
      <c r="R66" s="41"/>
      <c r="S66" s="41"/>
      <c r="T66" s="140"/>
    </row>
    <row r="67" spans="1:20" s="89" customFormat="1" ht="37.5">
      <c r="A67" s="46" t="s">
        <v>16</v>
      </c>
      <c r="B67" s="46"/>
      <c r="C67" s="56"/>
      <c r="D67" s="38"/>
      <c r="E67" s="42"/>
      <c r="F67" s="42"/>
      <c r="G67" s="42"/>
      <c r="H67" s="56"/>
      <c r="I67" s="38"/>
      <c r="J67" s="42"/>
      <c r="K67" s="42"/>
      <c r="L67" s="42"/>
      <c r="M67" s="56"/>
      <c r="N67" s="38"/>
      <c r="O67" s="41"/>
      <c r="P67" s="41"/>
      <c r="Q67" s="41"/>
      <c r="R67" s="41"/>
      <c r="S67" s="41"/>
      <c r="T67" s="140"/>
    </row>
    <row r="68" spans="1:20" s="89" customFormat="1" ht="57.75" customHeight="1">
      <c r="A68" s="48" t="s">
        <v>100</v>
      </c>
      <c r="B68" s="46"/>
      <c r="C68" s="56">
        <f>30+49.5+28+28+74+5+9.45+92.5</f>
        <v>316.45</v>
      </c>
      <c r="D68" s="38"/>
      <c r="E68" s="42"/>
      <c r="F68" s="42"/>
      <c r="G68" s="42"/>
      <c r="H68" s="56"/>
      <c r="I68" s="38"/>
      <c r="J68" s="42"/>
      <c r="K68" s="42"/>
      <c r="L68" s="42"/>
      <c r="M68" s="56"/>
      <c r="N68" s="38"/>
      <c r="O68" s="41"/>
      <c r="P68" s="41"/>
      <c r="Q68" s="41"/>
      <c r="R68" s="41"/>
      <c r="S68" s="41"/>
      <c r="T68" s="140"/>
    </row>
    <row r="69" spans="1:20" s="89" customFormat="1" ht="37.5">
      <c r="A69" s="48" t="s">
        <v>23</v>
      </c>
      <c r="B69" s="46"/>
      <c r="C69" s="56"/>
      <c r="D69" s="38"/>
      <c r="E69" s="42"/>
      <c r="F69" s="42"/>
      <c r="G69" s="42"/>
      <c r="H69" s="56"/>
      <c r="I69" s="38"/>
      <c r="J69" s="42"/>
      <c r="K69" s="42"/>
      <c r="L69" s="42"/>
      <c r="M69" s="56"/>
      <c r="N69" s="38"/>
      <c r="O69" s="41"/>
      <c r="P69" s="41"/>
      <c r="Q69" s="41"/>
      <c r="R69" s="41"/>
      <c r="S69" s="41"/>
      <c r="T69" s="140"/>
    </row>
    <row r="70" spans="1:20" s="89" customFormat="1" ht="82.5">
      <c r="A70" s="48" t="s">
        <v>106</v>
      </c>
      <c r="B70" s="46"/>
      <c r="C70" s="39">
        <f>C64/C68</f>
        <v>1.6223984831726972</v>
      </c>
      <c r="D70" s="38"/>
      <c r="E70" s="42"/>
      <c r="F70" s="42"/>
      <c r="G70" s="42"/>
      <c r="H70" s="56"/>
      <c r="I70" s="38"/>
      <c r="J70" s="42"/>
      <c r="K70" s="42"/>
      <c r="L70" s="42"/>
      <c r="M70" s="56"/>
      <c r="N70" s="38"/>
      <c r="O70" s="41"/>
      <c r="P70" s="41"/>
      <c r="Q70" s="41"/>
      <c r="R70" s="41"/>
      <c r="S70" s="41"/>
      <c r="T70" s="140"/>
    </row>
    <row r="71" spans="1:20" s="89" customFormat="1" ht="18.75">
      <c r="A71" s="48" t="s">
        <v>25</v>
      </c>
      <c r="B71" s="46"/>
      <c r="C71" s="56"/>
      <c r="D71" s="38"/>
      <c r="E71" s="42"/>
      <c r="F71" s="42"/>
      <c r="G71" s="42"/>
      <c r="H71" s="56"/>
      <c r="I71" s="38"/>
      <c r="J71" s="42"/>
      <c r="K71" s="42"/>
      <c r="L71" s="42"/>
      <c r="M71" s="56"/>
      <c r="N71" s="38"/>
      <c r="O71" s="41"/>
      <c r="P71" s="41"/>
      <c r="Q71" s="41"/>
      <c r="R71" s="41"/>
      <c r="S71" s="41"/>
      <c r="T71" s="140"/>
    </row>
    <row r="72" spans="1:20" s="89" customFormat="1" ht="56.25">
      <c r="A72" s="48" t="s">
        <v>72</v>
      </c>
      <c r="B72" s="46"/>
      <c r="C72" s="39">
        <f>9.3+3.1+3.5+5.9+1.37+10.5</f>
        <v>33.67</v>
      </c>
      <c r="D72" s="38"/>
      <c r="E72" s="42"/>
      <c r="F72" s="42"/>
      <c r="G72" s="42"/>
      <c r="H72" s="56"/>
      <c r="I72" s="38"/>
      <c r="J72" s="42"/>
      <c r="K72" s="42"/>
      <c r="L72" s="42"/>
      <c r="M72" s="56"/>
      <c r="N72" s="38"/>
      <c r="O72" s="41"/>
      <c r="P72" s="41"/>
      <c r="Q72" s="41"/>
      <c r="R72" s="41"/>
      <c r="S72" s="41"/>
      <c r="T72" s="140"/>
    </row>
    <row r="73" spans="1:20" s="89" customFormat="1" ht="56.25" customHeight="1">
      <c r="A73" s="48" t="s">
        <v>56</v>
      </c>
      <c r="B73" s="46"/>
      <c r="C73" s="39">
        <f>C64/((C72*1.42028*0.86))</f>
        <v>12.483808341945716</v>
      </c>
      <c r="D73" s="38"/>
      <c r="E73" s="42"/>
      <c r="F73" s="42"/>
      <c r="G73" s="42"/>
      <c r="H73" s="56"/>
      <c r="I73" s="38"/>
      <c r="J73" s="42"/>
      <c r="K73" s="42"/>
      <c r="L73" s="42"/>
      <c r="M73" s="56"/>
      <c r="N73" s="38"/>
      <c r="O73" s="41"/>
      <c r="P73" s="41"/>
      <c r="Q73" s="41"/>
      <c r="R73" s="41"/>
      <c r="S73" s="41"/>
      <c r="T73" s="140"/>
    </row>
    <row r="74" spans="1:20" s="3" customFormat="1" ht="18.75">
      <c r="A74" s="154" t="s">
        <v>57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7"/>
      <c r="T74" s="138"/>
    </row>
    <row r="75" spans="1:20" s="3" customFormat="1" ht="18.75">
      <c r="A75" s="78" t="s">
        <v>19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2"/>
      <c r="T75" s="138"/>
    </row>
    <row r="76" spans="1:20" s="3" customFormat="1" ht="131.25" customHeight="1">
      <c r="A76" s="46" t="s">
        <v>82</v>
      </c>
      <c r="B76" s="46">
        <v>1017410</v>
      </c>
      <c r="C76" s="100">
        <f>E76+G76</f>
        <v>1948.5</v>
      </c>
      <c r="D76" s="101"/>
      <c r="E76" s="105">
        <f>970+28.5</f>
        <v>998.5</v>
      </c>
      <c r="F76" s="105"/>
      <c r="G76" s="105">
        <f>950</f>
        <v>950</v>
      </c>
      <c r="H76" s="34"/>
      <c r="I76" s="38"/>
      <c r="J76" s="42"/>
      <c r="K76" s="42"/>
      <c r="L76" s="42"/>
      <c r="M76" s="34"/>
      <c r="N76" s="38"/>
      <c r="O76" s="41"/>
      <c r="P76" s="41"/>
      <c r="Q76" s="41"/>
      <c r="R76" s="41"/>
      <c r="S76" s="41"/>
      <c r="T76" s="138"/>
    </row>
    <row r="77" spans="1:20" s="3" customFormat="1" ht="37.5">
      <c r="A77" s="46" t="s">
        <v>28</v>
      </c>
      <c r="B77" s="46"/>
      <c r="C77" s="34"/>
      <c r="D77" s="38"/>
      <c r="E77" s="42"/>
      <c r="F77" s="42"/>
      <c r="G77" s="42"/>
      <c r="H77" s="34"/>
      <c r="I77" s="38"/>
      <c r="J77" s="42"/>
      <c r="K77" s="42"/>
      <c r="L77" s="42"/>
      <c r="M77" s="34"/>
      <c r="N77" s="38"/>
      <c r="O77" s="41"/>
      <c r="P77" s="41"/>
      <c r="Q77" s="41"/>
      <c r="R77" s="41"/>
      <c r="S77" s="41"/>
      <c r="T77" s="138"/>
    </row>
    <row r="78" spans="1:20" s="3" customFormat="1" ht="18.75">
      <c r="A78" s="46" t="s">
        <v>27</v>
      </c>
      <c r="B78" s="46"/>
      <c r="C78" s="34"/>
      <c r="D78" s="38"/>
      <c r="E78" s="42"/>
      <c r="F78" s="42"/>
      <c r="G78" s="42"/>
      <c r="H78" s="34"/>
      <c r="I78" s="38"/>
      <c r="J78" s="42"/>
      <c r="K78" s="42"/>
      <c r="L78" s="42"/>
      <c r="M78" s="34"/>
      <c r="N78" s="38"/>
      <c r="O78" s="41"/>
      <c r="P78" s="41"/>
      <c r="Q78" s="41"/>
      <c r="R78" s="41"/>
      <c r="S78" s="41"/>
      <c r="T78" s="138"/>
    </row>
    <row r="79" spans="1:20" s="3" customFormat="1" ht="42.75" customHeight="1">
      <c r="A79" s="48" t="s">
        <v>29</v>
      </c>
      <c r="B79" s="46"/>
      <c r="C79" s="100">
        <f>E79+G79</f>
        <v>1948.5</v>
      </c>
      <c r="D79" s="101"/>
      <c r="E79" s="105">
        <f>E76</f>
        <v>998.5</v>
      </c>
      <c r="F79" s="105"/>
      <c r="G79" s="105">
        <f>950</f>
        <v>950</v>
      </c>
      <c r="H79" s="34"/>
      <c r="I79" s="38"/>
      <c r="J79" s="42"/>
      <c r="K79" s="42"/>
      <c r="L79" s="42"/>
      <c r="M79" s="34"/>
      <c r="N79" s="38"/>
      <c r="O79" s="41"/>
      <c r="P79" s="41"/>
      <c r="Q79" s="41"/>
      <c r="R79" s="41"/>
      <c r="S79" s="41"/>
      <c r="T79" s="138"/>
    </row>
    <row r="80" spans="1:20" s="3" customFormat="1" ht="46.5" customHeight="1">
      <c r="A80" s="46" t="s">
        <v>16</v>
      </c>
      <c r="B80" s="46"/>
      <c r="C80" s="34"/>
      <c r="D80" s="38"/>
      <c r="E80" s="42"/>
      <c r="F80" s="42"/>
      <c r="G80" s="42"/>
      <c r="H80" s="34"/>
      <c r="I80" s="38"/>
      <c r="J80" s="42"/>
      <c r="K80" s="42"/>
      <c r="L80" s="42"/>
      <c r="M80" s="34"/>
      <c r="N80" s="38"/>
      <c r="O80" s="41"/>
      <c r="P80" s="41"/>
      <c r="Q80" s="41"/>
      <c r="R80" s="41"/>
      <c r="S80" s="41"/>
      <c r="T80" s="138"/>
    </row>
    <row r="81" spans="1:20" s="3" customFormat="1" ht="41.25">
      <c r="A81" s="48" t="s">
        <v>102</v>
      </c>
      <c r="B81" s="46"/>
      <c r="C81" s="34">
        <f>E81+G81</f>
        <v>1610</v>
      </c>
      <c r="D81" s="38"/>
      <c r="E81" s="42">
        <v>850</v>
      </c>
      <c r="F81" s="42"/>
      <c r="G81" s="42">
        <v>760</v>
      </c>
      <c r="H81" s="34"/>
      <c r="I81" s="38"/>
      <c r="J81" s="42"/>
      <c r="K81" s="42"/>
      <c r="L81" s="42"/>
      <c r="M81" s="34"/>
      <c r="N81" s="38"/>
      <c r="O81" s="41"/>
      <c r="P81" s="41"/>
      <c r="Q81" s="41"/>
      <c r="R81" s="41"/>
      <c r="S81" s="41"/>
      <c r="T81" s="138"/>
    </row>
    <row r="82" spans="1:20" s="3" customFormat="1" ht="37.5">
      <c r="A82" s="46" t="s">
        <v>23</v>
      </c>
      <c r="B82" s="46"/>
      <c r="C82" s="34"/>
      <c r="D82" s="38"/>
      <c r="E82" s="42"/>
      <c r="F82" s="42"/>
      <c r="G82" s="42"/>
      <c r="H82" s="34"/>
      <c r="I82" s="38"/>
      <c r="J82" s="42"/>
      <c r="K82" s="42"/>
      <c r="L82" s="42"/>
      <c r="M82" s="34"/>
      <c r="N82" s="38"/>
      <c r="O82" s="41"/>
      <c r="P82" s="41"/>
      <c r="Q82" s="41"/>
      <c r="R82" s="41"/>
      <c r="S82" s="41"/>
      <c r="T82" s="138"/>
    </row>
    <row r="83" spans="1:20" s="3" customFormat="1" ht="78.75">
      <c r="A83" s="48" t="s">
        <v>128</v>
      </c>
      <c r="B83" s="46"/>
      <c r="C83" s="39">
        <f>C79/C81</f>
        <v>1.210248447204969</v>
      </c>
      <c r="D83" s="38"/>
      <c r="E83" s="42"/>
      <c r="F83" s="42"/>
      <c r="G83" s="42"/>
      <c r="H83" s="34"/>
      <c r="I83" s="38"/>
      <c r="J83" s="42"/>
      <c r="K83" s="42"/>
      <c r="L83" s="42"/>
      <c r="M83" s="34"/>
      <c r="N83" s="38"/>
      <c r="O83" s="41"/>
      <c r="P83" s="41"/>
      <c r="Q83" s="41"/>
      <c r="R83" s="41"/>
      <c r="S83" s="41"/>
      <c r="T83" s="138"/>
    </row>
    <row r="84" spans="1:20" s="3" customFormat="1" ht="18.75">
      <c r="A84" s="46" t="s">
        <v>25</v>
      </c>
      <c r="B84" s="46"/>
      <c r="C84" s="34"/>
      <c r="D84" s="38"/>
      <c r="E84" s="42"/>
      <c r="F84" s="42"/>
      <c r="G84" s="42"/>
      <c r="H84" s="34"/>
      <c r="I84" s="38"/>
      <c r="J84" s="42"/>
      <c r="K84" s="42"/>
      <c r="L84" s="42"/>
      <c r="M84" s="34"/>
      <c r="N84" s="38"/>
      <c r="O84" s="41"/>
      <c r="P84" s="41"/>
      <c r="Q84" s="41"/>
      <c r="R84" s="41"/>
      <c r="S84" s="41"/>
      <c r="T84" s="138"/>
    </row>
    <row r="85" spans="1:20" s="3" customFormat="1" ht="75">
      <c r="A85" s="48" t="s">
        <v>70</v>
      </c>
      <c r="B85" s="50"/>
      <c r="C85" s="51">
        <f>52+146</f>
        <v>198</v>
      </c>
      <c r="D85" s="54"/>
      <c r="E85" s="53"/>
      <c r="F85" s="53"/>
      <c r="G85" s="53"/>
      <c r="H85" s="51"/>
      <c r="I85" s="54"/>
      <c r="J85" s="53"/>
      <c r="K85" s="53"/>
      <c r="L85" s="53"/>
      <c r="M85" s="51"/>
      <c r="N85" s="54"/>
      <c r="O85" s="55"/>
      <c r="P85" s="55"/>
      <c r="Q85" s="55"/>
      <c r="R85" s="55"/>
      <c r="S85" s="55"/>
      <c r="T85" s="138"/>
    </row>
    <row r="86" spans="1:21" s="4" customFormat="1" ht="70.5" customHeight="1">
      <c r="A86" s="48" t="s">
        <v>56</v>
      </c>
      <c r="B86" s="46"/>
      <c r="C86" s="56">
        <f>C76/(C85*0.86*1591.105*0.001)</f>
        <v>7.191805410434075</v>
      </c>
      <c r="D86" s="38"/>
      <c r="E86" s="42"/>
      <c r="F86" s="42"/>
      <c r="G86" s="42"/>
      <c r="H86" s="34"/>
      <c r="I86" s="38"/>
      <c r="J86" s="42"/>
      <c r="K86" s="42"/>
      <c r="L86" s="42"/>
      <c r="M86" s="34"/>
      <c r="N86" s="38"/>
      <c r="O86" s="41"/>
      <c r="P86" s="41"/>
      <c r="Q86" s="41"/>
      <c r="R86" s="41"/>
      <c r="S86" s="41"/>
      <c r="T86" s="138"/>
      <c r="U86" s="21"/>
    </row>
    <row r="87" spans="1:20" s="89" customFormat="1" ht="33.75" customHeight="1">
      <c r="A87" s="148" t="s">
        <v>126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50"/>
      <c r="T87" s="138"/>
    </row>
    <row r="88" spans="1:20" s="89" customFormat="1" ht="33.75" customHeight="1">
      <c r="A88" s="145" t="s">
        <v>19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7"/>
      <c r="T88" s="138"/>
    </row>
    <row r="89" spans="1:20" s="89" customFormat="1" ht="100.5" customHeight="1">
      <c r="A89" s="119" t="s">
        <v>82</v>
      </c>
      <c r="B89" s="119">
        <v>1017410</v>
      </c>
      <c r="C89" s="100">
        <f>E89+G89</f>
        <v>337</v>
      </c>
      <c r="D89" s="128"/>
      <c r="E89" s="128">
        <v>200</v>
      </c>
      <c r="F89" s="128"/>
      <c r="G89" s="128">
        <v>137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38"/>
    </row>
    <row r="90" spans="1:20" s="89" customFormat="1" ht="40.5" customHeight="1">
      <c r="A90" s="119" t="s">
        <v>28</v>
      </c>
      <c r="B90" s="119"/>
      <c r="C90" s="128"/>
      <c r="D90" s="128"/>
      <c r="E90" s="128"/>
      <c r="F90" s="128"/>
      <c r="G90" s="128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38"/>
    </row>
    <row r="91" spans="1:20" s="89" customFormat="1" ht="33.75" customHeight="1">
      <c r="A91" s="48" t="s">
        <v>27</v>
      </c>
      <c r="B91" s="46"/>
      <c r="C91" s="100"/>
      <c r="D91" s="101"/>
      <c r="E91" s="105"/>
      <c r="F91" s="105"/>
      <c r="G91" s="105"/>
      <c r="H91" s="34"/>
      <c r="I91" s="38"/>
      <c r="J91" s="42"/>
      <c r="K91" s="42"/>
      <c r="L91" s="42"/>
      <c r="M91" s="34"/>
      <c r="N91" s="38"/>
      <c r="O91" s="41"/>
      <c r="P91" s="41"/>
      <c r="Q91" s="41"/>
      <c r="R91" s="41"/>
      <c r="S91" s="41"/>
      <c r="T91" s="138"/>
    </row>
    <row r="92" spans="1:20" s="89" customFormat="1" ht="40.5" customHeight="1">
      <c r="A92" s="48" t="s">
        <v>29</v>
      </c>
      <c r="B92" s="46"/>
      <c r="C92" s="100">
        <v>337</v>
      </c>
      <c r="D92" s="101"/>
      <c r="E92" s="105">
        <v>200</v>
      </c>
      <c r="F92" s="105"/>
      <c r="G92" s="105">
        <v>137</v>
      </c>
      <c r="H92" s="34"/>
      <c r="I92" s="38"/>
      <c r="J92" s="42"/>
      <c r="K92" s="42"/>
      <c r="L92" s="42"/>
      <c r="M92" s="34"/>
      <c r="N92" s="38"/>
      <c r="O92" s="41"/>
      <c r="P92" s="41"/>
      <c r="Q92" s="41"/>
      <c r="R92" s="41"/>
      <c r="S92" s="41"/>
      <c r="T92" s="138"/>
    </row>
    <row r="93" spans="1:20" s="89" customFormat="1" ht="21" customHeight="1">
      <c r="A93" s="120" t="s">
        <v>16</v>
      </c>
      <c r="B93" s="46"/>
      <c r="C93" s="56"/>
      <c r="D93" s="38"/>
      <c r="E93" s="42"/>
      <c r="F93" s="42"/>
      <c r="G93" s="42"/>
      <c r="H93" s="34"/>
      <c r="I93" s="38"/>
      <c r="J93" s="42"/>
      <c r="K93" s="42"/>
      <c r="L93" s="42"/>
      <c r="M93" s="34"/>
      <c r="N93" s="38"/>
      <c r="O93" s="41"/>
      <c r="P93" s="41"/>
      <c r="Q93" s="41"/>
      <c r="R93" s="41"/>
      <c r="S93" s="41"/>
      <c r="T93" s="138"/>
    </row>
    <row r="94" spans="1:20" s="89" customFormat="1" ht="27" customHeight="1">
      <c r="A94" s="48" t="s">
        <v>127</v>
      </c>
      <c r="B94" s="46"/>
      <c r="C94" s="56">
        <v>734</v>
      </c>
      <c r="D94" s="38"/>
      <c r="E94" s="42"/>
      <c r="F94" s="42"/>
      <c r="G94" s="42"/>
      <c r="H94" s="34"/>
      <c r="I94" s="38"/>
      <c r="J94" s="42"/>
      <c r="K94" s="42"/>
      <c r="L94" s="42"/>
      <c r="M94" s="34"/>
      <c r="N94" s="38"/>
      <c r="O94" s="41"/>
      <c r="P94" s="41"/>
      <c r="Q94" s="41"/>
      <c r="R94" s="41"/>
      <c r="S94" s="41"/>
      <c r="T94" s="138"/>
    </row>
    <row r="95" spans="1:20" s="89" customFormat="1" ht="37.5" customHeight="1">
      <c r="A95" s="48" t="s">
        <v>23</v>
      </c>
      <c r="B95" s="46"/>
      <c r="C95" s="56"/>
      <c r="D95" s="38"/>
      <c r="E95" s="42"/>
      <c r="F95" s="42"/>
      <c r="G95" s="42"/>
      <c r="H95" s="34"/>
      <c r="I95" s="38"/>
      <c r="J95" s="42"/>
      <c r="K95" s="42"/>
      <c r="L95" s="42"/>
      <c r="M95" s="34"/>
      <c r="N95" s="38"/>
      <c r="O95" s="41"/>
      <c r="P95" s="41"/>
      <c r="Q95" s="41"/>
      <c r="R95" s="41"/>
      <c r="S95" s="41"/>
      <c r="T95" s="138"/>
    </row>
    <row r="96" spans="1:20" s="89" customFormat="1" ht="70.5" customHeight="1">
      <c r="A96" s="48" t="s">
        <v>129</v>
      </c>
      <c r="B96" s="46"/>
      <c r="C96" s="121">
        <f>C92/C94</f>
        <v>0.4591280653950954</v>
      </c>
      <c r="D96" s="38"/>
      <c r="E96" s="42"/>
      <c r="F96" s="42"/>
      <c r="G96" s="42"/>
      <c r="H96" s="34"/>
      <c r="I96" s="38"/>
      <c r="J96" s="42"/>
      <c r="K96" s="42"/>
      <c r="L96" s="42"/>
      <c r="M96" s="34"/>
      <c r="N96" s="38"/>
      <c r="O96" s="41"/>
      <c r="P96" s="41"/>
      <c r="Q96" s="41"/>
      <c r="R96" s="41"/>
      <c r="S96" s="41"/>
      <c r="T96" s="138"/>
    </row>
    <row r="97" spans="1:20" s="89" customFormat="1" ht="37.5" customHeight="1">
      <c r="A97" s="48" t="s">
        <v>25</v>
      </c>
      <c r="B97" s="46"/>
      <c r="C97" s="56"/>
      <c r="D97" s="38"/>
      <c r="E97" s="42"/>
      <c r="F97" s="42"/>
      <c r="G97" s="42"/>
      <c r="H97" s="34"/>
      <c r="I97" s="38"/>
      <c r="J97" s="42"/>
      <c r="K97" s="42"/>
      <c r="L97" s="42"/>
      <c r="M97" s="34"/>
      <c r="N97" s="38"/>
      <c r="O97" s="41"/>
      <c r="P97" s="41"/>
      <c r="Q97" s="41"/>
      <c r="R97" s="41"/>
      <c r="S97" s="41"/>
      <c r="T97" s="138"/>
    </row>
    <row r="98" spans="1:20" s="89" customFormat="1" ht="70.5" customHeight="1">
      <c r="A98" s="48" t="s">
        <v>70</v>
      </c>
      <c r="B98" s="46"/>
      <c r="C98" s="56">
        <v>40.6</v>
      </c>
      <c r="D98" s="38"/>
      <c r="E98" s="42"/>
      <c r="F98" s="42"/>
      <c r="G98" s="42"/>
      <c r="H98" s="34"/>
      <c r="I98" s="38"/>
      <c r="J98" s="42"/>
      <c r="K98" s="42"/>
      <c r="L98" s="42"/>
      <c r="M98" s="34"/>
      <c r="N98" s="38"/>
      <c r="O98" s="41"/>
      <c r="P98" s="41"/>
      <c r="Q98" s="41"/>
      <c r="R98" s="41"/>
      <c r="S98" s="41"/>
      <c r="T98" s="138"/>
    </row>
    <row r="99" spans="1:20" s="89" customFormat="1" ht="50.25" customHeight="1">
      <c r="A99" s="48" t="s">
        <v>56</v>
      </c>
      <c r="B99" s="46"/>
      <c r="C99" s="56">
        <f>C92/(C98*0.86*1591.105*0.001)</f>
        <v>6.066058238769296</v>
      </c>
      <c r="D99" s="38"/>
      <c r="E99" s="42"/>
      <c r="F99" s="42"/>
      <c r="G99" s="42"/>
      <c r="H99" s="34"/>
      <c r="I99" s="38"/>
      <c r="J99" s="42"/>
      <c r="K99" s="42"/>
      <c r="L99" s="42"/>
      <c r="M99" s="34"/>
      <c r="N99" s="38"/>
      <c r="O99" s="41"/>
      <c r="P99" s="41"/>
      <c r="Q99" s="41"/>
      <c r="R99" s="41"/>
      <c r="S99" s="41"/>
      <c r="T99" s="138"/>
    </row>
    <row r="100" spans="1:20" s="5" customFormat="1" ht="18.75">
      <c r="A100" s="142" t="s">
        <v>77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4"/>
      <c r="T100" s="138"/>
    </row>
    <row r="101" spans="1:20" s="3" customFormat="1" ht="18.75">
      <c r="A101" s="157" t="s">
        <v>30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3"/>
      <c r="T101" s="138"/>
    </row>
    <row r="102" spans="1:20" s="3" customFormat="1" ht="93.75">
      <c r="A102" s="46" t="s">
        <v>113</v>
      </c>
      <c r="B102" s="64">
        <v>4717410</v>
      </c>
      <c r="C102" s="39">
        <f>16524</f>
        <v>16524</v>
      </c>
      <c r="D102" s="38"/>
      <c r="E102" s="65">
        <f>C102</f>
        <v>16524</v>
      </c>
      <c r="F102" s="42"/>
      <c r="G102" s="42"/>
      <c r="H102" s="34"/>
      <c r="I102" s="38"/>
      <c r="J102" s="42"/>
      <c r="K102" s="42"/>
      <c r="L102" s="42"/>
      <c r="M102" s="34"/>
      <c r="N102" s="38"/>
      <c r="O102" s="41"/>
      <c r="P102" s="41"/>
      <c r="Q102" s="41"/>
      <c r="R102" s="41"/>
      <c r="S102" s="41"/>
      <c r="T102" s="138"/>
    </row>
    <row r="103" spans="1:20" s="3" customFormat="1" ht="37.5">
      <c r="A103" s="46" t="s">
        <v>28</v>
      </c>
      <c r="B103" s="64"/>
      <c r="C103" s="34"/>
      <c r="D103" s="38"/>
      <c r="E103" s="42"/>
      <c r="F103" s="42"/>
      <c r="G103" s="42"/>
      <c r="H103" s="34"/>
      <c r="I103" s="38"/>
      <c r="J103" s="42"/>
      <c r="K103" s="42"/>
      <c r="L103" s="42"/>
      <c r="M103" s="34"/>
      <c r="N103" s="38"/>
      <c r="O103" s="41"/>
      <c r="P103" s="41"/>
      <c r="Q103" s="41"/>
      <c r="R103" s="41"/>
      <c r="S103" s="41"/>
      <c r="T103" s="138"/>
    </row>
    <row r="104" spans="1:20" s="3" customFormat="1" ht="18.75">
      <c r="A104" s="46" t="s">
        <v>27</v>
      </c>
      <c r="B104" s="64"/>
      <c r="C104" s="34"/>
      <c r="D104" s="38"/>
      <c r="E104" s="42"/>
      <c r="F104" s="42"/>
      <c r="G104" s="42"/>
      <c r="H104" s="34"/>
      <c r="I104" s="38"/>
      <c r="J104" s="42"/>
      <c r="K104" s="42"/>
      <c r="L104" s="42"/>
      <c r="M104" s="34"/>
      <c r="N104" s="38"/>
      <c r="O104" s="41"/>
      <c r="P104" s="41"/>
      <c r="Q104" s="41"/>
      <c r="R104" s="41"/>
      <c r="S104" s="41"/>
      <c r="T104" s="138"/>
    </row>
    <row r="105" spans="1:20" s="3" customFormat="1" ht="37.5">
      <c r="A105" s="48" t="s">
        <v>32</v>
      </c>
      <c r="B105" s="64"/>
      <c r="C105" s="39">
        <f>C102</f>
        <v>16524</v>
      </c>
      <c r="D105" s="38"/>
      <c r="E105" s="63">
        <f>E102</f>
        <v>16524</v>
      </c>
      <c r="F105" s="42"/>
      <c r="G105" s="42"/>
      <c r="H105" s="34"/>
      <c r="I105" s="38"/>
      <c r="J105" s="42"/>
      <c r="K105" s="42"/>
      <c r="L105" s="42"/>
      <c r="M105" s="34"/>
      <c r="N105" s="38"/>
      <c r="O105" s="41"/>
      <c r="P105" s="41"/>
      <c r="Q105" s="41"/>
      <c r="R105" s="41"/>
      <c r="S105" s="41"/>
      <c r="T105" s="138"/>
    </row>
    <row r="106" spans="1:20" s="3" customFormat="1" ht="142.5" customHeight="1">
      <c r="A106" s="48" t="s">
        <v>78</v>
      </c>
      <c r="B106" s="66"/>
      <c r="C106" s="34">
        <v>5</v>
      </c>
      <c r="D106" s="38"/>
      <c r="E106" s="42"/>
      <c r="F106" s="42"/>
      <c r="G106" s="42"/>
      <c r="H106" s="34"/>
      <c r="I106" s="38"/>
      <c r="J106" s="42"/>
      <c r="K106" s="42"/>
      <c r="L106" s="42"/>
      <c r="M106" s="34"/>
      <c r="N106" s="38"/>
      <c r="O106" s="41"/>
      <c r="P106" s="41"/>
      <c r="Q106" s="41"/>
      <c r="R106" s="41"/>
      <c r="S106" s="41"/>
      <c r="T106" s="138"/>
    </row>
    <row r="107" spans="1:20" s="3" customFormat="1" ht="44.25" customHeight="1">
      <c r="A107" s="46" t="s">
        <v>16</v>
      </c>
      <c r="B107" s="66"/>
      <c r="C107" s="34"/>
      <c r="D107" s="38"/>
      <c r="E107" s="42"/>
      <c r="F107" s="42"/>
      <c r="G107" s="42"/>
      <c r="H107" s="34"/>
      <c r="I107" s="38"/>
      <c r="J107" s="42"/>
      <c r="K107" s="42"/>
      <c r="L107" s="42"/>
      <c r="M107" s="34"/>
      <c r="N107" s="38"/>
      <c r="O107" s="41"/>
      <c r="P107" s="41"/>
      <c r="Q107" s="41"/>
      <c r="R107" s="41"/>
      <c r="S107" s="41"/>
      <c r="T107" s="138"/>
    </row>
    <row r="108" spans="1:20" s="3" customFormat="1" ht="60">
      <c r="A108" s="48" t="s">
        <v>105</v>
      </c>
      <c r="B108" s="66"/>
      <c r="C108" s="34">
        <v>7834</v>
      </c>
      <c r="D108" s="38"/>
      <c r="E108" s="42"/>
      <c r="F108" s="42"/>
      <c r="G108" s="42"/>
      <c r="H108" s="34"/>
      <c r="I108" s="38"/>
      <c r="J108" s="42"/>
      <c r="K108" s="42"/>
      <c r="L108" s="42"/>
      <c r="M108" s="34"/>
      <c r="N108" s="38"/>
      <c r="O108" s="41"/>
      <c r="P108" s="41"/>
      <c r="Q108" s="41"/>
      <c r="R108" s="41"/>
      <c r="S108" s="41"/>
      <c r="T108" s="138"/>
    </row>
    <row r="109" spans="1:20" s="3" customFormat="1" ht="41.25">
      <c r="A109" s="48" t="s">
        <v>100</v>
      </c>
      <c r="B109" s="66"/>
      <c r="C109" s="34">
        <v>2116</v>
      </c>
      <c r="D109" s="38"/>
      <c r="E109" s="42"/>
      <c r="F109" s="42"/>
      <c r="G109" s="42"/>
      <c r="H109" s="34"/>
      <c r="I109" s="38"/>
      <c r="J109" s="42"/>
      <c r="K109" s="42"/>
      <c r="L109" s="42"/>
      <c r="M109" s="34"/>
      <c r="N109" s="38"/>
      <c r="O109" s="41"/>
      <c r="P109" s="41"/>
      <c r="Q109" s="41"/>
      <c r="R109" s="41"/>
      <c r="S109" s="41"/>
      <c r="T109" s="138"/>
    </row>
    <row r="110" spans="1:20" s="3" customFormat="1" ht="47.25" customHeight="1">
      <c r="A110" s="46" t="s">
        <v>23</v>
      </c>
      <c r="B110" s="66"/>
      <c r="C110" s="34"/>
      <c r="D110" s="38"/>
      <c r="E110" s="42"/>
      <c r="F110" s="42"/>
      <c r="G110" s="42"/>
      <c r="H110" s="34"/>
      <c r="I110" s="38"/>
      <c r="J110" s="42"/>
      <c r="K110" s="42"/>
      <c r="L110" s="42"/>
      <c r="M110" s="34"/>
      <c r="N110" s="38"/>
      <c r="O110" s="41"/>
      <c r="P110" s="41"/>
      <c r="Q110" s="41"/>
      <c r="R110" s="41"/>
      <c r="S110" s="41"/>
      <c r="T110" s="138"/>
    </row>
    <row r="111" spans="1:20" s="3" customFormat="1" ht="78.75">
      <c r="A111" s="48" t="s">
        <v>104</v>
      </c>
      <c r="B111" s="66"/>
      <c r="C111" s="34">
        <v>1.2</v>
      </c>
      <c r="D111" s="38"/>
      <c r="E111" s="42"/>
      <c r="F111" s="42"/>
      <c r="G111" s="42"/>
      <c r="H111" s="34"/>
      <c r="I111" s="38"/>
      <c r="J111" s="42"/>
      <c r="K111" s="42"/>
      <c r="L111" s="42"/>
      <c r="M111" s="34"/>
      <c r="N111" s="38"/>
      <c r="O111" s="41"/>
      <c r="P111" s="41"/>
      <c r="Q111" s="41"/>
      <c r="R111" s="41"/>
      <c r="S111" s="41"/>
      <c r="T111" s="138"/>
    </row>
    <row r="112" spans="1:20" s="3" customFormat="1" ht="60" customHeight="1">
      <c r="A112" s="48" t="s">
        <v>107</v>
      </c>
      <c r="B112" s="66"/>
      <c r="C112" s="34">
        <v>1.5</v>
      </c>
      <c r="D112" s="38"/>
      <c r="E112" s="42"/>
      <c r="F112" s="42"/>
      <c r="G112" s="42"/>
      <c r="H112" s="34"/>
      <c r="I112" s="38"/>
      <c r="J112" s="42"/>
      <c r="K112" s="42"/>
      <c r="L112" s="42"/>
      <c r="M112" s="34"/>
      <c r="N112" s="38"/>
      <c r="O112" s="41"/>
      <c r="P112" s="41"/>
      <c r="Q112" s="41"/>
      <c r="R112" s="41"/>
      <c r="S112" s="41"/>
      <c r="T112" s="138"/>
    </row>
    <row r="113" spans="1:20" s="3" customFormat="1" ht="18.75">
      <c r="A113" s="46" t="s">
        <v>25</v>
      </c>
      <c r="B113" s="66"/>
      <c r="C113" s="34"/>
      <c r="D113" s="38"/>
      <c r="E113" s="42"/>
      <c r="F113" s="42"/>
      <c r="G113" s="42"/>
      <c r="H113" s="34"/>
      <c r="I113" s="38"/>
      <c r="J113" s="42"/>
      <c r="K113" s="42"/>
      <c r="L113" s="42"/>
      <c r="M113" s="34"/>
      <c r="N113" s="38"/>
      <c r="O113" s="41"/>
      <c r="P113" s="41"/>
      <c r="Q113" s="41"/>
      <c r="R113" s="41"/>
      <c r="S113" s="41"/>
      <c r="T113" s="138"/>
    </row>
    <row r="114" spans="1:20" s="3" customFormat="1" ht="66" customHeight="1">
      <c r="A114" s="48" t="s">
        <v>33</v>
      </c>
      <c r="B114" s="66"/>
      <c r="C114" s="34"/>
      <c r="D114" s="38"/>
      <c r="E114" s="42"/>
      <c r="F114" s="42"/>
      <c r="G114" s="42"/>
      <c r="H114" s="34"/>
      <c r="I114" s="38"/>
      <c r="J114" s="42"/>
      <c r="K114" s="42"/>
      <c r="L114" s="42"/>
      <c r="M114" s="34"/>
      <c r="N114" s="38"/>
      <c r="O114" s="41"/>
      <c r="P114" s="41"/>
      <c r="Q114" s="41"/>
      <c r="R114" s="41"/>
      <c r="S114" s="41"/>
      <c r="T114" s="138"/>
    </row>
    <row r="115" spans="1:20" s="3" customFormat="1" ht="75">
      <c r="A115" s="48" t="s">
        <v>70</v>
      </c>
      <c r="B115" s="67"/>
      <c r="C115" s="51">
        <v>861</v>
      </c>
      <c r="D115" s="54"/>
      <c r="E115" s="53"/>
      <c r="F115" s="53"/>
      <c r="G115" s="53"/>
      <c r="H115" s="51"/>
      <c r="I115" s="54"/>
      <c r="J115" s="53"/>
      <c r="K115" s="53"/>
      <c r="L115" s="53"/>
      <c r="M115" s="51"/>
      <c r="N115" s="54"/>
      <c r="O115" s="55"/>
      <c r="P115" s="55"/>
      <c r="Q115" s="55"/>
      <c r="R115" s="55"/>
      <c r="S115" s="55"/>
      <c r="T115" s="138"/>
    </row>
    <row r="116" spans="1:21" s="4" customFormat="1" ht="56.25">
      <c r="A116" s="48" t="s">
        <v>55</v>
      </c>
      <c r="B116" s="66"/>
      <c r="C116" s="56">
        <f>C105/(C115*0.86*1591.105*0.001)</f>
        <v>14.025383434828072</v>
      </c>
      <c r="D116" s="38"/>
      <c r="E116" s="42"/>
      <c r="F116" s="42"/>
      <c r="G116" s="42"/>
      <c r="H116" s="34"/>
      <c r="I116" s="38"/>
      <c r="J116" s="42"/>
      <c r="K116" s="42"/>
      <c r="L116" s="42"/>
      <c r="M116" s="34"/>
      <c r="N116" s="38"/>
      <c r="O116" s="41"/>
      <c r="P116" s="41"/>
      <c r="Q116" s="41"/>
      <c r="R116" s="41"/>
      <c r="S116" s="41"/>
      <c r="T116" s="138"/>
      <c r="U116" s="21"/>
    </row>
    <row r="117" spans="1:20" s="3" customFormat="1" ht="18.75">
      <c r="A117" s="142" t="s">
        <v>111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4"/>
      <c r="T117" s="138"/>
    </row>
    <row r="118" spans="1:20" s="3" customFormat="1" ht="75">
      <c r="A118" s="46" t="s">
        <v>119</v>
      </c>
      <c r="B118" s="64">
        <v>4716310</v>
      </c>
      <c r="C118" s="39">
        <v>1000</v>
      </c>
      <c r="D118" s="38"/>
      <c r="E118" s="65">
        <f>C118</f>
        <v>1000</v>
      </c>
      <c r="F118" s="42"/>
      <c r="G118" s="42"/>
      <c r="H118" s="34"/>
      <c r="I118" s="38"/>
      <c r="J118" s="42"/>
      <c r="K118" s="42"/>
      <c r="L118" s="42"/>
      <c r="M118" s="34"/>
      <c r="N118" s="38"/>
      <c r="O118" s="41"/>
      <c r="P118" s="41"/>
      <c r="Q118" s="41"/>
      <c r="R118" s="41"/>
      <c r="S118" s="41"/>
      <c r="T118" s="138"/>
    </row>
    <row r="119" spans="1:20" s="3" customFormat="1" ht="37.5">
      <c r="A119" s="46" t="s">
        <v>28</v>
      </c>
      <c r="B119" s="64"/>
      <c r="C119" s="34"/>
      <c r="D119" s="38"/>
      <c r="E119" s="42"/>
      <c r="F119" s="42"/>
      <c r="G119" s="42"/>
      <c r="H119" s="34"/>
      <c r="I119" s="38"/>
      <c r="J119" s="42"/>
      <c r="K119" s="42"/>
      <c r="L119" s="42"/>
      <c r="M119" s="34"/>
      <c r="N119" s="38"/>
      <c r="O119" s="41"/>
      <c r="P119" s="41"/>
      <c r="Q119" s="41"/>
      <c r="R119" s="41"/>
      <c r="S119" s="41"/>
      <c r="T119" s="138"/>
    </row>
    <row r="120" spans="1:20" s="3" customFormat="1" ht="18.75">
      <c r="A120" s="46" t="s">
        <v>27</v>
      </c>
      <c r="B120" s="64"/>
      <c r="C120" s="34"/>
      <c r="D120" s="38"/>
      <c r="E120" s="42"/>
      <c r="F120" s="42"/>
      <c r="G120" s="42"/>
      <c r="H120" s="34"/>
      <c r="I120" s="38"/>
      <c r="J120" s="42"/>
      <c r="K120" s="42"/>
      <c r="L120" s="42"/>
      <c r="M120" s="34"/>
      <c r="N120" s="38"/>
      <c r="O120" s="41"/>
      <c r="P120" s="41"/>
      <c r="Q120" s="41"/>
      <c r="R120" s="41"/>
      <c r="S120" s="41"/>
      <c r="T120" s="138"/>
    </row>
    <row r="121" spans="1:20" s="3" customFormat="1" ht="37.5">
      <c r="A121" s="48" t="s">
        <v>32</v>
      </c>
      <c r="B121" s="64"/>
      <c r="C121" s="39">
        <f>C118</f>
        <v>1000</v>
      </c>
      <c r="D121" s="38"/>
      <c r="E121" s="63">
        <f>E118</f>
        <v>1000</v>
      </c>
      <c r="F121" s="42"/>
      <c r="G121" s="42"/>
      <c r="H121" s="34"/>
      <c r="I121" s="38"/>
      <c r="J121" s="42"/>
      <c r="K121" s="42"/>
      <c r="L121" s="42"/>
      <c r="M121" s="34"/>
      <c r="N121" s="38"/>
      <c r="O121" s="41"/>
      <c r="P121" s="41"/>
      <c r="Q121" s="41"/>
      <c r="R121" s="41"/>
      <c r="S121" s="41"/>
      <c r="T121" s="138"/>
    </row>
    <row r="122" spans="1:20" s="3" customFormat="1" ht="97.5" customHeight="1">
      <c r="A122" s="48" t="s">
        <v>116</v>
      </c>
      <c r="B122" s="66"/>
      <c r="C122" s="34">
        <v>2</v>
      </c>
      <c r="D122" s="38"/>
      <c r="E122" s="42"/>
      <c r="F122" s="42"/>
      <c r="G122" s="42"/>
      <c r="H122" s="34"/>
      <c r="I122" s="38"/>
      <c r="J122" s="42"/>
      <c r="K122" s="42"/>
      <c r="L122" s="42"/>
      <c r="M122" s="34"/>
      <c r="N122" s="38"/>
      <c r="O122" s="41"/>
      <c r="P122" s="41"/>
      <c r="Q122" s="41"/>
      <c r="R122" s="41"/>
      <c r="S122" s="41"/>
      <c r="T122" s="138"/>
    </row>
    <row r="123" spans="1:20" s="3" customFormat="1" ht="44.25" customHeight="1">
      <c r="A123" s="46" t="s">
        <v>16</v>
      </c>
      <c r="B123" s="66"/>
      <c r="C123" s="34"/>
      <c r="D123" s="38"/>
      <c r="E123" s="42"/>
      <c r="F123" s="42"/>
      <c r="G123" s="42"/>
      <c r="H123" s="34"/>
      <c r="I123" s="38"/>
      <c r="J123" s="42"/>
      <c r="K123" s="42"/>
      <c r="L123" s="42"/>
      <c r="M123" s="34"/>
      <c r="N123" s="38"/>
      <c r="O123" s="41"/>
      <c r="P123" s="41"/>
      <c r="Q123" s="41"/>
      <c r="R123" s="41"/>
      <c r="S123" s="41"/>
      <c r="T123" s="138"/>
    </row>
    <row r="124" spans="1:20" s="3" customFormat="1" ht="37.5">
      <c r="A124" s="48" t="s">
        <v>117</v>
      </c>
      <c r="B124" s="66"/>
      <c r="C124" s="34">
        <v>1</v>
      </c>
      <c r="D124" s="38"/>
      <c r="E124" s="42"/>
      <c r="F124" s="42"/>
      <c r="G124" s="42"/>
      <c r="H124" s="34"/>
      <c r="I124" s="38"/>
      <c r="J124" s="42"/>
      <c r="K124" s="42"/>
      <c r="L124" s="42"/>
      <c r="M124" s="34"/>
      <c r="N124" s="38"/>
      <c r="O124" s="41"/>
      <c r="P124" s="41"/>
      <c r="Q124" s="41"/>
      <c r="R124" s="41"/>
      <c r="S124" s="41"/>
      <c r="T124" s="138"/>
    </row>
    <row r="125" spans="1:20" s="3" customFormat="1" ht="47.25" customHeight="1">
      <c r="A125" s="46" t="s">
        <v>23</v>
      </c>
      <c r="B125" s="66"/>
      <c r="C125" s="34"/>
      <c r="D125" s="38"/>
      <c r="E125" s="42"/>
      <c r="F125" s="42"/>
      <c r="G125" s="42"/>
      <c r="H125" s="34"/>
      <c r="I125" s="38"/>
      <c r="J125" s="42"/>
      <c r="K125" s="42"/>
      <c r="L125" s="42"/>
      <c r="M125" s="34"/>
      <c r="N125" s="38"/>
      <c r="O125" s="41"/>
      <c r="P125" s="41"/>
      <c r="Q125" s="41"/>
      <c r="R125" s="41"/>
      <c r="S125" s="41"/>
      <c r="T125" s="138"/>
    </row>
    <row r="126" spans="1:20" s="3" customFormat="1" ht="131.25">
      <c r="A126" s="48" t="s">
        <v>118</v>
      </c>
      <c r="B126" s="66"/>
      <c r="C126" s="34">
        <v>500</v>
      </c>
      <c r="D126" s="38"/>
      <c r="E126" s="42"/>
      <c r="F126" s="42"/>
      <c r="G126" s="42"/>
      <c r="H126" s="34"/>
      <c r="I126" s="38"/>
      <c r="J126" s="42"/>
      <c r="K126" s="42"/>
      <c r="L126" s="42"/>
      <c r="M126" s="34"/>
      <c r="N126" s="38"/>
      <c r="O126" s="41"/>
      <c r="P126" s="41"/>
      <c r="Q126" s="41"/>
      <c r="R126" s="41"/>
      <c r="S126" s="41"/>
      <c r="T126" s="138"/>
    </row>
    <row r="127" spans="1:20" s="3" customFormat="1" ht="77.25" customHeight="1">
      <c r="A127" s="48" t="s">
        <v>33</v>
      </c>
      <c r="B127" s="66"/>
      <c r="C127" s="34"/>
      <c r="D127" s="38"/>
      <c r="E127" s="42"/>
      <c r="F127" s="42"/>
      <c r="G127" s="42"/>
      <c r="H127" s="34"/>
      <c r="I127" s="38"/>
      <c r="J127" s="42"/>
      <c r="K127" s="42"/>
      <c r="L127" s="42"/>
      <c r="M127" s="34"/>
      <c r="N127" s="38"/>
      <c r="O127" s="41"/>
      <c r="P127" s="41"/>
      <c r="Q127" s="41"/>
      <c r="R127" s="41"/>
      <c r="S127" s="41"/>
      <c r="T127" s="138"/>
    </row>
    <row r="128" spans="1:20" s="3" customFormat="1" ht="18.75">
      <c r="A128" s="151" t="s">
        <v>19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3"/>
      <c r="T128" s="138"/>
    </row>
    <row r="129" spans="1:20" s="3" customFormat="1" ht="99" customHeight="1">
      <c r="A129" s="46" t="s">
        <v>34</v>
      </c>
      <c r="B129" s="36">
        <v>1017410</v>
      </c>
      <c r="C129" s="34">
        <v>1150.1</v>
      </c>
      <c r="D129" s="38"/>
      <c r="E129" s="38">
        <f>C129</f>
        <v>1150.1</v>
      </c>
      <c r="F129" s="38"/>
      <c r="G129" s="38"/>
      <c r="H129" s="58">
        <f>J129</f>
        <v>840</v>
      </c>
      <c r="I129" s="37"/>
      <c r="J129" s="37">
        <v>840</v>
      </c>
      <c r="K129" s="37"/>
      <c r="L129" s="37"/>
      <c r="M129" s="58">
        <f>O129</f>
        <v>864</v>
      </c>
      <c r="N129" s="37"/>
      <c r="O129" s="37">
        <v>864</v>
      </c>
      <c r="P129" s="41"/>
      <c r="Q129" s="41"/>
      <c r="R129" s="41"/>
      <c r="S129" s="41"/>
      <c r="T129" s="138"/>
    </row>
    <row r="130" spans="1:20" s="3" customFormat="1" ht="37.5">
      <c r="A130" s="46" t="s">
        <v>28</v>
      </c>
      <c r="B130" s="46"/>
      <c r="C130" s="34"/>
      <c r="D130" s="38"/>
      <c r="E130" s="38"/>
      <c r="F130" s="38"/>
      <c r="G130" s="38"/>
      <c r="H130" s="34"/>
      <c r="I130" s="38"/>
      <c r="J130" s="38"/>
      <c r="K130" s="38"/>
      <c r="L130" s="38"/>
      <c r="M130" s="34"/>
      <c r="N130" s="38"/>
      <c r="O130" s="38"/>
      <c r="P130" s="41"/>
      <c r="Q130" s="41"/>
      <c r="R130" s="41"/>
      <c r="S130" s="41"/>
      <c r="T130" s="138"/>
    </row>
    <row r="131" spans="1:20" s="3" customFormat="1" ht="18.75">
      <c r="A131" s="46" t="s">
        <v>21</v>
      </c>
      <c r="B131" s="46"/>
      <c r="C131" s="34"/>
      <c r="D131" s="38"/>
      <c r="E131" s="38"/>
      <c r="F131" s="38"/>
      <c r="G131" s="38"/>
      <c r="H131" s="34"/>
      <c r="I131" s="38"/>
      <c r="J131" s="38"/>
      <c r="K131" s="38"/>
      <c r="L131" s="38"/>
      <c r="M131" s="34"/>
      <c r="N131" s="38"/>
      <c r="O131" s="38"/>
      <c r="P131" s="41"/>
      <c r="Q131" s="41"/>
      <c r="R131" s="41"/>
      <c r="S131" s="41"/>
      <c r="T131" s="138"/>
    </row>
    <row r="132" spans="1:20" s="3" customFormat="1" ht="45.75" customHeight="1">
      <c r="A132" s="48" t="s">
        <v>32</v>
      </c>
      <c r="B132" s="46"/>
      <c r="C132" s="34">
        <f>E129</f>
        <v>1150.1</v>
      </c>
      <c r="D132" s="38"/>
      <c r="E132" s="38"/>
      <c r="F132" s="38"/>
      <c r="G132" s="38"/>
      <c r="H132" s="58">
        <f>J129</f>
        <v>840</v>
      </c>
      <c r="I132" s="37"/>
      <c r="J132" s="37"/>
      <c r="K132" s="37"/>
      <c r="L132" s="37"/>
      <c r="M132" s="58">
        <f>O129</f>
        <v>864</v>
      </c>
      <c r="N132" s="38"/>
      <c r="O132" s="38"/>
      <c r="P132" s="41"/>
      <c r="Q132" s="41"/>
      <c r="R132" s="41"/>
      <c r="S132" s="41"/>
      <c r="T132" s="138"/>
    </row>
    <row r="133" spans="1:20" s="3" customFormat="1" ht="37.5" customHeight="1">
      <c r="A133" s="46" t="s">
        <v>16</v>
      </c>
      <c r="B133" s="46"/>
      <c r="C133" s="34"/>
      <c r="D133" s="38"/>
      <c r="E133" s="38"/>
      <c r="F133" s="38"/>
      <c r="G133" s="38"/>
      <c r="H133" s="34"/>
      <c r="I133" s="38"/>
      <c r="J133" s="38"/>
      <c r="K133" s="38"/>
      <c r="L133" s="38"/>
      <c r="M133" s="34"/>
      <c r="N133" s="38"/>
      <c r="O133" s="38"/>
      <c r="P133" s="41"/>
      <c r="Q133" s="41"/>
      <c r="R133" s="41"/>
      <c r="S133" s="41"/>
      <c r="T133" s="138"/>
    </row>
    <row r="134" spans="1:20" s="3" customFormat="1" ht="106.5" customHeight="1">
      <c r="A134" s="48" t="s">
        <v>35</v>
      </c>
      <c r="B134" s="46"/>
      <c r="C134" s="34">
        <v>13</v>
      </c>
      <c r="D134" s="38"/>
      <c r="E134" s="38"/>
      <c r="F134" s="38"/>
      <c r="G134" s="38"/>
      <c r="H134" s="34">
        <v>10</v>
      </c>
      <c r="I134" s="38"/>
      <c r="J134" s="38"/>
      <c r="K134" s="38"/>
      <c r="L134" s="38"/>
      <c r="M134" s="34">
        <v>7</v>
      </c>
      <c r="N134" s="38"/>
      <c r="O134" s="38"/>
      <c r="P134" s="41"/>
      <c r="Q134" s="41"/>
      <c r="R134" s="41"/>
      <c r="S134" s="41"/>
      <c r="T134" s="138"/>
    </row>
    <row r="135" spans="1:20" s="3" customFormat="1" ht="40.5" customHeight="1">
      <c r="A135" s="46" t="s">
        <v>23</v>
      </c>
      <c r="B135" s="46"/>
      <c r="C135" s="34"/>
      <c r="D135" s="38"/>
      <c r="E135" s="38"/>
      <c r="F135" s="38"/>
      <c r="G135" s="38"/>
      <c r="H135" s="34"/>
      <c r="I135" s="38"/>
      <c r="J135" s="38"/>
      <c r="K135" s="38"/>
      <c r="L135" s="38"/>
      <c r="M135" s="34"/>
      <c r="N135" s="38"/>
      <c r="O135" s="38"/>
      <c r="P135" s="41"/>
      <c r="Q135" s="41"/>
      <c r="R135" s="41"/>
      <c r="S135" s="41"/>
      <c r="T135" s="138"/>
    </row>
    <row r="136" spans="1:20" s="3" customFormat="1" ht="93.75">
      <c r="A136" s="48" t="s">
        <v>86</v>
      </c>
      <c r="B136" s="46"/>
      <c r="C136" s="34">
        <v>50</v>
      </c>
      <c r="D136" s="38"/>
      <c r="E136" s="38"/>
      <c r="F136" s="38"/>
      <c r="G136" s="38"/>
      <c r="H136" s="34">
        <v>60</v>
      </c>
      <c r="I136" s="38"/>
      <c r="J136" s="38"/>
      <c r="K136" s="38"/>
      <c r="L136" s="38"/>
      <c r="M136" s="34">
        <v>72</v>
      </c>
      <c r="N136" s="38"/>
      <c r="O136" s="38"/>
      <c r="P136" s="41"/>
      <c r="Q136" s="41"/>
      <c r="R136" s="41"/>
      <c r="S136" s="41"/>
      <c r="T136" s="138"/>
    </row>
    <row r="137" spans="1:20" s="3" customFormat="1" ht="18.75">
      <c r="A137" s="46" t="s">
        <v>25</v>
      </c>
      <c r="B137" s="46"/>
      <c r="C137" s="34"/>
      <c r="D137" s="38"/>
      <c r="E137" s="38"/>
      <c r="F137" s="38"/>
      <c r="G137" s="38"/>
      <c r="H137" s="34"/>
      <c r="I137" s="38"/>
      <c r="J137" s="38"/>
      <c r="K137" s="38"/>
      <c r="L137" s="38"/>
      <c r="M137" s="34"/>
      <c r="N137" s="38"/>
      <c r="O137" s="38"/>
      <c r="P137" s="41"/>
      <c r="Q137" s="41"/>
      <c r="R137" s="41"/>
      <c r="S137" s="41"/>
      <c r="T137" s="138"/>
    </row>
    <row r="138" spans="1:20" s="3" customFormat="1" ht="75">
      <c r="A138" s="48" t="s">
        <v>70</v>
      </c>
      <c r="B138" s="46"/>
      <c r="C138" s="56">
        <v>844.187</v>
      </c>
      <c r="D138" s="38"/>
      <c r="E138" s="38"/>
      <c r="F138" s="38"/>
      <c r="G138" s="38"/>
      <c r="H138" s="34">
        <v>541.83</v>
      </c>
      <c r="I138" s="38"/>
      <c r="J138" s="38"/>
      <c r="K138" s="38"/>
      <c r="L138" s="38"/>
      <c r="M138" s="34">
        <v>460.29</v>
      </c>
      <c r="N138" s="38"/>
      <c r="O138" s="38"/>
      <c r="P138" s="41"/>
      <c r="Q138" s="41"/>
      <c r="R138" s="41"/>
      <c r="S138" s="41"/>
      <c r="T138" s="138"/>
    </row>
    <row r="139" spans="1:21" s="4" customFormat="1" ht="37.5">
      <c r="A139" s="48" t="s">
        <v>56</v>
      </c>
      <c r="B139" s="46"/>
      <c r="C139" s="39">
        <f>C129/(C138*0.86*1591.105*0.001)</f>
        <v>0.9956338458775315</v>
      </c>
      <c r="D139" s="38"/>
      <c r="E139" s="38"/>
      <c r="F139" s="38"/>
      <c r="G139" s="38"/>
      <c r="H139" s="39">
        <f>H132/(H138*0.86*1699.3*0.001)</f>
        <v>1.0608347316494606</v>
      </c>
      <c r="I139" s="38"/>
      <c r="J139" s="38"/>
      <c r="K139" s="38"/>
      <c r="L139" s="38"/>
      <c r="M139" s="39">
        <f>M132/(M138*0.86*0.001*1787.664)</f>
        <v>1.2209499377744226</v>
      </c>
      <c r="N139" s="38"/>
      <c r="O139" s="38"/>
      <c r="P139" s="41"/>
      <c r="Q139" s="41"/>
      <c r="R139" s="41"/>
      <c r="S139" s="41"/>
      <c r="T139" s="138"/>
      <c r="U139" s="21"/>
    </row>
    <row r="140" spans="1:20" s="3" customFormat="1" ht="18.75">
      <c r="A140" s="142" t="s">
        <v>112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4"/>
      <c r="T140" s="138"/>
    </row>
    <row r="141" spans="1:20" s="3" customFormat="1" ht="18.75">
      <c r="A141" s="151" t="s">
        <v>19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3"/>
      <c r="T141" s="138"/>
    </row>
    <row r="142" spans="1:20" s="3" customFormat="1" ht="99" customHeight="1">
      <c r="A142" s="46" t="s">
        <v>36</v>
      </c>
      <c r="B142" s="36">
        <v>1017410</v>
      </c>
      <c r="C142" s="39">
        <f>D142+E142</f>
        <v>200</v>
      </c>
      <c r="D142" s="65">
        <v>83</v>
      </c>
      <c r="E142" s="65">
        <v>117</v>
      </c>
      <c r="F142" s="65"/>
      <c r="G142" s="65"/>
      <c r="H142" s="39">
        <v>108</v>
      </c>
      <c r="I142" s="65">
        <f>I145</f>
        <v>58</v>
      </c>
      <c r="J142" s="65">
        <f>J145</f>
        <v>50</v>
      </c>
      <c r="K142" s="65"/>
      <c r="L142" s="65"/>
      <c r="M142" s="39">
        <v>106</v>
      </c>
      <c r="N142" s="65">
        <f>N145</f>
        <v>63</v>
      </c>
      <c r="O142" s="65">
        <f>O145</f>
        <v>43</v>
      </c>
      <c r="P142" s="41"/>
      <c r="Q142" s="41"/>
      <c r="R142" s="41"/>
      <c r="S142" s="41"/>
      <c r="T142" s="138"/>
    </row>
    <row r="143" spans="1:20" s="3" customFormat="1" ht="53.25" customHeight="1">
      <c r="A143" s="46" t="s">
        <v>28</v>
      </c>
      <c r="B143" s="36"/>
      <c r="C143" s="34"/>
      <c r="D143" s="38"/>
      <c r="E143" s="38"/>
      <c r="F143" s="38"/>
      <c r="G143" s="38"/>
      <c r="H143" s="34"/>
      <c r="I143" s="38"/>
      <c r="J143" s="38"/>
      <c r="K143" s="38"/>
      <c r="L143" s="38"/>
      <c r="M143" s="34"/>
      <c r="N143" s="38"/>
      <c r="O143" s="38"/>
      <c r="P143" s="41"/>
      <c r="Q143" s="41"/>
      <c r="R143" s="41"/>
      <c r="S143" s="41"/>
      <c r="T143" s="138"/>
    </row>
    <row r="144" spans="1:20" s="3" customFormat="1" ht="18.75">
      <c r="A144" s="46" t="s">
        <v>21</v>
      </c>
      <c r="B144" s="36"/>
      <c r="C144" s="34"/>
      <c r="D144" s="38"/>
      <c r="E144" s="38"/>
      <c r="F144" s="38"/>
      <c r="G144" s="38"/>
      <c r="H144" s="34"/>
      <c r="I144" s="38"/>
      <c r="J144" s="38"/>
      <c r="K144" s="38"/>
      <c r="L144" s="38"/>
      <c r="M144" s="34"/>
      <c r="N144" s="38"/>
      <c r="O144" s="38"/>
      <c r="P144" s="41"/>
      <c r="Q144" s="41"/>
      <c r="R144" s="41"/>
      <c r="S144" s="41"/>
      <c r="T144" s="138"/>
    </row>
    <row r="145" spans="1:20" s="3" customFormat="1" ht="47.25" customHeight="1">
      <c r="A145" s="48" t="s">
        <v>32</v>
      </c>
      <c r="B145" s="36"/>
      <c r="C145" s="39">
        <v>200</v>
      </c>
      <c r="D145" s="65">
        <f>D142</f>
        <v>83</v>
      </c>
      <c r="E145" s="65">
        <f>E142</f>
        <v>117</v>
      </c>
      <c r="F145" s="65"/>
      <c r="G145" s="65"/>
      <c r="H145" s="39">
        <f>I145+J145</f>
        <v>108</v>
      </c>
      <c r="I145" s="65">
        <v>58</v>
      </c>
      <c r="J145" s="65">
        <v>50</v>
      </c>
      <c r="K145" s="65"/>
      <c r="L145" s="65"/>
      <c r="M145" s="39">
        <f>N145+O145</f>
        <v>106</v>
      </c>
      <c r="N145" s="65">
        <v>63</v>
      </c>
      <c r="O145" s="65">
        <v>43</v>
      </c>
      <c r="P145" s="41"/>
      <c r="Q145" s="41"/>
      <c r="R145" s="41"/>
      <c r="S145" s="41"/>
      <c r="T145" s="138"/>
    </row>
    <row r="146" spans="1:20" s="3" customFormat="1" ht="47.25" customHeight="1">
      <c r="A146" s="46" t="s">
        <v>16</v>
      </c>
      <c r="B146" s="36"/>
      <c r="C146" s="34"/>
      <c r="D146" s="38"/>
      <c r="E146" s="38"/>
      <c r="F146" s="38"/>
      <c r="G146" s="38"/>
      <c r="H146" s="34"/>
      <c r="I146" s="38"/>
      <c r="J146" s="38"/>
      <c r="K146" s="38"/>
      <c r="L146" s="38"/>
      <c r="M146" s="34"/>
      <c r="N146" s="38"/>
      <c r="O146" s="38"/>
      <c r="P146" s="41"/>
      <c r="Q146" s="41"/>
      <c r="R146" s="41"/>
      <c r="S146" s="41"/>
      <c r="T146" s="140"/>
    </row>
    <row r="147" spans="1:20" s="3" customFormat="1" ht="101.25" customHeight="1">
      <c r="A147" s="48" t="s">
        <v>108</v>
      </c>
      <c r="B147" s="36"/>
      <c r="C147" s="34">
        <v>6</v>
      </c>
      <c r="D147" s="38"/>
      <c r="E147" s="38"/>
      <c r="F147" s="38"/>
      <c r="G147" s="38"/>
      <c r="H147" s="34">
        <v>5</v>
      </c>
      <c r="I147" s="38"/>
      <c r="J147" s="38"/>
      <c r="K147" s="38"/>
      <c r="L147" s="38"/>
      <c r="M147" s="34">
        <v>6</v>
      </c>
      <c r="N147" s="38"/>
      <c r="O147" s="38"/>
      <c r="P147" s="41"/>
      <c r="Q147" s="41"/>
      <c r="R147" s="41"/>
      <c r="S147" s="41"/>
      <c r="T147" s="141"/>
    </row>
    <row r="148" spans="1:20" s="3" customFormat="1" ht="18" customHeight="1">
      <c r="A148" s="48" t="s">
        <v>37</v>
      </c>
      <c r="B148" s="36"/>
      <c r="C148" s="34"/>
      <c r="D148" s="38"/>
      <c r="E148" s="38"/>
      <c r="F148" s="38"/>
      <c r="G148" s="38"/>
      <c r="H148" s="34"/>
      <c r="I148" s="38"/>
      <c r="J148" s="38"/>
      <c r="K148" s="38"/>
      <c r="L148" s="38"/>
      <c r="M148" s="34"/>
      <c r="N148" s="38"/>
      <c r="O148" s="38"/>
      <c r="P148" s="41"/>
      <c r="Q148" s="41"/>
      <c r="R148" s="41"/>
      <c r="S148" s="41"/>
      <c r="T148" s="141"/>
    </row>
    <row r="149" spans="1:20" s="3" customFormat="1" ht="44.25" customHeight="1">
      <c r="A149" s="46" t="s">
        <v>17</v>
      </c>
      <c r="B149" s="36"/>
      <c r="C149" s="34"/>
      <c r="D149" s="38"/>
      <c r="E149" s="38"/>
      <c r="F149" s="38"/>
      <c r="G149" s="38"/>
      <c r="H149" s="34"/>
      <c r="I149" s="38"/>
      <c r="J149" s="38"/>
      <c r="K149" s="38"/>
      <c r="L149" s="38"/>
      <c r="M149" s="34"/>
      <c r="N149" s="38"/>
      <c r="O149" s="38"/>
      <c r="P149" s="41"/>
      <c r="Q149" s="41"/>
      <c r="R149" s="41"/>
      <c r="S149" s="41"/>
      <c r="T149" s="141"/>
    </row>
    <row r="150" spans="1:20" s="3" customFormat="1" ht="125.25" customHeight="1">
      <c r="A150" s="48" t="s">
        <v>52</v>
      </c>
      <c r="B150" s="36"/>
      <c r="C150" s="56">
        <f>C142/C147</f>
        <v>33.333333333333336</v>
      </c>
      <c r="D150" s="38"/>
      <c r="E150" s="38"/>
      <c r="F150" s="38"/>
      <c r="G150" s="38"/>
      <c r="H150" s="56">
        <f>H142/H147</f>
        <v>21.6</v>
      </c>
      <c r="I150" s="38"/>
      <c r="J150" s="38"/>
      <c r="K150" s="38"/>
      <c r="L150" s="38"/>
      <c r="M150" s="56">
        <f>M142/M147</f>
        <v>17.666666666666668</v>
      </c>
      <c r="N150" s="38"/>
      <c r="O150" s="38"/>
      <c r="P150" s="41"/>
      <c r="Q150" s="41"/>
      <c r="R150" s="41"/>
      <c r="S150" s="41"/>
      <c r="T150" s="141"/>
    </row>
    <row r="151" spans="1:20" s="3" customFormat="1" ht="18.75">
      <c r="A151" s="46" t="s">
        <v>18</v>
      </c>
      <c r="B151" s="36"/>
      <c r="C151" s="34"/>
      <c r="D151" s="38"/>
      <c r="E151" s="38"/>
      <c r="F151" s="38"/>
      <c r="G151" s="38"/>
      <c r="H151" s="34"/>
      <c r="I151" s="38"/>
      <c r="J151" s="38"/>
      <c r="K151" s="38"/>
      <c r="L151" s="38"/>
      <c r="M151" s="34"/>
      <c r="N151" s="38"/>
      <c r="O151" s="38"/>
      <c r="P151" s="41"/>
      <c r="Q151" s="41"/>
      <c r="R151" s="41"/>
      <c r="S151" s="41"/>
      <c r="T151" s="141"/>
    </row>
    <row r="152" spans="1:20" s="3" customFormat="1" ht="131.25" customHeight="1">
      <c r="A152" s="48" t="s">
        <v>38</v>
      </c>
      <c r="B152" s="36"/>
      <c r="C152" s="34">
        <v>9</v>
      </c>
      <c r="D152" s="38"/>
      <c r="E152" s="38"/>
      <c r="F152" s="38"/>
      <c r="G152" s="38"/>
      <c r="H152" s="34">
        <v>14</v>
      </c>
      <c r="I152" s="38"/>
      <c r="J152" s="38"/>
      <c r="K152" s="38"/>
      <c r="L152" s="38"/>
      <c r="M152" s="34">
        <v>19</v>
      </c>
      <c r="N152" s="38"/>
      <c r="O152" s="38"/>
      <c r="P152" s="41"/>
      <c r="Q152" s="41"/>
      <c r="R152" s="41"/>
      <c r="S152" s="41"/>
      <c r="T152" s="141"/>
    </row>
    <row r="153" spans="1:20" s="3" customFormat="1" ht="18.75">
      <c r="A153" s="154" t="s">
        <v>58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6"/>
      <c r="T153" s="141"/>
    </row>
    <row r="154" spans="1:20" s="3" customFormat="1" ht="18.75">
      <c r="A154" s="154" t="s">
        <v>19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6"/>
      <c r="T154" s="141"/>
    </row>
    <row r="155" spans="1:20" s="3" customFormat="1" ht="86.25" customHeight="1">
      <c r="A155" s="46" t="s">
        <v>11</v>
      </c>
      <c r="B155" s="46">
        <v>1017410</v>
      </c>
      <c r="C155" s="39">
        <v>36</v>
      </c>
      <c r="D155" s="65">
        <v>36</v>
      </c>
      <c r="E155" s="65"/>
      <c r="F155" s="65"/>
      <c r="G155" s="65"/>
      <c r="H155" s="39">
        <v>36</v>
      </c>
      <c r="I155" s="65">
        <f>H155</f>
        <v>36</v>
      </c>
      <c r="J155" s="65"/>
      <c r="K155" s="65"/>
      <c r="L155" s="65"/>
      <c r="M155" s="39">
        <v>36</v>
      </c>
      <c r="N155" s="65">
        <f>M155</f>
        <v>36</v>
      </c>
      <c r="O155" s="38"/>
      <c r="P155" s="41"/>
      <c r="Q155" s="41"/>
      <c r="R155" s="41"/>
      <c r="S155" s="41"/>
      <c r="T155" s="141"/>
    </row>
    <row r="156" spans="1:20" s="3" customFormat="1" ht="45.75" customHeight="1">
      <c r="A156" s="46" t="s">
        <v>26</v>
      </c>
      <c r="B156" s="46"/>
      <c r="C156" s="34"/>
      <c r="D156" s="38"/>
      <c r="E156" s="38"/>
      <c r="F156" s="38"/>
      <c r="G156" s="38"/>
      <c r="H156" s="34"/>
      <c r="I156" s="38"/>
      <c r="J156" s="38"/>
      <c r="K156" s="38"/>
      <c r="L156" s="38"/>
      <c r="M156" s="34"/>
      <c r="N156" s="38"/>
      <c r="O156" s="38"/>
      <c r="P156" s="41"/>
      <c r="Q156" s="41"/>
      <c r="R156" s="41"/>
      <c r="S156" s="41"/>
      <c r="T156" s="141"/>
    </row>
    <row r="157" spans="1:20" s="3" customFormat="1" ht="33" customHeight="1">
      <c r="A157" s="46" t="s">
        <v>27</v>
      </c>
      <c r="B157" s="46"/>
      <c r="C157" s="34"/>
      <c r="D157" s="38"/>
      <c r="E157" s="38"/>
      <c r="F157" s="38"/>
      <c r="G157" s="38"/>
      <c r="H157" s="34"/>
      <c r="I157" s="38"/>
      <c r="J157" s="38"/>
      <c r="K157" s="38"/>
      <c r="L157" s="38"/>
      <c r="M157" s="34"/>
      <c r="N157" s="38"/>
      <c r="O157" s="38"/>
      <c r="P157" s="41"/>
      <c r="Q157" s="41"/>
      <c r="R157" s="41"/>
      <c r="S157" s="41"/>
      <c r="T157" s="141"/>
    </row>
    <row r="158" spans="1:20" s="3" customFormat="1" ht="45" customHeight="1">
      <c r="A158" s="48" t="s">
        <v>32</v>
      </c>
      <c r="B158" s="46"/>
      <c r="C158" s="34">
        <f>C155</f>
        <v>36</v>
      </c>
      <c r="D158" s="38">
        <f>D155</f>
        <v>36</v>
      </c>
      <c r="E158" s="38"/>
      <c r="F158" s="38"/>
      <c r="G158" s="38"/>
      <c r="H158" s="34">
        <f>H155</f>
        <v>36</v>
      </c>
      <c r="I158" s="38">
        <v>36</v>
      </c>
      <c r="J158" s="38"/>
      <c r="K158" s="38"/>
      <c r="L158" s="38"/>
      <c r="M158" s="34">
        <f>M155</f>
        <v>36</v>
      </c>
      <c r="N158" s="38">
        <v>36</v>
      </c>
      <c r="O158" s="38"/>
      <c r="P158" s="41"/>
      <c r="Q158" s="41"/>
      <c r="R158" s="41"/>
      <c r="S158" s="41"/>
      <c r="T158" s="141"/>
    </row>
    <row r="159" spans="1:20" s="3" customFormat="1" ht="39" customHeight="1">
      <c r="A159" s="46" t="s">
        <v>16</v>
      </c>
      <c r="B159" s="46"/>
      <c r="C159" s="34"/>
      <c r="D159" s="38"/>
      <c r="E159" s="38"/>
      <c r="F159" s="38"/>
      <c r="G159" s="38"/>
      <c r="H159" s="34"/>
      <c r="I159" s="38"/>
      <c r="J159" s="38"/>
      <c r="K159" s="38"/>
      <c r="L159" s="38"/>
      <c r="M159" s="34"/>
      <c r="N159" s="38"/>
      <c r="O159" s="38"/>
      <c r="P159" s="41"/>
      <c r="Q159" s="41"/>
      <c r="R159" s="41"/>
      <c r="S159" s="41"/>
      <c r="T159" s="141"/>
    </row>
    <row r="160" spans="1:20" s="3" customFormat="1" ht="87.75" customHeight="1">
      <c r="A160" s="48" t="s">
        <v>87</v>
      </c>
      <c r="B160" s="46"/>
      <c r="C160" s="34">
        <v>6</v>
      </c>
      <c r="D160" s="38"/>
      <c r="E160" s="38"/>
      <c r="F160" s="38"/>
      <c r="G160" s="38"/>
      <c r="H160" s="34">
        <v>5</v>
      </c>
      <c r="I160" s="38"/>
      <c r="J160" s="38"/>
      <c r="K160" s="38"/>
      <c r="L160" s="38"/>
      <c r="M160" s="34">
        <v>6</v>
      </c>
      <c r="N160" s="38"/>
      <c r="O160" s="38"/>
      <c r="P160" s="41"/>
      <c r="Q160" s="41"/>
      <c r="R160" s="41"/>
      <c r="S160" s="41"/>
      <c r="T160" s="141"/>
    </row>
    <row r="161" spans="1:20" s="3" customFormat="1" ht="37.5" customHeight="1">
      <c r="A161" s="163" t="s">
        <v>59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1"/>
      <c r="T161" s="141"/>
    </row>
    <row r="162" spans="1:20" s="3" customFormat="1" ht="24.75" customHeight="1">
      <c r="A162" s="78" t="s">
        <v>19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2"/>
      <c r="T162" s="141"/>
    </row>
    <row r="163" spans="1:20" s="3" customFormat="1" ht="112.5" customHeight="1">
      <c r="A163" s="46" t="s">
        <v>11</v>
      </c>
      <c r="B163" s="36">
        <v>1017410</v>
      </c>
      <c r="C163" s="58">
        <f>D163</f>
        <v>37</v>
      </c>
      <c r="D163" s="37">
        <v>37</v>
      </c>
      <c r="E163" s="37"/>
      <c r="F163" s="37"/>
      <c r="G163" s="37"/>
      <c r="H163" s="58">
        <v>45</v>
      </c>
      <c r="I163" s="37">
        <f>H163</f>
        <v>45</v>
      </c>
      <c r="J163" s="68"/>
      <c r="K163" s="68"/>
      <c r="L163" s="68"/>
      <c r="M163" s="58">
        <v>54</v>
      </c>
      <c r="N163" s="37">
        <v>54</v>
      </c>
      <c r="O163" s="41"/>
      <c r="P163" s="41"/>
      <c r="Q163" s="41"/>
      <c r="R163" s="41"/>
      <c r="S163" s="41"/>
      <c r="T163" s="141"/>
    </row>
    <row r="164" spans="1:20" s="3" customFormat="1" ht="43.5" customHeight="1">
      <c r="A164" s="46" t="s">
        <v>26</v>
      </c>
      <c r="B164" s="36"/>
      <c r="C164" s="34"/>
      <c r="D164" s="38"/>
      <c r="E164" s="38"/>
      <c r="F164" s="38"/>
      <c r="G164" s="38"/>
      <c r="H164" s="34"/>
      <c r="I164" s="38"/>
      <c r="J164" s="42"/>
      <c r="K164" s="42"/>
      <c r="L164" s="42"/>
      <c r="M164" s="34"/>
      <c r="N164" s="38"/>
      <c r="O164" s="41"/>
      <c r="P164" s="41"/>
      <c r="Q164" s="41"/>
      <c r="R164" s="41"/>
      <c r="S164" s="41"/>
      <c r="T164" s="141"/>
    </row>
    <row r="165" spans="1:20" s="3" customFormat="1" ht="18.75">
      <c r="A165" s="46" t="s">
        <v>27</v>
      </c>
      <c r="B165" s="36"/>
      <c r="C165" s="34"/>
      <c r="D165" s="38"/>
      <c r="E165" s="38"/>
      <c r="F165" s="38"/>
      <c r="G165" s="38"/>
      <c r="H165" s="34"/>
      <c r="I165" s="38"/>
      <c r="J165" s="42"/>
      <c r="K165" s="42"/>
      <c r="L165" s="42"/>
      <c r="M165" s="34"/>
      <c r="N165" s="38"/>
      <c r="O165" s="41"/>
      <c r="P165" s="41"/>
      <c r="Q165" s="41"/>
      <c r="R165" s="41"/>
      <c r="S165" s="41"/>
      <c r="T165" s="141"/>
    </row>
    <row r="166" spans="1:20" s="3" customFormat="1" ht="37.5">
      <c r="A166" s="46" t="s">
        <v>32</v>
      </c>
      <c r="B166" s="36"/>
      <c r="C166" s="39">
        <v>37</v>
      </c>
      <c r="D166" s="65">
        <v>37</v>
      </c>
      <c r="E166" s="65"/>
      <c r="F166" s="65"/>
      <c r="G166" s="65"/>
      <c r="H166" s="39">
        <f>H163</f>
        <v>45</v>
      </c>
      <c r="I166" s="65">
        <f>H166</f>
        <v>45</v>
      </c>
      <c r="J166" s="63"/>
      <c r="K166" s="63"/>
      <c r="L166" s="63"/>
      <c r="M166" s="39">
        <f>M163</f>
        <v>54</v>
      </c>
      <c r="N166" s="65">
        <f>N163</f>
        <v>54</v>
      </c>
      <c r="O166" s="41"/>
      <c r="P166" s="41"/>
      <c r="Q166" s="41"/>
      <c r="R166" s="41"/>
      <c r="S166" s="41"/>
      <c r="T166" s="141"/>
    </row>
    <row r="167" spans="1:20" s="3" customFormat="1" ht="37.5">
      <c r="A167" s="46" t="s">
        <v>16</v>
      </c>
      <c r="B167" s="36"/>
      <c r="C167" s="34"/>
      <c r="D167" s="38"/>
      <c r="E167" s="38"/>
      <c r="F167" s="38"/>
      <c r="G167" s="38"/>
      <c r="H167" s="34"/>
      <c r="I167" s="38"/>
      <c r="J167" s="42"/>
      <c r="K167" s="42"/>
      <c r="L167" s="42"/>
      <c r="M167" s="34"/>
      <c r="N167" s="38"/>
      <c r="O167" s="41"/>
      <c r="P167" s="41"/>
      <c r="Q167" s="41"/>
      <c r="R167" s="41"/>
      <c r="S167" s="41"/>
      <c r="T167" s="141"/>
    </row>
    <row r="168" spans="1:20" s="3" customFormat="1" ht="88.5" customHeight="1">
      <c r="A168" s="48" t="s">
        <v>79</v>
      </c>
      <c r="B168" s="36"/>
      <c r="C168" s="34">
        <v>11</v>
      </c>
      <c r="D168" s="38"/>
      <c r="E168" s="38"/>
      <c r="F168" s="38"/>
      <c r="G168" s="38"/>
      <c r="H168" s="34">
        <v>17</v>
      </c>
      <c r="I168" s="38"/>
      <c r="J168" s="42"/>
      <c r="K168" s="42"/>
      <c r="L168" s="42"/>
      <c r="M168" s="34">
        <v>23</v>
      </c>
      <c r="N168" s="38"/>
      <c r="O168" s="41"/>
      <c r="P168" s="41"/>
      <c r="Q168" s="41"/>
      <c r="R168" s="41"/>
      <c r="S168" s="41"/>
      <c r="T168" s="141"/>
    </row>
    <row r="169" spans="1:20" s="3" customFormat="1" ht="50.25" customHeight="1">
      <c r="A169" s="46" t="s">
        <v>23</v>
      </c>
      <c r="B169" s="36"/>
      <c r="C169" s="34"/>
      <c r="D169" s="38"/>
      <c r="E169" s="38"/>
      <c r="F169" s="38"/>
      <c r="G169" s="38"/>
      <c r="H169" s="34"/>
      <c r="I169" s="38"/>
      <c r="J169" s="42"/>
      <c r="K169" s="42"/>
      <c r="L169" s="42"/>
      <c r="M169" s="34"/>
      <c r="N169" s="38"/>
      <c r="O169" s="41"/>
      <c r="P169" s="41"/>
      <c r="Q169" s="41"/>
      <c r="R169" s="41"/>
      <c r="S169" s="41"/>
      <c r="T169" s="141"/>
    </row>
    <row r="170" spans="1:20" s="3" customFormat="1" ht="138" customHeight="1">
      <c r="A170" s="48" t="s">
        <v>39</v>
      </c>
      <c r="B170" s="36"/>
      <c r="C170" s="39">
        <f>C166/C168</f>
        <v>3.3636363636363638</v>
      </c>
      <c r="D170" s="38"/>
      <c r="E170" s="38"/>
      <c r="F170" s="38"/>
      <c r="G170" s="38"/>
      <c r="H170" s="39">
        <f>H166/H168</f>
        <v>2.6470588235294117</v>
      </c>
      <c r="I170" s="38"/>
      <c r="J170" s="42"/>
      <c r="K170" s="42"/>
      <c r="L170" s="42"/>
      <c r="M170" s="39">
        <f>M166/M168</f>
        <v>2.347826086956522</v>
      </c>
      <c r="N170" s="38"/>
      <c r="O170" s="41"/>
      <c r="P170" s="41"/>
      <c r="Q170" s="41"/>
      <c r="R170" s="41"/>
      <c r="S170" s="41"/>
      <c r="T170" s="141"/>
    </row>
    <row r="171" spans="1:20" s="3" customFormat="1" ht="18.75">
      <c r="A171" s="46" t="s">
        <v>25</v>
      </c>
      <c r="B171" s="36"/>
      <c r="C171" s="34"/>
      <c r="D171" s="38"/>
      <c r="E171" s="38"/>
      <c r="F171" s="38"/>
      <c r="G171" s="38"/>
      <c r="H171" s="34"/>
      <c r="I171" s="38"/>
      <c r="J171" s="42"/>
      <c r="K171" s="42"/>
      <c r="L171" s="42"/>
      <c r="M171" s="34"/>
      <c r="N171" s="38"/>
      <c r="O171" s="41"/>
      <c r="P171" s="41"/>
      <c r="Q171" s="41"/>
      <c r="R171" s="41"/>
      <c r="S171" s="41"/>
      <c r="T171" s="141"/>
    </row>
    <row r="172" spans="1:20" s="3" customFormat="1" ht="126" customHeight="1">
      <c r="A172" s="48" t="s">
        <v>40</v>
      </c>
      <c r="B172" s="36"/>
      <c r="C172" s="34">
        <v>9</v>
      </c>
      <c r="D172" s="38"/>
      <c r="E172" s="38"/>
      <c r="F172" s="38"/>
      <c r="G172" s="38"/>
      <c r="H172" s="34">
        <v>14</v>
      </c>
      <c r="I172" s="38"/>
      <c r="J172" s="42"/>
      <c r="K172" s="42"/>
      <c r="L172" s="42"/>
      <c r="M172" s="34">
        <v>19</v>
      </c>
      <c r="N172" s="38"/>
      <c r="O172" s="41"/>
      <c r="P172" s="41"/>
      <c r="Q172" s="41"/>
      <c r="R172" s="41"/>
      <c r="S172" s="41"/>
      <c r="T172" s="138"/>
    </row>
    <row r="173" spans="1:20" s="3" customFormat="1" ht="21" customHeight="1">
      <c r="A173" s="148" t="s">
        <v>130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50"/>
      <c r="T173" s="138"/>
    </row>
    <row r="174" spans="1:20" s="3" customFormat="1" ht="21" customHeight="1">
      <c r="A174" s="213" t="s">
        <v>131</v>
      </c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5"/>
      <c r="T174" s="138"/>
    </row>
    <row r="175" spans="1:20" s="3" customFormat="1" ht="82.5" customHeight="1">
      <c r="A175" s="48" t="s">
        <v>20</v>
      </c>
      <c r="B175" s="36">
        <v>1017410</v>
      </c>
      <c r="C175" s="100">
        <f>D175+F175</f>
        <v>120</v>
      </c>
      <c r="D175" s="101">
        <v>20</v>
      </c>
      <c r="E175" s="101"/>
      <c r="F175" s="101">
        <v>100</v>
      </c>
      <c r="G175" s="38"/>
      <c r="H175" s="34"/>
      <c r="I175" s="38"/>
      <c r="J175" s="42"/>
      <c r="K175" s="42"/>
      <c r="L175" s="42"/>
      <c r="M175" s="34"/>
      <c r="N175" s="38"/>
      <c r="O175" s="41"/>
      <c r="P175" s="41"/>
      <c r="Q175" s="41"/>
      <c r="R175" s="41"/>
      <c r="S175" s="41"/>
      <c r="T175" s="138"/>
    </row>
    <row r="176" spans="1:20" s="3" customFormat="1" ht="48" customHeight="1">
      <c r="A176" s="48" t="s">
        <v>28</v>
      </c>
      <c r="B176" s="36"/>
      <c r="C176" s="100"/>
      <c r="D176" s="101"/>
      <c r="E176" s="101"/>
      <c r="F176" s="101"/>
      <c r="G176" s="38"/>
      <c r="H176" s="34"/>
      <c r="I176" s="38"/>
      <c r="J176" s="42"/>
      <c r="K176" s="42"/>
      <c r="L176" s="42"/>
      <c r="M176" s="34"/>
      <c r="N176" s="38"/>
      <c r="O176" s="41"/>
      <c r="P176" s="41"/>
      <c r="Q176" s="41"/>
      <c r="R176" s="41"/>
      <c r="S176" s="41"/>
      <c r="T176" s="138"/>
    </row>
    <row r="177" spans="1:20" s="3" customFormat="1" ht="29.25" customHeight="1">
      <c r="A177" s="48" t="s">
        <v>27</v>
      </c>
      <c r="B177" s="36"/>
      <c r="C177" s="100"/>
      <c r="D177" s="101"/>
      <c r="E177" s="101"/>
      <c r="F177" s="101"/>
      <c r="G177" s="38"/>
      <c r="H177" s="34"/>
      <c r="I177" s="38"/>
      <c r="J177" s="42"/>
      <c r="K177" s="42"/>
      <c r="L177" s="42"/>
      <c r="M177" s="34"/>
      <c r="N177" s="38"/>
      <c r="O177" s="41"/>
      <c r="P177" s="41"/>
      <c r="Q177" s="41"/>
      <c r="R177" s="41"/>
      <c r="S177" s="41"/>
      <c r="T177" s="138"/>
    </row>
    <row r="178" spans="1:20" s="3" customFormat="1" ht="48" customHeight="1">
      <c r="A178" s="48" t="s">
        <v>32</v>
      </c>
      <c r="B178" s="36"/>
      <c r="C178" s="100">
        <v>120</v>
      </c>
      <c r="D178" s="101">
        <v>20</v>
      </c>
      <c r="E178" s="101"/>
      <c r="F178" s="101">
        <v>100</v>
      </c>
      <c r="G178" s="38"/>
      <c r="H178" s="34"/>
      <c r="I178" s="38"/>
      <c r="J178" s="42"/>
      <c r="K178" s="42"/>
      <c r="L178" s="42"/>
      <c r="M178" s="34"/>
      <c r="N178" s="38"/>
      <c r="O178" s="41"/>
      <c r="P178" s="41"/>
      <c r="Q178" s="41"/>
      <c r="R178" s="41"/>
      <c r="S178" s="41"/>
      <c r="T178" s="138"/>
    </row>
    <row r="179" spans="1:20" s="3" customFormat="1" ht="39.75" customHeight="1">
      <c r="A179" s="48" t="s">
        <v>16</v>
      </c>
      <c r="B179" s="36"/>
      <c r="C179" s="34"/>
      <c r="D179" s="38"/>
      <c r="E179" s="38"/>
      <c r="F179" s="38"/>
      <c r="G179" s="38"/>
      <c r="H179" s="34"/>
      <c r="I179" s="38"/>
      <c r="J179" s="42"/>
      <c r="K179" s="42"/>
      <c r="L179" s="42"/>
      <c r="M179" s="34"/>
      <c r="N179" s="38"/>
      <c r="O179" s="41"/>
      <c r="P179" s="41"/>
      <c r="Q179" s="41"/>
      <c r="R179" s="41"/>
      <c r="S179" s="41"/>
      <c r="T179" s="138"/>
    </row>
    <row r="180" spans="1:20" s="3" customFormat="1" ht="78.75" customHeight="1">
      <c r="A180" s="48" t="s">
        <v>132</v>
      </c>
      <c r="B180" s="36"/>
      <c r="C180" s="34">
        <v>14</v>
      </c>
      <c r="D180" s="38"/>
      <c r="E180" s="38"/>
      <c r="F180" s="38"/>
      <c r="G180" s="38"/>
      <c r="H180" s="34"/>
      <c r="I180" s="38"/>
      <c r="J180" s="42"/>
      <c r="K180" s="42"/>
      <c r="L180" s="42"/>
      <c r="M180" s="34"/>
      <c r="N180" s="38"/>
      <c r="O180" s="41"/>
      <c r="P180" s="41"/>
      <c r="Q180" s="41"/>
      <c r="R180" s="41"/>
      <c r="S180" s="41"/>
      <c r="T180" s="138"/>
    </row>
    <row r="181" spans="1:20" s="3" customFormat="1" ht="105.75" customHeight="1">
      <c r="A181" s="48" t="s">
        <v>24</v>
      </c>
      <c r="B181" s="36"/>
      <c r="C181" s="56">
        <f>C178/C180</f>
        <v>8.571428571428571</v>
      </c>
      <c r="D181" s="38"/>
      <c r="E181" s="38"/>
      <c r="F181" s="38"/>
      <c r="G181" s="38"/>
      <c r="H181" s="34"/>
      <c r="I181" s="38"/>
      <c r="J181" s="42"/>
      <c r="K181" s="42"/>
      <c r="L181" s="42"/>
      <c r="M181" s="34"/>
      <c r="N181" s="38"/>
      <c r="O181" s="41"/>
      <c r="P181" s="41"/>
      <c r="Q181" s="41"/>
      <c r="R181" s="41"/>
      <c r="S181" s="41"/>
      <c r="T181" s="138"/>
    </row>
    <row r="182" spans="1:20" s="3" customFormat="1" ht="33" customHeight="1">
      <c r="A182" s="48" t="s">
        <v>25</v>
      </c>
      <c r="B182" s="36"/>
      <c r="C182" s="34"/>
      <c r="D182" s="38"/>
      <c r="E182" s="38"/>
      <c r="F182" s="38"/>
      <c r="G182" s="38"/>
      <c r="H182" s="34"/>
      <c r="I182" s="38"/>
      <c r="J182" s="42"/>
      <c r="K182" s="42"/>
      <c r="L182" s="42"/>
      <c r="M182" s="34"/>
      <c r="N182" s="38"/>
      <c r="O182" s="41"/>
      <c r="P182" s="41"/>
      <c r="Q182" s="41"/>
      <c r="R182" s="41"/>
      <c r="S182" s="41"/>
      <c r="T182" s="138"/>
    </row>
    <row r="183" spans="1:20" s="3" customFormat="1" ht="104.25" customHeight="1">
      <c r="A183" s="48" t="s">
        <v>133</v>
      </c>
      <c r="B183" s="36"/>
      <c r="C183" s="34">
        <v>13</v>
      </c>
      <c r="D183" s="38"/>
      <c r="E183" s="38"/>
      <c r="F183" s="38"/>
      <c r="G183" s="38"/>
      <c r="H183" s="34"/>
      <c r="I183" s="38"/>
      <c r="J183" s="42"/>
      <c r="K183" s="42"/>
      <c r="L183" s="42"/>
      <c r="M183" s="34"/>
      <c r="N183" s="38"/>
      <c r="O183" s="41"/>
      <c r="P183" s="41"/>
      <c r="Q183" s="41"/>
      <c r="R183" s="41"/>
      <c r="S183" s="41"/>
      <c r="T183" s="138"/>
    </row>
    <row r="184" spans="1:20" s="3" customFormat="1" ht="79.5" customHeight="1">
      <c r="A184" s="48" t="s">
        <v>56</v>
      </c>
      <c r="B184" s="46"/>
      <c r="C184" s="56">
        <f>C175/(C183*0.86*1591.105*0.001)</f>
        <v>6.7459109197178755</v>
      </c>
      <c r="D184" s="38"/>
      <c r="E184" s="38"/>
      <c r="F184" s="38"/>
      <c r="G184" s="38"/>
      <c r="H184" s="34"/>
      <c r="I184" s="38"/>
      <c r="J184" s="42"/>
      <c r="K184" s="42"/>
      <c r="L184" s="42"/>
      <c r="M184" s="34"/>
      <c r="N184" s="38"/>
      <c r="O184" s="41"/>
      <c r="P184" s="41"/>
      <c r="Q184" s="41"/>
      <c r="R184" s="41"/>
      <c r="S184" s="41"/>
      <c r="T184" s="138"/>
    </row>
    <row r="185" spans="1:20" s="22" customFormat="1" ht="16.5" customHeight="1">
      <c r="A185" s="149" t="s">
        <v>60</v>
      </c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7"/>
      <c r="T185" s="138"/>
    </row>
    <row r="186" spans="1:20" s="3" customFormat="1" ht="18.75">
      <c r="A186" s="142" t="s">
        <v>135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4"/>
      <c r="T186" s="138"/>
    </row>
    <row r="187" spans="1:20" s="3" customFormat="1" ht="18.75">
      <c r="A187" s="151" t="s">
        <v>41</v>
      </c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3"/>
      <c r="T187" s="138"/>
    </row>
    <row r="188" spans="1:20" s="3" customFormat="1" ht="93.75" customHeight="1">
      <c r="A188" s="46" t="s">
        <v>20</v>
      </c>
      <c r="B188" s="36">
        <v>1417410</v>
      </c>
      <c r="C188" s="100">
        <f>203.9-6.4</f>
        <v>197.5</v>
      </c>
      <c r="D188" s="101">
        <f>C188</f>
        <v>197.5</v>
      </c>
      <c r="E188" s="101"/>
      <c r="F188" s="101"/>
      <c r="G188" s="101"/>
      <c r="H188" s="100">
        <v>63</v>
      </c>
      <c r="I188" s="101">
        <v>63</v>
      </c>
      <c r="J188" s="105"/>
      <c r="K188" s="105"/>
      <c r="L188" s="105"/>
      <c r="M188" s="100">
        <v>26</v>
      </c>
      <c r="N188" s="101">
        <v>26</v>
      </c>
      <c r="O188" s="41"/>
      <c r="P188" s="41"/>
      <c r="Q188" s="41"/>
      <c r="R188" s="41"/>
      <c r="S188" s="41"/>
      <c r="T188" s="138"/>
    </row>
    <row r="189" spans="1:20" s="3" customFormat="1" ht="37.5">
      <c r="A189" s="46" t="s">
        <v>28</v>
      </c>
      <c r="B189" s="36"/>
      <c r="C189" s="34"/>
      <c r="D189" s="38"/>
      <c r="E189" s="38"/>
      <c r="F189" s="38"/>
      <c r="G189" s="38"/>
      <c r="H189" s="34"/>
      <c r="I189" s="38"/>
      <c r="J189" s="42"/>
      <c r="K189" s="42"/>
      <c r="L189" s="42"/>
      <c r="M189" s="34"/>
      <c r="N189" s="38"/>
      <c r="O189" s="41"/>
      <c r="P189" s="41"/>
      <c r="Q189" s="41"/>
      <c r="R189" s="41"/>
      <c r="S189" s="41"/>
      <c r="T189" s="138"/>
    </row>
    <row r="190" spans="1:20" s="3" customFormat="1" ht="18.75">
      <c r="A190" s="46" t="s">
        <v>27</v>
      </c>
      <c r="B190" s="36"/>
      <c r="C190" s="34"/>
      <c r="D190" s="38"/>
      <c r="E190" s="38"/>
      <c r="F190" s="38"/>
      <c r="G190" s="38"/>
      <c r="H190" s="34"/>
      <c r="I190" s="38"/>
      <c r="J190" s="42"/>
      <c r="K190" s="42"/>
      <c r="L190" s="42"/>
      <c r="M190" s="34"/>
      <c r="N190" s="38"/>
      <c r="O190" s="41"/>
      <c r="P190" s="41"/>
      <c r="Q190" s="41"/>
      <c r="R190" s="41"/>
      <c r="S190" s="41"/>
      <c r="T190" s="138"/>
    </row>
    <row r="191" spans="1:20" s="3" customFormat="1" ht="37.5">
      <c r="A191" s="48" t="s">
        <v>32</v>
      </c>
      <c r="B191" s="36"/>
      <c r="C191" s="100">
        <f>C188</f>
        <v>197.5</v>
      </c>
      <c r="D191" s="101">
        <f>D188</f>
        <v>197.5</v>
      </c>
      <c r="E191" s="101"/>
      <c r="F191" s="101"/>
      <c r="G191" s="101"/>
      <c r="H191" s="100">
        <v>63</v>
      </c>
      <c r="I191" s="101">
        <v>63</v>
      </c>
      <c r="J191" s="105"/>
      <c r="K191" s="105"/>
      <c r="L191" s="105"/>
      <c r="M191" s="100">
        <v>26</v>
      </c>
      <c r="N191" s="101">
        <v>26</v>
      </c>
      <c r="O191" s="41"/>
      <c r="P191" s="41"/>
      <c r="Q191" s="41"/>
      <c r="R191" s="41"/>
      <c r="S191" s="41"/>
      <c r="T191" s="138"/>
    </row>
    <row r="192" spans="1:20" s="3" customFormat="1" ht="37.5">
      <c r="A192" s="46" t="s">
        <v>16</v>
      </c>
      <c r="B192" s="36"/>
      <c r="C192" s="34"/>
      <c r="D192" s="38"/>
      <c r="E192" s="38"/>
      <c r="F192" s="38"/>
      <c r="G192" s="38"/>
      <c r="H192" s="34"/>
      <c r="I192" s="38"/>
      <c r="J192" s="42"/>
      <c r="K192" s="42"/>
      <c r="L192" s="42"/>
      <c r="M192" s="34"/>
      <c r="N192" s="38"/>
      <c r="O192" s="41"/>
      <c r="P192" s="41"/>
      <c r="Q192" s="41"/>
      <c r="R192" s="41"/>
      <c r="S192" s="41"/>
      <c r="T192" s="138"/>
    </row>
    <row r="193" spans="1:20" s="3" customFormat="1" ht="75">
      <c r="A193" s="48" t="s">
        <v>22</v>
      </c>
      <c r="B193" s="36"/>
      <c r="C193" s="34">
        <f>625+211+97+12+388+200+15</f>
        <v>1548</v>
      </c>
      <c r="D193" s="38"/>
      <c r="E193" s="38"/>
      <c r="F193" s="38"/>
      <c r="G193" s="38"/>
      <c r="H193" s="34">
        <v>405</v>
      </c>
      <c r="I193" s="38"/>
      <c r="J193" s="42"/>
      <c r="K193" s="42"/>
      <c r="L193" s="42"/>
      <c r="M193" s="34">
        <v>136</v>
      </c>
      <c r="N193" s="38"/>
      <c r="O193" s="41"/>
      <c r="P193" s="41"/>
      <c r="Q193" s="41"/>
      <c r="R193" s="41"/>
      <c r="S193" s="41"/>
      <c r="T193" s="138"/>
    </row>
    <row r="194" spans="1:20" s="3" customFormat="1" ht="75">
      <c r="A194" s="48" t="s">
        <v>61</v>
      </c>
      <c r="B194" s="36"/>
      <c r="C194" s="34">
        <v>7</v>
      </c>
      <c r="D194" s="38"/>
      <c r="E194" s="38"/>
      <c r="F194" s="38"/>
      <c r="G194" s="38"/>
      <c r="H194" s="34">
        <v>1</v>
      </c>
      <c r="I194" s="38"/>
      <c r="J194" s="42"/>
      <c r="K194" s="42"/>
      <c r="L194" s="42"/>
      <c r="M194" s="34">
        <v>1</v>
      </c>
      <c r="N194" s="38"/>
      <c r="O194" s="41"/>
      <c r="P194" s="41"/>
      <c r="Q194" s="41"/>
      <c r="R194" s="41"/>
      <c r="S194" s="41"/>
      <c r="T194" s="138"/>
    </row>
    <row r="195" spans="1:20" s="3" customFormat="1" ht="48.75" customHeight="1">
      <c r="A195" s="48" t="s">
        <v>23</v>
      </c>
      <c r="B195" s="36"/>
      <c r="C195" s="34"/>
      <c r="D195" s="38"/>
      <c r="E195" s="38"/>
      <c r="F195" s="38"/>
      <c r="G195" s="38"/>
      <c r="H195" s="34"/>
      <c r="I195" s="38"/>
      <c r="J195" s="42"/>
      <c r="K195" s="42"/>
      <c r="L195" s="42"/>
      <c r="M195" s="34"/>
      <c r="N195" s="38"/>
      <c r="O195" s="41"/>
      <c r="P195" s="41"/>
      <c r="Q195" s="41"/>
      <c r="R195" s="41"/>
      <c r="S195" s="41"/>
      <c r="T195" s="138"/>
    </row>
    <row r="196" spans="1:20" s="3" customFormat="1" ht="125.25" customHeight="1">
      <c r="A196" s="48" t="s">
        <v>24</v>
      </c>
      <c r="B196" s="36"/>
      <c r="C196" s="58">
        <f>C191/C193</f>
        <v>0.12758397932816537</v>
      </c>
      <c r="D196" s="38"/>
      <c r="E196" s="38"/>
      <c r="F196" s="38"/>
      <c r="G196" s="38"/>
      <c r="H196" s="58">
        <f>H191/H193</f>
        <v>0.15555555555555556</v>
      </c>
      <c r="I196" s="38"/>
      <c r="J196" s="42"/>
      <c r="K196" s="42"/>
      <c r="L196" s="42"/>
      <c r="M196" s="58">
        <f>M191/M193</f>
        <v>0.19117647058823528</v>
      </c>
      <c r="N196" s="38"/>
      <c r="O196" s="41"/>
      <c r="P196" s="41"/>
      <c r="Q196" s="41"/>
      <c r="R196" s="41"/>
      <c r="S196" s="41"/>
      <c r="T196" s="138"/>
    </row>
    <row r="197" spans="1:20" s="3" customFormat="1" ht="18.75">
      <c r="A197" s="46" t="s">
        <v>25</v>
      </c>
      <c r="B197" s="36"/>
      <c r="C197" s="34"/>
      <c r="D197" s="38"/>
      <c r="E197" s="38"/>
      <c r="F197" s="38"/>
      <c r="G197" s="38"/>
      <c r="H197" s="34"/>
      <c r="I197" s="38"/>
      <c r="J197" s="42"/>
      <c r="K197" s="42"/>
      <c r="L197" s="42"/>
      <c r="M197" s="34"/>
      <c r="N197" s="38"/>
      <c r="O197" s="41"/>
      <c r="P197" s="41"/>
      <c r="Q197" s="41"/>
      <c r="R197" s="41"/>
      <c r="S197" s="41"/>
      <c r="T197" s="138"/>
    </row>
    <row r="198" spans="1:20" s="3" customFormat="1" ht="99.75" customHeight="1">
      <c r="A198" s="48" t="s">
        <v>73</v>
      </c>
      <c r="B198" s="50"/>
      <c r="C198" s="51">
        <f>199.19-15</f>
        <v>184.19</v>
      </c>
      <c r="D198" s="54"/>
      <c r="E198" s="54"/>
      <c r="F198" s="54"/>
      <c r="G198" s="54"/>
      <c r="H198" s="60">
        <v>76</v>
      </c>
      <c r="I198" s="54"/>
      <c r="J198" s="53"/>
      <c r="K198" s="53"/>
      <c r="L198" s="53"/>
      <c r="M198" s="60">
        <v>25</v>
      </c>
      <c r="N198" s="54"/>
      <c r="O198" s="55"/>
      <c r="P198" s="55"/>
      <c r="Q198" s="55"/>
      <c r="R198" s="55"/>
      <c r="S198" s="55"/>
      <c r="T198" s="140"/>
    </row>
    <row r="199" spans="1:21" s="4" customFormat="1" ht="72" customHeight="1">
      <c r="A199" s="48" t="s">
        <v>56</v>
      </c>
      <c r="B199" s="46"/>
      <c r="C199" s="39">
        <f>C191/(C198*2.577)</f>
        <v>0.4160893821510886</v>
      </c>
      <c r="D199" s="38"/>
      <c r="E199" s="38"/>
      <c r="F199" s="38"/>
      <c r="G199" s="38"/>
      <c r="H199" s="39">
        <f>H191/(H198*2.752)</f>
        <v>0.30121634026927785</v>
      </c>
      <c r="I199" s="38"/>
      <c r="J199" s="42"/>
      <c r="K199" s="42"/>
      <c r="L199" s="42"/>
      <c r="M199" s="39">
        <f>M191/(M198*2.895)</f>
        <v>0.3592400690846287</v>
      </c>
      <c r="N199" s="38"/>
      <c r="O199" s="41"/>
      <c r="P199" s="41"/>
      <c r="Q199" s="41"/>
      <c r="R199" s="41"/>
      <c r="S199" s="41"/>
      <c r="T199" s="140"/>
      <c r="U199" s="21"/>
    </row>
    <row r="200" spans="1:20" s="3" customFormat="1" ht="18.75" customHeight="1">
      <c r="A200" s="142" t="s">
        <v>136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4"/>
      <c r="T200" s="140"/>
    </row>
    <row r="201" spans="1:20" s="3" customFormat="1" ht="18.75">
      <c r="A201" s="157" t="s">
        <v>41</v>
      </c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3"/>
      <c r="T201" s="140"/>
    </row>
    <row r="202" spans="1:20" s="3" customFormat="1" ht="115.5" customHeight="1">
      <c r="A202" s="46" t="s">
        <v>11</v>
      </c>
      <c r="B202" s="36">
        <v>1017410</v>
      </c>
      <c r="C202" s="100">
        <f>E202+F202+G202+D202</f>
        <v>4033.65</v>
      </c>
      <c r="D202" s="101">
        <f>60.25+6.4</f>
        <v>66.65</v>
      </c>
      <c r="E202" s="101">
        <f>2525+42</f>
        <v>2567</v>
      </c>
      <c r="F202" s="101"/>
      <c r="G202" s="101">
        <v>1400</v>
      </c>
      <c r="H202" s="100">
        <f>J202</f>
        <v>335</v>
      </c>
      <c r="I202" s="101"/>
      <c r="J202" s="105">
        <v>335</v>
      </c>
      <c r="K202" s="105"/>
      <c r="L202" s="42"/>
      <c r="M202" s="34"/>
      <c r="N202" s="38"/>
      <c r="O202" s="41"/>
      <c r="P202" s="41"/>
      <c r="Q202" s="41"/>
      <c r="R202" s="41"/>
      <c r="S202" s="41"/>
      <c r="T202" s="140"/>
    </row>
    <row r="203" spans="1:20" s="3" customFormat="1" ht="37.5" customHeight="1">
      <c r="A203" s="46" t="s">
        <v>28</v>
      </c>
      <c r="B203" s="46"/>
      <c r="C203" s="34"/>
      <c r="D203" s="38"/>
      <c r="E203" s="38"/>
      <c r="F203" s="38"/>
      <c r="G203" s="38"/>
      <c r="H203" s="34"/>
      <c r="I203" s="38"/>
      <c r="J203" s="42"/>
      <c r="K203" s="42"/>
      <c r="L203" s="42"/>
      <c r="M203" s="34"/>
      <c r="N203" s="38"/>
      <c r="O203" s="41"/>
      <c r="P203" s="41"/>
      <c r="Q203" s="41"/>
      <c r="R203" s="41"/>
      <c r="S203" s="41"/>
      <c r="T203" s="140"/>
    </row>
    <row r="204" spans="1:20" s="3" customFormat="1" ht="40.5" customHeight="1">
      <c r="A204" s="46" t="s">
        <v>27</v>
      </c>
      <c r="B204" s="46"/>
      <c r="C204" s="34"/>
      <c r="D204" s="38"/>
      <c r="E204" s="38"/>
      <c r="F204" s="38"/>
      <c r="G204" s="38"/>
      <c r="H204" s="34"/>
      <c r="I204" s="38"/>
      <c r="J204" s="42"/>
      <c r="K204" s="42"/>
      <c r="L204" s="42"/>
      <c r="M204" s="34"/>
      <c r="N204" s="38"/>
      <c r="O204" s="41"/>
      <c r="P204" s="41"/>
      <c r="Q204" s="41"/>
      <c r="R204" s="41"/>
      <c r="S204" s="41"/>
      <c r="T204" s="140"/>
    </row>
    <row r="205" spans="1:20" s="3" customFormat="1" ht="51" customHeight="1">
      <c r="A205" s="48" t="s">
        <v>32</v>
      </c>
      <c r="B205" s="46"/>
      <c r="C205" s="100">
        <f>C202</f>
        <v>4033.65</v>
      </c>
      <c r="D205" s="101"/>
      <c r="E205" s="101"/>
      <c r="F205" s="101"/>
      <c r="G205" s="101"/>
      <c r="H205" s="100">
        <v>335</v>
      </c>
      <c r="I205" s="38"/>
      <c r="J205" s="42"/>
      <c r="K205" s="42"/>
      <c r="L205" s="42"/>
      <c r="M205" s="34"/>
      <c r="N205" s="38"/>
      <c r="O205" s="41"/>
      <c r="P205" s="41"/>
      <c r="Q205" s="41"/>
      <c r="R205" s="41"/>
      <c r="S205" s="41"/>
      <c r="T205" s="140"/>
    </row>
    <row r="206" spans="1:20" s="3" customFormat="1" ht="41.25" customHeight="1">
      <c r="A206" s="46" t="s">
        <v>16</v>
      </c>
      <c r="B206" s="46"/>
      <c r="C206" s="34"/>
      <c r="D206" s="38"/>
      <c r="E206" s="38"/>
      <c r="F206" s="38"/>
      <c r="G206" s="38"/>
      <c r="H206" s="34"/>
      <c r="I206" s="38"/>
      <c r="J206" s="42"/>
      <c r="K206" s="42"/>
      <c r="L206" s="42"/>
      <c r="M206" s="34"/>
      <c r="N206" s="38"/>
      <c r="O206" s="41"/>
      <c r="P206" s="41"/>
      <c r="Q206" s="41"/>
      <c r="R206" s="41"/>
      <c r="S206" s="41"/>
      <c r="T206" s="140"/>
    </row>
    <row r="207" spans="1:20" s="3" customFormat="1" ht="57.75" customHeight="1">
      <c r="A207" s="48" t="s">
        <v>100</v>
      </c>
      <c r="B207" s="46"/>
      <c r="C207" s="34">
        <f>3379+3.7</f>
        <v>3382.7</v>
      </c>
      <c r="D207" s="38"/>
      <c r="E207" s="38"/>
      <c r="F207" s="38"/>
      <c r="G207" s="38"/>
      <c r="H207" s="34">
        <v>186</v>
      </c>
      <c r="I207" s="38"/>
      <c r="J207" s="42"/>
      <c r="K207" s="42"/>
      <c r="L207" s="42"/>
      <c r="M207" s="34"/>
      <c r="N207" s="38"/>
      <c r="O207" s="41"/>
      <c r="P207" s="41"/>
      <c r="Q207" s="41"/>
      <c r="R207" s="41"/>
      <c r="S207" s="41"/>
      <c r="T207" s="140"/>
    </row>
    <row r="208" spans="1:20" s="3" customFormat="1" ht="51" customHeight="1">
      <c r="A208" s="46" t="s">
        <v>23</v>
      </c>
      <c r="B208" s="46"/>
      <c r="C208" s="34"/>
      <c r="D208" s="38"/>
      <c r="E208" s="38"/>
      <c r="F208" s="38"/>
      <c r="G208" s="38"/>
      <c r="H208" s="34"/>
      <c r="I208" s="38"/>
      <c r="J208" s="42"/>
      <c r="K208" s="42"/>
      <c r="L208" s="42"/>
      <c r="M208" s="34"/>
      <c r="N208" s="38"/>
      <c r="O208" s="41"/>
      <c r="P208" s="41"/>
      <c r="Q208" s="41"/>
      <c r="R208" s="41"/>
      <c r="S208" s="41"/>
      <c r="T208" s="140"/>
    </row>
    <row r="209" spans="1:20" s="3" customFormat="1" ht="98.25" customHeight="1">
      <c r="A209" s="48" t="s">
        <v>103</v>
      </c>
      <c r="B209" s="46"/>
      <c r="C209" s="39">
        <v>1.2</v>
      </c>
      <c r="D209" s="38"/>
      <c r="E209" s="38"/>
      <c r="F209" s="38"/>
      <c r="G209" s="38"/>
      <c r="H209" s="39">
        <f>H202/H207</f>
        <v>1.8010752688172043</v>
      </c>
      <c r="I209" s="38"/>
      <c r="J209" s="42"/>
      <c r="K209" s="42"/>
      <c r="L209" s="42"/>
      <c r="M209" s="34"/>
      <c r="N209" s="38"/>
      <c r="O209" s="41"/>
      <c r="P209" s="41"/>
      <c r="Q209" s="41"/>
      <c r="R209" s="41"/>
      <c r="S209" s="41"/>
      <c r="T209" s="140"/>
    </row>
    <row r="210" spans="1:20" s="3" customFormat="1" ht="36.75" customHeight="1">
      <c r="A210" s="48" t="s">
        <v>25</v>
      </c>
      <c r="B210" s="46"/>
      <c r="C210" s="39"/>
      <c r="D210" s="38"/>
      <c r="E210" s="38"/>
      <c r="F210" s="38"/>
      <c r="G210" s="38"/>
      <c r="H210" s="34"/>
      <c r="I210" s="38"/>
      <c r="J210" s="42"/>
      <c r="K210" s="42"/>
      <c r="L210" s="42"/>
      <c r="M210" s="34"/>
      <c r="N210" s="38"/>
      <c r="O210" s="41"/>
      <c r="P210" s="41"/>
      <c r="Q210" s="41"/>
      <c r="R210" s="41"/>
      <c r="S210" s="41"/>
      <c r="T210" s="140"/>
    </row>
    <row r="211" spans="1:20" s="3" customFormat="1" ht="72.75" customHeight="1">
      <c r="A211" s="48" t="s">
        <v>70</v>
      </c>
      <c r="B211" s="50"/>
      <c r="C211" s="60">
        <f>42+96+169+4+0.6</f>
        <v>311.6</v>
      </c>
      <c r="D211" s="54"/>
      <c r="E211" s="54"/>
      <c r="F211" s="54"/>
      <c r="G211" s="54"/>
      <c r="H211" s="51">
        <v>23</v>
      </c>
      <c r="I211" s="54"/>
      <c r="J211" s="53"/>
      <c r="K211" s="53"/>
      <c r="L211" s="53"/>
      <c r="M211" s="51"/>
      <c r="N211" s="54"/>
      <c r="O211" s="55"/>
      <c r="P211" s="55"/>
      <c r="Q211" s="55"/>
      <c r="R211" s="55"/>
      <c r="S211" s="55"/>
      <c r="T211" s="140"/>
    </row>
    <row r="212" spans="1:21" s="4" customFormat="1" ht="54" customHeight="1">
      <c r="A212" s="48" t="s">
        <v>56</v>
      </c>
      <c r="B212" s="46"/>
      <c r="C212" s="56">
        <f>C202/((42+96)*0.86*1414.318*0.001+173.6*0.86*1591.105*0.001)</f>
        <v>9.949879427821632</v>
      </c>
      <c r="D212" s="38"/>
      <c r="E212" s="38"/>
      <c r="F212" s="38"/>
      <c r="G212" s="38"/>
      <c r="H212" s="56">
        <f>H202/(23*0.86*0.001*1510.492)</f>
        <v>11.212438922029614</v>
      </c>
      <c r="I212" s="38"/>
      <c r="J212" s="42"/>
      <c r="K212" s="42"/>
      <c r="L212" s="42"/>
      <c r="M212" s="34"/>
      <c r="N212" s="38"/>
      <c r="O212" s="41"/>
      <c r="P212" s="41"/>
      <c r="Q212" s="41"/>
      <c r="R212" s="41"/>
      <c r="S212" s="41"/>
      <c r="T212" s="140"/>
      <c r="U212" s="21"/>
    </row>
    <row r="213" spans="1:20" s="89" customFormat="1" ht="35.25" customHeight="1">
      <c r="A213" s="148" t="s">
        <v>141</v>
      </c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50"/>
      <c r="T213" s="140"/>
    </row>
    <row r="214" spans="1:20" s="89" customFormat="1" ht="20.25" customHeight="1">
      <c r="A214" s="145" t="s">
        <v>41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7"/>
      <c r="T214" s="140"/>
    </row>
    <row r="215" spans="1:20" s="89" customFormat="1" ht="94.5" customHeight="1">
      <c r="A215" s="46" t="s">
        <v>11</v>
      </c>
      <c r="B215" s="46">
        <v>1017410</v>
      </c>
      <c r="C215" s="56">
        <f>D215+F215</f>
        <v>160</v>
      </c>
      <c r="D215" s="101">
        <v>48</v>
      </c>
      <c r="E215" s="101"/>
      <c r="F215" s="101">
        <v>112</v>
      </c>
      <c r="G215" s="38"/>
      <c r="H215" s="56"/>
      <c r="I215" s="38"/>
      <c r="J215" s="42"/>
      <c r="K215" s="42"/>
      <c r="L215" s="42"/>
      <c r="M215" s="34"/>
      <c r="N215" s="38"/>
      <c r="O215" s="41"/>
      <c r="P215" s="41"/>
      <c r="Q215" s="41"/>
      <c r="R215" s="41"/>
      <c r="S215" s="41"/>
      <c r="T215" s="140"/>
    </row>
    <row r="216" spans="1:20" s="89" customFormat="1" ht="30.75" customHeight="1">
      <c r="A216" s="48" t="s">
        <v>28</v>
      </c>
      <c r="B216" s="46"/>
      <c r="C216" s="56"/>
      <c r="D216" s="38"/>
      <c r="E216" s="38"/>
      <c r="F216" s="38"/>
      <c r="G216" s="38"/>
      <c r="H216" s="56"/>
      <c r="I216" s="38"/>
      <c r="J216" s="42"/>
      <c r="K216" s="42"/>
      <c r="L216" s="42"/>
      <c r="M216" s="34"/>
      <c r="N216" s="38"/>
      <c r="O216" s="41"/>
      <c r="P216" s="41"/>
      <c r="Q216" s="41"/>
      <c r="R216" s="41"/>
      <c r="S216" s="41"/>
      <c r="T216" s="140"/>
    </row>
    <row r="217" spans="1:20" s="89" customFormat="1" ht="32.25" customHeight="1">
      <c r="A217" s="48" t="s">
        <v>27</v>
      </c>
      <c r="B217" s="46"/>
      <c r="C217" s="56"/>
      <c r="D217" s="38"/>
      <c r="E217" s="38"/>
      <c r="F217" s="38"/>
      <c r="G217" s="38"/>
      <c r="H217" s="56"/>
      <c r="I217" s="38"/>
      <c r="J217" s="42"/>
      <c r="K217" s="42"/>
      <c r="L217" s="42"/>
      <c r="M217" s="34"/>
      <c r="N217" s="38"/>
      <c r="O217" s="41"/>
      <c r="P217" s="41"/>
      <c r="Q217" s="41"/>
      <c r="R217" s="41"/>
      <c r="S217" s="41"/>
      <c r="T217" s="140"/>
    </row>
    <row r="218" spans="1:20" s="89" customFormat="1" ht="33" customHeight="1">
      <c r="A218" s="48" t="s">
        <v>29</v>
      </c>
      <c r="B218" s="46"/>
      <c r="C218" s="56">
        <f>C215</f>
        <v>160</v>
      </c>
      <c r="D218" s="130">
        <f>D215</f>
        <v>48</v>
      </c>
      <c r="E218" s="38"/>
      <c r="F218" s="130">
        <f>F215</f>
        <v>112</v>
      </c>
      <c r="G218" s="38"/>
      <c r="H218" s="56"/>
      <c r="I218" s="38"/>
      <c r="J218" s="42"/>
      <c r="K218" s="42"/>
      <c r="L218" s="42"/>
      <c r="M218" s="34"/>
      <c r="N218" s="38"/>
      <c r="O218" s="41"/>
      <c r="P218" s="41"/>
      <c r="Q218" s="41"/>
      <c r="R218" s="41"/>
      <c r="S218" s="41"/>
      <c r="T218" s="140"/>
    </row>
    <row r="219" spans="1:20" s="89" customFormat="1" ht="27" customHeight="1">
      <c r="A219" s="48" t="s">
        <v>16</v>
      </c>
      <c r="B219" s="46"/>
      <c r="C219" s="56"/>
      <c r="D219" s="38"/>
      <c r="E219" s="38"/>
      <c r="F219" s="38"/>
      <c r="G219" s="38"/>
      <c r="H219" s="56"/>
      <c r="I219" s="38"/>
      <c r="J219" s="42"/>
      <c r="K219" s="42"/>
      <c r="L219" s="42"/>
      <c r="M219" s="34"/>
      <c r="N219" s="38"/>
      <c r="O219" s="41"/>
      <c r="P219" s="41"/>
      <c r="Q219" s="41"/>
      <c r="R219" s="41"/>
      <c r="S219" s="41"/>
      <c r="T219" s="140"/>
    </row>
    <row r="220" spans="1:20" s="89" customFormat="1" ht="51.75" customHeight="1">
      <c r="A220" s="48" t="s">
        <v>140</v>
      </c>
      <c r="B220" s="46"/>
      <c r="C220" s="56">
        <v>2</v>
      </c>
      <c r="D220" s="38"/>
      <c r="E220" s="38"/>
      <c r="F220" s="38"/>
      <c r="G220" s="38"/>
      <c r="H220" s="56"/>
      <c r="I220" s="38"/>
      <c r="J220" s="42"/>
      <c r="K220" s="42"/>
      <c r="L220" s="42"/>
      <c r="M220" s="34"/>
      <c r="N220" s="38"/>
      <c r="O220" s="41"/>
      <c r="P220" s="41"/>
      <c r="Q220" s="41"/>
      <c r="R220" s="41"/>
      <c r="S220" s="41"/>
      <c r="T220" s="140"/>
    </row>
    <row r="221" spans="1:20" s="14" customFormat="1" ht="21.75" customHeight="1">
      <c r="A221" s="145" t="s">
        <v>64</v>
      </c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7"/>
      <c r="T221" s="138"/>
    </row>
    <row r="222" spans="1:20" s="3" customFormat="1" ht="18.75">
      <c r="A222" s="210" t="s">
        <v>142</v>
      </c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2"/>
      <c r="T222" s="138"/>
    </row>
    <row r="223" spans="1:20" s="3" customFormat="1" ht="18.75">
      <c r="A223" s="151" t="s">
        <v>42</v>
      </c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3"/>
      <c r="T223" s="138"/>
    </row>
    <row r="224" spans="1:20" s="3" customFormat="1" ht="96.75" customHeight="1">
      <c r="A224" s="35" t="s">
        <v>11</v>
      </c>
      <c r="B224" s="36">
        <v>2417410</v>
      </c>
      <c r="C224" s="39">
        <f>C227</f>
        <v>306.5</v>
      </c>
      <c r="D224" s="65">
        <f>D227</f>
        <v>105</v>
      </c>
      <c r="E224" s="65">
        <f>E227</f>
        <v>201.5</v>
      </c>
      <c r="F224" s="38"/>
      <c r="G224" s="38"/>
      <c r="H224" s="34"/>
      <c r="I224" s="38"/>
      <c r="J224" s="38"/>
      <c r="K224" s="38"/>
      <c r="L224" s="38"/>
      <c r="M224" s="34"/>
      <c r="N224" s="38"/>
      <c r="O224" s="38"/>
      <c r="P224" s="41"/>
      <c r="Q224" s="41"/>
      <c r="R224" s="41"/>
      <c r="S224" s="41"/>
      <c r="T224" s="138"/>
    </row>
    <row r="225" spans="1:20" s="3" customFormat="1" ht="42" customHeight="1">
      <c r="A225" s="46" t="s">
        <v>28</v>
      </c>
      <c r="B225" s="46"/>
      <c r="C225" s="34"/>
      <c r="D225" s="38"/>
      <c r="E225" s="38"/>
      <c r="F225" s="38"/>
      <c r="G225" s="38"/>
      <c r="H225" s="34"/>
      <c r="I225" s="38"/>
      <c r="J225" s="38"/>
      <c r="K225" s="38"/>
      <c r="L225" s="38"/>
      <c r="M225" s="34"/>
      <c r="N225" s="38"/>
      <c r="O225" s="38"/>
      <c r="P225" s="41"/>
      <c r="Q225" s="41"/>
      <c r="R225" s="41"/>
      <c r="S225" s="41"/>
      <c r="T225" s="138"/>
    </row>
    <row r="226" spans="1:20" s="3" customFormat="1" ht="33.75" customHeight="1">
      <c r="A226" s="46" t="s">
        <v>27</v>
      </c>
      <c r="B226" s="36"/>
      <c r="C226" s="34"/>
      <c r="D226" s="38"/>
      <c r="E226" s="38"/>
      <c r="F226" s="38"/>
      <c r="G226" s="38"/>
      <c r="H226" s="34"/>
      <c r="I226" s="38"/>
      <c r="J226" s="38"/>
      <c r="K226" s="38"/>
      <c r="L226" s="38"/>
      <c r="M226" s="34"/>
      <c r="N226" s="38"/>
      <c r="O226" s="38"/>
      <c r="P226" s="41"/>
      <c r="Q226" s="41"/>
      <c r="R226" s="41"/>
      <c r="S226" s="41"/>
      <c r="T226" s="138"/>
    </row>
    <row r="227" spans="1:20" s="3" customFormat="1" ht="49.5" customHeight="1">
      <c r="A227" s="48" t="s">
        <v>32</v>
      </c>
      <c r="B227" s="36"/>
      <c r="C227" s="39">
        <f>D227+E227</f>
        <v>306.5</v>
      </c>
      <c r="D227" s="65">
        <v>105</v>
      </c>
      <c r="E227" s="65">
        <f>113.5+88</f>
        <v>201.5</v>
      </c>
      <c r="F227" s="38"/>
      <c r="G227" s="38"/>
      <c r="H227" s="34"/>
      <c r="I227" s="38"/>
      <c r="J227" s="38"/>
      <c r="K227" s="38"/>
      <c r="L227" s="38"/>
      <c r="M227" s="34"/>
      <c r="N227" s="38"/>
      <c r="O227" s="38"/>
      <c r="P227" s="41"/>
      <c r="Q227" s="41"/>
      <c r="R227" s="41"/>
      <c r="S227" s="41"/>
      <c r="T227" s="138"/>
    </row>
    <row r="228" spans="1:20" s="3" customFormat="1" ht="45.75" customHeight="1">
      <c r="A228" s="46" t="s">
        <v>16</v>
      </c>
      <c r="B228" s="46"/>
      <c r="C228" s="34"/>
      <c r="D228" s="38"/>
      <c r="E228" s="38"/>
      <c r="F228" s="38"/>
      <c r="G228" s="38"/>
      <c r="H228" s="34"/>
      <c r="I228" s="38"/>
      <c r="J228" s="38"/>
      <c r="K228" s="38"/>
      <c r="L228" s="38"/>
      <c r="M228" s="34"/>
      <c r="N228" s="38"/>
      <c r="O228" s="38"/>
      <c r="P228" s="41"/>
      <c r="Q228" s="41"/>
      <c r="R228" s="41"/>
      <c r="S228" s="41"/>
      <c r="T228" s="138"/>
    </row>
    <row r="229" spans="1:20" s="3" customFormat="1" ht="60" customHeight="1">
      <c r="A229" s="48" t="s">
        <v>110</v>
      </c>
      <c r="B229" s="46"/>
      <c r="C229" s="34">
        <f>156+65</f>
        <v>221</v>
      </c>
      <c r="D229" s="38"/>
      <c r="E229" s="38"/>
      <c r="F229" s="38"/>
      <c r="G229" s="38"/>
      <c r="H229" s="34"/>
      <c r="I229" s="38"/>
      <c r="J229" s="38"/>
      <c r="K229" s="38"/>
      <c r="L229" s="38"/>
      <c r="M229" s="34"/>
      <c r="N229" s="38"/>
      <c r="O229" s="38"/>
      <c r="P229" s="41"/>
      <c r="Q229" s="41"/>
      <c r="R229" s="41"/>
      <c r="S229" s="41"/>
      <c r="T229" s="138"/>
    </row>
    <row r="230" spans="1:20" s="3" customFormat="1" ht="51" customHeight="1">
      <c r="A230" s="46" t="s">
        <v>23</v>
      </c>
      <c r="B230" s="46"/>
      <c r="C230" s="34"/>
      <c r="D230" s="38"/>
      <c r="E230" s="38"/>
      <c r="F230" s="38"/>
      <c r="G230" s="38"/>
      <c r="H230" s="34"/>
      <c r="I230" s="38"/>
      <c r="J230" s="38"/>
      <c r="K230" s="38"/>
      <c r="L230" s="38"/>
      <c r="M230" s="34"/>
      <c r="N230" s="38"/>
      <c r="O230" s="38"/>
      <c r="P230" s="41"/>
      <c r="Q230" s="41"/>
      <c r="R230" s="41"/>
      <c r="S230" s="41"/>
      <c r="T230" s="138"/>
    </row>
    <row r="231" spans="1:20" s="3" customFormat="1" ht="102.75" customHeight="1">
      <c r="A231" s="48" t="s">
        <v>109</v>
      </c>
      <c r="B231" s="46"/>
      <c r="C231" s="39">
        <f>C224/C229</f>
        <v>1.3868778280542986</v>
      </c>
      <c r="D231" s="38"/>
      <c r="E231" s="38"/>
      <c r="F231" s="38"/>
      <c r="G231" s="38"/>
      <c r="H231" s="34"/>
      <c r="I231" s="38"/>
      <c r="J231" s="38"/>
      <c r="K231" s="38"/>
      <c r="L231" s="38"/>
      <c r="M231" s="34"/>
      <c r="N231" s="38"/>
      <c r="O231" s="38"/>
      <c r="P231" s="41"/>
      <c r="Q231" s="41"/>
      <c r="R231" s="41"/>
      <c r="S231" s="41"/>
      <c r="T231" s="138"/>
    </row>
    <row r="232" spans="1:20" s="3" customFormat="1" ht="30.75" customHeight="1">
      <c r="A232" s="46" t="s">
        <v>25</v>
      </c>
      <c r="B232" s="46"/>
      <c r="C232" s="34"/>
      <c r="D232" s="38"/>
      <c r="E232" s="38"/>
      <c r="F232" s="38"/>
      <c r="G232" s="38"/>
      <c r="H232" s="34"/>
      <c r="I232" s="38"/>
      <c r="J232" s="38"/>
      <c r="K232" s="38"/>
      <c r="L232" s="38"/>
      <c r="M232" s="34"/>
      <c r="N232" s="38"/>
      <c r="O232" s="38"/>
      <c r="P232" s="41"/>
      <c r="Q232" s="41"/>
      <c r="R232" s="41"/>
      <c r="S232" s="41"/>
      <c r="T232" s="138"/>
    </row>
    <row r="233" spans="1:20" s="3" customFormat="1" ht="62.25" customHeight="1">
      <c r="A233" s="48" t="s">
        <v>70</v>
      </c>
      <c r="B233" s="50"/>
      <c r="C233" s="51">
        <v>23.5</v>
      </c>
      <c r="D233" s="54"/>
      <c r="E233" s="54"/>
      <c r="F233" s="54"/>
      <c r="G233" s="54"/>
      <c r="H233" s="51"/>
      <c r="I233" s="54"/>
      <c r="J233" s="54"/>
      <c r="K233" s="54"/>
      <c r="L233" s="54"/>
      <c r="M233" s="51"/>
      <c r="N233" s="54"/>
      <c r="O233" s="54"/>
      <c r="P233" s="55"/>
      <c r="Q233" s="55"/>
      <c r="R233" s="55"/>
      <c r="S233" s="55"/>
      <c r="T233" s="138"/>
    </row>
    <row r="234" spans="1:21" s="4" customFormat="1" ht="36" customHeight="1">
      <c r="A234" s="48" t="s">
        <v>56</v>
      </c>
      <c r="B234" s="46"/>
      <c r="C234" s="56">
        <f>C224/(C233*0.86*0.001*1414.318)</f>
        <v>10.72301952247488</v>
      </c>
      <c r="D234" s="38"/>
      <c r="E234" s="38"/>
      <c r="F234" s="38"/>
      <c r="G234" s="38"/>
      <c r="H234" s="34"/>
      <c r="I234" s="38"/>
      <c r="J234" s="38"/>
      <c r="K234" s="38"/>
      <c r="L234" s="38"/>
      <c r="M234" s="34"/>
      <c r="N234" s="38"/>
      <c r="O234" s="38"/>
      <c r="P234" s="41"/>
      <c r="Q234" s="41"/>
      <c r="R234" s="41"/>
      <c r="S234" s="41"/>
      <c r="T234" s="138"/>
      <c r="U234" s="21"/>
    </row>
    <row r="235" spans="1:20" s="3" customFormat="1" ht="18.75">
      <c r="A235" s="142" t="s">
        <v>143</v>
      </c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4"/>
      <c r="T235" s="138"/>
    </row>
    <row r="236" spans="1:20" s="3" customFormat="1" ht="18.75">
      <c r="A236" s="151" t="s">
        <v>42</v>
      </c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3"/>
      <c r="T236" s="138"/>
    </row>
    <row r="237" spans="1:20" s="3" customFormat="1" ht="98.25" customHeight="1">
      <c r="A237" s="69" t="s">
        <v>36</v>
      </c>
      <c r="B237" s="70">
        <v>2417410</v>
      </c>
      <c r="C237" s="110">
        <f>781.4+544.1+250</f>
        <v>1575.5</v>
      </c>
      <c r="D237" s="110"/>
      <c r="E237" s="110">
        <f>C237</f>
        <v>1575.5</v>
      </c>
      <c r="F237" s="110"/>
      <c r="G237" s="110"/>
      <c r="H237" s="110">
        <f>1166-439</f>
        <v>727</v>
      </c>
      <c r="I237" s="110"/>
      <c r="J237" s="110">
        <f>H237</f>
        <v>727</v>
      </c>
      <c r="K237" s="70"/>
      <c r="L237" s="70"/>
      <c r="M237" s="70"/>
      <c r="N237" s="70"/>
      <c r="O237" s="70"/>
      <c r="P237" s="70"/>
      <c r="Q237" s="70"/>
      <c r="R237" s="70"/>
      <c r="S237" s="70"/>
      <c r="T237" s="138"/>
    </row>
    <row r="238" spans="1:20" s="3" customFormat="1" ht="37.5">
      <c r="A238" s="69" t="s">
        <v>28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138"/>
    </row>
    <row r="239" spans="1:20" s="3" customFormat="1" ht="18.75">
      <c r="A239" s="69" t="s">
        <v>27</v>
      </c>
      <c r="B239" s="70"/>
      <c r="C239" s="131">
        <f>C237</f>
        <v>1575.5</v>
      </c>
      <c r="D239" s="110"/>
      <c r="E239" s="110">
        <f>E237</f>
        <v>1575.5</v>
      </c>
      <c r="F239" s="110"/>
      <c r="G239" s="110"/>
      <c r="H239" s="131">
        <f>H237</f>
        <v>727</v>
      </c>
      <c r="I239" s="110"/>
      <c r="J239" s="110">
        <f>J237</f>
        <v>727</v>
      </c>
      <c r="K239" s="70"/>
      <c r="L239" s="70"/>
      <c r="M239" s="70"/>
      <c r="N239" s="70"/>
      <c r="O239" s="70"/>
      <c r="P239" s="70"/>
      <c r="Q239" s="70"/>
      <c r="R239" s="70"/>
      <c r="S239" s="70"/>
      <c r="T239" s="138"/>
    </row>
    <row r="240" spans="1:20" s="3" customFormat="1" ht="37.5">
      <c r="A240" s="70" t="s">
        <v>32</v>
      </c>
      <c r="B240" s="70"/>
      <c r="C240" s="132"/>
      <c r="D240" s="70"/>
      <c r="E240" s="70"/>
      <c r="F240" s="70"/>
      <c r="G240" s="70"/>
      <c r="H240" s="132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138"/>
    </row>
    <row r="241" spans="1:20" s="3" customFormat="1" ht="37.5">
      <c r="A241" s="69" t="s">
        <v>16</v>
      </c>
      <c r="B241" s="70"/>
      <c r="C241" s="132"/>
      <c r="D241" s="70"/>
      <c r="E241" s="70"/>
      <c r="F241" s="70"/>
      <c r="G241" s="70"/>
      <c r="H241" s="132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138"/>
    </row>
    <row r="242" spans="1:20" s="3" customFormat="1" ht="41.25">
      <c r="A242" s="70" t="s">
        <v>102</v>
      </c>
      <c r="B242" s="70"/>
      <c r="C242" s="132">
        <f>1252.1+201.5+175</f>
        <v>1628.6</v>
      </c>
      <c r="D242" s="70"/>
      <c r="E242" s="70"/>
      <c r="F242" s="70"/>
      <c r="G242" s="70"/>
      <c r="H242" s="132">
        <v>663</v>
      </c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138"/>
    </row>
    <row r="243" spans="1:20" s="3" customFormat="1" ht="37.5">
      <c r="A243" s="69" t="s">
        <v>23</v>
      </c>
      <c r="B243" s="70"/>
      <c r="C243" s="132"/>
      <c r="D243" s="70"/>
      <c r="E243" s="70"/>
      <c r="F243" s="70"/>
      <c r="G243" s="70"/>
      <c r="H243" s="132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138"/>
    </row>
    <row r="244" spans="1:20" s="3" customFormat="1" ht="82.5">
      <c r="A244" s="70" t="s">
        <v>101</v>
      </c>
      <c r="B244" s="70"/>
      <c r="C244" s="133">
        <f>C237/C242</f>
        <v>0.9673953088542306</v>
      </c>
      <c r="D244" s="70"/>
      <c r="E244" s="70"/>
      <c r="F244" s="70"/>
      <c r="G244" s="70"/>
      <c r="H244" s="133">
        <f>H237/H242</f>
        <v>1.096530920060332</v>
      </c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138"/>
    </row>
    <row r="245" spans="1:20" s="3" customFormat="1" ht="18.75">
      <c r="A245" s="69" t="s">
        <v>25</v>
      </c>
      <c r="B245" s="70"/>
      <c r="C245" s="132"/>
      <c r="D245" s="70"/>
      <c r="E245" s="70"/>
      <c r="F245" s="70"/>
      <c r="G245" s="70"/>
      <c r="H245" s="132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138"/>
    </row>
    <row r="246" spans="1:20" s="3" customFormat="1" ht="75">
      <c r="A246" s="70" t="s">
        <v>70</v>
      </c>
      <c r="B246" s="71"/>
      <c r="C246" s="95">
        <v>88.3</v>
      </c>
      <c r="D246" s="71"/>
      <c r="E246" s="71"/>
      <c r="F246" s="71"/>
      <c r="G246" s="71"/>
      <c r="H246" s="134">
        <v>40</v>
      </c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0"/>
      <c r="T246" s="138"/>
    </row>
    <row r="247" spans="1:20" s="3" customFormat="1" ht="37.5">
      <c r="A247" s="70" t="s">
        <v>56</v>
      </c>
      <c r="B247" s="70"/>
      <c r="C247" s="86">
        <f>C237/(C246*0.86*1591.105*0.001)</f>
        <v>13.039484192355761</v>
      </c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138"/>
    </row>
    <row r="248" spans="1:20" s="3" customFormat="1" ht="18.75">
      <c r="A248" s="157" t="s">
        <v>144</v>
      </c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9"/>
      <c r="T248" s="138"/>
    </row>
    <row r="249" spans="1:20" s="3" customFormat="1" ht="18.75">
      <c r="A249" s="157" t="s">
        <v>42</v>
      </c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9"/>
      <c r="T249" s="138"/>
    </row>
    <row r="250" spans="1:20" s="3" customFormat="1" ht="92.25" customHeight="1">
      <c r="A250" s="46" t="s">
        <v>11</v>
      </c>
      <c r="B250" s="36">
        <v>2417410</v>
      </c>
      <c r="C250" s="34">
        <v>25</v>
      </c>
      <c r="D250" s="38"/>
      <c r="E250" s="38">
        <f>C250</f>
        <v>25</v>
      </c>
      <c r="F250" s="38"/>
      <c r="G250" s="38"/>
      <c r="H250" s="39">
        <f>J250</f>
        <v>180</v>
      </c>
      <c r="I250" s="65"/>
      <c r="J250" s="63">
        <v>180</v>
      </c>
      <c r="K250" s="68"/>
      <c r="L250" s="68"/>
      <c r="M250" s="39">
        <f>O250</f>
        <v>144</v>
      </c>
      <c r="N250" s="37"/>
      <c r="O250" s="72">
        <v>144</v>
      </c>
      <c r="P250" s="41"/>
      <c r="Q250" s="41"/>
      <c r="R250" s="41"/>
      <c r="S250" s="41"/>
      <c r="T250" s="138"/>
    </row>
    <row r="251" spans="1:20" s="3" customFormat="1" ht="37.5">
      <c r="A251" s="48" t="s">
        <v>28</v>
      </c>
      <c r="B251" s="46"/>
      <c r="C251" s="34"/>
      <c r="D251" s="38"/>
      <c r="E251" s="38"/>
      <c r="F251" s="38"/>
      <c r="G251" s="38"/>
      <c r="H251" s="34"/>
      <c r="I251" s="38"/>
      <c r="J251" s="42"/>
      <c r="K251" s="42"/>
      <c r="L251" s="42"/>
      <c r="M251" s="34"/>
      <c r="N251" s="38"/>
      <c r="O251" s="41"/>
      <c r="P251" s="41"/>
      <c r="Q251" s="41"/>
      <c r="R251" s="41"/>
      <c r="S251" s="41"/>
      <c r="T251" s="138"/>
    </row>
    <row r="252" spans="1:20" s="3" customFormat="1" ht="18.75">
      <c r="A252" s="46" t="s">
        <v>21</v>
      </c>
      <c r="B252" s="46"/>
      <c r="C252" s="34"/>
      <c r="D252" s="38"/>
      <c r="E252" s="38"/>
      <c r="F252" s="38"/>
      <c r="G252" s="38"/>
      <c r="H252" s="47"/>
      <c r="I252" s="47"/>
      <c r="J252" s="47"/>
      <c r="K252" s="47"/>
      <c r="L252" s="47"/>
      <c r="M252" s="47"/>
      <c r="N252" s="38"/>
      <c r="O252" s="41"/>
      <c r="P252" s="41"/>
      <c r="Q252" s="41"/>
      <c r="R252" s="41"/>
      <c r="S252" s="41"/>
      <c r="T252" s="138"/>
    </row>
    <row r="253" spans="1:20" s="3" customFormat="1" ht="37.5">
      <c r="A253" s="48" t="s">
        <v>32</v>
      </c>
      <c r="B253" s="46"/>
      <c r="C253" s="34">
        <f>C250</f>
        <v>25</v>
      </c>
      <c r="D253" s="38"/>
      <c r="E253" s="38">
        <f>C250</f>
        <v>25</v>
      </c>
      <c r="F253" s="38"/>
      <c r="G253" s="38"/>
      <c r="H253" s="34">
        <f>H250</f>
        <v>180</v>
      </c>
      <c r="I253" s="38"/>
      <c r="J253" s="42"/>
      <c r="K253" s="42"/>
      <c r="L253" s="42"/>
      <c r="M253" s="34">
        <f>M250</f>
        <v>144</v>
      </c>
      <c r="N253" s="38"/>
      <c r="O253" s="41"/>
      <c r="P253" s="41"/>
      <c r="Q253" s="41"/>
      <c r="R253" s="41"/>
      <c r="S253" s="41"/>
      <c r="T253" s="138"/>
    </row>
    <row r="254" spans="1:20" s="3" customFormat="1" ht="37.5">
      <c r="A254" s="46" t="s">
        <v>16</v>
      </c>
      <c r="B254" s="46"/>
      <c r="C254" s="34"/>
      <c r="D254" s="38"/>
      <c r="E254" s="38"/>
      <c r="F254" s="38"/>
      <c r="G254" s="38"/>
      <c r="H254" s="34"/>
      <c r="I254" s="38"/>
      <c r="J254" s="42"/>
      <c r="K254" s="42"/>
      <c r="L254" s="42"/>
      <c r="M254" s="34"/>
      <c r="N254" s="38"/>
      <c r="O254" s="41"/>
      <c r="P254" s="41"/>
      <c r="Q254" s="41"/>
      <c r="R254" s="41"/>
      <c r="S254" s="41"/>
      <c r="T254" s="138"/>
    </row>
    <row r="255" spans="1:20" s="3" customFormat="1" ht="109.5" customHeight="1">
      <c r="A255" s="48" t="s">
        <v>35</v>
      </c>
      <c r="B255" s="46"/>
      <c r="C255" s="34">
        <v>1</v>
      </c>
      <c r="D255" s="38"/>
      <c r="E255" s="38">
        <v>1</v>
      </c>
      <c r="F255" s="38"/>
      <c r="G255" s="38"/>
      <c r="H255" s="34">
        <v>3</v>
      </c>
      <c r="I255" s="38"/>
      <c r="J255" s="42"/>
      <c r="K255" s="42"/>
      <c r="L255" s="42"/>
      <c r="M255" s="34">
        <v>2</v>
      </c>
      <c r="N255" s="38"/>
      <c r="O255" s="41"/>
      <c r="P255" s="41"/>
      <c r="Q255" s="41"/>
      <c r="R255" s="41"/>
      <c r="S255" s="41"/>
      <c r="T255" s="138"/>
    </row>
    <row r="256" spans="1:20" s="3" customFormat="1" ht="37.5">
      <c r="A256" s="46" t="s">
        <v>23</v>
      </c>
      <c r="B256" s="46"/>
      <c r="C256" s="34"/>
      <c r="D256" s="38"/>
      <c r="E256" s="38"/>
      <c r="F256" s="38"/>
      <c r="G256" s="38"/>
      <c r="H256" s="34"/>
      <c r="I256" s="38"/>
      <c r="J256" s="42"/>
      <c r="K256" s="42"/>
      <c r="L256" s="42"/>
      <c r="M256" s="34"/>
      <c r="N256" s="38"/>
      <c r="O256" s="41"/>
      <c r="P256" s="41"/>
      <c r="Q256" s="41"/>
      <c r="R256" s="41"/>
      <c r="S256" s="41"/>
      <c r="T256" s="138"/>
    </row>
    <row r="257" spans="1:20" s="3" customFormat="1" ht="93.75">
      <c r="A257" s="48" t="s">
        <v>120</v>
      </c>
      <c r="B257" s="46"/>
      <c r="C257" s="34"/>
      <c r="D257" s="38"/>
      <c r="E257" s="38"/>
      <c r="F257" s="38"/>
      <c r="G257" s="38"/>
      <c r="H257" s="34">
        <f>H250/H255</f>
        <v>60</v>
      </c>
      <c r="I257" s="38"/>
      <c r="J257" s="42"/>
      <c r="K257" s="42"/>
      <c r="L257" s="42"/>
      <c r="M257" s="34">
        <f>M250/M255</f>
        <v>72</v>
      </c>
      <c r="N257" s="38"/>
      <c r="O257" s="41"/>
      <c r="P257" s="41"/>
      <c r="Q257" s="41"/>
      <c r="R257" s="41"/>
      <c r="S257" s="41"/>
      <c r="T257" s="138"/>
    </row>
    <row r="258" spans="1:20" s="3" customFormat="1" ht="75">
      <c r="A258" s="48" t="s">
        <v>121</v>
      </c>
      <c r="B258" s="46"/>
      <c r="C258" s="34">
        <v>25</v>
      </c>
      <c r="D258" s="38"/>
      <c r="E258" s="38">
        <v>25</v>
      </c>
      <c r="F258" s="38"/>
      <c r="G258" s="38"/>
      <c r="H258" s="34"/>
      <c r="I258" s="38"/>
      <c r="J258" s="42"/>
      <c r="K258" s="42"/>
      <c r="L258" s="42"/>
      <c r="M258" s="34"/>
      <c r="N258" s="38"/>
      <c r="O258" s="41"/>
      <c r="P258" s="41"/>
      <c r="Q258" s="41"/>
      <c r="R258" s="41"/>
      <c r="S258" s="41"/>
      <c r="T258" s="138"/>
    </row>
    <row r="259" spans="1:20" s="3" customFormat="1" ht="18.75">
      <c r="A259" s="46" t="s">
        <v>25</v>
      </c>
      <c r="B259" s="46"/>
      <c r="C259" s="34"/>
      <c r="D259" s="38"/>
      <c r="E259" s="38"/>
      <c r="F259" s="38"/>
      <c r="G259" s="38"/>
      <c r="H259" s="34"/>
      <c r="I259" s="38"/>
      <c r="J259" s="42"/>
      <c r="K259" s="42"/>
      <c r="L259" s="42"/>
      <c r="M259" s="34"/>
      <c r="N259" s="38"/>
      <c r="O259" s="41"/>
      <c r="P259" s="41"/>
      <c r="Q259" s="41"/>
      <c r="R259" s="41"/>
      <c r="S259" s="41"/>
      <c r="T259" s="138"/>
    </row>
    <row r="260" spans="1:20" s="3" customFormat="1" ht="75">
      <c r="A260" s="48" t="s">
        <v>70</v>
      </c>
      <c r="B260" s="46"/>
      <c r="C260" s="34"/>
      <c r="D260" s="38"/>
      <c r="E260" s="38"/>
      <c r="F260" s="38"/>
      <c r="G260" s="38"/>
      <c r="H260" s="34">
        <v>36.3</v>
      </c>
      <c r="I260" s="38"/>
      <c r="J260" s="42"/>
      <c r="K260" s="42"/>
      <c r="L260" s="42"/>
      <c r="M260" s="34">
        <v>22</v>
      </c>
      <c r="N260" s="38"/>
      <c r="O260" s="41"/>
      <c r="P260" s="41"/>
      <c r="Q260" s="41"/>
      <c r="R260" s="41"/>
      <c r="S260" s="41"/>
      <c r="T260" s="138"/>
    </row>
    <row r="261" spans="1:21" s="4" customFormat="1" ht="37.5">
      <c r="A261" s="48" t="s">
        <v>56</v>
      </c>
      <c r="B261" s="46"/>
      <c r="C261" s="34" t="s">
        <v>122</v>
      </c>
      <c r="D261" s="38"/>
      <c r="E261" s="38"/>
      <c r="F261" s="38"/>
      <c r="G261" s="38"/>
      <c r="H261" s="39">
        <f>H250/(H260*0.86*0.001*1604.896)</f>
        <v>3.5926965273692835</v>
      </c>
      <c r="I261" s="38"/>
      <c r="J261" s="42"/>
      <c r="K261" s="42"/>
      <c r="L261" s="42"/>
      <c r="M261" s="39">
        <f>M250/(M260*0.86*0.001*1688.351)</f>
        <v>4.507945123677058</v>
      </c>
      <c r="N261" s="38"/>
      <c r="O261" s="41"/>
      <c r="P261" s="41"/>
      <c r="Q261" s="41"/>
      <c r="R261" s="41"/>
      <c r="S261" s="41"/>
      <c r="T261" s="138"/>
      <c r="U261" s="21"/>
    </row>
    <row r="262" spans="1:20" s="20" customFormat="1" ht="23.25" customHeight="1">
      <c r="A262" s="205" t="s">
        <v>65</v>
      </c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7"/>
      <c r="T262" s="138"/>
    </row>
    <row r="263" spans="1:20" s="3" customFormat="1" ht="18.75">
      <c r="A263" s="158" t="s">
        <v>145</v>
      </c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4"/>
      <c r="T263" s="138"/>
    </row>
    <row r="264" spans="1:20" s="3" customFormat="1" ht="18.75">
      <c r="A264" s="151" t="s">
        <v>43</v>
      </c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3"/>
      <c r="T264" s="138"/>
    </row>
    <row r="265" spans="1:20" s="3" customFormat="1" ht="93" customHeight="1">
      <c r="A265" s="46" t="s">
        <v>44</v>
      </c>
      <c r="B265" s="36">
        <v>1517410</v>
      </c>
      <c r="C265" s="39">
        <f>E265</f>
        <v>390</v>
      </c>
      <c r="D265" s="65"/>
      <c r="E265" s="65">
        <v>390</v>
      </c>
      <c r="F265" s="38"/>
      <c r="G265" s="38"/>
      <c r="H265" s="34"/>
      <c r="I265" s="38"/>
      <c r="J265" s="42"/>
      <c r="K265" s="42"/>
      <c r="L265" s="42"/>
      <c r="M265" s="34"/>
      <c r="N265" s="38"/>
      <c r="O265" s="41"/>
      <c r="P265" s="41"/>
      <c r="Q265" s="41"/>
      <c r="R265" s="41"/>
      <c r="S265" s="41"/>
      <c r="T265" s="138"/>
    </row>
    <row r="266" spans="1:20" s="3" customFormat="1" ht="37.5">
      <c r="A266" s="48" t="s">
        <v>28</v>
      </c>
      <c r="B266" s="46"/>
      <c r="C266" s="34"/>
      <c r="D266" s="38"/>
      <c r="E266" s="38"/>
      <c r="F266" s="38"/>
      <c r="G266" s="38"/>
      <c r="H266" s="34"/>
      <c r="I266" s="38"/>
      <c r="J266" s="42"/>
      <c r="K266" s="42"/>
      <c r="L266" s="42"/>
      <c r="M266" s="34"/>
      <c r="N266" s="38"/>
      <c r="O266" s="41"/>
      <c r="P266" s="41"/>
      <c r="Q266" s="41"/>
      <c r="R266" s="41"/>
      <c r="S266" s="41"/>
      <c r="T266" s="138"/>
    </row>
    <row r="267" spans="1:20" s="3" customFormat="1" ht="18.75">
      <c r="A267" s="46" t="s">
        <v>27</v>
      </c>
      <c r="B267" s="46"/>
      <c r="C267" s="34"/>
      <c r="D267" s="38"/>
      <c r="E267" s="38"/>
      <c r="F267" s="38"/>
      <c r="G267" s="38"/>
      <c r="H267" s="34"/>
      <c r="I267" s="38"/>
      <c r="J267" s="42"/>
      <c r="K267" s="42"/>
      <c r="L267" s="42"/>
      <c r="M267" s="34"/>
      <c r="N267" s="38"/>
      <c r="O267" s="41"/>
      <c r="P267" s="41"/>
      <c r="Q267" s="41"/>
      <c r="R267" s="41"/>
      <c r="S267" s="41"/>
      <c r="T267" s="138"/>
    </row>
    <row r="268" spans="1:20" s="3" customFormat="1" ht="37.5">
      <c r="A268" s="48" t="s">
        <v>32</v>
      </c>
      <c r="B268" s="46"/>
      <c r="C268" s="39">
        <f>C265</f>
        <v>390</v>
      </c>
      <c r="D268" s="65"/>
      <c r="E268" s="65">
        <f>E265</f>
        <v>390</v>
      </c>
      <c r="F268" s="38"/>
      <c r="G268" s="38"/>
      <c r="H268" s="34"/>
      <c r="I268" s="38"/>
      <c r="J268" s="42"/>
      <c r="K268" s="42"/>
      <c r="L268" s="42"/>
      <c r="M268" s="34"/>
      <c r="N268" s="38"/>
      <c r="O268" s="41"/>
      <c r="P268" s="41"/>
      <c r="Q268" s="41"/>
      <c r="R268" s="41"/>
      <c r="S268" s="41"/>
      <c r="T268" s="138"/>
    </row>
    <row r="269" spans="1:20" s="3" customFormat="1" ht="37.5">
      <c r="A269" s="46" t="s">
        <v>16</v>
      </c>
      <c r="B269" s="46"/>
      <c r="C269" s="34"/>
      <c r="D269" s="38"/>
      <c r="E269" s="38"/>
      <c r="F269" s="38"/>
      <c r="G269" s="38"/>
      <c r="H269" s="34"/>
      <c r="I269" s="38"/>
      <c r="J269" s="42"/>
      <c r="K269" s="42"/>
      <c r="L269" s="42"/>
      <c r="M269" s="34"/>
      <c r="N269" s="38"/>
      <c r="O269" s="41"/>
      <c r="P269" s="41"/>
      <c r="Q269" s="41"/>
      <c r="R269" s="41"/>
      <c r="S269" s="41"/>
      <c r="T269" s="138"/>
    </row>
    <row r="270" spans="1:20" s="3" customFormat="1" ht="41.25">
      <c r="A270" s="48" t="s">
        <v>102</v>
      </c>
      <c r="B270" s="46"/>
      <c r="C270" s="34">
        <v>336</v>
      </c>
      <c r="D270" s="38"/>
      <c r="E270" s="38">
        <v>336</v>
      </c>
      <c r="F270" s="38"/>
      <c r="G270" s="38"/>
      <c r="H270" s="34"/>
      <c r="I270" s="38"/>
      <c r="J270" s="42"/>
      <c r="K270" s="42"/>
      <c r="L270" s="42"/>
      <c r="M270" s="34"/>
      <c r="N270" s="38"/>
      <c r="O270" s="41"/>
      <c r="P270" s="41"/>
      <c r="Q270" s="41"/>
      <c r="R270" s="41"/>
      <c r="S270" s="41"/>
      <c r="T270" s="138"/>
    </row>
    <row r="271" spans="1:20" s="3" customFormat="1" ht="37.5">
      <c r="A271" s="46" t="s">
        <v>23</v>
      </c>
      <c r="B271" s="46"/>
      <c r="C271" s="34"/>
      <c r="D271" s="38"/>
      <c r="E271" s="38"/>
      <c r="F271" s="38"/>
      <c r="G271" s="38"/>
      <c r="H271" s="34"/>
      <c r="I271" s="38"/>
      <c r="J271" s="42"/>
      <c r="K271" s="42"/>
      <c r="L271" s="42"/>
      <c r="M271" s="34"/>
      <c r="N271" s="38"/>
      <c r="O271" s="41"/>
      <c r="P271" s="41"/>
      <c r="Q271" s="41"/>
      <c r="R271" s="41"/>
      <c r="S271" s="41"/>
      <c r="T271" s="138"/>
    </row>
    <row r="272" spans="1:20" s="3" customFormat="1" ht="82.5">
      <c r="A272" s="48" t="s">
        <v>101</v>
      </c>
      <c r="B272" s="46"/>
      <c r="C272" s="39">
        <f>C265/C270</f>
        <v>1.1607142857142858</v>
      </c>
      <c r="D272" s="38"/>
      <c r="E272" s="38"/>
      <c r="F272" s="38"/>
      <c r="G272" s="38"/>
      <c r="H272" s="34"/>
      <c r="I272" s="38"/>
      <c r="J272" s="42"/>
      <c r="K272" s="42"/>
      <c r="L272" s="42"/>
      <c r="M272" s="34"/>
      <c r="N272" s="38"/>
      <c r="O272" s="41"/>
      <c r="P272" s="41"/>
      <c r="Q272" s="41"/>
      <c r="R272" s="41"/>
      <c r="S272" s="41"/>
      <c r="T272" s="138"/>
    </row>
    <row r="273" spans="1:20" s="3" customFormat="1" ht="18.75">
      <c r="A273" s="46" t="s">
        <v>25</v>
      </c>
      <c r="B273" s="46"/>
      <c r="C273" s="34"/>
      <c r="D273" s="38"/>
      <c r="E273" s="38"/>
      <c r="F273" s="38"/>
      <c r="G273" s="38"/>
      <c r="H273" s="34"/>
      <c r="I273" s="38"/>
      <c r="J273" s="42"/>
      <c r="K273" s="42"/>
      <c r="L273" s="42"/>
      <c r="M273" s="34"/>
      <c r="N273" s="38"/>
      <c r="O273" s="41"/>
      <c r="P273" s="41"/>
      <c r="Q273" s="41"/>
      <c r="R273" s="41"/>
      <c r="S273" s="41"/>
      <c r="T273" s="139"/>
    </row>
    <row r="274" spans="1:20" s="3" customFormat="1" ht="66" customHeight="1">
      <c r="A274" s="48" t="s">
        <v>70</v>
      </c>
      <c r="B274" s="50"/>
      <c r="C274" s="51">
        <v>23</v>
      </c>
      <c r="D274" s="54"/>
      <c r="E274" s="54"/>
      <c r="F274" s="54"/>
      <c r="G274" s="54"/>
      <c r="H274" s="51"/>
      <c r="I274" s="54"/>
      <c r="J274" s="53"/>
      <c r="K274" s="53"/>
      <c r="L274" s="53"/>
      <c r="M274" s="51"/>
      <c r="N274" s="54"/>
      <c r="O274" s="55"/>
      <c r="P274" s="55"/>
      <c r="Q274" s="55"/>
      <c r="R274" s="55"/>
      <c r="S274" s="55"/>
      <c r="T274" s="139"/>
    </row>
    <row r="275" spans="1:21" s="4" customFormat="1" ht="37.5">
      <c r="A275" s="48" t="s">
        <v>56</v>
      </c>
      <c r="B275" s="46"/>
      <c r="C275" s="56">
        <f>C265/(C274*0.86*1591.105*0.001)</f>
        <v>12.391945059046964</v>
      </c>
      <c r="D275" s="38"/>
      <c r="E275" s="38"/>
      <c r="F275" s="38"/>
      <c r="G275" s="38"/>
      <c r="H275" s="34"/>
      <c r="I275" s="38"/>
      <c r="J275" s="42"/>
      <c r="K275" s="42"/>
      <c r="L275" s="42"/>
      <c r="M275" s="34"/>
      <c r="N275" s="38"/>
      <c r="O275" s="41"/>
      <c r="P275" s="41"/>
      <c r="Q275" s="41"/>
      <c r="R275" s="41"/>
      <c r="S275" s="41"/>
      <c r="T275" s="139"/>
      <c r="U275" s="21"/>
    </row>
    <row r="276" spans="1:20" s="3" customFormat="1" ht="18.75">
      <c r="A276" s="163" t="s">
        <v>137</v>
      </c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9"/>
      <c r="T276" s="139"/>
    </row>
    <row r="277" spans="1:20" s="3" customFormat="1" ht="18.75">
      <c r="A277" s="163" t="s">
        <v>83</v>
      </c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9"/>
      <c r="T277" s="139"/>
    </row>
    <row r="278" spans="1:20" s="3" customFormat="1" ht="56.25">
      <c r="A278" s="46" t="s">
        <v>45</v>
      </c>
      <c r="B278" s="73" t="s">
        <v>89</v>
      </c>
      <c r="C278" s="74">
        <v>50</v>
      </c>
      <c r="D278" s="74">
        <v>50</v>
      </c>
      <c r="E278" s="74"/>
      <c r="F278" s="74"/>
      <c r="G278" s="74"/>
      <c r="H278" s="74">
        <v>50</v>
      </c>
      <c r="I278" s="74">
        <v>50</v>
      </c>
      <c r="J278" s="74"/>
      <c r="K278" s="74"/>
      <c r="L278" s="74"/>
      <c r="M278" s="74">
        <v>50</v>
      </c>
      <c r="N278" s="74">
        <v>50</v>
      </c>
      <c r="O278" s="75"/>
      <c r="P278" s="75"/>
      <c r="Q278" s="75"/>
      <c r="R278" s="75"/>
      <c r="S278" s="75"/>
      <c r="T278" s="139"/>
    </row>
    <row r="279" spans="1:20" s="3" customFormat="1" ht="18.75">
      <c r="A279" s="46" t="s">
        <v>27</v>
      </c>
      <c r="B279" s="46"/>
      <c r="C279" s="34"/>
      <c r="D279" s="38"/>
      <c r="E279" s="38"/>
      <c r="F279" s="38"/>
      <c r="G279" s="38"/>
      <c r="H279" s="34"/>
      <c r="I279" s="38"/>
      <c r="J279" s="34"/>
      <c r="K279" s="34"/>
      <c r="L279" s="34"/>
      <c r="M279" s="34"/>
      <c r="N279" s="38"/>
      <c r="O279" s="41"/>
      <c r="P279" s="41"/>
      <c r="Q279" s="41"/>
      <c r="R279" s="41"/>
      <c r="S279" s="41"/>
      <c r="T279" s="139"/>
    </row>
    <row r="280" spans="1:20" s="3" customFormat="1" ht="37.5">
      <c r="A280" s="48" t="s">
        <v>32</v>
      </c>
      <c r="B280" s="46"/>
      <c r="C280" s="34">
        <v>50</v>
      </c>
      <c r="D280" s="38">
        <v>50</v>
      </c>
      <c r="E280" s="38"/>
      <c r="F280" s="38"/>
      <c r="G280" s="38"/>
      <c r="H280" s="34">
        <v>50</v>
      </c>
      <c r="I280" s="38">
        <v>50</v>
      </c>
      <c r="J280" s="34"/>
      <c r="K280" s="34"/>
      <c r="L280" s="34"/>
      <c r="M280" s="34">
        <v>50</v>
      </c>
      <c r="N280" s="38">
        <v>50</v>
      </c>
      <c r="O280" s="41"/>
      <c r="P280" s="41"/>
      <c r="Q280" s="41"/>
      <c r="R280" s="41"/>
      <c r="S280" s="41"/>
      <c r="T280" s="139"/>
    </row>
    <row r="281" spans="1:20" s="3" customFormat="1" ht="18.75">
      <c r="A281" s="142" t="s">
        <v>139</v>
      </c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4"/>
      <c r="T281" s="139"/>
    </row>
    <row r="282" spans="1:20" s="3" customFormat="1" ht="18.75" customHeight="1">
      <c r="A282" s="151" t="s">
        <v>66</v>
      </c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3"/>
      <c r="T282" s="139"/>
    </row>
    <row r="283" spans="1:20" s="3" customFormat="1" ht="72" customHeight="1">
      <c r="A283" s="46" t="s">
        <v>45</v>
      </c>
      <c r="B283" s="76" t="s">
        <v>114</v>
      </c>
      <c r="C283" s="51">
        <v>50</v>
      </c>
      <c r="D283" s="54">
        <v>50</v>
      </c>
      <c r="E283" s="54"/>
      <c r="F283" s="54"/>
      <c r="G283" s="54"/>
      <c r="H283" s="51">
        <v>55</v>
      </c>
      <c r="I283" s="54">
        <v>55</v>
      </c>
      <c r="J283" s="53"/>
      <c r="K283" s="53"/>
      <c r="L283" s="53"/>
      <c r="M283" s="51">
        <v>60</v>
      </c>
      <c r="N283" s="54">
        <v>60</v>
      </c>
      <c r="O283" s="55"/>
      <c r="P283" s="55"/>
      <c r="Q283" s="55"/>
      <c r="R283" s="55"/>
      <c r="S283" s="55"/>
      <c r="T283" s="139"/>
    </row>
    <row r="284" spans="1:20" s="3" customFormat="1" ht="39" customHeight="1">
      <c r="A284" s="46" t="s">
        <v>28</v>
      </c>
      <c r="B284" s="46"/>
      <c r="C284" s="34"/>
      <c r="D284" s="38"/>
      <c r="E284" s="38"/>
      <c r="F284" s="38"/>
      <c r="G284" s="38"/>
      <c r="H284" s="34"/>
      <c r="I284" s="38"/>
      <c r="J284" s="42"/>
      <c r="K284" s="42"/>
      <c r="L284" s="42"/>
      <c r="M284" s="34"/>
      <c r="N284" s="38"/>
      <c r="O284" s="41"/>
      <c r="P284" s="41"/>
      <c r="Q284" s="41"/>
      <c r="R284" s="41"/>
      <c r="S284" s="41"/>
      <c r="T284" s="139"/>
    </row>
    <row r="285" spans="1:20" s="3" customFormat="1" ht="33.75" customHeight="1">
      <c r="A285" s="46" t="s">
        <v>27</v>
      </c>
      <c r="B285" s="46"/>
      <c r="C285" s="34"/>
      <c r="D285" s="38"/>
      <c r="E285" s="38"/>
      <c r="F285" s="38"/>
      <c r="G285" s="38"/>
      <c r="H285" s="34"/>
      <c r="I285" s="38"/>
      <c r="J285" s="42"/>
      <c r="K285" s="42"/>
      <c r="L285" s="42"/>
      <c r="M285" s="34"/>
      <c r="N285" s="38"/>
      <c r="O285" s="41"/>
      <c r="P285" s="41"/>
      <c r="Q285" s="41"/>
      <c r="R285" s="41"/>
      <c r="S285" s="41"/>
      <c r="T285" s="139"/>
    </row>
    <row r="286" spans="1:20" s="3" customFormat="1" ht="48" customHeight="1">
      <c r="A286" s="48" t="s">
        <v>32</v>
      </c>
      <c r="B286" s="46"/>
      <c r="C286" s="34">
        <f>C283</f>
        <v>50</v>
      </c>
      <c r="D286" s="38"/>
      <c r="E286" s="38"/>
      <c r="F286" s="38"/>
      <c r="G286" s="38"/>
      <c r="H286" s="34">
        <f>H283</f>
        <v>55</v>
      </c>
      <c r="I286" s="38"/>
      <c r="J286" s="42"/>
      <c r="K286" s="42"/>
      <c r="L286" s="42"/>
      <c r="M286" s="34">
        <f>M283</f>
        <v>60</v>
      </c>
      <c r="N286" s="38"/>
      <c r="O286" s="41"/>
      <c r="P286" s="41"/>
      <c r="Q286" s="41"/>
      <c r="R286" s="41"/>
      <c r="S286" s="41"/>
      <c r="T286" s="139"/>
    </row>
    <row r="287" spans="1:20" s="3" customFormat="1" ht="41.25" customHeight="1">
      <c r="A287" s="46" t="s">
        <v>16</v>
      </c>
      <c r="B287" s="46"/>
      <c r="C287" s="34"/>
      <c r="D287" s="38"/>
      <c r="E287" s="38"/>
      <c r="F287" s="38"/>
      <c r="G287" s="38"/>
      <c r="H287" s="34"/>
      <c r="I287" s="38"/>
      <c r="J287" s="42"/>
      <c r="K287" s="42"/>
      <c r="L287" s="42"/>
      <c r="M287" s="34"/>
      <c r="N287" s="38"/>
      <c r="O287" s="41"/>
      <c r="P287" s="41"/>
      <c r="Q287" s="41"/>
      <c r="R287" s="41"/>
      <c r="S287" s="41"/>
      <c r="T287" s="139"/>
    </row>
    <row r="288" spans="1:20" s="3" customFormat="1" ht="135.75" customHeight="1">
      <c r="A288" s="48" t="s">
        <v>46</v>
      </c>
      <c r="B288" s="46"/>
      <c r="C288" s="34">
        <v>1</v>
      </c>
      <c r="D288" s="38"/>
      <c r="E288" s="38"/>
      <c r="F288" s="38"/>
      <c r="G288" s="38"/>
      <c r="H288" s="34">
        <v>1</v>
      </c>
      <c r="I288" s="38"/>
      <c r="J288" s="42"/>
      <c r="K288" s="42"/>
      <c r="L288" s="42"/>
      <c r="M288" s="34">
        <v>1</v>
      </c>
      <c r="N288" s="38"/>
      <c r="O288" s="41"/>
      <c r="P288" s="41"/>
      <c r="Q288" s="41"/>
      <c r="R288" s="41"/>
      <c r="S288" s="41"/>
      <c r="T288" s="139"/>
    </row>
    <row r="289" spans="1:20" s="3" customFormat="1" ht="40.5" customHeight="1">
      <c r="A289" s="46" t="s">
        <v>23</v>
      </c>
      <c r="B289" s="46"/>
      <c r="C289" s="34"/>
      <c r="D289" s="38"/>
      <c r="E289" s="38"/>
      <c r="F289" s="38"/>
      <c r="G289" s="38"/>
      <c r="H289" s="34"/>
      <c r="I289" s="38"/>
      <c r="J289" s="42"/>
      <c r="K289" s="42"/>
      <c r="L289" s="42"/>
      <c r="M289" s="34"/>
      <c r="N289" s="38"/>
      <c r="O289" s="41"/>
      <c r="P289" s="41"/>
      <c r="Q289" s="41"/>
      <c r="R289" s="41"/>
      <c r="S289" s="41"/>
      <c r="T289" s="139"/>
    </row>
    <row r="290" spans="1:20" s="3" customFormat="1" ht="141" customHeight="1">
      <c r="A290" s="48" t="s">
        <v>47</v>
      </c>
      <c r="B290" s="46"/>
      <c r="C290" s="34">
        <v>50</v>
      </c>
      <c r="D290" s="38"/>
      <c r="E290" s="38"/>
      <c r="F290" s="38"/>
      <c r="G290" s="38"/>
      <c r="H290" s="34"/>
      <c r="I290" s="38"/>
      <c r="J290" s="42"/>
      <c r="K290" s="42"/>
      <c r="L290" s="42"/>
      <c r="M290" s="34"/>
      <c r="N290" s="38"/>
      <c r="O290" s="41"/>
      <c r="P290" s="41"/>
      <c r="Q290" s="41"/>
      <c r="R290" s="41"/>
      <c r="S290" s="41"/>
      <c r="T290" s="141"/>
    </row>
    <row r="291" spans="1:20" s="3" customFormat="1" ht="30.75" customHeight="1">
      <c r="A291" s="46" t="s">
        <v>25</v>
      </c>
      <c r="B291" s="46"/>
      <c r="C291" s="34"/>
      <c r="D291" s="38"/>
      <c r="E291" s="38"/>
      <c r="F291" s="38"/>
      <c r="G291" s="38"/>
      <c r="H291" s="34"/>
      <c r="I291" s="38"/>
      <c r="J291" s="42"/>
      <c r="K291" s="42"/>
      <c r="L291" s="42"/>
      <c r="M291" s="34"/>
      <c r="N291" s="38"/>
      <c r="O291" s="41"/>
      <c r="P291" s="41"/>
      <c r="Q291" s="41"/>
      <c r="R291" s="41"/>
      <c r="S291" s="41"/>
      <c r="T291" s="141"/>
    </row>
    <row r="292" spans="1:20" s="3" customFormat="1" ht="48" customHeight="1">
      <c r="A292" s="85" t="s">
        <v>88</v>
      </c>
      <c r="B292" s="79"/>
      <c r="C292" s="80">
        <v>20</v>
      </c>
      <c r="D292" s="81"/>
      <c r="E292" s="81"/>
      <c r="F292" s="81"/>
      <c r="G292" s="81"/>
      <c r="H292" s="80">
        <v>30</v>
      </c>
      <c r="I292" s="81"/>
      <c r="J292" s="82"/>
      <c r="K292" s="82"/>
      <c r="L292" s="82"/>
      <c r="M292" s="80">
        <v>40</v>
      </c>
      <c r="N292" s="81"/>
      <c r="O292" s="83"/>
      <c r="P292" s="83"/>
      <c r="Q292" s="83"/>
      <c r="R292" s="83"/>
      <c r="S292" s="83"/>
      <c r="T292" s="141"/>
    </row>
    <row r="293" spans="1:20" s="9" customFormat="1" ht="66" customHeight="1" hidden="1">
      <c r="A293" s="6" t="s">
        <v>68</v>
      </c>
      <c r="B293" s="7"/>
      <c r="C293" s="97">
        <f>C33+C60+C72+C85+C115+C138+C211+C233+C246+C274+C183+C98</f>
        <v>5661.097000000001</v>
      </c>
      <c r="D293" s="7"/>
      <c r="E293" s="7"/>
      <c r="F293" s="7"/>
      <c r="G293" s="7"/>
      <c r="H293" s="8">
        <f>H33+H60+H138+H246+H260</f>
        <v>3564.33</v>
      </c>
      <c r="I293" s="7"/>
      <c r="J293" s="7"/>
      <c r="K293" s="7"/>
      <c r="L293" s="7"/>
      <c r="M293" s="8">
        <f>M33+M60+M138+M260</f>
        <v>2821.89</v>
      </c>
      <c r="N293" s="7"/>
      <c r="O293" s="7"/>
      <c r="P293" s="7"/>
      <c r="Q293" s="7"/>
      <c r="R293" s="7"/>
      <c r="S293" s="7"/>
      <c r="T293" s="141"/>
    </row>
    <row r="294" spans="1:20" s="9" customFormat="1" ht="51.75" customHeight="1" hidden="1">
      <c r="A294" s="6" t="s">
        <v>48</v>
      </c>
      <c r="B294" s="7"/>
      <c r="C294" s="7">
        <f>C47+C198+112</f>
        <v>424.19</v>
      </c>
      <c r="D294" s="7"/>
      <c r="E294" s="7"/>
      <c r="F294" s="7"/>
      <c r="G294" s="7"/>
      <c r="H294" s="8">
        <f>H31+H47+H198</f>
        <v>296</v>
      </c>
      <c r="I294" s="7"/>
      <c r="J294" s="7"/>
      <c r="K294" s="7"/>
      <c r="L294" s="7"/>
      <c r="M294" s="8">
        <f>M31+M47+M198</f>
        <v>137</v>
      </c>
      <c r="N294" s="7"/>
      <c r="O294" s="7"/>
      <c r="P294" s="7"/>
      <c r="Q294" s="7"/>
      <c r="R294" s="7"/>
      <c r="S294" s="7"/>
      <c r="T294" s="141"/>
    </row>
    <row r="295" spans="1:20" s="9" customFormat="1" ht="17.25" customHeight="1" hidden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141"/>
    </row>
    <row r="296" spans="1:20" s="9" customFormat="1" ht="17.25" customHeight="1" hidden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141"/>
    </row>
    <row r="297" spans="1:20" s="9" customFormat="1" ht="17.25" customHeight="1" hidden="1">
      <c r="A297" s="9" t="s">
        <v>67</v>
      </c>
      <c r="C297" s="9">
        <f>C32</f>
        <v>367.4</v>
      </c>
      <c r="T297" s="141"/>
    </row>
    <row r="298" s="9" customFormat="1" ht="17.25" customHeight="1" hidden="1">
      <c r="T298" s="141"/>
    </row>
    <row r="299" s="9" customFormat="1" ht="17.25" customHeight="1" hidden="1">
      <c r="T299" s="141"/>
    </row>
    <row r="300" spans="3:20" s="9" customFormat="1" ht="17.25" customHeight="1" hidden="1">
      <c r="C300" s="9">
        <f>C293*0.86*1502.712</f>
        <v>7316018.619755041</v>
      </c>
      <c r="H300" s="9">
        <f>H293*0.86*1604.896</f>
        <v>4919525.905324799</v>
      </c>
      <c r="M300" s="9">
        <f>M293*0.86*1688.351</f>
        <v>4097333.0909153996</v>
      </c>
      <c r="T300" s="141"/>
    </row>
    <row r="301" spans="3:20" s="9" customFormat="1" ht="17.25" customHeight="1" hidden="1">
      <c r="C301" s="9">
        <f>C294*1000*2.577</f>
        <v>1093137.63</v>
      </c>
      <c r="H301" s="9">
        <f>H294*1000*2.75198</f>
        <v>814586.0800000001</v>
      </c>
      <c r="M301" s="9">
        <f>M294*1000*2.895</f>
        <v>396615</v>
      </c>
      <c r="T301" s="141"/>
    </row>
    <row r="302" spans="3:20" s="9" customFormat="1" ht="17.25" customHeight="1" hidden="1">
      <c r="C302" s="9">
        <f>C297*10692.31/9.39</f>
        <v>418355.1324813631</v>
      </c>
      <c r="H302" s="9">
        <f>(H300+H301)/1000</f>
        <v>5734.111985324799</v>
      </c>
      <c r="M302" s="9">
        <f>(M300+M301)/1000</f>
        <v>4493.9480909154</v>
      </c>
      <c r="T302" s="141"/>
    </row>
    <row r="303" spans="3:20" s="9" customFormat="1" ht="17.25" customHeight="1" hidden="1">
      <c r="C303" s="9">
        <f>(C300+C301+C302)/1000</f>
        <v>8827.511382236402</v>
      </c>
      <c r="H303" s="9">
        <f>H14/H302</f>
        <v>7.48461141146845</v>
      </c>
      <c r="M303" s="9">
        <f>M14/M302</f>
        <v>10.977652389827908</v>
      </c>
      <c r="T303" s="141"/>
    </row>
    <row r="304" spans="3:20" s="9" customFormat="1" ht="20.25" customHeight="1" hidden="1">
      <c r="C304" s="9">
        <f>C14/C303</f>
        <v>8.71386200133251</v>
      </c>
      <c r="T304" s="141"/>
    </row>
    <row r="305" spans="1:20" s="9" customFormat="1" ht="39" customHeight="1">
      <c r="A305" s="200" t="s">
        <v>138</v>
      </c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2"/>
      <c r="T305" s="141"/>
    </row>
    <row r="306" spans="1:21" s="12" customFormat="1" ht="20.25" customHeight="1">
      <c r="A306" s="195" t="s">
        <v>66</v>
      </c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7"/>
      <c r="T306" s="141"/>
      <c r="U306" s="23"/>
    </row>
    <row r="307" spans="1:21" s="12" customFormat="1" ht="23.25" customHeight="1">
      <c r="A307" s="198" t="s">
        <v>45</v>
      </c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99"/>
      <c r="T307" s="141"/>
      <c r="U307" s="23"/>
    </row>
    <row r="308" spans="1:21" s="12" customFormat="1" ht="20.25" customHeight="1">
      <c r="A308" s="27" t="s">
        <v>21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141"/>
      <c r="U308" s="23"/>
    </row>
    <row r="309" spans="1:21" s="12" customFormat="1" ht="37.5">
      <c r="A309" s="28" t="s">
        <v>32</v>
      </c>
      <c r="B309" s="27">
        <v>318606</v>
      </c>
      <c r="C309" s="129">
        <v>50</v>
      </c>
      <c r="D309" s="129">
        <v>50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141"/>
      <c r="U309" s="23"/>
    </row>
    <row r="310" spans="1:21" s="12" customFormat="1" ht="18.75" customHeight="1">
      <c r="A310" s="27" t="s">
        <v>16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141"/>
      <c r="U310" s="23"/>
    </row>
    <row r="311" spans="1:21" s="12" customFormat="1" ht="75">
      <c r="A311" s="28" t="s">
        <v>84</v>
      </c>
      <c r="B311" s="27"/>
      <c r="C311" s="27">
        <v>300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141"/>
      <c r="U311" s="23"/>
    </row>
    <row r="312" spans="1:21" s="12" customFormat="1" ht="37.5">
      <c r="A312" s="28" t="s">
        <v>17</v>
      </c>
      <c r="B312" s="27"/>
      <c r="C312" s="2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141"/>
      <c r="U312" s="23"/>
    </row>
    <row r="313" spans="1:21" s="12" customFormat="1" ht="75">
      <c r="A313" s="28" t="s">
        <v>85</v>
      </c>
      <c r="B313" s="27"/>
      <c r="C313" s="29">
        <f>C309/C311</f>
        <v>0.16666666666666666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141"/>
      <c r="U313" s="23"/>
    </row>
    <row r="314" spans="1:20" s="9" customFormat="1" ht="18.75">
      <c r="A314" s="77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41"/>
    </row>
    <row r="315" spans="1:20" s="9" customFormat="1" ht="17.25" customHeight="1">
      <c r="A315" s="77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41"/>
    </row>
    <row r="316" spans="1:20" s="9" customFormat="1" ht="14.25" customHeight="1">
      <c r="A316" s="77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41"/>
    </row>
    <row r="317" spans="1:20" s="9" customFormat="1" ht="18.75">
      <c r="A317" s="77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41"/>
    </row>
    <row r="318" spans="1:20" s="10" customFormat="1" ht="66.75" customHeight="1">
      <c r="A318" s="203" t="s">
        <v>146</v>
      </c>
      <c r="B318" s="204"/>
      <c r="C318" s="204"/>
      <c r="D318" s="204"/>
      <c r="E318" s="204"/>
      <c r="F318" s="122"/>
      <c r="G318" s="122"/>
      <c r="H318" s="122"/>
      <c r="I318" s="122"/>
      <c r="J318" s="122"/>
      <c r="K318" s="122"/>
      <c r="L318" s="122"/>
      <c r="M318" s="123"/>
      <c r="N318" s="124"/>
      <c r="O318" s="124"/>
      <c r="P318" s="124"/>
      <c r="Q318" s="124"/>
      <c r="R318" s="124"/>
      <c r="S318" s="25"/>
      <c r="T318" s="141"/>
    </row>
    <row r="319" spans="1:20" s="9" customFormat="1" ht="32.25" customHeight="1">
      <c r="A319" s="204"/>
      <c r="B319" s="204"/>
      <c r="C319" s="204"/>
      <c r="D319" s="204"/>
      <c r="E319" s="204"/>
      <c r="F319" s="125"/>
      <c r="G319" s="125"/>
      <c r="H319" s="125"/>
      <c r="I319" s="125"/>
      <c r="J319" s="125"/>
      <c r="K319" s="125"/>
      <c r="L319" s="125"/>
      <c r="M319" s="124"/>
      <c r="N319" s="124"/>
      <c r="O319" s="127" t="s">
        <v>147</v>
      </c>
      <c r="P319" s="126"/>
      <c r="Q319" s="126"/>
      <c r="R319" s="126"/>
      <c r="S319" s="26"/>
      <c r="T319" s="141"/>
    </row>
    <row r="320" spans="1:20" s="9" customFormat="1" ht="20.25">
      <c r="A320" s="13"/>
      <c r="T320" s="87"/>
    </row>
    <row r="321" spans="1:20" s="9" customFormat="1" ht="26.25">
      <c r="A321" s="193" t="s">
        <v>134</v>
      </c>
      <c r="B321" s="194"/>
      <c r="T321" s="87"/>
    </row>
    <row r="322" spans="1:20" s="9" customFormat="1" ht="20.25">
      <c r="A322" s="136"/>
      <c r="B322" s="136"/>
      <c r="T322" s="87"/>
    </row>
    <row r="323" s="9" customFormat="1" ht="17.25"/>
    <row r="324" s="9" customFormat="1" ht="17.25"/>
    <row r="325" s="9" customFormat="1" ht="17.25"/>
    <row r="326" s="9" customFormat="1" ht="17.25"/>
    <row r="327" s="9" customFormat="1" ht="17.25"/>
    <row r="328" s="9" customFormat="1" ht="17.25"/>
    <row r="329" s="9" customFormat="1" ht="17.25"/>
    <row r="330" s="9" customFormat="1" ht="17.25"/>
    <row r="331" s="9" customFormat="1" ht="17.25"/>
    <row r="332" s="9" customFormat="1" ht="17.25"/>
    <row r="333" s="9" customFormat="1" ht="17.25"/>
    <row r="334" s="9" customFormat="1" ht="17.25"/>
    <row r="335" s="9" customFormat="1" ht="17.25"/>
    <row r="336" s="9" customFormat="1" ht="17.25"/>
    <row r="337" s="9" customFormat="1" ht="17.25"/>
    <row r="338" s="9" customFormat="1" ht="17.25"/>
    <row r="339" s="9" customFormat="1" ht="17.25"/>
    <row r="340" s="9" customFormat="1" ht="17.25"/>
    <row r="341" s="9" customFormat="1" ht="17.25"/>
    <row r="342" s="9" customFormat="1" ht="17.25"/>
    <row r="343" s="9" customFormat="1" ht="17.25"/>
    <row r="344" s="9" customFormat="1" ht="17.25"/>
    <row r="345" s="9" customFormat="1" ht="17.25"/>
    <row r="346" s="9" customFormat="1" ht="17.25"/>
    <row r="347" s="9" customFormat="1" ht="17.25"/>
    <row r="348" s="9" customFormat="1" ht="17.25"/>
    <row r="349" s="9" customFormat="1" ht="17.25"/>
    <row r="350" s="9" customFormat="1" ht="17.25"/>
    <row r="351" s="9" customFormat="1" ht="17.25"/>
    <row r="352" s="9" customFormat="1" ht="17.25"/>
    <row r="353" s="9" customFormat="1" ht="17.25"/>
    <row r="354" s="9" customFormat="1" ht="17.25"/>
    <row r="355" s="9" customFormat="1" ht="17.25"/>
    <row r="356" s="9" customFormat="1" ht="17.25"/>
    <row r="357" s="9" customFormat="1" ht="17.25"/>
    <row r="358" s="9" customFormat="1" ht="17.25"/>
    <row r="359" s="9" customFormat="1" ht="17.25"/>
    <row r="360" s="9" customFormat="1" ht="17.25"/>
    <row r="361" s="9" customFormat="1" ht="17.25"/>
    <row r="362" s="9" customFormat="1" ht="17.25"/>
    <row r="363" s="9" customFormat="1" ht="17.25"/>
    <row r="364" s="9" customFormat="1" ht="17.25"/>
    <row r="365" s="9" customFormat="1" ht="17.25"/>
    <row r="366" s="9" customFormat="1" ht="17.25"/>
    <row r="367" s="9" customFormat="1" ht="17.25"/>
    <row r="368" s="9" customFormat="1" ht="17.25"/>
    <row r="369" s="9" customFormat="1" ht="17.25"/>
    <row r="370" s="9" customFormat="1" ht="17.25"/>
    <row r="371" s="9" customFormat="1" ht="17.25"/>
    <row r="372" s="9" customFormat="1" ht="17.25"/>
    <row r="373" s="9" customFormat="1" ht="17.25"/>
    <row r="374" s="9" customFormat="1" ht="17.25"/>
    <row r="375" s="9" customFormat="1" ht="17.25"/>
    <row r="376" s="9" customFormat="1" ht="17.25"/>
    <row r="377" s="9" customFormat="1" ht="17.25"/>
    <row r="378" s="9" customFormat="1" ht="17.25"/>
    <row r="379" s="9" customFormat="1" ht="17.25"/>
    <row r="380" s="9" customFormat="1" ht="17.25"/>
    <row r="381" s="9" customFormat="1" ht="17.25"/>
    <row r="382" s="9" customFormat="1" ht="17.25"/>
    <row r="383" s="9" customFormat="1" ht="17.25"/>
    <row r="384" s="9" customFormat="1" ht="17.25"/>
    <row r="385" s="9" customFormat="1" ht="17.25"/>
    <row r="386" s="9" customFormat="1" ht="17.25"/>
    <row r="387" s="9" customFormat="1" ht="17.25"/>
    <row r="388" s="9" customFormat="1" ht="17.25"/>
    <row r="389" s="9" customFormat="1" ht="17.25"/>
    <row r="390" s="9" customFormat="1" ht="17.25"/>
    <row r="391" s="9" customFormat="1" ht="17.25"/>
    <row r="392" s="9" customFormat="1" ht="17.25"/>
    <row r="393" s="9" customFormat="1" ht="17.25"/>
    <row r="394" s="9" customFormat="1" ht="17.25"/>
    <row r="395" s="9" customFormat="1" ht="17.25"/>
    <row r="396" s="9" customFormat="1" ht="17.25"/>
    <row r="397" s="9" customFormat="1" ht="17.25"/>
    <row r="398" s="9" customFormat="1" ht="17.25"/>
    <row r="399" s="9" customFormat="1" ht="17.25"/>
    <row r="400" s="9" customFormat="1" ht="17.25"/>
    <row r="401" s="9" customFormat="1" ht="17.25"/>
  </sheetData>
  <sheetProtection/>
  <mergeCells count="87">
    <mergeCell ref="A262:S262"/>
    <mergeCell ref="A248:S248"/>
    <mergeCell ref="A249:S249"/>
    <mergeCell ref="A222:S222"/>
    <mergeCell ref="A235:S235"/>
    <mergeCell ref="A173:S173"/>
    <mergeCell ref="A174:S174"/>
    <mergeCell ref="A221:S221"/>
    <mergeCell ref="A185:S185"/>
    <mergeCell ref="A321:B321"/>
    <mergeCell ref="A306:S306"/>
    <mergeCell ref="A307:S307"/>
    <mergeCell ref="A264:S264"/>
    <mergeCell ref="A282:S282"/>
    <mergeCell ref="A281:S281"/>
    <mergeCell ref="A277:S277"/>
    <mergeCell ref="A305:S305"/>
    <mergeCell ref="A318:E319"/>
    <mergeCell ref="F11:G11"/>
    <mergeCell ref="A140:S140"/>
    <mergeCell ref="A101:S101"/>
    <mergeCell ref="A128:S128"/>
    <mergeCell ref="H11:H12"/>
    <mergeCell ref="I11:J11"/>
    <mergeCell ref="A276:S276"/>
    <mergeCell ref="N11:O11"/>
    <mergeCell ref="A17:S17"/>
    <mergeCell ref="A35:S35"/>
    <mergeCell ref="A18:S18"/>
    <mergeCell ref="P11:Q11"/>
    <mergeCell ref="K11:L11"/>
    <mergeCell ref="A9:A12"/>
    <mergeCell ref="H10:L10"/>
    <mergeCell ref="M10:S10"/>
    <mergeCell ref="A161:S161"/>
    <mergeCell ref="A154:S154"/>
    <mergeCell ref="A15:S15"/>
    <mergeCell ref="A87:S87"/>
    <mergeCell ref="A88:S88"/>
    <mergeCell ref="A62:S62"/>
    <mergeCell ref="A16:D16"/>
    <mergeCell ref="C11:C12"/>
    <mergeCell ref="B9:S9"/>
    <mergeCell ref="A200:S200"/>
    <mergeCell ref="A100:S100"/>
    <mergeCell ref="A63:S63"/>
    <mergeCell ref="A50:S50"/>
    <mergeCell ref="A74:S74"/>
    <mergeCell ref="A36:S36"/>
    <mergeCell ref="R11:S11"/>
    <mergeCell ref="A187:S187"/>
    <mergeCell ref="T290:T319"/>
    <mergeCell ref="T160:T171"/>
    <mergeCell ref="T172:T197"/>
    <mergeCell ref="T198:T211"/>
    <mergeCell ref="T212:T236"/>
    <mergeCell ref="A201:S201"/>
    <mergeCell ref="A263:S263"/>
    <mergeCell ref="A223:S223"/>
    <mergeCell ref="A236:S236"/>
    <mergeCell ref="A186:S186"/>
    <mergeCell ref="A141:S141"/>
    <mergeCell ref="A153:S153"/>
    <mergeCell ref="T74:T102"/>
    <mergeCell ref="T103:T116"/>
    <mergeCell ref="T117:T130"/>
    <mergeCell ref="T131:T145"/>
    <mergeCell ref="K3:R3"/>
    <mergeCell ref="T13:T22"/>
    <mergeCell ref="T23:T31"/>
    <mergeCell ref="T32:T44"/>
    <mergeCell ref="T45:T58"/>
    <mergeCell ref="T59:T73"/>
    <mergeCell ref="A49:S49"/>
    <mergeCell ref="M11:M12"/>
    <mergeCell ref="D11:E11"/>
    <mergeCell ref="B11:B12"/>
    <mergeCell ref="K2:S2"/>
    <mergeCell ref="A322:B322"/>
    <mergeCell ref="A6:R6"/>
    <mergeCell ref="T237:T252"/>
    <mergeCell ref="T253:T271"/>
    <mergeCell ref="T272:T289"/>
    <mergeCell ref="T146:T159"/>
    <mergeCell ref="A117:S117"/>
    <mergeCell ref="A214:S214"/>
    <mergeCell ref="A213:S213"/>
  </mergeCells>
  <printOptions horizontalCentered="1"/>
  <pageMargins left="0.15748031496062992" right="0.1968503937007874" top="0.5905511811023623" bottom="0.35433070866141736" header="0.31496062992125984" footer="0.31496062992125984"/>
  <pageSetup fitToHeight="0" fitToWidth="0" horizontalDpi="600" verticalDpi="600" orientation="landscape" paperSize="9" scale="46" r:id="rId1"/>
  <headerFooter differentFirst="1">
    <oddFooter xml:space="preserve">&amp;R </oddFooter>
  </headerFooter>
  <rowBreaks count="18" manualBreakCount="18">
    <brk id="20" max="18" man="1"/>
    <brk id="31" max="18" man="1"/>
    <brk id="43" max="18" man="1"/>
    <brk id="58" max="18" man="1"/>
    <brk id="78" max="18" man="1"/>
    <brk id="98" max="18" man="1"/>
    <brk id="116" max="18" man="1"/>
    <brk id="132" max="18" man="1"/>
    <brk id="147" max="18" man="1"/>
    <brk id="160" max="18" man="1"/>
    <brk id="175" max="18" man="1"/>
    <brk id="191" max="18" man="1"/>
    <brk id="204" max="18" man="1"/>
    <brk id="224" max="18" man="1"/>
    <brk id="245" max="18" man="1"/>
    <brk id="261" max="18" man="1"/>
    <brk id="286" max="18" man="1"/>
    <brk id="31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16">
        <v>44930.8</v>
      </c>
      <c r="B1" s="17">
        <v>49314</v>
      </c>
      <c r="C1" s="17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18">
        <v>5744.6</v>
      </c>
      <c r="B2" s="19">
        <v>6071.9</v>
      </c>
      <c r="C2" s="19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5" t="s">
        <v>90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5" ht="15">
      <c r="A2" s="15" t="s">
        <v>91</v>
      </c>
      <c r="B2" s="15">
        <v>1416.204</v>
      </c>
      <c r="C2" s="15">
        <f>B2*1.1235</f>
        <v>1591.1051939999998</v>
      </c>
      <c r="D2" s="15">
        <f>C2*1.068</f>
        <v>1699.300347192</v>
      </c>
      <c r="E2" s="15">
        <f>D2*1.052</f>
        <v>1787.663965245984</v>
      </c>
    </row>
    <row r="3" spans="1:9" ht="15">
      <c r="A3" s="15"/>
      <c r="B3" s="15">
        <v>1258.85</v>
      </c>
      <c r="C3" s="15">
        <f>B3*1.1235</f>
        <v>1414.317975</v>
      </c>
      <c r="D3" s="15">
        <f>C3*1.068</f>
        <v>1510.4915973</v>
      </c>
      <c r="E3" s="15">
        <f>D3*1.052</f>
        <v>1589.0371603596</v>
      </c>
      <c r="F3" t="s">
        <v>94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5" t="s">
        <v>92</v>
      </c>
      <c r="B4" s="15">
        <v>2.364</v>
      </c>
      <c r="C4" s="15">
        <f>B4*1.09</f>
        <v>2.57676</v>
      </c>
      <c r="D4" s="15">
        <f>C4*1.068</f>
        <v>2.7519796800000003</v>
      </c>
      <c r="E4" s="15">
        <f>D4*1.052</f>
        <v>2.8950826233600004</v>
      </c>
    </row>
    <row r="5" spans="1:5" ht="15">
      <c r="A5" s="15"/>
      <c r="B5" s="15"/>
      <c r="C5" s="15"/>
      <c r="D5" s="15"/>
      <c r="E5" s="15"/>
    </row>
    <row r="6" spans="1:5" ht="15">
      <c r="A6" s="15" t="s">
        <v>93</v>
      </c>
      <c r="B6" s="15">
        <v>9379.22</v>
      </c>
      <c r="C6" s="15">
        <f>B6*1.14</f>
        <v>10692.310799999997</v>
      </c>
      <c r="D6" s="15">
        <f>C6*1.068</f>
        <v>11419.387934399998</v>
      </c>
      <c r="E6" s="15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2017-10-26T05:19:30Z</dcterms:modified>
  <cp:category/>
  <cp:version/>
  <cp:contentType/>
  <cp:contentStatus/>
</cp:coreProperties>
</file>