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0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3'!$8:$11</definedName>
    <definedName name="_xlnm.Print_Titles" localSheetId="1">'дод. 4'!$9:$12</definedName>
    <definedName name="_xlnm.Print_Area" localSheetId="0">'дод. 3'!$A$1:$P$275</definedName>
    <definedName name="_xlnm.Print_Area" localSheetId="1">'дод. 4'!$A$1:$O$215</definedName>
  </definedNames>
  <calcPr fullCalcOnLoad="1"/>
</workbook>
</file>

<file path=xl/sharedStrings.xml><?xml version="1.0" encoding="utf-8"?>
<sst xmlns="http://schemas.openxmlformats.org/spreadsheetml/2006/main" count="773" uniqueCount="597">
  <si>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</si>
  <si>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</si>
  <si>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</si>
  <si>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</si>
  <si>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</si>
  <si>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</si>
  <si>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</si>
  <si>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</si>
  <si>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</si>
  <si>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</si>
  <si>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</si>
  <si>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</si>
  <si>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</si>
  <si>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</si>
  <si>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</si>
  <si>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</si>
  <si>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</si>
  <si>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</si>
  <si>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</si>
  <si>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</si>
  <si>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</si>
  <si>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</si>
  <si>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</si>
  <si>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</si>
  <si>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</si>
  <si>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</si>
  <si>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</si>
  <si>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</si>
  <si>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</si>
  <si>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</si>
  <si>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</si>
  <si>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</si>
  <si>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</si>
  <si>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</si>
  <si>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</si>
  <si>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</si>
  <si>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</si>
  <si>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</si>
  <si>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</si>
  <si>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</si>
  <si>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</si>
  <si>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</si>
  <si>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</si>
  <si>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</si>
  <si>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</si>
  <si>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</si>
  <si>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</si>
  <si>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</si>
  <si>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</si>
  <si>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</si>
  <si>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</si>
  <si>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</si>
  <si>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</si>
  <si>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</si>
  <si>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</si>
  <si>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</si>
  <si>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</si>
  <si>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</si>
  <si>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</si>
  <si>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</si>
  <si>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</si>
  <si>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</si>
  <si>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</si>
  <si>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</si>
  <si>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</si>
  <si>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</si>
  <si>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</si>
  <si>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</si>
  <si>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</si>
  <si>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</si>
  <si>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</si>
  <si>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</si>
  <si>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</si>
  <si>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</si>
  <si>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</si>
  <si>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</si>
  <si>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</si>
  <si>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</si>
  <si>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</si>
  <si>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</si>
  <si>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</si>
  <si>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</si>
  <si>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</si>
  <si>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</si>
  <si>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</si>
  <si>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</si>
  <si>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</si>
  <si>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</si>
  <si>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</si>
  <si>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</si>
  <si>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</si>
  <si>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</si>
  <si>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</si>
  <si>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</si>
  <si>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</si>
  <si>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</si>
  <si>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</si>
  <si>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</si>
  <si>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</si>
  <si>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</si>
  <si>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</si>
  <si>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</si>
  <si>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</si>
  <si>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</si>
  <si>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</si>
  <si>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</si>
  <si>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</si>
  <si>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</si>
  <si>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</si>
  <si>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</si>
  <si>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</si>
  <si>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</si>
  <si>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</si>
  <si>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</si>
  <si>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</si>
  <si>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</si>
  <si>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</si>
  <si>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</si>
  <si>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</si>
  <si>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</si>
  <si>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</si>
  <si>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</si>
  <si>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</si>
  <si>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</si>
  <si>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</si>
  <si>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</si>
  <si>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</si>
  <si>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</si>
  <si>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</si>
  <si>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</si>
  <si>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</si>
  <si>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</si>
  <si>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</si>
  <si>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</si>
  <si>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</si>
  <si>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</si>
  <si>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</si>
  <si>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</si>
  <si>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</si>
  <si>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</si>
  <si>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</si>
  <si>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</si>
  <si>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</si>
  <si>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</si>
  <si>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</si>
  <si>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</si>
  <si>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</si>
  <si>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</si>
  <si>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</si>
  <si>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</si>
  <si>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</si>
  <si>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</si>
  <si>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</si>
  <si>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</si>
  <si>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</si>
  <si>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</si>
  <si>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</si>
  <si>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</si>
  <si>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</si>
  <si>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</si>
  <si>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</si>
  <si>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</si>
  <si>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</si>
  <si>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</si>
  <si>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</si>
  <si>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</si>
  <si>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</si>
  <si>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</si>
  <si>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</si>
  <si>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</si>
  <si>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</si>
  <si>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</si>
  <si>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</si>
  <si>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</si>
  <si>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</si>
  <si>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</si>
  <si>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</si>
  <si>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</si>
  <si>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</si>
  <si>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</si>
  <si>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</si>
  <si>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</si>
  <si>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</si>
  <si>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</si>
  <si>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</si>
  <si>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</si>
  <si>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</si>
  <si>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</si>
  <si>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</si>
  <si>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</si>
  <si>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</si>
  <si>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</si>
  <si>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</si>
  <si>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</si>
  <si>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</si>
  <si>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</si>
  <si>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</si>
  <si>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</si>
  <si>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</si>
  <si>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</si>
  <si>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</si>
  <si>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</si>
  <si>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</si>
  <si>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</si>
  <si>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</si>
  <si>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</si>
  <si>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</si>
  <si>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</si>
  <si>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</si>
  <si>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</si>
  <si>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</si>
  <si>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</si>
  <si>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</si>
  <si>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</si>
  <si>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</si>
  <si>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</si>
  <si>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</si>
  <si>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</si>
  <si>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</si>
  <si>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</si>
  <si>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</si>
  <si>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</si>
  <si>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</si>
  <si>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</si>
  <si>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</si>
  <si>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</si>
  <si>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</si>
  <si>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</si>
  <si>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</si>
  <si>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</si>
  <si>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</si>
  <si>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</si>
  <si>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</si>
  <si>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</si>
  <si>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</si>
  <si>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</si>
  <si>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</si>
  <si>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</si>
  <si>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</si>
  <si>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</si>
  <si>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</si>
  <si>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</si>
  <si>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</si>
  <si>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</si>
  <si>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</si>
  <si>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</si>
  <si>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</si>
  <si>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</si>
  <si>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</si>
  <si>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</si>
  <si>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</si>
  <si>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</si>
  <si>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</si>
  <si>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</si>
  <si>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</si>
  <si>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</si>
  <si>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</si>
  <si>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</si>
  <si>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</si>
  <si>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</si>
  <si>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</si>
  <si>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</si>
  <si>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</si>
  <si>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</si>
  <si>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</si>
  <si>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</si>
  <si>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</si>
  <si>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</si>
  <si>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</si>
  <si>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</si>
  <si>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</si>
  <si>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</si>
  <si>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</si>
  <si>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</si>
  <si>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</si>
  <si>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</si>
  <si>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</si>
  <si>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</si>
  <si>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</si>
  <si>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</si>
  <si>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</si>
  <si>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</si>
  <si>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</si>
  <si>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</si>
  <si>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</si>
  <si>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</si>
  <si>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</si>
  <si>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</si>
  <si>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</si>
  <si>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</si>
  <si>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</si>
  <si>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</si>
  <si>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</si>
  <si>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</si>
  <si>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</si>
  <si>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</si>
  <si>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</si>
  <si>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</si>
  <si>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</si>
  <si>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</si>
  <si>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</si>
  <si>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</si>
  <si>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</si>
  <si>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</si>
  <si>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</si>
  <si>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</si>
  <si>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</si>
  <si>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</si>
  <si>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</si>
  <si>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</si>
  <si>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</si>
  <si>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</si>
  <si>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</si>
  <si>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</si>
  <si>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</si>
  <si>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</si>
  <si>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</si>
  <si>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</si>
  <si>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</si>
  <si>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</si>
  <si>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</si>
  <si>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</si>
  <si>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</si>
  <si>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</si>
  <si>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</si>
  <si>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</si>
  <si>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</si>
  <si>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</si>
  <si>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</si>
  <si>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</si>
  <si>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</si>
  <si>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</si>
  <si>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</si>
  <si>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</si>
  <si>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</si>
  <si>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</si>
  <si>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</si>
  <si>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</si>
  <si>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</si>
  <si>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</si>
  <si>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</si>
  <si>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</si>
  <si>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</si>
  <si>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</si>
  <si>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</si>
  <si>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</si>
  <si>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</si>
  <si>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</si>
  <si>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</si>
  <si>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</si>
  <si>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</si>
  <si>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</si>
  <si>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</si>
  <si>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</si>
  <si>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</si>
  <si>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</si>
  <si>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</si>
  <si>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</si>
  <si>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</si>
  <si>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</si>
  <si>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</si>
  <si>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</si>
  <si>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</si>
  <si>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</si>
  <si>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</si>
  <si>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</si>
  <si>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</si>
  <si>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</si>
  <si>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</si>
  <si>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</si>
  <si>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</si>
  <si>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</si>
  <si>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</si>
  <si>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</si>
  <si>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</si>
  <si>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</si>
  <si>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</si>
  <si>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</si>
  <si>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</si>
  <si>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</si>
  <si>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</si>
  <si>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</si>
  <si>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</si>
  <si>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</si>
  <si>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</si>
  <si>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</si>
  <si>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</si>
  <si>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</si>
  <si>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</si>
  <si>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</si>
  <si>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</si>
  <si>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</si>
  <si>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</si>
  <si>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</si>
  <si>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</si>
  <si>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</si>
  <si>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</si>
  <si>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</si>
  <si>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</si>
  <si>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</si>
  <si>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</si>
  <si>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</si>
  <si>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</si>
  <si>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</si>
  <si>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</si>
  <si>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</si>
  <si>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</si>
  <si>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</si>
  <si>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</si>
  <si>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</si>
  <si>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</si>
  <si>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</si>
  <si>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</si>
  <si>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</si>
  <si>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</si>
  <si>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</si>
  <si>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</si>
  <si>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</si>
  <si>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</si>
  <si>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</si>
  <si>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</si>
  <si>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</si>
  <si>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</si>
  <si>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</si>
  <si>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</si>
  <si>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</si>
  <si>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</si>
  <si>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</si>
  <si>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</si>
  <si>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</si>
  <si>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</si>
  <si>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</si>
  <si>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</si>
  <si>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</si>
  <si>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</si>
  <si>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</si>
  <si>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</si>
  <si>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</si>
  <si>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</si>
  <si>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</si>
  <si>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</si>
  <si>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</si>
  <si>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</si>
  <si>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</si>
  <si>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</si>
  <si>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</si>
  <si>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</si>
  <si>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</si>
  <si>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</si>
  <si>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</si>
  <si>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</si>
  <si>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</si>
  <si>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</si>
  <si>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</si>
  <si>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</si>
  <si>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</si>
  <si>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</si>
  <si>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</si>
  <si>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</si>
  <si>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</si>
  <si>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</si>
  <si>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</si>
  <si>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</si>
  <si>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</si>
  <si>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</si>
  <si>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</si>
  <si>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</si>
  <si>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</si>
  <si>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</si>
  <si>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</si>
  <si>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</si>
  <si>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</si>
  <si>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</si>
  <si>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</si>
  <si>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</si>
  <si>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</si>
  <si>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</si>
  <si>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</si>
  <si>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</si>
  <si>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</si>
  <si>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</si>
  <si>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</si>
  <si>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</si>
  <si>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</si>
  <si>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</si>
  <si>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</si>
  <si>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</si>
  <si>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</si>
  <si>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</si>
  <si>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</si>
  <si>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</si>
  <si>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</si>
  <si>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</si>
  <si>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</si>
  <si>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</si>
  <si>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</si>
  <si>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</si>
  <si>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 xml:space="preserve">                Додаток № 4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</si>
  <si>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</si>
  <si>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</si>
  <si>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</si>
  <si>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</si>
  <si>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</si>
  <si>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</si>
  <si>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</si>
  <si>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</si>
  <si>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</si>
  <si>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</si>
  <si>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</si>
  <si>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</si>
  <si>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</si>
  <si>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</si>
  <si>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</si>
  <si>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</si>
  <si>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</si>
  <si>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</si>
  <si>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</si>
  <si>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</si>
  <si>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</si>
  <si>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</si>
  <si>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</si>
  <si>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</si>
  <si>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</si>
  <si>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</si>
  <si>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</si>
  <si>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</si>
  <si>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</si>
  <si>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</si>
  <si>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</si>
  <si>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</si>
  <si>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</si>
  <si>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</si>
  <si>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</si>
  <si>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</si>
  <si>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</si>
  <si>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</si>
  <si>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</si>
  <si>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</si>
  <si>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</si>
  <si>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</si>
  <si>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</si>
  <si>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</si>
  <si>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</si>
  <si>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</si>
  <si>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</si>
  <si>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</si>
  <si>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</si>
  <si>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</si>
  <si>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</si>
  <si>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</si>
  <si>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</si>
  <si>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</si>
  <si>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</si>
  <si>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</si>
  <si>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</si>
  <si>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</si>
  <si>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</si>
  <si>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</si>
  <si>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</si>
  <si>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</si>
  <si>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</si>
  <si>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</si>
  <si>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</si>
  <si>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</si>
  <si>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</si>
  <si>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</si>
  <si>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</si>
  <si>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</si>
  <si>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</si>
  <si>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</si>
  <si>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</si>
  <si>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</si>
  <si>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</si>
  <si>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</si>
  <si>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</si>
  <si>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</si>
  <si>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</si>
  <si>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</si>
  <si>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</si>
  <si>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</si>
  <si>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</si>
  <si>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</si>
  <si>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</si>
  <si>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Сумський міський голова</t>
  </si>
  <si>
    <t>О.М. Лисенко</t>
  </si>
  <si>
    <t>Виконавець: Липова С.А.</t>
  </si>
  <si>
    <t xml:space="preserve">                Додаток № 3</t>
  </si>
  <si>
    <t>до  рішення Сумської  міської  ради</t>
  </si>
  <si>
    <t xml:space="preserve">«Про міський  бюджет  на 2018  рік» </t>
  </si>
  <si>
    <t>від 21 грудня 2017 року № 2909 - МР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</si>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</sst>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13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7" fillId="7" borderId="0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4" fontId="0" fillId="7" borderId="0" xfId="0" applyNumberFormat="1" applyFont="1" applyFill="1" applyAlignment="1">
      <alignment/>
    </xf>
    <xf numFmtId="0" fontId="0" fillId="7" borderId="0" xfId="0" applyFont="1" applyFill="1" applyBorder="1" applyAlignment="1">
      <alignment vertical="center"/>
    </xf>
    <xf numFmtId="4" fontId="26" fillId="7" borderId="0" xfId="0" applyNumberFormat="1" applyFont="1" applyFill="1" applyAlignment="1">
      <alignment vertical="center"/>
    </xf>
    <xf numFmtId="0" fontId="27" fillId="7" borderId="0" xfId="0" applyFont="1" applyFill="1" applyAlignment="1">
      <alignment vertical="center"/>
    </xf>
    <xf numFmtId="4" fontId="0" fillId="7" borderId="0" xfId="0" applyNumberFormat="1" applyFont="1" applyFill="1" applyAlignment="1">
      <alignment/>
    </xf>
    <xf numFmtId="4" fontId="29" fillId="0" borderId="15" xfId="0" applyNumberFormat="1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0" fontId="0" fillId="7" borderId="14" xfId="0" applyFont="1" applyFill="1" applyBorder="1" applyAlignment="1">
      <alignment horizontal="center" vertical="center"/>
    </xf>
    <xf numFmtId="4" fontId="44" fillId="7" borderId="14" xfId="0" applyNumberFormat="1" applyFont="1" applyFill="1" applyBorder="1" applyAlignment="1">
      <alignment vertical="center"/>
    </xf>
    <xf numFmtId="4" fontId="49" fillId="7" borderId="14" xfId="0" applyNumberFormat="1" applyFont="1" applyFill="1" applyBorder="1" applyAlignment="1">
      <alignment vertical="center"/>
    </xf>
    <xf numFmtId="4" fontId="0" fillId="7" borderId="14" xfId="0" applyNumberFormat="1" applyFont="1" applyFill="1" applyBorder="1" applyAlignment="1">
      <alignment vertical="center"/>
    </xf>
    <xf numFmtId="4" fontId="45" fillId="7" borderId="14" xfId="0" applyNumberFormat="1" applyFont="1" applyFill="1" applyBorder="1" applyAlignment="1">
      <alignment vertical="center"/>
    </xf>
    <xf numFmtId="4" fontId="26" fillId="7" borderId="14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6" fillId="7" borderId="0" xfId="0" applyFont="1" applyFill="1" applyBorder="1" applyAlignment="1">
      <alignment horizontal="right" wrapText="1"/>
    </xf>
    <xf numFmtId="4" fontId="0" fillId="1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wrapText="1"/>
    </xf>
    <xf numFmtId="9" fontId="0" fillId="7" borderId="15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 wrapText="1"/>
    </xf>
    <xf numFmtId="4" fontId="44" fillId="7" borderId="15" xfId="0" applyNumberFormat="1" applyFont="1" applyFill="1" applyBorder="1" applyAlignment="1">
      <alignment vertical="center"/>
    </xf>
    <xf numFmtId="4" fontId="49" fillId="7" borderId="15" xfId="0" applyNumberFormat="1" applyFont="1" applyFill="1" applyBorder="1" applyAlignment="1">
      <alignment vertical="center"/>
    </xf>
    <xf numFmtId="4" fontId="0" fillId="7" borderId="15" xfId="0" applyNumberFormat="1" applyFont="1" applyFill="1" applyBorder="1" applyAlignment="1">
      <alignment vertical="center"/>
    </xf>
    <xf numFmtId="4" fontId="45" fillId="7" borderId="15" xfId="0" applyNumberFormat="1" applyFont="1" applyFill="1" applyBorder="1" applyAlignment="1">
      <alignment vertical="center"/>
    </xf>
    <xf numFmtId="4" fontId="44" fillId="7" borderId="17" xfId="0" applyNumberFormat="1" applyFont="1" applyFill="1" applyBorder="1" applyAlignment="1">
      <alignment vertical="center"/>
    </xf>
    <xf numFmtId="4" fontId="45" fillId="0" borderId="15" xfId="0" applyNumberFormat="1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0" fontId="27" fillId="7" borderId="15" xfId="0" applyFont="1" applyFill="1" applyBorder="1" applyAlignment="1">
      <alignment vertical="center"/>
    </xf>
    <xf numFmtId="4" fontId="47" fillId="4" borderId="14" xfId="0" applyNumberFormat="1" applyFont="1" applyFill="1" applyBorder="1" applyAlignment="1">
      <alignment vertical="center"/>
    </xf>
    <xf numFmtId="4" fontId="48" fillId="4" borderId="14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10" fontId="0" fillId="7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4" fillId="7" borderId="0" xfId="0" applyNumberFormat="1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49" fillId="7" borderId="0" xfId="0" applyNumberFormat="1" applyFont="1" applyFill="1" applyBorder="1" applyAlignment="1">
      <alignment vertical="center"/>
    </xf>
    <xf numFmtId="4" fontId="49" fillId="13" borderId="0" xfId="0" applyNumberFormat="1" applyFont="1" applyFill="1" applyBorder="1" applyAlignment="1">
      <alignment vertical="center"/>
    </xf>
    <xf numFmtId="4" fontId="0" fillId="7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5" fillId="7" borderId="0" xfId="0" applyNumberFormat="1" applyFont="1" applyFill="1" applyBorder="1" applyAlignment="1">
      <alignment vertical="center"/>
    </xf>
    <xf numFmtId="4" fontId="45" fillId="13" borderId="0" xfId="0" applyNumberFormat="1" applyFont="1" applyFill="1" applyBorder="1" applyAlignment="1">
      <alignment vertical="center"/>
    </xf>
    <xf numFmtId="4" fontId="45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4" fontId="26" fillId="7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horizontal="right" vertical="center"/>
    </xf>
    <xf numFmtId="0" fontId="47" fillId="4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/>
    </xf>
    <xf numFmtId="9" fontId="47" fillId="4" borderId="0" xfId="0" applyNumberFormat="1" applyFont="1" applyFill="1" applyBorder="1" applyAlignment="1">
      <alignment horizontal="center" vertical="center"/>
    </xf>
    <xf numFmtId="10" fontId="47" fillId="4" borderId="0" xfId="0" applyNumberFormat="1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9" fontId="46" fillId="13" borderId="0" xfId="0" applyNumberFormat="1" applyFont="1" applyFill="1" applyBorder="1" applyAlignment="1">
      <alignment horizontal="center" vertical="center"/>
    </xf>
    <xf numFmtId="10" fontId="46" fillId="13" borderId="0" xfId="0" applyNumberFormat="1" applyFont="1" applyFill="1" applyBorder="1" applyAlignment="1">
      <alignment horizontal="center" vertical="center"/>
    </xf>
    <xf numFmtId="9" fontId="46" fillId="7" borderId="0" xfId="0" applyNumberFormat="1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13" borderId="0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3"/>
  <sheetViews>
    <sheetView showGridLines="0" showZeros="0" tabSelected="1" view="pageBreakPreview" zoomScale="70" zoomScaleNormal="70" zoomScaleSheetLayoutView="70" zoomScalePageLayoutView="0" workbookViewId="0" topLeftCell="A199">
      <selection activeCell="F222" sqref="F222"/>
    </sheetView>
  </sheetViews>
  <sheetFormatPr defaultColWidth="9.16015625" defaultRowHeight="12.75"/>
  <cols>
    <col min="1" max="1" width="19.33203125" style="76" customWidth="1"/>
    <col min="2" max="2" width="16.16015625" style="81" customWidth="1"/>
    <col min="3" max="3" width="16.16015625" style="77" customWidth="1"/>
    <col min="4" max="4" width="57.33203125" style="120" customWidth="1"/>
    <col min="5" max="5" width="24.16015625" style="73" customWidth="1"/>
    <col min="6" max="6" width="21.83203125" style="73" customWidth="1"/>
    <col min="7" max="7" width="19.33203125" style="73" customWidth="1"/>
    <col min="8" max="8" width="19.16015625" style="73" customWidth="1"/>
    <col min="9" max="9" width="18" style="73" customWidth="1"/>
    <col min="10" max="10" width="20.83203125" style="73" customWidth="1"/>
    <col min="11" max="11" width="17.16015625" style="73" customWidth="1"/>
    <col min="12" max="12" width="16.66015625" style="73" customWidth="1"/>
    <col min="13" max="13" width="16.5" style="73" customWidth="1"/>
    <col min="14" max="14" width="19.16015625" style="73" customWidth="1"/>
    <col min="15" max="15" width="20.16015625" style="73" customWidth="1"/>
    <col min="16" max="16" width="22.16015625" style="162" customWidth="1"/>
    <col min="17" max="17" width="18.16015625" style="158" hidden="1" customWidth="1"/>
    <col min="18" max="18" width="16.83203125" style="158" hidden="1" customWidth="1"/>
    <col min="19" max="19" width="15.83203125" style="159" hidden="1" customWidth="1"/>
    <col min="20" max="20" width="17.16015625" style="159" hidden="1" customWidth="1"/>
    <col min="21" max="21" width="16.5" style="159" hidden="1" customWidth="1"/>
    <col min="22" max="24" width="15.83203125" style="159" hidden="1" customWidth="1"/>
    <col min="25" max="26" width="18.16015625" style="159" hidden="1" customWidth="1"/>
    <col min="27" max="27" width="20.33203125" style="201" hidden="1" customWidth="1"/>
    <col min="28" max="28" width="17" style="201" hidden="1" customWidth="1"/>
    <col min="29" max="29" width="15.83203125" style="201" hidden="1" customWidth="1"/>
    <col min="30" max="30" width="18" style="201" hidden="1" customWidth="1"/>
    <col min="31" max="31" width="17.16015625" style="201" hidden="1" customWidth="1"/>
    <col min="32" max="34" width="15.83203125" style="201" hidden="1" customWidth="1"/>
    <col min="35" max="35" width="18.16015625" style="201" hidden="1" customWidth="1"/>
    <col min="36" max="36" width="18.83203125" style="201" hidden="1" customWidth="1"/>
    <col min="37" max="41" width="0" style="19" hidden="1" customWidth="1"/>
    <col min="42" max="16384" width="9.16015625" style="19" customWidth="1"/>
  </cols>
  <sheetData>
    <row r="1" spans="1:17" ht="26.25" customHeight="1">
      <c r="A1" s="65"/>
      <c r="B1" s="66"/>
      <c r="C1" s="66"/>
      <c r="D1" s="177"/>
      <c r="E1" s="178"/>
      <c r="F1" s="67"/>
      <c r="G1" s="67"/>
      <c r="H1" s="67"/>
      <c r="I1" s="67"/>
      <c r="J1" s="67"/>
      <c r="K1" s="178"/>
      <c r="L1" s="178"/>
      <c r="M1" s="288" t="s">
        <v>586</v>
      </c>
      <c r="N1" s="288"/>
      <c r="O1" s="288"/>
      <c r="P1" s="288"/>
      <c r="Q1" s="199"/>
    </row>
    <row r="2" spans="1:17" ht="26.25" customHeight="1">
      <c r="A2" s="65"/>
      <c r="B2" s="66"/>
      <c r="C2" s="66"/>
      <c r="D2" s="177"/>
      <c r="E2" s="178"/>
      <c r="F2" s="67"/>
      <c r="G2" s="67"/>
      <c r="H2" s="67"/>
      <c r="I2" s="67"/>
      <c r="J2" s="67"/>
      <c r="K2" s="178"/>
      <c r="L2" s="178"/>
      <c r="M2" s="199" t="s">
        <v>587</v>
      </c>
      <c r="N2" s="199"/>
      <c r="O2" s="199"/>
      <c r="P2" s="199"/>
      <c r="Q2" s="199"/>
    </row>
    <row r="3" spans="1:17" ht="26.25" customHeight="1">
      <c r="A3" s="65"/>
      <c r="B3" s="66"/>
      <c r="C3" s="66"/>
      <c r="D3" s="177"/>
      <c r="E3" s="179"/>
      <c r="F3" s="67"/>
      <c r="G3" s="67"/>
      <c r="H3" s="67"/>
      <c r="I3" s="67"/>
      <c r="J3" s="67"/>
      <c r="K3" s="179"/>
      <c r="L3" s="179"/>
      <c r="M3" s="290" t="s">
        <v>588</v>
      </c>
      <c r="N3" s="290"/>
      <c r="O3" s="290"/>
      <c r="P3" s="290"/>
      <c r="Q3" s="290"/>
    </row>
    <row r="4" spans="1:36" s="2" customFormat="1" ht="29.25" customHeight="1">
      <c r="A4" s="65"/>
      <c r="B4" s="66"/>
      <c r="C4" s="66"/>
      <c r="D4" s="180"/>
      <c r="E4" s="68"/>
      <c r="F4" s="68"/>
      <c r="G4" s="68"/>
      <c r="H4" s="67"/>
      <c r="I4" s="67"/>
      <c r="J4" s="67"/>
      <c r="K4" s="67"/>
      <c r="L4" s="67"/>
      <c r="M4" s="290" t="s">
        <v>589</v>
      </c>
      <c r="N4" s="290"/>
      <c r="O4" s="290"/>
      <c r="P4" s="290"/>
      <c r="Q4" s="290"/>
      <c r="R4" s="163"/>
      <c r="S4" s="160"/>
      <c r="T4" s="160"/>
      <c r="U4" s="160"/>
      <c r="V4" s="160"/>
      <c r="W4" s="160"/>
      <c r="X4" s="160"/>
      <c r="Y4" s="160"/>
      <c r="Z4" s="160"/>
      <c r="AA4" s="221"/>
      <c r="AB4" s="221"/>
      <c r="AC4" s="221"/>
      <c r="AD4" s="221"/>
      <c r="AE4" s="221"/>
      <c r="AF4" s="221"/>
      <c r="AG4" s="221"/>
      <c r="AH4" s="221"/>
      <c r="AI4" s="221"/>
      <c r="AJ4" s="221"/>
    </row>
    <row r="5" spans="1:36" s="2" customFormat="1" ht="29.25" customHeight="1">
      <c r="A5" s="65"/>
      <c r="B5" s="66"/>
      <c r="C5" s="66"/>
      <c r="D5" s="180"/>
      <c r="E5" s="68"/>
      <c r="F5" s="68"/>
      <c r="G5" s="68"/>
      <c r="H5" s="67"/>
      <c r="I5" s="67"/>
      <c r="J5" s="67"/>
      <c r="K5" s="67"/>
      <c r="L5" s="67"/>
      <c r="M5" s="200"/>
      <c r="N5" s="200"/>
      <c r="O5" s="200"/>
      <c r="P5" s="200"/>
      <c r="Q5" s="200"/>
      <c r="R5" s="163"/>
      <c r="S5" s="160"/>
      <c r="T5" s="160"/>
      <c r="U5" s="160"/>
      <c r="V5" s="160"/>
      <c r="W5" s="160"/>
      <c r="X5" s="160"/>
      <c r="Y5" s="160"/>
      <c r="Z5" s="160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1:36" ht="66" customHeight="1">
      <c r="A6" s="65"/>
      <c r="B6" s="66"/>
      <c r="C6" s="66"/>
      <c r="D6" s="289" t="s">
        <v>372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67"/>
      <c r="Q6" s="164"/>
      <c r="R6" s="164"/>
      <c r="S6" s="164"/>
      <c r="T6" s="164"/>
      <c r="U6" s="222"/>
      <c r="V6" s="222"/>
      <c r="W6" s="222"/>
      <c r="X6" s="222"/>
      <c r="Y6" s="222"/>
      <c r="Z6" s="222"/>
      <c r="AA6" s="223"/>
      <c r="AB6" s="223"/>
      <c r="AC6" s="223"/>
      <c r="AD6" s="223"/>
      <c r="AE6" s="223"/>
      <c r="AF6" s="223"/>
      <c r="AG6" s="223"/>
      <c r="AH6" s="223"/>
      <c r="AI6" s="223"/>
      <c r="AJ6" s="223"/>
    </row>
    <row r="7" spans="1:36" ht="21" customHeight="1">
      <c r="A7" s="65"/>
      <c r="B7" s="66"/>
      <c r="C7" s="66"/>
      <c r="D7" s="11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9" t="s">
        <v>373</v>
      </c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3"/>
      <c r="AB7" s="283"/>
      <c r="AC7" s="283"/>
      <c r="AD7" s="283"/>
      <c r="AE7" s="283"/>
      <c r="AF7" s="283"/>
      <c r="AG7" s="283"/>
      <c r="AH7" s="283"/>
      <c r="AI7" s="283"/>
      <c r="AJ7" s="283"/>
    </row>
    <row r="8" spans="1:36" s="3" customFormat="1" ht="21.75" customHeight="1">
      <c r="A8" s="294" t="s">
        <v>163</v>
      </c>
      <c r="B8" s="280" t="s">
        <v>165</v>
      </c>
      <c r="C8" s="280" t="s">
        <v>80</v>
      </c>
      <c r="D8" s="280" t="s">
        <v>178</v>
      </c>
      <c r="E8" s="280" t="s">
        <v>362</v>
      </c>
      <c r="F8" s="280"/>
      <c r="G8" s="280"/>
      <c r="H8" s="280"/>
      <c r="I8" s="280"/>
      <c r="J8" s="280" t="s">
        <v>363</v>
      </c>
      <c r="K8" s="280"/>
      <c r="L8" s="280"/>
      <c r="M8" s="280"/>
      <c r="N8" s="280"/>
      <c r="O8" s="280"/>
      <c r="P8" s="280" t="s">
        <v>364</v>
      </c>
      <c r="Q8" s="284"/>
      <c r="R8" s="284"/>
      <c r="S8" s="284"/>
      <c r="T8" s="284"/>
      <c r="U8" s="285"/>
      <c r="V8" s="285"/>
      <c r="W8" s="285"/>
      <c r="X8" s="285"/>
      <c r="Y8" s="285"/>
      <c r="Z8" s="285"/>
      <c r="AA8" s="286"/>
      <c r="AB8" s="286"/>
      <c r="AC8" s="286"/>
      <c r="AD8" s="286"/>
      <c r="AE8" s="286"/>
      <c r="AF8" s="286"/>
      <c r="AG8" s="286"/>
      <c r="AH8" s="286"/>
      <c r="AI8" s="286"/>
      <c r="AJ8" s="286"/>
    </row>
    <row r="9" spans="1:36" s="3" customFormat="1" ht="33" customHeight="1">
      <c r="A9" s="294"/>
      <c r="B9" s="280"/>
      <c r="C9" s="280"/>
      <c r="D9" s="280"/>
      <c r="E9" s="280" t="s">
        <v>365</v>
      </c>
      <c r="F9" s="280" t="s">
        <v>366</v>
      </c>
      <c r="G9" s="280" t="s">
        <v>367</v>
      </c>
      <c r="H9" s="280"/>
      <c r="I9" s="280" t="s">
        <v>368</v>
      </c>
      <c r="J9" s="280" t="s">
        <v>365</v>
      </c>
      <c r="K9" s="280" t="s">
        <v>366</v>
      </c>
      <c r="L9" s="280" t="s">
        <v>367</v>
      </c>
      <c r="M9" s="280"/>
      <c r="N9" s="280" t="s">
        <v>368</v>
      </c>
      <c r="O9" s="39" t="s">
        <v>367</v>
      </c>
      <c r="P9" s="280"/>
      <c r="Q9" s="284"/>
      <c r="R9" s="284"/>
      <c r="S9" s="284"/>
      <c r="T9" s="284"/>
      <c r="U9" s="285"/>
      <c r="V9" s="285"/>
      <c r="W9" s="285"/>
      <c r="X9" s="226"/>
      <c r="Y9" s="226"/>
      <c r="Z9" s="224"/>
      <c r="AA9" s="286"/>
      <c r="AB9" s="286"/>
      <c r="AC9" s="286"/>
      <c r="AD9" s="286"/>
      <c r="AE9" s="286"/>
      <c r="AF9" s="286"/>
      <c r="AG9" s="286"/>
      <c r="AH9" s="225"/>
      <c r="AI9" s="225"/>
      <c r="AJ9" s="225"/>
    </row>
    <row r="10" spans="1:36" s="3" customFormat="1" ht="30.75" customHeight="1">
      <c r="A10" s="294"/>
      <c r="B10" s="280"/>
      <c r="C10" s="280"/>
      <c r="D10" s="280"/>
      <c r="E10" s="280"/>
      <c r="F10" s="280"/>
      <c r="G10" s="280" t="s">
        <v>369</v>
      </c>
      <c r="H10" s="280" t="s">
        <v>370</v>
      </c>
      <c r="I10" s="280"/>
      <c r="J10" s="280"/>
      <c r="K10" s="280"/>
      <c r="L10" s="280" t="s">
        <v>369</v>
      </c>
      <c r="M10" s="280" t="s">
        <v>370</v>
      </c>
      <c r="N10" s="280"/>
      <c r="O10" s="280" t="s">
        <v>371</v>
      </c>
      <c r="P10" s="280"/>
      <c r="Q10" s="171"/>
      <c r="R10" s="209"/>
      <c r="S10" s="227"/>
      <c r="T10" s="227"/>
      <c r="U10" s="285"/>
      <c r="V10" s="285"/>
      <c r="W10" s="285"/>
      <c r="X10" s="227"/>
      <c r="Y10" s="227"/>
      <c r="Z10" s="227"/>
      <c r="AA10" s="228"/>
      <c r="AB10" s="229"/>
      <c r="AC10" s="230"/>
      <c r="AD10" s="230"/>
      <c r="AE10" s="286"/>
      <c r="AF10" s="286"/>
      <c r="AG10" s="286"/>
      <c r="AH10" s="230"/>
      <c r="AI10" s="230"/>
      <c r="AJ10" s="229"/>
    </row>
    <row r="11" spans="1:36" s="3" customFormat="1" ht="50.25" customHeight="1">
      <c r="A11" s="294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171"/>
      <c r="R11" s="210"/>
      <c r="S11" s="224"/>
      <c r="T11" s="231"/>
      <c r="U11" s="285"/>
      <c r="V11" s="285"/>
      <c r="W11" s="285"/>
      <c r="X11" s="226"/>
      <c r="Y11" s="226"/>
      <c r="Z11" s="231"/>
      <c r="AA11" s="228"/>
      <c r="AB11" s="225"/>
      <c r="AC11" s="225"/>
      <c r="AD11" s="228"/>
      <c r="AE11" s="286"/>
      <c r="AF11" s="286"/>
      <c r="AG11" s="286"/>
      <c r="AH11" s="225"/>
      <c r="AI11" s="225"/>
      <c r="AJ11" s="232"/>
    </row>
    <row r="12" spans="1:36" s="131" customFormat="1" ht="19.5" customHeight="1">
      <c r="A12" s="129" t="s">
        <v>237</v>
      </c>
      <c r="B12" s="129"/>
      <c r="C12" s="129"/>
      <c r="D12" s="130" t="s">
        <v>67</v>
      </c>
      <c r="E12" s="47">
        <f>E13</f>
        <v>140979545</v>
      </c>
      <c r="F12" s="47">
        <f aca="true" t="shared" si="0" ref="F12:P12">F13</f>
        <v>119434909</v>
      </c>
      <c r="G12" s="47">
        <f t="shared" si="0"/>
        <v>64749499</v>
      </c>
      <c r="H12" s="47">
        <f t="shared" si="0"/>
        <v>3718476</v>
      </c>
      <c r="I12" s="47">
        <f t="shared" si="0"/>
        <v>21544636</v>
      </c>
      <c r="J12" s="47">
        <f t="shared" si="0"/>
        <v>37560194</v>
      </c>
      <c r="K12" s="47">
        <f t="shared" si="0"/>
        <v>418694</v>
      </c>
      <c r="L12" s="47">
        <f t="shared" si="0"/>
        <v>141022</v>
      </c>
      <c r="M12" s="47">
        <f t="shared" si="0"/>
        <v>54604</v>
      </c>
      <c r="N12" s="47">
        <f t="shared" si="0"/>
        <v>37141500</v>
      </c>
      <c r="O12" s="47">
        <f t="shared" si="0"/>
        <v>37141500</v>
      </c>
      <c r="P12" s="47">
        <f t="shared" si="0"/>
        <v>178539739</v>
      </c>
      <c r="Q12" s="172"/>
      <c r="R12" s="211"/>
      <c r="S12" s="233"/>
      <c r="T12" s="233"/>
      <c r="U12" s="233"/>
      <c r="V12" s="233"/>
      <c r="W12" s="233"/>
      <c r="X12" s="233"/>
      <c r="Y12" s="233"/>
      <c r="Z12" s="233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</row>
    <row r="13" spans="1:36" s="134" customFormat="1" ht="19.5" customHeight="1">
      <c r="A13" s="132" t="s">
        <v>238</v>
      </c>
      <c r="B13" s="132"/>
      <c r="C13" s="132"/>
      <c r="D13" s="133" t="s">
        <v>67</v>
      </c>
      <c r="E13" s="87">
        <f>E14+E15+E16+E19+E21+E23+E24+E27+E30+E33+E36+E39+E41+E45+E46+E47+E48+E49+E50+E53+E54+E55+E56+E57+E44</f>
        <v>140979545</v>
      </c>
      <c r="F13" s="87">
        <f aca="true" t="shared" si="1" ref="F13:P13">F14+F15+F16+F19+F21+F23+F24+F27+F30+F33+F36+F39+F41+F45+F46+F47+F48+F49+F50+F53+F54+F55+F56+F57+F44</f>
        <v>119434909</v>
      </c>
      <c r="G13" s="87">
        <f t="shared" si="1"/>
        <v>64749499</v>
      </c>
      <c r="H13" s="87">
        <f t="shared" si="1"/>
        <v>3718476</v>
      </c>
      <c r="I13" s="87">
        <f t="shared" si="1"/>
        <v>21544636</v>
      </c>
      <c r="J13" s="87">
        <f t="shared" si="1"/>
        <v>37560194</v>
      </c>
      <c r="K13" s="87">
        <f t="shared" si="1"/>
        <v>418694</v>
      </c>
      <c r="L13" s="87">
        <f t="shared" si="1"/>
        <v>141022</v>
      </c>
      <c r="M13" s="87">
        <f t="shared" si="1"/>
        <v>54604</v>
      </c>
      <c r="N13" s="87">
        <f t="shared" si="1"/>
        <v>37141500</v>
      </c>
      <c r="O13" s="87">
        <f t="shared" si="1"/>
        <v>37141500</v>
      </c>
      <c r="P13" s="87">
        <f t="shared" si="1"/>
        <v>178539739</v>
      </c>
      <c r="Q13" s="173"/>
      <c r="R13" s="212"/>
      <c r="S13" s="235"/>
      <c r="T13" s="235"/>
      <c r="U13" s="235"/>
      <c r="V13" s="235"/>
      <c r="W13" s="235"/>
      <c r="X13" s="235"/>
      <c r="Y13" s="235"/>
      <c r="Z13" s="235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</row>
    <row r="14" spans="1:36" s="4" customFormat="1" ht="46.5" customHeight="1">
      <c r="A14" s="88" t="s">
        <v>239</v>
      </c>
      <c r="B14" s="88" t="str">
        <f>'дод. 4'!A14</f>
        <v>0160</v>
      </c>
      <c r="C14" s="88" t="str">
        <f>'дод. 4'!B14</f>
        <v>0111</v>
      </c>
      <c r="D14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4" s="90">
        <f>F14+I14</f>
        <v>72031300</v>
      </c>
      <c r="F14" s="90">
        <f>72007500+190000-526200+150000+210000</f>
        <v>72031300</v>
      </c>
      <c r="G14" s="90">
        <v>52010600</v>
      </c>
      <c r="H14" s="90">
        <v>2150738</v>
      </c>
      <c r="I14" s="90"/>
      <c r="J14" s="90">
        <f>K14+N14</f>
        <v>2705000</v>
      </c>
      <c r="K14" s="90"/>
      <c r="L14" s="90"/>
      <c r="M14" s="90"/>
      <c r="N14" s="90">
        <f>4000000-1295000</f>
        <v>2705000</v>
      </c>
      <c r="O14" s="90">
        <f>4000000-1295000</f>
        <v>2705000</v>
      </c>
      <c r="P14" s="90">
        <f>E14+J14</f>
        <v>74736300</v>
      </c>
      <c r="Q14" s="174"/>
      <c r="R14" s="213"/>
      <c r="S14" s="237"/>
      <c r="T14" s="237"/>
      <c r="U14" s="237"/>
      <c r="V14" s="237"/>
      <c r="W14" s="237"/>
      <c r="X14" s="237"/>
      <c r="Y14" s="237"/>
      <c r="Z14" s="237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</row>
    <row r="15" spans="1:36" s="4" customFormat="1" ht="27" customHeight="1">
      <c r="A15" s="88" t="s">
        <v>385</v>
      </c>
      <c r="B15" s="88" t="str">
        <f>'дод. 4'!A15</f>
        <v>0180</v>
      </c>
      <c r="C15" s="88" t="str">
        <f>'дод. 4'!B15</f>
        <v>0133</v>
      </c>
      <c r="D15" s="124" t="str">
        <f>'дод. 4'!C15</f>
        <v>Інша діяльність у сфері державного управління</v>
      </c>
      <c r="E15" s="90">
        <f>F15+I15</f>
        <v>100000</v>
      </c>
      <c r="F15" s="90">
        <v>100000</v>
      </c>
      <c r="G15" s="90"/>
      <c r="H15" s="90"/>
      <c r="I15" s="90"/>
      <c r="J15" s="90">
        <f>K15+N15</f>
        <v>0</v>
      </c>
      <c r="K15" s="90"/>
      <c r="L15" s="90"/>
      <c r="M15" s="90"/>
      <c r="N15" s="90"/>
      <c r="O15" s="90"/>
      <c r="P15" s="90">
        <f>E15+J15</f>
        <v>100000</v>
      </c>
      <c r="Q15" s="174"/>
      <c r="R15" s="213"/>
      <c r="S15" s="237"/>
      <c r="T15" s="237"/>
      <c r="U15" s="237"/>
      <c r="V15" s="237"/>
      <c r="W15" s="237"/>
      <c r="X15" s="237"/>
      <c r="Y15" s="237"/>
      <c r="Z15" s="237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</row>
    <row r="16" spans="1:36" s="4" customFormat="1" ht="68.25" customHeight="1">
      <c r="A16" s="88" t="s">
        <v>240</v>
      </c>
      <c r="B16" s="88" t="str">
        <f>'дод. 4'!A75</f>
        <v>3030</v>
      </c>
      <c r="C16" s="88">
        <f>'дод. 4'!B75</f>
        <v>0</v>
      </c>
      <c r="D16" s="124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6" s="90">
        <f>E17+E18</f>
        <v>90000</v>
      </c>
      <c r="F16" s="90">
        <f aca="true" t="shared" si="2" ref="F16:P16">F17+F18</f>
        <v>90000</v>
      </c>
      <c r="G16" s="90">
        <f t="shared" si="2"/>
        <v>0</v>
      </c>
      <c r="H16" s="90">
        <f t="shared" si="2"/>
        <v>0</v>
      </c>
      <c r="I16" s="90">
        <f t="shared" si="2"/>
        <v>0</v>
      </c>
      <c r="J16" s="90">
        <f t="shared" si="2"/>
        <v>0</v>
      </c>
      <c r="K16" s="90">
        <f t="shared" si="2"/>
        <v>0</v>
      </c>
      <c r="L16" s="90">
        <f t="shared" si="2"/>
        <v>0</v>
      </c>
      <c r="M16" s="90">
        <f t="shared" si="2"/>
        <v>0</v>
      </c>
      <c r="N16" s="90">
        <f t="shared" si="2"/>
        <v>0</v>
      </c>
      <c r="O16" s="90">
        <f t="shared" si="2"/>
        <v>0</v>
      </c>
      <c r="P16" s="90">
        <f t="shared" si="2"/>
        <v>90000</v>
      </c>
      <c r="Q16" s="174"/>
      <c r="R16" s="213"/>
      <c r="S16" s="237"/>
      <c r="T16" s="237"/>
      <c r="U16" s="237"/>
      <c r="V16" s="237"/>
      <c r="W16" s="237"/>
      <c r="X16" s="237"/>
      <c r="Y16" s="237"/>
      <c r="Z16" s="237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</row>
    <row r="17" spans="1:36" s="136" customFormat="1" ht="51.75" customHeight="1">
      <c r="A17" s="91" t="s">
        <v>401</v>
      </c>
      <c r="B17" s="91" t="str">
        <f>'дод. 4'!A78</f>
        <v>3033</v>
      </c>
      <c r="C17" s="91" t="str">
        <f>'дод. 4'!B78</f>
        <v>1070</v>
      </c>
      <c r="D17" s="121" t="str">
        <f>'дод. 4'!C78</f>
        <v>Компенсаційні виплати на пільговий проїзд автомобільним транспортом окремим категоріям громадян</v>
      </c>
      <c r="E17" s="93">
        <f>F17+I17</f>
        <v>25000</v>
      </c>
      <c r="F17" s="93">
        <v>25000</v>
      </c>
      <c r="G17" s="93"/>
      <c r="H17" s="93"/>
      <c r="I17" s="93"/>
      <c r="J17" s="93">
        <f>K17+N17</f>
        <v>0</v>
      </c>
      <c r="K17" s="93"/>
      <c r="L17" s="93"/>
      <c r="M17" s="93"/>
      <c r="N17" s="93"/>
      <c r="O17" s="93"/>
      <c r="P17" s="93">
        <f>E17+J17</f>
        <v>25000</v>
      </c>
      <c r="Q17" s="175"/>
      <c r="R17" s="214"/>
      <c r="S17" s="240"/>
      <c r="T17" s="240"/>
      <c r="U17" s="240"/>
      <c r="V17" s="240"/>
      <c r="W17" s="240"/>
      <c r="X17" s="240"/>
      <c r="Y17" s="240"/>
      <c r="Z17" s="240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</row>
    <row r="18" spans="1:36" s="136" customFormat="1" ht="37.5" customHeight="1">
      <c r="A18" s="91" t="s">
        <v>241</v>
      </c>
      <c r="B18" s="91" t="str">
        <f>'дод. 4'!A79</f>
        <v>3036</v>
      </c>
      <c r="C18" s="91" t="str">
        <f>'дод. 4'!B79</f>
        <v>1070</v>
      </c>
      <c r="D18" s="121" t="str">
        <f>'дод. 4'!C79</f>
        <v>Компенсаційні виплати на пільговий проїзд електротранспортом окремим категоріям громадян</v>
      </c>
      <c r="E18" s="93">
        <f>F18+I18</f>
        <v>65000</v>
      </c>
      <c r="F18" s="93">
        <v>65000</v>
      </c>
      <c r="G18" s="93"/>
      <c r="H18" s="93"/>
      <c r="I18" s="93"/>
      <c r="J18" s="93">
        <f aca="true" t="shared" si="3" ref="J18:J57">K18+N18</f>
        <v>0</v>
      </c>
      <c r="K18" s="93"/>
      <c r="L18" s="93"/>
      <c r="M18" s="93"/>
      <c r="N18" s="93"/>
      <c r="O18" s="93"/>
      <c r="P18" s="93">
        <f>E18+J18</f>
        <v>65000</v>
      </c>
      <c r="Q18" s="175"/>
      <c r="R18" s="214"/>
      <c r="S18" s="240"/>
      <c r="T18" s="240"/>
      <c r="U18" s="240"/>
      <c r="V18" s="240"/>
      <c r="W18" s="240"/>
      <c r="X18" s="240"/>
      <c r="Y18" s="240"/>
      <c r="Z18" s="240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</row>
    <row r="19" spans="1:36" s="4" customFormat="1" ht="32.25" customHeight="1">
      <c r="A19" s="94" t="s">
        <v>242</v>
      </c>
      <c r="B19" s="94" t="str">
        <f>'дод. 4'!A114</f>
        <v>3120</v>
      </c>
      <c r="C19" s="94">
        <f>'дод. 4'!B114</f>
        <v>0</v>
      </c>
      <c r="D19" s="122" t="str">
        <f>'дод. 4'!C114</f>
        <v>Здійснення соціальної роботи з вразливими категоріями населення</v>
      </c>
      <c r="E19" s="96">
        <f>E20</f>
        <v>1661740</v>
      </c>
      <c r="F19" s="96">
        <f aca="true" t="shared" si="4" ref="F19:P19">F20</f>
        <v>1661740</v>
      </c>
      <c r="G19" s="96">
        <f t="shared" si="4"/>
        <v>1247850</v>
      </c>
      <c r="H19" s="96">
        <f t="shared" si="4"/>
        <v>56450</v>
      </c>
      <c r="I19" s="96">
        <f t="shared" si="4"/>
        <v>0</v>
      </c>
      <c r="J19" s="96">
        <f t="shared" si="4"/>
        <v>20500</v>
      </c>
      <c r="K19" s="96">
        <f t="shared" si="4"/>
        <v>0</v>
      </c>
      <c r="L19" s="96">
        <f t="shared" si="4"/>
        <v>0</v>
      </c>
      <c r="M19" s="96">
        <f t="shared" si="4"/>
        <v>0</v>
      </c>
      <c r="N19" s="96">
        <f t="shared" si="4"/>
        <v>20500</v>
      </c>
      <c r="O19" s="96">
        <f t="shared" si="4"/>
        <v>20500</v>
      </c>
      <c r="P19" s="96">
        <f t="shared" si="4"/>
        <v>1682240</v>
      </c>
      <c r="Q19" s="174"/>
      <c r="R19" s="213"/>
      <c r="S19" s="237"/>
      <c r="T19" s="237"/>
      <c r="U19" s="237"/>
      <c r="V19" s="237"/>
      <c r="W19" s="237"/>
      <c r="X19" s="237"/>
      <c r="Y19" s="237"/>
      <c r="Z19" s="237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</row>
    <row r="20" spans="1:36" s="136" customFormat="1" ht="32.25" customHeight="1">
      <c r="A20" s="91" t="s">
        <v>243</v>
      </c>
      <c r="B20" s="91" t="str">
        <f>'дод. 4'!A115</f>
        <v>3121</v>
      </c>
      <c r="C20" s="91" t="str">
        <f>'дод. 4'!B115</f>
        <v>1040</v>
      </c>
      <c r="D20" s="121" t="str">
        <f>'дод. 4'!C115</f>
        <v>Утримання та забезпечення діяльності центрів соціальних служб для сім’ї, дітей та молоді</v>
      </c>
      <c r="E20" s="93">
        <f>F20+I20</f>
        <v>1661740</v>
      </c>
      <c r="F20" s="93">
        <v>1661740</v>
      </c>
      <c r="G20" s="93">
        <v>1247850</v>
      </c>
      <c r="H20" s="93">
        <v>56450</v>
      </c>
      <c r="I20" s="93"/>
      <c r="J20" s="93">
        <f t="shared" si="3"/>
        <v>20500</v>
      </c>
      <c r="K20" s="93"/>
      <c r="L20" s="93"/>
      <c r="M20" s="93"/>
      <c r="N20" s="93">
        <v>20500</v>
      </c>
      <c r="O20" s="93">
        <v>20500</v>
      </c>
      <c r="P20" s="93">
        <f>E20+J20</f>
        <v>1682240</v>
      </c>
      <c r="Q20" s="175"/>
      <c r="R20" s="214"/>
      <c r="S20" s="240"/>
      <c r="T20" s="240"/>
      <c r="U20" s="240"/>
      <c r="V20" s="240"/>
      <c r="W20" s="240"/>
      <c r="X20" s="240"/>
      <c r="Y20" s="240"/>
      <c r="Z20" s="240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</row>
    <row r="21" spans="1:36" s="136" customFormat="1" ht="26.25" customHeight="1">
      <c r="A21" s="94" t="s">
        <v>244</v>
      </c>
      <c r="B21" s="94" t="str">
        <f>'дод. 4'!A116</f>
        <v>3130</v>
      </c>
      <c r="C21" s="94">
        <f>'дод. 4'!B116</f>
        <v>0</v>
      </c>
      <c r="D21" s="122" t="str">
        <f>'дод. 4'!C116</f>
        <v>Реалізація державної політики у молодіжній сфері</v>
      </c>
      <c r="E21" s="96">
        <f>E22</f>
        <v>750000</v>
      </c>
      <c r="F21" s="96">
        <f aca="true" t="shared" si="5" ref="F21:P21">F22</f>
        <v>750000</v>
      </c>
      <c r="G21" s="96">
        <f t="shared" si="5"/>
        <v>0</v>
      </c>
      <c r="H21" s="96">
        <f t="shared" si="5"/>
        <v>0</v>
      </c>
      <c r="I21" s="96">
        <f t="shared" si="5"/>
        <v>0</v>
      </c>
      <c r="J21" s="96">
        <f t="shared" si="5"/>
        <v>0</v>
      </c>
      <c r="K21" s="96">
        <f t="shared" si="5"/>
        <v>0</v>
      </c>
      <c r="L21" s="96">
        <f t="shared" si="5"/>
        <v>0</v>
      </c>
      <c r="M21" s="96">
        <f t="shared" si="5"/>
        <v>0</v>
      </c>
      <c r="N21" s="96">
        <f t="shared" si="5"/>
        <v>0</v>
      </c>
      <c r="O21" s="96">
        <f t="shared" si="5"/>
        <v>0</v>
      </c>
      <c r="P21" s="96">
        <f t="shared" si="5"/>
        <v>750000</v>
      </c>
      <c r="Q21" s="174"/>
      <c r="R21" s="213"/>
      <c r="S21" s="237"/>
      <c r="T21" s="237"/>
      <c r="U21" s="237"/>
      <c r="V21" s="237"/>
      <c r="W21" s="237"/>
      <c r="X21" s="237"/>
      <c r="Y21" s="237"/>
      <c r="Z21" s="237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</row>
    <row r="22" spans="1:36" s="136" customFormat="1" ht="45">
      <c r="A22" s="91" t="s">
        <v>245</v>
      </c>
      <c r="B22" s="91" t="str">
        <f>'дод. 4'!A117</f>
        <v>3131</v>
      </c>
      <c r="C22" s="91" t="str">
        <f>'дод. 4'!B117</f>
        <v>1040</v>
      </c>
      <c r="D22" s="121" t="str">
        <f>'дод. 4'!C117</f>
        <v>Здійснення заходів та реалізація проектів на виконання Державної цільової соціальної програми «Молодь України»</v>
      </c>
      <c r="E22" s="93">
        <f>F22+I22</f>
        <v>750000</v>
      </c>
      <c r="F22" s="93">
        <v>750000</v>
      </c>
      <c r="G22" s="93"/>
      <c r="H22" s="93"/>
      <c r="I22" s="93"/>
      <c r="J22" s="93">
        <f t="shared" si="3"/>
        <v>0</v>
      </c>
      <c r="K22" s="93"/>
      <c r="L22" s="93"/>
      <c r="M22" s="93"/>
      <c r="N22" s="93"/>
      <c r="O22" s="93"/>
      <c r="P22" s="93">
        <f>E22+J22</f>
        <v>750000</v>
      </c>
      <c r="Q22" s="175"/>
      <c r="R22" s="214"/>
      <c r="S22" s="240"/>
      <c r="T22" s="240"/>
      <c r="U22" s="240"/>
      <c r="V22" s="240"/>
      <c r="W22" s="240"/>
      <c r="X22" s="240"/>
      <c r="Y22" s="240"/>
      <c r="Z22" s="240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</row>
    <row r="23" spans="1:36" s="136" customFormat="1" ht="60">
      <c r="A23" s="94" t="s">
        <v>246</v>
      </c>
      <c r="B23" s="94" t="str">
        <f>'дод. 4'!A118</f>
        <v>3140</v>
      </c>
      <c r="C23" s="94" t="str">
        <f>'дод. 4'!B118</f>
        <v>1040</v>
      </c>
      <c r="D23" s="122" t="str">
        <f>'дод. 4'!C118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3" s="96">
        <f>F23+I23</f>
        <v>430000</v>
      </c>
      <c r="F23" s="96">
        <f>430000</f>
        <v>430000</v>
      </c>
      <c r="G23" s="96"/>
      <c r="H23" s="96"/>
      <c r="I23" s="96"/>
      <c r="J23" s="96">
        <f t="shared" si="3"/>
        <v>0</v>
      </c>
      <c r="K23" s="96"/>
      <c r="L23" s="96"/>
      <c r="M23" s="96"/>
      <c r="N23" s="96"/>
      <c r="O23" s="96"/>
      <c r="P23" s="96">
        <f>E23+J23</f>
        <v>430000</v>
      </c>
      <c r="Q23" s="174"/>
      <c r="R23" s="213"/>
      <c r="S23" s="237"/>
      <c r="T23" s="237"/>
      <c r="U23" s="237"/>
      <c r="V23" s="237"/>
      <c r="W23" s="237"/>
      <c r="X23" s="237"/>
      <c r="Y23" s="237"/>
      <c r="Z23" s="237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</row>
    <row r="24" spans="1:36" s="136" customFormat="1" ht="21.75" customHeight="1">
      <c r="A24" s="94" t="s">
        <v>479</v>
      </c>
      <c r="B24" s="94" t="str">
        <f>'дод. 4'!A131</f>
        <v>3240</v>
      </c>
      <c r="C24" s="94">
        <f>'дод. 4'!B131</f>
        <v>0</v>
      </c>
      <c r="D24" s="122" t="str">
        <f>'дод. 4'!C131</f>
        <v>Інші заклади та заходи</v>
      </c>
      <c r="E24" s="96">
        <f>E25+E26</f>
        <v>1000272</v>
      </c>
      <c r="F24" s="96">
        <f aca="true" t="shared" si="6" ref="F24:P24">F25+F26</f>
        <v>1000272</v>
      </c>
      <c r="G24" s="96">
        <f t="shared" si="6"/>
        <v>555810</v>
      </c>
      <c r="H24" s="96">
        <f t="shared" si="6"/>
        <v>97477</v>
      </c>
      <c r="I24" s="96">
        <f t="shared" si="6"/>
        <v>0</v>
      </c>
      <c r="J24" s="96">
        <f t="shared" si="6"/>
        <v>0</v>
      </c>
      <c r="K24" s="96">
        <f t="shared" si="6"/>
        <v>0</v>
      </c>
      <c r="L24" s="96">
        <f t="shared" si="6"/>
        <v>0</v>
      </c>
      <c r="M24" s="96">
        <f t="shared" si="6"/>
        <v>0</v>
      </c>
      <c r="N24" s="96">
        <f t="shared" si="6"/>
        <v>0</v>
      </c>
      <c r="O24" s="96">
        <f t="shared" si="6"/>
        <v>0</v>
      </c>
      <c r="P24" s="96">
        <f t="shared" si="6"/>
        <v>1000272</v>
      </c>
      <c r="Q24" s="174"/>
      <c r="R24" s="213"/>
      <c r="S24" s="237"/>
      <c r="T24" s="237"/>
      <c r="U24" s="237"/>
      <c r="V24" s="237"/>
      <c r="W24" s="237"/>
      <c r="X24" s="237"/>
      <c r="Y24" s="237"/>
      <c r="Z24" s="237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</row>
    <row r="25" spans="1:36" s="33" customFormat="1" ht="31.5" customHeight="1">
      <c r="A25" s="91" t="s">
        <v>477</v>
      </c>
      <c r="B25" s="91" t="str">
        <f>'дод. 4'!A132</f>
        <v>3241</v>
      </c>
      <c r="C25" s="91" t="str">
        <f>'дод. 4'!B132</f>
        <v>1090</v>
      </c>
      <c r="D25" s="121" t="str">
        <f>'дод. 4'!C132</f>
        <v>Забезпечення діяльності інших закладів у сфері соціального захисту і соціального забезпечення</v>
      </c>
      <c r="E25" s="93">
        <f>F25+I25</f>
        <v>818206</v>
      </c>
      <c r="F25" s="93">
        <v>818206</v>
      </c>
      <c r="G25" s="93">
        <v>555810</v>
      </c>
      <c r="H25" s="93">
        <v>97477</v>
      </c>
      <c r="I25" s="93"/>
      <c r="J25" s="93"/>
      <c r="K25" s="93"/>
      <c r="L25" s="93"/>
      <c r="M25" s="93"/>
      <c r="N25" s="93"/>
      <c r="O25" s="93"/>
      <c r="P25" s="93">
        <f>E25+J25</f>
        <v>818206</v>
      </c>
      <c r="Q25" s="175"/>
      <c r="R25" s="214"/>
      <c r="S25" s="240"/>
      <c r="T25" s="240"/>
      <c r="U25" s="240"/>
      <c r="V25" s="240"/>
      <c r="W25" s="240"/>
      <c r="X25" s="240"/>
      <c r="Y25" s="240"/>
      <c r="Z25" s="240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</row>
    <row r="26" spans="1:36" s="33" customFormat="1" ht="33.75" customHeight="1">
      <c r="A26" s="91" t="s">
        <v>478</v>
      </c>
      <c r="B26" s="91" t="str">
        <f>'дод. 4'!A133</f>
        <v>3242</v>
      </c>
      <c r="C26" s="91" t="str">
        <f>'дод. 4'!B133</f>
        <v>1090</v>
      </c>
      <c r="D26" s="121" t="str">
        <f>'дод. 4'!C133</f>
        <v>Інші заходи у сфері соціального захисту і соціального забезпечення</v>
      </c>
      <c r="E26" s="93">
        <f>F26+I26</f>
        <v>182066</v>
      </c>
      <c r="F26" s="93">
        <v>182066</v>
      </c>
      <c r="G26" s="93"/>
      <c r="H26" s="93"/>
      <c r="I26" s="93"/>
      <c r="J26" s="93"/>
      <c r="K26" s="93"/>
      <c r="L26" s="93"/>
      <c r="M26" s="93"/>
      <c r="N26" s="93"/>
      <c r="O26" s="93"/>
      <c r="P26" s="93">
        <f>E26+J26</f>
        <v>182066</v>
      </c>
      <c r="Q26" s="175"/>
      <c r="R26" s="214"/>
      <c r="S26" s="240"/>
      <c r="T26" s="240"/>
      <c r="U26" s="240"/>
      <c r="V26" s="240"/>
      <c r="W26" s="240"/>
      <c r="X26" s="240"/>
      <c r="Y26" s="240"/>
      <c r="Z26" s="240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</row>
    <row r="27" spans="1:36" s="4" customFormat="1" ht="21" customHeight="1">
      <c r="A27" s="94" t="s">
        <v>247</v>
      </c>
      <c r="B27" s="94" t="str">
        <f>'дод. 4'!A136</f>
        <v>4080</v>
      </c>
      <c r="C27" s="94">
        <f>'дод. 4'!B136</f>
        <v>0</v>
      </c>
      <c r="D27" s="122" t="str">
        <f>'дод. 4'!C136</f>
        <v>Інші заклади та заходи в галузі культури і мистецтва</v>
      </c>
      <c r="E27" s="96">
        <f>E28+E29</f>
        <v>4130500</v>
      </c>
      <c r="F27" s="96">
        <f aca="true" t="shared" si="7" ref="F27:P27">F28+F29</f>
        <v>4130500</v>
      </c>
      <c r="G27" s="96">
        <f t="shared" si="7"/>
        <v>1782489</v>
      </c>
      <c r="H27" s="96">
        <f t="shared" si="7"/>
        <v>116165</v>
      </c>
      <c r="I27" s="96">
        <f t="shared" si="7"/>
        <v>0</v>
      </c>
      <c r="J27" s="96">
        <f t="shared" si="7"/>
        <v>49000</v>
      </c>
      <c r="K27" s="96">
        <f t="shared" si="7"/>
        <v>0</v>
      </c>
      <c r="L27" s="96">
        <f t="shared" si="7"/>
        <v>0</v>
      </c>
      <c r="M27" s="96">
        <f t="shared" si="7"/>
        <v>0</v>
      </c>
      <c r="N27" s="96">
        <f t="shared" si="7"/>
        <v>49000</v>
      </c>
      <c r="O27" s="96">
        <f t="shared" si="7"/>
        <v>49000</v>
      </c>
      <c r="P27" s="96">
        <f t="shared" si="7"/>
        <v>4179500</v>
      </c>
      <c r="Q27" s="174"/>
      <c r="R27" s="213"/>
      <c r="S27" s="237"/>
      <c r="T27" s="237"/>
      <c r="U27" s="237"/>
      <c r="V27" s="237"/>
      <c r="W27" s="237"/>
      <c r="X27" s="237"/>
      <c r="Y27" s="237"/>
      <c r="Z27" s="237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</row>
    <row r="28" spans="1:36" s="136" customFormat="1" ht="30.75" customHeight="1">
      <c r="A28" s="91" t="s">
        <v>475</v>
      </c>
      <c r="B28" s="91" t="str">
        <f>'дод. 4'!A137</f>
        <v>4081</v>
      </c>
      <c r="C28" s="91" t="str">
        <f>'дод. 4'!B137</f>
        <v>0829</v>
      </c>
      <c r="D28" s="121" t="str">
        <f>'дод. 4'!C137</f>
        <v>Забезпечення діяльності інших закладів в галузі культури і мистецтва </v>
      </c>
      <c r="E28" s="93">
        <f>F28+I28</f>
        <v>3710300</v>
      </c>
      <c r="F28" s="93">
        <f>2846100-420200+884400+400000</f>
        <v>3710300</v>
      </c>
      <c r="G28" s="93">
        <v>1782489</v>
      </c>
      <c r="H28" s="93">
        <v>116165</v>
      </c>
      <c r="I28" s="93"/>
      <c r="J28" s="93">
        <f>K28+N28</f>
        <v>49000</v>
      </c>
      <c r="K28" s="93"/>
      <c r="L28" s="93"/>
      <c r="M28" s="93"/>
      <c r="N28" s="93">
        <v>49000</v>
      </c>
      <c r="O28" s="93">
        <v>49000</v>
      </c>
      <c r="P28" s="93">
        <f>E28+J28</f>
        <v>3759300</v>
      </c>
      <c r="Q28" s="175"/>
      <c r="R28" s="214"/>
      <c r="S28" s="240"/>
      <c r="T28" s="240"/>
      <c r="U28" s="240"/>
      <c r="V28" s="240"/>
      <c r="W28" s="240"/>
      <c r="X28" s="240"/>
      <c r="Y28" s="240"/>
      <c r="Z28" s="240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</row>
    <row r="29" spans="1:36" s="136" customFormat="1" ht="25.5" customHeight="1">
      <c r="A29" s="91" t="s">
        <v>476</v>
      </c>
      <c r="B29" s="91" t="str">
        <f>'дод. 4'!A138</f>
        <v>4082</v>
      </c>
      <c r="C29" s="91" t="str">
        <f>'дод. 4'!B138</f>
        <v>0829</v>
      </c>
      <c r="D29" s="121" t="str">
        <f>'дод. 4'!C138</f>
        <v>Інші заходи в галузі культури і мистецтва</v>
      </c>
      <c r="E29" s="93">
        <f>F29+I29</f>
        <v>420200</v>
      </c>
      <c r="F29" s="93">
        <f>420200</f>
        <v>420200</v>
      </c>
      <c r="G29" s="93"/>
      <c r="H29" s="93"/>
      <c r="I29" s="93"/>
      <c r="J29" s="93">
        <f>K29+N29</f>
        <v>0</v>
      </c>
      <c r="K29" s="93"/>
      <c r="L29" s="93"/>
      <c r="M29" s="93"/>
      <c r="N29" s="93"/>
      <c r="O29" s="93"/>
      <c r="P29" s="93">
        <f>E29+J29</f>
        <v>420200</v>
      </c>
      <c r="Q29" s="175"/>
      <c r="R29" s="214"/>
      <c r="S29" s="240"/>
      <c r="T29" s="240"/>
      <c r="U29" s="240"/>
      <c r="V29" s="240"/>
      <c r="W29" s="240"/>
      <c r="X29" s="240"/>
      <c r="Y29" s="240"/>
      <c r="Z29" s="240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</row>
    <row r="30" spans="1:36" s="4" customFormat="1" ht="21.75" customHeight="1">
      <c r="A30" s="97" t="s">
        <v>248</v>
      </c>
      <c r="B30" s="97" t="str">
        <f>'дод. 4'!A140</f>
        <v>5010</v>
      </c>
      <c r="C30" s="97">
        <f>'дод. 4'!B140</f>
        <v>0</v>
      </c>
      <c r="D30" s="127" t="str">
        <f>'дод. 4'!C140</f>
        <v>Проведення спортивної роботи в регіоні</v>
      </c>
      <c r="E30" s="96">
        <f>E31+E32</f>
        <v>1400000</v>
      </c>
      <c r="F30" s="96">
        <f aca="true" t="shared" si="8" ref="F30:P30">F31+F32</f>
        <v>1400000</v>
      </c>
      <c r="G30" s="96">
        <f t="shared" si="8"/>
        <v>0</v>
      </c>
      <c r="H30" s="96">
        <f t="shared" si="8"/>
        <v>0</v>
      </c>
      <c r="I30" s="96">
        <f t="shared" si="8"/>
        <v>0</v>
      </c>
      <c r="J30" s="96">
        <f t="shared" si="8"/>
        <v>0</v>
      </c>
      <c r="K30" s="96">
        <f t="shared" si="8"/>
        <v>0</v>
      </c>
      <c r="L30" s="96">
        <f t="shared" si="8"/>
        <v>0</v>
      </c>
      <c r="M30" s="96">
        <f t="shared" si="8"/>
        <v>0</v>
      </c>
      <c r="N30" s="96">
        <f t="shared" si="8"/>
        <v>0</v>
      </c>
      <c r="O30" s="96">
        <f t="shared" si="8"/>
        <v>0</v>
      </c>
      <c r="P30" s="96">
        <f t="shared" si="8"/>
        <v>1400000</v>
      </c>
      <c r="Q30" s="174"/>
      <c r="R30" s="213"/>
      <c r="S30" s="237"/>
      <c r="T30" s="237"/>
      <c r="U30" s="237"/>
      <c r="V30" s="237"/>
      <c r="W30" s="237"/>
      <c r="X30" s="237"/>
      <c r="Y30" s="237"/>
      <c r="Z30" s="237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</row>
    <row r="31" spans="1:36" s="136" customFormat="1" ht="36.75" customHeight="1">
      <c r="A31" s="137" t="s">
        <v>249</v>
      </c>
      <c r="B31" s="137" t="str">
        <f>'дод. 4'!A141</f>
        <v>5011</v>
      </c>
      <c r="C31" s="137" t="str">
        <f>'дод. 4'!B141</f>
        <v>0810</v>
      </c>
      <c r="D31" s="138" t="str">
        <f>'дод. 4'!C141</f>
        <v>Проведення навчально-тренувальних зборів і змагань з олімпійських видів спорту</v>
      </c>
      <c r="E31" s="93">
        <f>F31+I31</f>
        <v>700000</v>
      </c>
      <c r="F31" s="93">
        <v>700000</v>
      </c>
      <c r="G31" s="93"/>
      <c r="H31" s="93"/>
      <c r="I31" s="93"/>
      <c r="J31" s="93">
        <f t="shared" si="3"/>
        <v>0</v>
      </c>
      <c r="K31" s="93"/>
      <c r="L31" s="93"/>
      <c r="M31" s="93"/>
      <c r="N31" s="93"/>
      <c r="O31" s="93"/>
      <c r="P31" s="93">
        <f>E31+J31</f>
        <v>700000</v>
      </c>
      <c r="Q31" s="175"/>
      <c r="R31" s="214"/>
      <c r="S31" s="240"/>
      <c r="T31" s="240"/>
      <c r="U31" s="240"/>
      <c r="V31" s="240"/>
      <c r="W31" s="240"/>
      <c r="X31" s="240"/>
      <c r="Y31" s="240"/>
      <c r="Z31" s="240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</row>
    <row r="32" spans="1:36" s="136" customFormat="1" ht="34.5" customHeight="1">
      <c r="A32" s="137" t="s">
        <v>250</v>
      </c>
      <c r="B32" s="137" t="str">
        <f>'дод. 4'!A142</f>
        <v>5012</v>
      </c>
      <c r="C32" s="137" t="str">
        <f>'дод. 4'!B142</f>
        <v>0810</v>
      </c>
      <c r="D32" s="138" t="str">
        <f>'дод. 4'!C142</f>
        <v>Проведення навчально-тренувальних зборів і змагань з неолімпійських видів спорту</v>
      </c>
      <c r="E32" s="93">
        <f>F32+I32</f>
        <v>700000</v>
      </c>
      <c r="F32" s="93">
        <v>700000</v>
      </c>
      <c r="G32" s="93"/>
      <c r="H32" s="93"/>
      <c r="I32" s="93"/>
      <c r="J32" s="93">
        <f t="shared" si="3"/>
        <v>0</v>
      </c>
      <c r="K32" s="93"/>
      <c r="L32" s="93"/>
      <c r="M32" s="93"/>
      <c r="N32" s="93"/>
      <c r="O32" s="93"/>
      <c r="P32" s="93">
        <f>E32+J32</f>
        <v>700000</v>
      </c>
      <c r="Q32" s="175"/>
      <c r="R32" s="214"/>
      <c r="S32" s="240"/>
      <c r="T32" s="240"/>
      <c r="U32" s="240"/>
      <c r="V32" s="240"/>
      <c r="W32" s="240"/>
      <c r="X32" s="240"/>
      <c r="Y32" s="240"/>
      <c r="Z32" s="240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</row>
    <row r="33" spans="1:36" s="4" customFormat="1" ht="21" customHeight="1">
      <c r="A33" s="97" t="s">
        <v>251</v>
      </c>
      <c r="B33" s="97" t="str">
        <f>'дод. 4'!A143</f>
        <v>5030</v>
      </c>
      <c r="C33" s="97">
        <f>'дод. 4'!B143</f>
        <v>0</v>
      </c>
      <c r="D33" s="127" t="str">
        <f>'дод. 4'!C143</f>
        <v>Розвиток дитячо-юнацького та резервного спорту</v>
      </c>
      <c r="E33" s="96">
        <f>E34+E35</f>
        <v>16918700</v>
      </c>
      <c r="F33" s="96">
        <f aca="true" t="shared" si="9" ref="F33:P33">F34+F35</f>
        <v>16918700</v>
      </c>
      <c r="G33" s="96">
        <f t="shared" si="9"/>
        <v>6380000</v>
      </c>
      <c r="H33" s="96">
        <f t="shared" si="9"/>
        <v>586810</v>
      </c>
      <c r="I33" s="96">
        <f t="shared" si="9"/>
        <v>0</v>
      </c>
      <c r="J33" s="96">
        <f t="shared" si="9"/>
        <v>200000</v>
      </c>
      <c r="K33" s="96">
        <f t="shared" si="9"/>
        <v>0</v>
      </c>
      <c r="L33" s="96">
        <f t="shared" si="9"/>
        <v>0</v>
      </c>
      <c r="M33" s="96">
        <f t="shared" si="9"/>
        <v>0</v>
      </c>
      <c r="N33" s="96">
        <f t="shared" si="9"/>
        <v>200000</v>
      </c>
      <c r="O33" s="96">
        <f t="shared" si="9"/>
        <v>200000</v>
      </c>
      <c r="P33" s="96">
        <f t="shared" si="9"/>
        <v>17118700</v>
      </c>
      <c r="Q33" s="174"/>
      <c r="R33" s="213"/>
      <c r="S33" s="237"/>
      <c r="T33" s="237"/>
      <c r="U33" s="237"/>
      <c r="V33" s="237"/>
      <c r="W33" s="237"/>
      <c r="X33" s="237"/>
      <c r="Y33" s="237"/>
      <c r="Z33" s="237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</row>
    <row r="34" spans="1:36" s="136" customFormat="1" ht="30">
      <c r="A34" s="137" t="s">
        <v>252</v>
      </c>
      <c r="B34" s="137" t="str">
        <f>'дод. 4'!A144</f>
        <v>5031</v>
      </c>
      <c r="C34" s="137" t="str">
        <f>'дод. 4'!B144</f>
        <v>0810</v>
      </c>
      <c r="D34" s="138" t="str">
        <f>'дод. 4'!C144</f>
        <v>Утримання та навчально-тренувальна робота комунальних дитячо-юнацьких спортивних шкіл</v>
      </c>
      <c r="E34" s="93">
        <f>F34+I34</f>
        <v>9296900</v>
      </c>
      <c r="F34" s="93">
        <f>8719900+577000</f>
        <v>9296900</v>
      </c>
      <c r="G34" s="93">
        <f>6380000</f>
        <v>6380000</v>
      </c>
      <c r="H34" s="93">
        <v>586810</v>
      </c>
      <c r="I34" s="93"/>
      <c r="J34" s="93">
        <f t="shared" si="3"/>
        <v>200000</v>
      </c>
      <c r="K34" s="93"/>
      <c r="L34" s="93"/>
      <c r="M34" s="93"/>
      <c r="N34" s="93">
        <v>200000</v>
      </c>
      <c r="O34" s="93">
        <v>200000</v>
      </c>
      <c r="P34" s="93">
        <f>E34+J34</f>
        <v>9496900</v>
      </c>
      <c r="Q34" s="175"/>
      <c r="R34" s="214"/>
      <c r="S34" s="240"/>
      <c r="T34" s="240"/>
      <c r="U34" s="240"/>
      <c r="V34" s="240"/>
      <c r="W34" s="240"/>
      <c r="X34" s="240"/>
      <c r="Y34" s="240"/>
      <c r="Z34" s="240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</row>
    <row r="35" spans="1:36" s="136" customFormat="1" ht="45">
      <c r="A35" s="137" t="s">
        <v>253</v>
      </c>
      <c r="B35" s="137" t="str">
        <f>'дод. 4'!A145</f>
        <v>5032</v>
      </c>
      <c r="C35" s="137" t="str">
        <f>'дод. 4'!B145</f>
        <v>0810</v>
      </c>
      <c r="D35" s="138" t="str">
        <f>'дод. 4'!C145</f>
        <v>Фінансова підтримка дитячо-юнацьких спортивних шкіл фізкультурно-спортивних товариств</v>
      </c>
      <c r="E35" s="93">
        <f>F35+I35</f>
        <v>7621800</v>
      </c>
      <c r="F35" s="93">
        <f>7321800+300000</f>
        <v>7621800</v>
      </c>
      <c r="G35" s="93"/>
      <c r="H35" s="93"/>
      <c r="I35" s="93"/>
      <c r="J35" s="93">
        <f t="shared" si="3"/>
        <v>0</v>
      </c>
      <c r="K35" s="93"/>
      <c r="L35" s="93"/>
      <c r="M35" s="93"/>
      <c r="N35" s="93"/>
      <c r="O35" s="93"/>
      <c r="P35" s="93">
        <f>E35+J35</f>
        <v>7621800</v>
      </c>
      <c r="Q35" s="175"/>
      <c r="R35" s="214"/>
      <c r="S35" s="240"/>
      <c r="T35" s="240"/>
      <c r="U35" s="240"/>
      <c r="V35" s="240"/>
      <c r="W35" s="240"/>
      <c r="X35" s="240"/>
      <c r="Y35" s="240"/>
      <c r="Z35" s="240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</row>
    <row r="36" spans="1:36" s="136" customFormat="1" ht="26.25" customHeight="1">
      <c r="A36" s="97" t="s">
        <v>254</v>
      </c>
      <c r="B36" s="97" t="str">
        <f>'дод. 4'!A146</f>
        <v>5060</v>
      </c>
      <c r="C36" s="97">
        <f>'дод. 4'!B146</f>
        <v>0</v>
      </c>
      <c r="D36" s="127" t="str">
        <f>'дод. 4'!C146</f>
        <v>Інші заходи з розвитку фізичної культури та спорту</v>
      </c>
      <c r="E36" s="96">
        <f>E37+E38</f>
        <v>8490000</v>
      </c>
      <c r="F36" s="96">
        <f aca="true" t="shared" si="10" ref="F36:P36">F37+F38</f>
        <v>8490000</v>
      </c>
      <c r="G36" s="96">
        <f t="shared" si="10"/>
        <v>1685000</v>
      </c>
      <c r="H36" s="96">
        <f t="shared" si="10"/>
        <v>407210</v>
      </c>
      <c r="I36" s="96">
        <f t="shared" si="10"/>
        <v>0</v>
      </c>
      <c r="J36" s="96">
        <f t="shared" si="10"/>
        <v>246687</v>
      </c>
      <c r="K36" s="96">
        <f t="shared" si="10"/>
        <v>226687</v>
      </c>
      <c r="L36" s="96">
        <f t="shared" si="10"/>
        <v>141022</v>
      </c>
      <c r="M36" s="96">
        <f t="shared" si="10"/>
        <v>53404</v>
      </c>
      <c r="N36" s="96">
        <f t="shared" si="10"/>
        <v>20000</v>
      </c>
      <c r="O36" s="96">
        <f t="shared" si="10"/>
        <v>20000</v>
      </c>
      <c r="P36" s="96">
        <f t="shared" si="10"/>
        <v>8736687</v>
      </c>
      <c r="Q36" s="174"/>
      <c r="R36" s="213"/>
      <c r="S36" s="237"/>
      <c r="T36" s="237"/>
      <c r="U36" s="237"/>
      <c r="V36" s="237"/>
      <c r="W36" s="237"/>
      <c r="X36" s="237"/>
      <c r="Y36" s="237"/>
      <c r="Z36" s="237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</row>
    <row r="37" spans="1:36" s="136" customFormat="1" ht="60">
      <c r="A37" s="137" t="s">
        <v>255</v>
      </c>
      <c r="B37" s="137" t="str">
        <f>'дод. 4'!A147</f>
        <v>5061</v>
      </c>
      <c r="C37" s="137" t="str">
        <f>'дод. 4'!B147</f>
        <v>0810</v>
      </c>
      <c r="D37" s="138" t="str">
        <f>'дод. 4'!C147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93">
        <f>F37+I37</f>
        <v>3246540</v>
      </c>
      <c r="F37" s="93">
        <v>3246540</v>
      </c>
      <c r="G37" s="93">
        <v>1685000</v>
      </c>
      <c r="H37" s="93">
        <v>407210</v>
      </c>
      <c r="I37" s="93"/>
      <c r="J37" s="93">
        <f t="shared" si="3"/>
        <v>246687</v>
      </c>
      <c r="K37" s="93">
        <f>226687</f>
        <v>226687</v>
      </c>
      <c r="L37" s="93">
        <v>141022</v>
      </c>
      <c r="M37" s="93">
        <v>53404</v>
      </c>
      <c r="N37" s="93">
        <f>20000</f>
        <v>20000</v>
      </c>
      <c r="O37" s="93">
        <v>20000</v>
      </c>
      <c r="P37" s="93">
        <f>E37+J37</f>
        <v>3493227</v>
      </c>
      <c r="Q37" s="175"/>
      <c r="R37" s="214"/>
      <c r="S37" s="240"/>
      <c r="T37" s="240"/>
      <c r="U37" s="240"/>
      <c r="V37" s="240"/>
      <c r="W37" s="240"/>
      <c r="X37" s="240"/>
      <c r="Y37" s="240"/>
      <c r="Z37" s="240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</row>
    <row r="38" spans="1:36" s="136" customFormat="1" ht="45">
      <c r="A38" s="137" t="s">
        <v>256</v>
      </c>
      <c r="B38" s="137" t="str">
        <f>'дод. 4'!A148</f>
        <v>5062</v>
      </c>
      <c r="C38" s="137" t="str">
        <f>'дод. 4'!B148</f>
        <v>0810</v>
      </c>
      <c r="D38" s="138" t="str">
        <f>'дод. 4'!C148</f>
        <v>Підтримка спорту вищих досягнень та організацій, які здійснюють фізкультурно-спортивну діяльність в регіоні</v>
      </c>
      <c r="E38" s="93">
        <f>F38+I38</f>
        <v>5243460</v>
      </c>
      <c r="F38" s="93">
        <f>5143460+50000+50000</f>
        <v>5243460</v>
      </c>
      <c r="G38" s="93"/>
      <c r="H38" s="93"/>
      <c r="I38" s="93"/>
      <c r="J38" s="93">
        <f t="shared" si="3"/>
        <v>0</v>
      </c>
      <c r="K38" s="93"/>
      <c r="L38" s="93"/>
      <c r="M38" s="93"/>
      <c r="N38" s="93"/>
      <c r="O38" s="93"/>
      <c r="P38" s="93">
        <f>E38+J38</f>
        <v>5243460</v>
      </c>
      <c r="Q38" s="175"/>
      <c r="R38" s="214"/>
      <c r="S38" s="240"/>
      <c r="T38" s="240"/>
      <c r="U38" s="240"/>
      <c r="V38" s="240"/>
      <c r="W38" s="240"/>
      <c r="X38" s="240"/>
      <c r="Y38" s="240"/>
      <c r="Z38" s="240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</row>
    <row r="39" spans="1:36" s="4" customFormat="1" ht="34.5" customHeight="1">
      <c r="A39" s="97" t="s">
        <v>257</v>
      </c>
      <c r="B39" s="97" t="str">
        <f>'дод. 4'!A172</f>
        <v>7410</v>
      </c>
      <c r="C39" s="97">
        <f>'дод. 4'!B172</f>
        <v>0</v>
      </c>
      <c r="D39" s="127" t="str">
        <f>'дод. 4'!C172</f>
        <v>Забезпечення надання послуг з перевезення пасажирів автомобільним транспортом</v>
      </c>
      <c r="E39" s="96">
        <f>E40</f>
        <v>3000000</v>
      </c>
      <c r="F39" s="96">
        <f aca="true" t="shared" si="11" ref="F39:P39">F40</f>
        <v>0</v>
      </c>
      <c r="G39" s="96">
        <f t="shared" si="11"/>
        <v>0</v>
      </c>
      <c r="H39" s="96">
        <f t="shared" si="11"/>
        <v>0</v>
      </c>
      <c r="I39" s="96">
        <f t="shared" si="11"/>
        <v>3000000</v>
      </c>
      <c r="J39" s="96">
        <f t="shared" si="11"/>
        <v>0</v>
      </c>
      <c r="K39" s="96">
        <f t="shared" si="11"/>
        <v>0</v>
      </c>
      <c r="L39" s="96">
        <f t="shared" si="11"/>
        <v>0</v>
      </c>
      <c r="M39" s="96">
        <f t="shared" si="11"/>
        <v>0</v>
      </c>
      <c r="N39" s="96">
        <f t="shared" si="11"/>
        <v>0</v>
      </c>
      <c r="O39" s="96">
        <f t="shared" si="11"/>
        <v>0</v>
      </c>
      <c r="P39" s="96">
        <f t="shared" si="11"/>
        <v>3000000</v>
      </c>
      <c r="Q39" s="174"/>
      <c r="R39" s="213"/>
      <c r="S39" s="237"/>
      <c r="T39" s="237"/>
      <c r="U39" s="237"/>
      <c r="V39" s="237"/>
      <c r="W39" s="237"/>
      <c r="X39" s="237"/>
      <c r="Y39" s="237"/>
      <c r="Z39" s="237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</row>
    <row r="40" spans="1:36" s="136" customFormat="1" ht="30">
      <c r="A40" s="137" t="s">
        <v>258</v>
      </c>
      <c r="B40" s="137" t="str">
        <f>'дод. 4'!A173</f>
        <v>7412</v>
      </c>
      <c r="C40" s="137" t="str">
        <f>'дод. 4'!B173</f>
        <v>0451</v>
      </c>
      <c r="D40" s="138" t="str">
        <f>'дод. 4'!C173</f>
        <v>Регулювання цін на послуги місцевого автотранспорту</v>
      </c>
      <c r="E40" s="93">
        <f>F40+I40</f>
        <v>3000000</v>
      </c>
      <c r="F40" s="93"/>
      <c r="G40" s="93"/>
      <c r="H40" s="93"/>
      <c r="I40" s="93">
        <v>3000000</v>
      </c>
      <c r="J40" s="93">
        <f t="shared" si="3"/>
        <v>0</v>
      </c>
      <c r="K40" s="93"/>
      <c r="L40" s="93"/>
      <c r="M40" s="93"/>
      <c r="N40" s="93"/>
      <c r="O40" s="93"/>
      <c r="P40" s="93">
        <f>E40+J40</f>
        <v>3000000</v>
      </c>
      <c r="Q40" s="175"/>
      <c r="R40" s="214"/>
      <c r="S40" s="240"/>
      <c r="T40" s="240"/>
      <c r="U40" s="240"/>
      <c r="V40" s="240"/>
      <c r="W40" s="240"/>
      <c r="X40" s="240"/>
      <c r="Y40" s="240"/>
      <c r="Z40" s="240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</row>
    <row r="41" spans="1:36" s="4" customFormat="1" ht="30">
      <c r="A41" s="97" t="s">
        <v>259</v>
      </c>
      <c r="B41" s="97" t="str">
        <f>'дод. 4'!A174</f>
        <v>7420</v>
      </c>
      <c r="C41" s="97">
        <f>'дод. 4'!B174</f>
        <v>0</v>
      </c>
      <c r="D41" s="127" t="str">
        <f>'дод. 4'!C174</f>
        <v>Забезпечення надання послуг з перевезення пасажирів електротранспортом</v>
      </c>
      <c r="E41" s="96">
        <f>E42+E43</f>
        <v>18544636</v>
      </c>
      <c r="F41" s="96">
        <f aca="true" t="shared" si="12" ref="F41:P41">F42+F43</f>
        <v>0</v>
      </c>
      <c r="G41" s="96">
        <f t="shared" si="12"/>
        <v>0</v>
      </c>
      <c r="H41" s="96">
        <f t="shared" si="12"/>
        <v>0</v>
      </c>
      <c r="I41" s="96">
        <f t="shared" si="12"/>
        <v>18544636</v>
      </c>
      <c r="J41" s="96">
        <f t="shared" si="12"/>
        <v>810000</v>
      </c>
      <c r="K41" s="96">
        <f t="shared" si="12"/>
        <v>0</v>
      </c>
      <c r="L41" s="96">
        <f t="shared" si="12"/>
        <v>0</v>
      </c>
      <c r="M41" s="96">
        <f t="shared" si="12"/>
        <v>0</v>
      </c>
      <c r="N41" s="96">
        <f t="shared" si="12"/>
        <v>810000</v>
      </c>
      <c r="O41" s="96">
        <f t="shared" si="12"/>
        <v>810000</v>
      </c>
      <c r="P41" s="96">
        <f t="shared" si="12"/>
        <v>19354636</v>
      </c>
      <c r="Q41" s="174"/>
      <c r="R41" s="213"/>
      <c r="S41" s="237"/>
      <c r="T41" s="237"/>
      <c r="U41" s="237"/>
      <c r="V41" s="237"/>
      <c r="W41" s="237"/>
      <c r="X41" s="237"/>
      <c r="Y41" s="237"/>
      <c r="Z41" s="237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</row>
    <row r="42" spans="1:36" s="136" customFormat="1" ht="30">
      <c r="A42" s="137" t="s">
        <v>260</v>
      </c>
      <c r="B42" s="137" t="str">
        <f>'дод. 4'!A175</f>
        <v>7422</v>
      </c>
      <c r="C42" s="137" t="str">
        <f>'дод. 4'!B175</f>
        <v>0453</v>
      </c>
      <c r="D42" s="138" t="str">
        <f>'дод. 4'!C175</f>
        <v>Регулювання цін на послуги місцевого наземного електротранспорту</v>
      </c>
      <c r="E42" s="93">
        <f aca="true" t="shared" si="13" ref="E42:E49">F42+I42</f>
        <v>6000000</v>
      </c>
      <c r="F42" s="93"/>
      <c r="G42" s="93"/>
      <c r="H42" s="93"/>
      <c r="I42" s="93">
        <v>6000000</v>
      </c>
      <c r="J42" s="93">
        <f t="shared" si="3"/>
        <v>0</v>
      </c>
      <c r="K42" s="93"/>
      <c r="L42" s="93"/>
      <c r="M42" s="93"/>
      <c r="N42" s="93"/>
      <c r="O42" s="93"/>
      <c r="P42" s="93">
        <f>E42+J42</f>
        <v>6000000</v>
      </c>
      <c r="Q42" s="175"/>
      <c r="R42" s="214"/>
      <c r="S42" s="240"/>
      <c r="T42" s="240"/>
      <c r="U42" s="240"/>
      <c r="V42" s="240"/>
      <c r="W42" s="240"/>
      <c r="X42" s="240"/>
      <c r="Y42" s="240"/>
      <c r="Z42" s="240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</row>
    <row r="43" spans="1:36" s="136" customFormat="1" ht="21.75" customHeight="1">
      <c r="A43" s="137" t="s">
        <v>376</v>
      </c>
      <c r="B43" s="137" t="str">
        <f>'дод. 4'!A176</f>
        <v>7426</v>
      </c>
      <c r="C43" s="137" t="str">
        <f>'дод. 4'!B176</f>
        <v>0453</v>
      </c>
      <c r="D43" s="138" t="str">
        <f>'дод. 4'!C176</f>
        <v>Інші заходи у сфері електротранспорту</v>
      </c>
      <c r="E43" s="93">
        <f t="shared" si="13"/>
        <v>12544636</v>
      </c>
      <c r="F43" s="93"/>
      <c r="G43" s="93"/>
      <c r="H43" s="93"/>
      <c r="I43" s="93">
        <f>12858252-313616</f>
        <v>12544636</v>
      </c>
      <c r="J43" s="93">
        <f t="shared" si="3"/>
        <v>810000</v>
      </c>
      <c r="K43" s="93"/>
      <c r="L43" s="93"/>
      <c r="M43" s="93"/>
      <c r="N43" s="93">
        <f>810000</f>
        <v>810000</v>
      </c>
      <c r="O43" s="93">
        <f>810000</f>
        <v>810000</v>
      </c>
      <c r="P43" s="93">
        <f>E43+J43</f>
        <v>13354636</v>
      </c>
      <c r="Q43" s="175"/>
      <c r="R43" s="214"/>
      <c r="S43" s="240"/>
      <c r="T43" s="242"/>
      <c r="U43" s="240"/>
      <c r="V43" s="240"/>
      <c r="W43" s="240"/>
      <c r="X43" s="240"/>
      <c r="Y43" s="240"/>
      <c r="Z43" s="240"/>
      <c r="AA43" s="241"/>
      <c r="AB43" s="241"/>
      <c r="AC43" s="241"/>
      <c r="AD43" s="242"/>
      <c r="AE43" s="241"/>
      <c r="AF43" s="241"/>
      <c r="AG43" s="241"/>
      <c r="AH43" s="241"/>
      <c r="AI43" s="241"/>
      <c r="AJ43" s="241"/>
    </row>
    <row r="44" spans="1:36" s="4" customFormat="1" ht="21.75" customHeight="1">
      <c r="A44" s="98" t="s">
        <v>493</v>
      </c>
      <c r="B44" s="98" t="str">
        <f>'дод. 4'!A177</f>
        <v>7450</v>
      </c>
      <c r="C44" s="98" t="str">
        <f>'дод. 4'!B177</f>
        <v>0456</v>
      </c>
      <c r="D44" s="150" t="str">
        <f>'дод. 4'!C177</f>
        <v>Інша діяльність у сфері транспорту </v>
      </c>
      <c r="E44" s="90">
        <f t="shared" si="13"/>
        <v>450000</v>
      </c>
      <c r="F44" s="90">
        <v>450000</v>
      </c>
      <c r="G44" s="90"/>
      <c r="H44" s="90"/>
      <c r="I44" s="90"/>
      <c r="J44" s="90">
        <f>K44+N44</f>
        <v>0</v>
      </c>
      <c r="K44" s="90"/>
      <c r="L44" s="90"/>
      <c r="M44" s="90"/>
      <c r="N44" s="90"/>
      <c r="O44" s="90"/>
      <c r="P44" s="90">
        <f>J44+E44</f>
        <v>450000</v>
      </c>
      <c r="Q44" s="174"/>
      <c r="R44" s="213"/>
      <c r="S44" s="237"/>
      <c r="T44" s="237"/>
      <c r="U44" s="237"/>
      <c r="V44" s="237"/>
      <c r="W44" s="237"/>
      <c r="X44" s="237"/>
      <c r="Y44" s="237"/>
      <c r="Z44" s="237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</row>
    <row r="45" spans="1:36" s="139" customFormat="1" ht="30">
      <c r="A45" s="98" t="s">
        <v>377</v>
      </c>
      <c r="B45" s="98" t="str">
        <f>'дод. 4'!A179</f>
        <v>7530</v>
      </c>
      <c r="C45" s="98" t="str">
        <f>'дод. 4'!B179</f>
        <v>0460</v>
      </c>
      <c r="D45" s="123" t="str">
        <f>'дод. 4'!C179</f>
        <v>Інші заходи у сфері зв'язку, телекомунікації та інформатики</v>
      </c>
      <c r="E45" s="90">
        <f t="shared" si="13"/>
        <v>7276490</v>
      </c>
      <c r="F45" s="90">
        <f>2629000+1696500+1371000+1579990</f>
        <v>7276490</v>
      </c>
      <c r="G45" s="90"/>
      <c r="H45" s="90"/>
      <c r="I45" s="90"/>
      <c r="J45" s="90">
        <f>K45+N45</f>
        <v>4897000</v>
      </c>
      <c r="K45" s="90"/>
      <c r="L45" s="90"/>
      <c r="M45" s="90"/>
      <c r="N45" s="90">
        <f>3005500+1891500</f>
        <v>4897000</v>
      </c>
      <c r="O45" s="90">
        <f>3005500+1891500</f>
        <v>4897000</v>
      </c>
      <c r="P45" s="90">
        <f>E45+J45</f>
        <v>12173490</v>
      </c>
      <c r="Q45" s="174"/>
      <c r="R45" s="213"/>
      <c r="S45" s="237"/>
      <c r="T45" s="237"/>
      <c r="U45" s="237"/>
      <c r="V45" s="237"/>
      <c r="W45" s="237"/>
      <c r="X45" s="237"/>
      <c r="Y45" s="237"/>
      <c r="Z45" s="237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</row>
    <row r="46" spans="1:36" s="136" customFormat="1" ht="30">
      <c r="A46" s="97" t="s">
        <v>261</v>
      </c>
      <c r="B46" s="97" t="str">
        <f>'дод. 4'!A181</f>
        <v>7610</v>
      </c>
      <c r="C46" s="97" t="str">
        <f>'дод. 4'!B181</f>
        <v>0411</v>
      </c>
      <c r="D46" s="127" t="str">
        <f>'дод. 4'!C181</f>
        <v>Сприяння розвитку малого та середнього підприємництва</v>
      </c>
      <c r="E46" s="96">
        <f t="shared" si="13"/>
        <v>88000</v>
      </c>
      <c r="F46" s="96">
        <v>88000</v>
      </c>
      <c r="G46" s="96"/>
      <c r="H46" s="96"/>
      <c r="I46" s="96"/>
      <c r="J46" s="96">
        <f t="shared" si="3"/>
        <v>0</v>
      </c>
      <c r="K46" s="96"/>
      <c r="L46" s="96"/>
      <c r="M46" s="96"/>
      <c r="N46" s="96"/>
      <c r="O46" s="96"/>
      <c r="P46" s="96">
        <f>E46+J46</f>
        <v>88000</v>
      </c>
      <c r="Q46" s="174"/>
      <c r="R46" s="213"/>
      <c r="S46" s="237"/>
      <c r="T46" s="237"/>
      <c r="U46" s="237"/>
      <c r="V46" s="237"/>
      <c r="W46" s="237"/>
      <c r="X46" s="237"/>
      <c r="Y46" s="237"/>
      <c r="Z46" s="237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</row>
    <row r="47" spans="1:36" s="136" customFormat="1" ht="18.75" customHeight="1">
      <c r="A47" s="97" t="s">
        <v>402</v>
      </c>
      <c r="B47" s="97" t="str">
        <f>'дод. 4'!A182</f>
        <v>7640</v>
      </c>
      <c r="C47" s="97" t="str">
        <f>'дод. 4'!B182</f>
        <v>0470</v>
      </c>
      <c r="D47" s="127" t="str">
        <f>'дод. 4'!C182</f>
        <v>Заходи з енергозбереження</v>
      </c>
      <c r="E47" s="96">
        <f t="shared" si="13"/>
        <v>125175</v>
      </c>
      <c r="F47" s="96">
        <v>125175</v>
      </c>
      <c r="G47" s="96"/>
      <c r="H47" s="96"/>
      <c r="I47" s="96"/>
      <c r="J47" s="96">
        <f>K47+N47</f>
        <v>0</v>
      </c>
      <c r="K47" s="96"/>
      <c r="L47" s="96"/>
      <c r="M47" s="96"/>
      <c r="N47" s="96"/>
      <c r="O47" s="96"/>
      <c r="P47" s="96">
        <f>E47+J47</f>
        <v>125175</v>
      </c>
      <c r="Q47" s="174"/>
      <c r="R47" s="213"/>
      <c r="S47" s="237"/>
      <c r="T47" s="237"/>
      <c r="U47" s="237"/>
      <c r="V47" s="237"/>
      <c r="W47" s="237"/>
      <c r="X47" s="237"/>
      <c r="Y47" s="237"/>
      <c r="Z47" s="237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</row>
    <row r="48" spans="1:36" s="136" customFormat="1" ht="30">
      <c r="A48" s="97" t="s">
        <v>262</v>
      </c>
      <c r="B48" s="97" t="str">
        <f>'дод. 4'!A185</f>
        <v>7670</v>
      </c>
      <c r="C48" s="97" t="str">
        <f>'дод. 4'!B185</f>
        <v>0490</v>
      </c>
      <c r="D48" s="127" t="str">
        <f>'дод. 4'!C185</f>
        <v>Внески до статутного капіталу суб’єктів господарювання</v>
      </c>
      <c r="E48" s="96">
        <f t="shared" si="13"/>
        <v>0</v>
      </c>
      <c r="F48" s="96"/>
      <c r="G48" s="96"/>
      <c r="H48" s="96"/>
      <c r="I48" s="96"/>
      <c r="J48" s="96">
        <f t="shared" si="3"/>
        <v>28440000</v>
      </c>
      <c r="K48" s="96"/>
      <c r="L48" s="96"/>
      <c r="M48" s="96"/>
      <c r="N48" s="96">
        <f>4220000+24220000</f>
        <v>28440000</v>
      </c>
      <c r="O48" s="96">
        <f>4220000+24220000</f>
        <v>28440000</v>
      </c>
      <c r="P48" s="96">
        <f>E48+J48</f>
        <v>28440000</v>
      </c>
      <c r="Q48" s="174"/>
      <c r="R48" s="213"/>
      <c r="S48" s="237"/>
      <c r="T48" s="237"/>
      <c r="U48" s="237"/>
      <c r="V48" s="237"/>
      <c r="W48" s="237"/>
      <c r="X48" s="237"/>
      <c r="Y48" s="237"/>
      <c r="Z48" s="237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</row>
    <row r="49" spans="1:36" s="136" customFormat="1" ht="30">
      <c r="A49" s="97" t="s">
        <v>391</v>
      </c>
      <c r="B49" s="97" t="str">
        <f>'дод. 4'!A186</f>
        <v>7680</v>
      </c>
      <c r="C49" s="97" t="str">
        <f>'дод. 4'!B186</f>
        <v>0490</v>
      </c>
      <c r="D49" s="127" t="str">
        <f>'дод. 4'!C186</f>
        <v>Членські внески до асоціацій органів місцевого самоврядування</v>
      </c>
      <c r="E49" s="96">
        <f t="shared" si="13"/>
        <v>209333</v>
      </c>
      <c r="F49" s="96">
        <f>50000+159333</f>
        <v>209333</v>
      </c>
      <c r="G49" s="96"/>
      <c r="H49" s="96"/>
      <c r="I49" s="96"/>
      <c r="J49" s="96">
        <f t="shared" si="3"/>
        <v>0</v>
      </c>
      <c r="K49" s="96"/>
      <c r="L49" s="96"/>
      <c r="M49" s="96"/>
      <c r="N49" s="96"/>
      <c r="O49" s="96"/>
      <c r="P49" s="96">
        <f>E49+J49</f>
        <v>209333</v>
      </c>
      <c r="Q49" s="174"/>
      <c r="R49" s="213"/>
      <c r="S49" s="237"/>
      <c r="T49" s="237"/>
      <c r="U49" s="237"/>
      <c r="V49" s="237"/>
      <c r="W49" s="237"/>
      <c r="X49" s="237"/>
      <c r="Y49" s="237"/>
      <c r="Z49" s="237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</row>
    <row r="50" spans="1:36" s="136" customFormat="1" ht="19.5" customHeight="1">
      <c r="A50" s="97" t="s">
        <v>263</v>
      </c>
      <c r="B50" s="97" t="str">
        <f>'дод. 4'!A187</f>
        <v>7690</v>
      </c>
      <c r="C50" s="97">
        <f>'дод. 4'!B187</f>
        <v>0</v>
      </c>
      <c r="D50" s="127" t="str">
        <f>'дод. 4'!C187</f>
        <v>Інша економічна діяльність</v>
      </c>
      <c r="E50" s="96">
        <f>E51+E52</f>
        <v>1802059</v>
      </c>
      <c r="F50" s="96">
        <f aca="true" t="shared" si="14" ref="F50:P50">F51+F52</f>
        <v>1802059</v>
      </c>
      <c r="G50" s="96">
        <f t="shared" si="14"/>
        <v>0</v>
      </c>
      <c r="H50" s="96">
        <f t="shared" si="14"/>
        <v>0</v>
      </c>
      <c r="I50" s="96">
        <f t="shared" si="14"/>
        <v>0</v>
      </c>
      <c r="J50" s="96">
        <f t="shared" si="14"/>
        <v>63407</v>
      </c>
      <c r="K50" s="96">
        <f t="shared" si="14"/>
        <v>63407</v>
      </c>
      <c r="L50" s="96">
        <f t="shared" si="14"/>
        <v>0</v>
      </c>
      <c r="M50" s="96">
        <f t="shared" si="14"/>
        <v>0</v>
      </c>
      <c r="N50" s="96">
        <f t="shared" si="14"/>
        <v>0</v>
      </c>
      <c r="O50" s="96">
        <f t="shared" si="14"/>
        <v>0</v>
      </c>
      <c r="P50" s="96">
        <f t="shared" si="14"/>
        <v>1865466</v>
      </c>
      <c r="Q50" s="174"/>
      <c r="R50" s="213"/>
      <c r="S50" s="237"/>
      <c r="T50" s="237"/>
      <c r="U50" s="237"/>
      <c r="V50" s="237"/>
      <c r="W50" s="237"/>
      <c r="X50" s="237"/>
      <c r="Y50" s="237"/>
      <c r="Z50" s="237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</row>
    <row r="51" spans="1:36" s="136" customFormat="1" ht="135" customHeight="1">
      <c r="A51" s="137" t="s">
        <v>473</v>
      </c>
      <c r="B51" s="137" t="str">
        <f>'дод. 4'!A188</f>
        <v>7691</v>
      </c>
      <c r="C51" s="137" t="str">
        <f>'дод. 4'!B188</f>
        <v>0490</v>
      </c>
      <c r="D51" s="14" t="s">
        <v>502</v>
      </c>
      <c r="E51" s="93">
        <f aca="true" t="shared" si="15" ref="E51:E57">F51+I51</f>
        <v>0</v>
      </c>
      <c r="F51" s="93"/>
      <c r="G51" s="93"/>
      <c r="H51" s="93"/>
      <c r="I51" s="93"/>
      <c r="J51" s="93">
        <f t="shared" si="3"/>
        <v>63407</v>
      </c>
      <c r="K51" s="93">
        <v>63407</v>
      </c>
      <c r="L51" s="93"/>
      <c r="M51" s="93"/>
      <c r="N51" s="93"/>
      <c r="O51" s="93"/>
      <c r="P51" s="93">
        <f aca="true" t="shared" si="16" ref="P51:P57">E51+J51</f>
        <v>63407</v>
      </c>
      <c r="Q51" s="175"/>
      <c r="R51" s="214"/>
      <c r="S51" s="240"/>
      <c r="T51" s="240"/>
      <c r="U51" s="240"/>
      <c r="V51" s="240"/>
      <c r="W51" s="240"/>
      <c r="X51" s="240"/>
      <c r="Y51" s="240"/>
      <c r="Z51" s="240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</row>
    <row r="52" spans="1:36" s="136" customFormat="1" ht="23.25" customHeight="1">
      <c r="A52" s="137" t="s">
        <v>384</v>
      </c>
      <c r="B52" s="137" t="str">
        <f>'дод. 4'!A189</f>
        <v>7693</v>
      </c>
      <c r="C52" s="137" t="str">
        <f>'дод. 4'!B189</f>
        <v>0490</v>
      </c>
      <c r="D52" s="140" t="str">
        <f>'дод. 4'!C189</f>
        <v>Інші заходи, пов'язані з економічною діяльністю</v>
      </c>
      <c r="E52" s="93">
        <f t="shared" si="15"/>
        <v>1802059</v>
      </c>
      <c r="F52" s="93">
        <f>1449859+262200+90000</f>
        <v>1802059</v>
      </c>
      <c r="G52" s="93"/>
      <c r="H52" s="93"/>
      <c r="I52" s="93"/>
      <c r="J52" s="93">
        <f t="shared" si="3"/>
        <v>0</v>
      </c>
      <c r="K52" s="93"/>
      <c r="L52" s="93"/>
      <c r="M52" s="93"/>
      <c r="N52" s="93"/>
      <c r="O52" s="93"/>
      <c r="P52" s="93">
        <f t="shared" si="16"/>
        <v>1802059</v>
      </c>
      <c r="Q52" s="175"/>
      <c r="R52" s="214"/>
      <c r="S52" s="240"/>
      <c r="T52" s="240"/>
      <c r="U52" s="240"/>
      <c r="V52" s="240"/>
      <c r="W52" s="240"/>
      <c r="X52" s="240"/>
      <c r="Y52" s="240"/>
      <c r="Z52" s="240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</row>
    <row r="53" spans="1:36" s="136" customFormat="1" ht="34.5" customHeight="1">
      <c r="A53" s="97" t="s">
        <v>264</v>
      </c>
      <c r="B53" s="97" t="str">
        <f>'дод. 4'!A192</f>
        <v>8110</v>
      </c>
      <c r="C53" s="97" t="str">
        <f>'дод. 4'!B192</f>
        <v>0320</v>
      </c>
      <c r="D53" s="127" t="str">
        <f>'дод. 4'!C192</f>
        <v>Заходи із запобігання та ліквідації надзвичайних ситуацій та наслідків стихійного лиха</v>
      </c>
      <c r="E53" s="96">
        <f t="shared" si="15"/>
        <v>408930</v>
      </c>
      <c r="F53" s="96">
        <f>228570+180360</f>
        <v>408930</v>
      </c>
      <c r="G53" s="96"/>
      <c r="H53" s="96">
        <v>5070</v>
      </c>
      <c r="I53" s="96"/>
      <c r="J53" s="96">
        <f t="shared" si="3"/>
        <v>0</v>
      </c>
      <c r="K53" s="96"/>
      <c r="L53" s="96"/>
      <c r="M53" s="96"/>
      <c r="N53" s="96"/>
      <c r="O53" s="96"/>
      <c r="P53" s="96">
        <f t="shared" si="16"/>
        <v>408930</v>
      </c>
      <c r="Q53" s="174"/>
      <c r="R53" s="213"/>
      <c r="S53" s="237"/>
      <c r="T53" s="237"/>
      <c r="U53" s="237"/>
      <c r="V53" s="237"/>
      <c r="W53" s="237"/>
      <c r="X53" s="237"/>
      <c r="Y53" s="237"/>
      <c r="Z53" s="237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</row>
    <row r="54" spans="1:36" s="136" customFormat="1" ht="19.5" customHeight="1">
      <c r="A54" s="97" t="s">
        <v>360</v>
      </c>
      <c r="B54" s="97" t="str">
        <f>'дод. 4'!A193</f>
        <v>8120</v>
      </c>
      <c r="C54" s="97" t="str">
        <f>'дод. 4'!B193</f>
        <v>0320</v>
      </c>
      <c r="D54" s="127" t="str">
        <f>'дод. 4'!C193</f>
        <v>Заходи з організації рятування на водах</v>
      </c>
      <c r="E54" s="96">
        <f t="shared" si="15"/>
        <v>1517110</v>
      </c>
      <c r="F54" s="96">
        <f>1451100+43510+22500</f>
        <v>1517110</v>
      </c>
      <c r="G54" s="96">
        <v>1087750</v>
      </c>
      <c r="H54" s="96">
        <v>76315</v>
      </c>
      <c r="I54" s="96"/>
      <c r="J54" s="96">
        <f t="shared" si="3"/>
        <v>5100</v>
      </c>
      <c r="K54" s="96">
        <f>5100</f>
        <v>5100</v>
      </c>
      <c r="L54" s="96"/>
      <c r="M54" s="96">
        <f>1200</f>
        <v>1200</v>
      </c>
      <c r="N54" s="96"/>
      <c r="O54" s="96"/>
      <c r="P54" s="96">
        <f t="shared" si="16"/>
        <v>1522210</v>
      </c>
      <c r="Q54" s="174"/>
      <c r="R54" s="213"/>
      <c r="S54" s="237"/>
      <c r="T54" s="237"/>
      <c r="U54" s="237"/>
      <c r="V54" s="237"/>
      <c r="W54" s="237"/>
      <c r="X54" s="237"/>
      <c r="Y54" s="237"/>
      <c r="Z54" s="237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</row>
    <row r="55" spans="1:36" s="136" customFormat="1" ht="19.5" customHeight="1">
      <c r="A55" s="97" t="s">
        <v>387</v>
      </c>
      <c r="B55" s="97" t="str">
        <f>'дод. 4'!A195</f>
        <v>8230</v>
      </c>
      <c r="C55" s="97" t="str">
        <f>'дод. 4'!B195</f>
        <v>0380</v>
      </c>
      <c r="D55" s="127" t="str">
        <f>'дод. 4'!C195</f>
        <v>Інші заходи громадського порядку та безпеки</v>
      </c>
      <c r="E55" s="96">
        <f t="shared" si="15"/>
        <v>391300</v>
      </c>
      <c r="F55" s="96">
        <v>391300</v>
      </c>
      <c r="G55" s="96"/>
      <c r="H55" s="96">
        <v>222241</v>
      </c>
      <c r="I55" s="96"/>
      <c r="J55" s="96">
        <f t="shared" si="3"/>
        <v>0</v>
      </c>
      <c r="K55" s="96"/>
      <c r="L55" s="96"/>
      <c r="M55" s="96"/>
      <c r="N55" s="96"/>
      <c r="O55" s="96"/>
      <c r="P55" s="96">
        <f t="shared" si="16"/>
        <v>391300</v>
      </c>
      <c r="Q55" s="174"/>
      <c r="R55" s="213"/>
      <c r="S55" s="237"/>
      <c r="T55" s="237"/>
      <c r="U55" s="237"/>
      <c r="V55" s="237"/>
      <c r="W55" s="237"/>
      <c r="X55" s="237"/>
      <c r="Y55" s="237"/>
      <c r="Z55" s="237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6" spans="1:36" s="136" customFormat="1" ht="29.25" customHeight="1">
      <c r="A56" s="94" t="s">
        <v>265</v>
      </c>
      <c r="B56" s="94" t="str">
        <f>'дод. 4'!A198</f>
        <v>8340</v>
      </c>
      <c r="C56" s="94" t="str">
        <f>'дод. 4'!B198</f>
        <v>0540</v>
      </c>
      <c r="D56" s="122" t="str">
        <f>'дод. 4'!C198</f>
        <v>Природоохоронні заходи за рахунок цільових фондів</v>
      </c>
      <c r="E56" s="96">
        <f t="shared" si="15"/>
        <v>0</v>
      </c>
      <c r="F56" s="96"/>
      <c r="G56" s="96"/>
      <c r="H56" s="96"/>
      <c r="I56" s="96"/>
      <c r="J56" s="96">
        <f t="shared" si="3"/>
        <v>123500</v>
      </c>
      <c r="K56" s="96">
        <v>123500</v>
      </c>
      <c r="L56" s="96"/>
      <c r="M56" s="96"/>
      <c r="N56" s="96"/>
      <c r="O56" s="96"/>
      <c r="P56" s="96">
        <f t="shared" si="16"/>
        <v>123500</v>
      </c>
      <c r="Q56" s="174"/>
      <c r="R56" s="213"/>
      <c r="S56" s="237"/>
      <c r="T56" s="237"/>
      <c r="U56" s="237"/>
      <c r="V56" s="237"/>
      <c r="W56" s="237"/>
      <c r="X56" s="237"/>
      <c r="Y56" s="237"/>
      <c r="Z56" s="237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</row>
    <row r="57" spans="1:36" s="4" customFormat="1" ht="24" customHeight="1">
      <c r="A57" s="97" t="s">
        <v>398</v>
      </c>
      <c r="B57" s="97" t="str">
        <f>'дод. 4'!A200</f>
        <v>8420</v>
      </c>
      <c r="C57" s="97" t="str">
        <f>'дод. 4'!B200</f>
        <v>0830</v>
      </c>
      <c r="D57" s="127" t="str">
        <f>'дод. 4'!C200</f>
        <v>Інші заходи у сфері засобів масової інформації</v>
      </c>
      <c r="E57" s="96">
        <f t="shared" si="15"/>
        <v>164000</v>
      </c>
      <c r="F57" s="96">
        <v>164000</v>
      </c>
      <c r="G57" s="96"/>
      <c r="H57" s="96"/>
      <c r="I57" s="96"/>
      <c r="J57" s="96">
        <f t="shared" si="3"/>
        <v>0</v>
      </c>
      <c r="K57" s="96"/>
      <c r="L57" s="96"/>
      <c r="M57" s="96"/>
      <c r="N57" s="96"/>
      <c r="O57" s="96"/>
      <c r="P57" s="96">
        <f t="shared" si="16"/>
        <v>164000</v>
      </c>
      <c r="Q57" s="174"/>
      <c r="R57" s="213"/>
      <c r="S57" s="237"/>
      <c r="T57" s="237"/>
      <c r="U57" s="237"/>
      <c r="V57" s="237"/>
      <c r="W57" s="237"/>
      <c r="X57" s="237"/>
      <c r="Y57" s="237"/>
      <c r="Z57" s="237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</row>
    <row r="58" spans="1:36" s="131" customFormat="1" ht="24.75" customHeight="1">
      <c r="A58" s="141" t="s">
        <v>266</v>
      </c>
      <c r="B58" s="142"/>
      <c r="C58" s="142"/>
      <c r="D58" s="36" t="s">
        <v>48</v>
      </c>
      <c r="E58" s="47">
        <f>E59</f>
        <v>737153090</v>
      </c>
      <c r="F58" s="47">
        <f aca="true" t="shared" si="17" ref="F58:P58">F59</f>
        <v>737153090</v>
      </c>
      <c r="G58" s="47">
        <f t="shared" si="17"/>
        <v>472796000</v>
      </c>
      <c r="H58" s="47">
        <f t="shared" si="17"/>
        <v>69735910</v>
      </c>
      <c r="I58" s="47">
        <f t="shared" si="17"/>
        <v>0</v>
      </c>
      <c r="J58" s="47">
        <f t="shared" si="17"/>
        <v>72901248</v>
      </c>
      <c r="K58" s="47">
        <f t="shared" si="17"/>
        <v>48295548</v>
      </c>
      <c r="L58" s="47">
        <f t="shared" si="17"/>
        <v>2677494</v>
      </c>
      <c r="M58" s="47">
        <f t="shared" si="17"/>
        <v>2371330</v>
      </c>
      <c r="N58" s="47">
        <f t="shared" si="17"/>
        <v>24605700</v>
      </c>
      <c r="O58" s="47">
        <f t="shared" si="17"/>
        <v>24364000</v>
      </c>
      <c r="P58" s="47">
        <f t="shared" si="17"/>
        <v>810054338</v>
      </c>
      <c r="Q58" s="172"/>
      <c r="R58" s="215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</row>
    <row r="59" spans="1:36" s="134" customFormat="1" ht="18" customHeight="1">
      <c r="A59" s="143" t="s">
        <v>267</v>
      </c>
      <c r="B59" s="144"/>
      <c r="C59" s="144"/>
      <c r="D59" s="145" t="s">
        <v>48</v>
      </c>
      <c r="E59" s="87">
        <f aca="true" t="shared" si="18" ref="E59:P59">E61+E62+E63+E65+E67+E69+E70+E72+E73+E76+E79+E81+E82+E77</f>
        <v>737153090</v>
      </c>
      <c r="F59" s="87">
        <f t="shared" si="18"/>
        <v>737153090</v>
      </c>
      <c r="G59" s="87">
        <f t="shared" si="18"/>
        <v>472796000</v>
      </c>
      <c r="H59" s="87">
        <f t="shared" si="18"/>
        <v>69735910</v>
      </c>
      <c r="I59" s="87">
        <f t="shared" si="18"/>
        <v>0</v>
      </c>
      <c r="J59" s="87">
        <f t="shared" si="18"/>
        <v>72901248</v>
      </c>
      <c r="K59" s="87">
        <f t="shared" si="18"/>
        <v>48295548</v>
      </c>
      <c r="L59" s="87">
        <f t="shared" si="18"/>
        <v>2677494</v>
      </c>
      <c r="M59" s="87">
        <f t="shared" si="18"/>
        <v>2371330</v>
      </c>
      <c r="N59" s="87">
        <f t="shared" si="18"/>
        <v>24605700</v>
      </c>
      <c r="O59" s="87">
        <f t="shared" si="18"/>
        <v>24364000</v>
      </c>
      <c r="P59" s="87">
        <f t="shared" si="18"/>
        <v>810054338</v>
      </c>
      <c r="Q59" s="87"/>
      <c r="R59" s="168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</row>
    <row r="60" spans="1:36" s="134" customFormat="1" ht="15">
      <c r="A60" s="143"/>
      <c r="B60" s="144"/>
      <c r="C60" s="144"/>
      <c r="D60" s="145" t="s">
        <v>416</v>
      </c>
      <c r="E60" s="87">
        <f>E64+E66+E68+E71</f>
        <v>259300600</v>
      </c>
      <c r="F60" s="87">
        <f aca="true" t="shared" si="19" ref="F60:P60">F64+F66+F68+F71</f>
        <v>259300600</v>
      </c>
      <c r="G60" s="87">
        <f t="shared" si="19"/>
        <v>212872900</v>
      </c>
      <c r="H60" s="87">
        <f t="shared" si="19"/>
        <v>0</v>
      </c>
      <c r="I60" s="87">
        <f t="shared" si="19"/>
        <v>0</v>
      </c>
      <c r="J60" s="87">
        <f t="shared" si="19"/>
        <v>0</v>
      </c>
      <c r="K60" s="87">
        <f t="shared" si="19"/>
        <v>0</v>
      </c>
      <c r="L60" s="87">
        <f t="shared" si="19"/>
        <v>0</v>
      </c>
      <c r="M60" s="87">
        <f t="shared" si="19"/>
        <v>0</v>
      </c>
      <c r="N60" s="87">
        <f t="shared" si="19"/>
        <v>0</v>
      </c>
      <c r="O60" s="87">
        <f t="shared" si="19"/>
        <v>0</v>
      </c>
      <c r="P60" s="87">
        <f t="shared" si="19"/>
        <v>259300600</v>
      </c>
      <c r="Q60" s="173"/>
      <c r="R60" s="212"/>
      <c r="S60" s="235"/>
      <c r="T60" s="235"/>
      <c r="U60" s="235"/>
      <c r="V60" s="235"/>
      <c r="W60" s="235"/>
      <c r="X60" s="235"/>
      <c r="Y60" s="235"/>
      <c r="Z60" s="235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</row>
    <row r="61" spans="1:36" s="4" customFormat="1" ht="45">
      <c r="A61" s="88" t="s">
        <v>268</v>
      </c>
      <c r="B61" s="88" t="str">
        <f>'дод. 4'!A14</f>
        <v>0160</v>
      </c>
      <c r="C61" s="88" t="str">
        <f>'дод. 4'!B14</f>
        <v>0111</v>
      </c>
      <c r="D61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1" s="90">
        <f aca="true" t="shared" si="20" ref="E61:E72">F61+I61</f>
        <v>3028200</v>
      </c>
      <c r="F61" s="90">
        <f>3102600-74400</f>
        <v>3028200</v>
      </c>
      <c r="G61" s="90">
        <v>2367000</v>
      </c>
      <c r="H61" s="90">
        <v>38870</v>
      </c>
      <c r="I61" s="90"/>
      <c r="J61" s="90">
        <f aca="true" t="shared" si="21" ref="J61:J82">K61+N61</f>
        <v>16000</v>
      </c>
      <c r="K61" s="90"/>
      <c r="L61" s="90"/>
      <c r="M61" s="90"/>
      <c r="N61" s="90">
        <v>16000</v>
      </c>
      <c r="O61" s="90">
        <v>16000</v>
      </c>
      <c r="P61" s="90">
        <f aca="true" t="shared" si="22" ref="P61:P72">E61+J61</f>
        <v>3044200</v>
      </c>
      <c r="Q61" s="174"/>
      <c r="R61" s="213"/>
      <c r="S61" s="237"/>
      <c r="T61" s="237"/>
      <c r="U61" s="237"/>
      <c r="V61" s="237"/>
      <c r="W61" s="237"/>
      <c r="X61" s="237"/>
      <c r="Y61" s="237"/>
      <c r="Z61" s="237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</row>
    <row r="62" spans="1:36" s="4" customFormat="1" ht="21.75" customHeight="1">
      <c r="A62" s="88" t="s">
        <v>269</v>
      </c>
      <c r="B62" s="88" t="str">
        <f>'дод. 4'!A18</f>
        <v>1010</v>
      </c>
      <c r="C62" s="88" t="str">
        <f>'дод. 4'!B18</f>
        <v>0910</v>
      </c>
      <c r="D62" s="124" t="str">
        <f>'дод. 4'!C18</f>
        <v>Надання дошкільної освіти</v>
      </c>
      <c r="E62" s="90">
        <f t="shared" si="20"/>
        <v>190467470</v>
      </c>
      <c r="F62" s="90">
        <v>190467470</v>
      </c>
      <c r="G62" s="90">
        <v>119291300</v>
      </c>
      <c r="H62" s="90">
        <v>22031690</v>
      </c>
      <c r="I62" s="90"/>
      <c r="J62" s="90">
        <f t="shared" si="21"/>
        <v>19565511</v>
      </c>
      <c r="K62" s="90">
        <f>16065511</f>
        <v>16065511</v>
      </c>
      <c r="L62" s="90"/>
      <c r="M62" s="90"/>
      <c r="N62" s="90">
        <v>3500000</v>
      </c>
      <c r="O62" s="90">
        <v>3500000</v>
      </c>
      <c r="P62" s="90">
        <f t="shared" si="22"/>
        <v>210032981</v>
      </c>
      <c r="Q62" s="174"/>
      <c r="R62" s="213"/>
      <c r="S62" s="237"/>
      <c r="T62" s="237"/>
      <c r="U62" s="237"/>
      <c r="V62" s="237"/>
      <c r="W62" s="237"/>
      <c r="X62" s="237"/>
      <c r="Y62" s="237"/>
      <c r="Z62" s="237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</row>
    <row r="63" spans="1:36" s="4" customFormat="1" ht="63.75" customHeight="1">
      <c r="A63" s="88" t="s">
        <v>270</v>
      </c>
      <c r="B63" s="88" t="str">
        <f>'дод. 4'!A19</f>
        <v>1020</v>
      </c>
      <c r="C63" s="88" t="str">
        <f>'дод. 4'!B19</f>
        <v>0921</v>
      </c>
      <c r="D63" s="124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3" s="90">
        <f t="shared" si="20"/>
        <v>397808220</v>
      </c>
      <c r="F63" s="90">
        <f>395462520+83700+10010+2251990</f>
        <v>397808220</v>
      </c>
      <c r="G63" s="90">
        <f>266266600+83700-15000</f>
        <v>266335300</v>
      </c>
      <c r="H63" s="90">
        <v>34867640</v>
      </c>
      <c r="I63" s="90"/>
      <c r="J63" s="90">
        <f t="shared" si="21"/>
        <v>32777767</v>
      </c>
      <c r="K63" s="90">
        <f>25377767</f>
        <v>25377767</v>
      </c>
      <c r="L63" s="90">
        <v>624000</v>
      </c>
      <c r="M63" s="90">
        <v>36920</v>
      </c>
      <c r="N63" s="90">
        <v>7400000</v>
      </c>
      <c r="O63" s="90">
        <v>7400000</v>
      </c>
      <c r="P63" s="90">
        <f t="shared" si="22"/>
        <v>430585987</v>
      </c>
      <c r="Q63" s="174"/>
      <c r="R63" s="213"/>
      <c r="S63" s="237"/>
      <c r="T63" s="237"/>
      <c r="U63" s="237"/>
      <c r="V63" s="237"/>
      <c r="W63" s="237"/>
      <c r="X63" s="237"/>
      <c r="Y63" s="237"/>
      <c r="Z63" s="237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</row>
    <row r="64" spans="1:36" s="4" customFormat="1" ht="15">
      <c r="A64" s="88"/>
      <c r="B64" s="100"/>
      <c r="C64" s="100"/>
      <c r="D64" s="89" t="s">
        <v>416</v>
      </c>
      <c r="E64" s="90">
        <f t="shared" si="20"/>
        <v>244384200</v>
      </c>
      <c r="F64" s="90">
        <f>244300500+83700</f>
        <v>244384200</v>
      </c>
      <c r="G64" s="90">
        <f>200571200+83700-15000</f>
        <v>200639900</v>
      </c>
      <c r="H64" s="90"/>
      <c r="I64" s="90"/>
      <c r="J64" s="90">
        <f t="shared" si="21"/>
        <v>0</v>
      </c>
      <c r="K64" s="90"/>
      <c r="L64" s="90"/>
      <c r="M64" s="90"/>
      <c r="N64" s="90"/>
      <c r="O64" s="90"/>
      <c r="P64" s="90">
        <f t="shared" si="22"/>
        <v>244384200</v>
      </c>
      <c r="Q64" s="174"/>
      <c r="R64" s="213"/>
      <c r="S64" s="237"/>
      <c r="T64" s="237"/>
      <c r="U64" s="237"/>
      <c r="V64" s="237"/>
      <c r="W64" s="237"/>
      <c r="X64" s="237"/>
      <c r="Y64" s="237"/>
      <c r="Z64" s="237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</row>
    <row r="65" spans="1:36" s="4" customFormat="1" ht="31.5" customHeight="1">
      <c r="A65" s="88" t="s">
        <v>423</v>
      </c>
      <c r="B65" s="88" t="str">
        <f>'дод. 4'!A21</f>
        <v>1030</v>
      </c>
      <c r="C65" s="88" t="str">
        <f>'дод. 4'!B21</f>
        <v>0921</v>
      </c>
      <c r="D65" s="124" t="str">
        <f>'дод. 4'!C21</f>
        <v>Надання загальної середньої освіти вечiрнiми (змінними) школами</v>
      </c>
      <c r="E65" s="90">
        <f t="shared" si="20"/>
        <v>778340</v>
      </c>
      <c r="F65" s="90">
        <v>778340</v>
      </c>
      <c r="G65" s="90">
        <v>637000</v>
      </c>
      <c r="H65" s="90"/>
      <c r="I65" s="90"/>
      <c r="J65" s="90">
        <f t="shared" si="21"/>
        <v>0</v>
      </c>
      <c r="K65" s="90"/>
      <c r="L65" s="90"/>
      <c r="M65" s="90"/>
      <c r="N65" s="90"/>
      <c r="O65" s="90"/>
      <c r="P65" s="90">
        <f t="shared" si="22"/>
        <v>778340</v>
      </c>
      <c r="Q65" s="174"/>
      <c r="R65" s="213"/>
      <c r="S65" s="237"/>
      <c r="T65" s="237"/>
      <c r="U65" s="237"/>
      <c r="V65" s="237"/>
      <c r="W65" s="237"/>
      <c r="X65" s="237"/>
      <c r="Y65" s="237"/>
      <c r="Z65" s="237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</row>
    <row r="66" spans="1:36" s="4" customFormat="1" ht="15">
      <c r="A66" s="88"/>
      <c r="B66" s="100"/>
      <c r="C66" s="100"/>
      <c r="D66" s="89" t="s">
        <v>416</v>
      </c>
      <c r="E66" s="90">
        <f t="shared" si="20"/>
        <v>777140</v>
      </c>
      <c r="F66" s="90">
        <v>777140</v>
      </c>
      <c r="G66" s="90">
        <v>637000</v>
      </c>
      <c r="H66" s="90"/>
      <c r="I66" s="90"/>
      <c r="J66" s="90">
        <f>K66+N66</f>
        <v>0</v>
      </c>
      <c r="K66" s="90"/>
      <c r="L66" s="90"/>
      <c r="M66" s="90"/>
      <c r="N66" s="90"/>
      <c r="O66" s="90"/>
      <c r="P66" s="90">
        <f t="shared" si="22"/>
        <v>777140</v>
      </c>
      <c r="Q66" s="174"/>
      <c r="R66" s="213"/>
      <c r="S66" s="237"/>
      <c r="T66" s="237"/>
      <c r="U66" s="237"/>
      <c r="V66" s="237"/>
      <c r="W66" s="237"/>
      <c r="X66" s="237"/>
      <c r="Y66" s="237"/>
      <c r="Z66" s="237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</row>
    <row r="67" spans="1:36" s="4" customFormat="1" ht="75" customHeight="1">
      <c r="A67" s="88" t="s">
        <v>354</v>
      </c>
      <c r="B67" s="88" t="str">
        <f>'дод. 4'!A23</f>
        <v>1070</v>
      </c>
      <c r="C67" s="88" t="str">
        <f>'дод. 4'!B23</f>
        <v>0922</v>
      </c>
      <c r="D67" s="124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7" s="90">
        <f t="shared" si="20"/>
        <v>7458330</v>
      </c>
      <c r="F67" s="90">
        <v>7458330</v>
      </c>
      <c r="G67" s="90">
        <v>5205700</v>
      </c>
      <c r="H67" s="90">
        <v>615230</v>
      </c>
      <c r="I67" s="90"/>
      <c r="J67" s="90">
        <f t="shared" si="21"/>
        <v>100000</v>
      </c>
      <c r="K67" s="90"/>
      <c r="L67" s="90"/>
      <c r="M67" s="90"/>
      <c r="N67" s="90">
        <v>100000</v>
      </c>
      <c r="O67" s="90">
        <v>100000</v>
      </c>
      <c r="P67" s="90">
        <f t="shared" si="22"/>
        <v>7558330</v>
      </c>
      <c r="Q67" s="174"/>
      <c r="R67" s="213"/>
      <c r="S67" s="237"/>
      <c r="T67" s="237"/>
      <c r="U67" s="237"/>
      <c r="V67" s="237"/>
      <c r="W67" s="237"/>
      <c r="X67" s="237"/>
      <c r="Y67" s="237"/>
      <c r="Z67" s="237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</row>
    <row r="68" spans="1:36" s="4" customFormat="1" ht="15">
      <c r="A68" s="88"/>
      <c r="B68" s="100"/>
      <c r="C68" s="100"/>
      <c r="D68" s="89" t="s">
        <v>416</v>
      </c>
      <c r="E68" s="90">
        <f t="shared" si="20"/>
        <v>4957260</v>
      </c>
      <c r="F68" s="90">
        <v>4957260</v>
      </c>
      <c r="G68" s="90">
        <v>4070000</v>
      </c>
      <c r="H68" s="90"/>
      <c r="I68" s="90"/>
      <c r="J68" s="90">
        <f t="shared" si="21"/>
        <v>0</v>
      </c>
      <c r="K68" s="90"/>
      <c r="L68" s="90"/>
      <c r="M68" s="90"/>
      <c r="N68" s="90"/>
      <c r="O68" s="90"/>
      <c r="P68" s="90">
        <f t="shared" si="22"/>
        <v>4957260</v>
      </c>
      <c r="Q68" s="174"/>
      <c r="R68" s="213"/>
      <c r="S68" s="237"/>
      <c r="T68" s="237"/>
      <c r="U68" s="237"/>
      <c r="V68" s="237"/>
      <c r="W68" s="237"/>
      <c r="X68" s="237"/>
      <c r="Y68" s="237"/>
      <c r="Z68" s="237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</row>
    <row r="69" spans="1:36" s="4" customFormat="1" ht="36" customHeight="1">
      <c r="A69" s="88" t="s">
        <v>355</v>
      </c>
      <c r="B69" s="88" t="str">
        <f>'дод. 4'!A25</f>
        <v>1090</v>
      </c>
      <c r="C69" s="88" t="str">
        <f>'дод. 4'!B25</f>
        <v>0960</v>
      </c>
      <c r="D69" s="124" t="str">
        <f>'дод. 4'!C25</f>
        <v>Надання позашкільної освіти позашкільними закладами освіти, заходи із позашкільної роботи з дітьми </v>
      </c>
      <c r="E69" s="90">
        <f t="shared" si="20"/>
        <v>21531690</v>
      </c>
      <c r="F69" s="90">
        <v>21531690</v>
      </c>
      <c r="G69" s="90">
        <v>15425500</v>
      </c>
      <c r="H69" s="90">
        <v>2331620</v>
      </c>
      <c r="I69" s="90"/>
      <c r="J69" s="90">
        <f t="shared" si="21"/>
        <v>400000</v>
      </c>
      <c r="K69" s="90"/>
      <c r="L69" s="90"/>
      <c r="M69" s="90"/>
      <c r="N69" s="90">
        <v>400000</v>
      </c>
      <c r="O69" s="90">
        <v>400000</v>
      </c>
      <c r="P69" s="90">
        <f t="shared" si="22"/>
        <v>21931690</v>
      </c>
      <c r="Q69" s="174"/>
      <c r="R69" s="213"/>
      <c r="S69" s="237"/>
      <c r="T69" s="237"/>
      <c r="U69" s="237"/>
      <c r="V69" s="237"/>
      <c r="W69" s="237"/>
      <c r="X69" s="237"/>
      <c r="Y69" s="237"/>
      <c r="Z69" s="237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</row>
    <row r="70" spans="1:36" s="4" customFormat="1" ht="33.75" customHeight="1">
      <c r="A70" s="88" t="s">
        <v>353</v>
      </c>
      <c r="B70" s="88" t="str">
        <f>'дод. 4'!A27</f>
        <v>1110</v>
      </c>
      <c r="C70" s="88" t="str">
        <f>'дод. 4'!B27</f>
        <v>0930</v>
      </c>
      <c r="D70" s="124" t="str">
        <f>'дод. 4'!C27</f>
        <v>Підготовка кадрів професійно-технічними закладами та іншими закладами освіти</v>
      </c>
      <c r="E70" s="90">
        <f t="shared" si="20"/>
        <v>93735900</v>
      </c>
      <c r="F70" s="90">
        <f>91735900+2000000</f>
        <v>93735900</v>
      </c>
      <c r="G70" s="90">
        <v>52999200</v>
      </c>
      <c r="H70" s="90">
        <v>9089100</v>
      </c>
      <c r="I70" s="90">
        <v>0</v>
      </c>
      <c r="J70" s="90">
        <f t="shared" si="21"/>
        <v>6708970</v>
      </c>
      <c r="K70" s="90">
        <v>6514270</v>
      </c>
      <c r="L70" s="90">
        <v>2053494</v>
      </c>
      <c r="M70" s="90">
        <v>2334410</v>
      </c>
      <c r="N70" s="90">
        <v>194700</v>
      </c>
      <c r="O70" s="90"/>
      <c r="P70" s="90">
        <f t="shared" si="22"/>
        <v>100444870</v>
      </c>
      <c r="Q70" s="174"/>
      <c r="R70" s="213"/>
      <c r="S70" s="237"/>
      <c r="T70" s="237"/>
      <c r="U70" s="237"/>
      <c r="V70" s="237"/>
      <c r="W70" s="237"/>
      <c r="X70" s="237"/>
      <c r="Y70" s="237"/>
      <c r="Z70" s="237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</row>
    <row r="71" spans="1:36" s="4" customFormat="1" ht="15">
      <c r="A71" s="88"/>
      <c r="B71" s="100"/>
      <c r="C71" s="100"/>
      <c r="D71" s="89" t="s">
        <v>416</v>
      </c>
      <c r="E71" s="90">
        <f t="shared" si="20"/>
        <v>9182000</v>
      </c>
      <c r="F71" s="90">
        <v>9182000</v>
      </c>
      <c r="G71" s="90">
        <v>7526000</v>
      </c>
      <c r="H71" s="90"/>
      <c r="I71" s="90"/>
      <c r="J71" s="90">
        <f>K71+N71</f>
        <v>0</v>
      </c>
      <c r="K71" s="90"/>
      <c r="L71" s="90"/>
      <c r="M71" s="90"/>
      <c r="N71" s="90"/>
      <c r="O71" s="90"/>
      <c r="P71" s="90">
        <f t="shared" si="22"/>
        <v>9182000</v>
      </c>
      <c r="Q71" s="174"/>
      <c r="R71" s="213"/>
      <c r="S71" s="237"/>
      <c r="T71" s="237"/>
      <c r="U71" s="237"/>
      <c r="V71" s="237"/>
      <c r="W71" s="237"/>
      <c r="X71" s="237"/>
      <c r="Y71" s="237"/>
      <c r="Z71" s="237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</row>
    <row r="72" spans="1:36" s="4" customFormat="1" ht="22.5" customHeight="1">
      <c r="A72" s="88" t="s">
        <v>271</v>
      </c>
      <c r="B72" s="88" t="str">
        <f>'дод. 4'!A29</f>
        <v>1150</v>
      </c>
      <c r="C72" s="88" t="str">
        <f>'дод. 4'!B29</f>
        <v>0990</v>
      </c>
      <c r="D72" s="88" t="str">
        <f>'дод. 4'!C29</f>
        <v>Методичне забезпечення діяльності навчальних закладів  </v>
      </c>
      <c r="E72" s="90">
        <f t="shared" si="20"/>
        <v>3118910</v>
      </c>
      <c r="F72" s="90">
        <v>3118910</v>
      </c>
      <c r="G72" s="90">
        <v>2440000</v>
      </c>
      <c r="H72" s="90">
        <v>103210</v>
      </c>
      <c r="I72" s="90"/>
      <c r="J72" s="90">
        <f t="shared" si="21"/>
        <v>0</v>
      </c>
      <c r="K72" s="90"/>
      <c r="L72" s="90"/>
      <c r="M72" s="90"/>
      <c r="N72" s="90"/>
      <c r="O72" s="90"/>
      <c r="P72" s="90">
        <f t="shared" si="22"/>
        <v>3118910</v>
      </c>
      <c r="Q72" s="174"/>
      <c r="R72" s="213"/>
      <c r="S72" s="237"/>
      <c r="T72" s="237"/>
      <c r="U72" s="237"/>
      <c r="V72" s="237"/>
      <c r="W72" s="237"/>
      <c r="X72" s="237"/>
      <c r="Y72" s="237"/>
      <c r="Z72" s="237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</row>
    <row r="73" spans="1:36" s="4" customFormat="1" ht="20.25" customHeight="1">
      <c r="A73" s="88" t="s">
        <v>357</v>
      </c>
      <c r="B73" s="88" t="str">
        <f>'дод. 4'!A30</f>
        <v>1160</v>
      </c>
      <c r="C73" s="88">
        <f>'дод. 4'!B30</f>
        <v>0</v>
      </c>
      <c r="D73" s="125" t="str">
        <f>'дод. 4'!C30</f>
        <v>Інші програми, заклади та заходи у сфері освіти</v>
      </c>
      <c r="E73" s="90">
        <f>E74+E75</f>
        <v>6788000</v>
      </c>
      <c r="F73" s="90">
        <f aca="true" t="shared" si="23" ref="F73:P73">F74+F75</f>
        <v>6788000</v>
      </c>
      <c r="G73" s="90">
        <f t="shared" si="23"/>
        <v>4797600</v>
      </c>
      <c r="H73" s="90">
        <f t="shared" si="23"/>
        <v>460470</v>
      </c>
      <c r="I73" s="90">
        <f t="shared" si="23"/>
        <v>0</v>
      </c>
      <c r="J73" s="90">
        <f t="shared" si="23"/>
        <v>180000</v>
      </c>
      <c r="K73" s="90">
        <f t="shared" si="23"/>
        <v>0</v>
      </c>
      <c r="L73" s="90">
        <f t="shared" si="23"/>
        <v>0</v>
      </c>
      <c r="M73" s="90">
        <f t="shared" si="23"/>
        <v>0</v>
      </c>
      <c r="N73" s="90">
        <f t="shared" si="23"/>
        <v>180000</v>
      </c>
      <c r="O73" s="90">
        <f t="shared" si="23"/>
        <v>180000</v>
      </c>
      <c r="P73" s="90">
        <f t="shared" si="23"/>
        <v>6968000</v>
      </c>
      <c r="Q73" s="174"/>
      <c r="R73" s="213"/>
      <c r="S73" s="237"/>
      <c r="T73" s="237"/>
      <c r="U73" s="237"/>
      <c r="V73" s="237"/>
      <c r="W73" s="237"/>
      <c r="X73" s="237"/>
      <c r="Y73" s="237"/>
      <c r="Z73" s="237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</row>
    <row r="74" spans="1:36" s="33" customFormat="1" ht="20.25" customHeight="1">
      <c r="A74" s="91" t="s">
        <v>480</v>
      </c>
      <c r="B74" s="91" t="str">
        <f>'дод. 4'!A31</f>
        <v>1161</v>
      </c>
      <c r="C74" s="91" t="str">
        <f>'дод. 4'!B31</f>
        <v>0990</v>
      </c>
      <c r="D74" s="135" t="str">
        <f>'дод. 4'!C31</f>
        <v>Забезпечення діяльності інших закладів у сфері освіти</v>
      </c>
      <c r="E74" s="93">
        <f>F74+I74</f>
        <v>6712200</v>
      </c>
      <c r="F74" s="93">
        <v>6712200</v>
      </c>
      <c r="G74" s="93">
        <v>4797600</v>
      </c>
      <c r="H74" s="93">
        <v>460470</v>
      </c>
      <c r="I74" s="93"/>
      <c r="J74" s="93">
        <f>K74+N74</f>
        <v>180000</v>
      </c>
      <c r="K74" s="93"/>
      <c r="L74" s="93"/>
      <c r="M74" s="93"/>
      <c r="N74" s="93">
        <v>180000</v>
      </c>
      <c r="O74" s="93">
        <v>180000</v>
      </c>
      <c r="P74" s="93">
        <f>E74+J74</f>
        <v>6892200</v>
      </c>
      <c r="Q74" s="175"/>
      <c r="R74" s="214"/>
      <c r="S74" s="240"/>
      <c r="T74" s="240"/>
      <c r="U74" s="240"/>
      <c r="V74" s="240"/>
      <c r="W74" s="240"/>
      <c r="X74" s="240"/>
      <c r="Y74" s="240"/>
      <c r="Z74" s="240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</row>
    <row r="75" spans="1:36" s="33" customFormat="1" ht="20.25" customHeight="1">
      <c r="A75" s="91" t="s">
        <v>481</v>
      </c>
      <c r="B75" s="91" t="str">
        <f>'дод. 4'!A32</f>
        <v>1162</v>
      </c>
      <c r="C75" s="91" t="str">
        <f>'дод. 4'!B32</f>
        <v>0990</v>
      </c>
      <c r="D75" s="135" t="str">
        <f>'дод. 4'!C32</f>
        <v>Інші програми та заходи у сфері освіти</v>
      </c>
      <c r="E75" s="93">
        <f>F75+I75</f>
        <v>75800</v>
      </c>
      <c r="F75" s="93">
        <v>75800</v>
      </c>
      <c r="G75" s="93"/>
      <c r="H75" s="93"/>
      <c r="I75" s="93"/>
      <c r="J75" s="93">
        <f>K75+N75</f>
        <v>0</v>
      </c>
      <c r="K75" s="93"/>
      <c r="L75" s="93"/>
      <c r="M75" s="93"/>
      <c r="N75" s="93"/>
      <c r="O75" s="93"/>
      <c r="P75" s="93">
        <f>E75+J75</f>
        <v>75800</v>
      </c>
      <c r="Q75" s="175"/>
      <c r="R75" s="214"/>
      <c r="S75" s="240"/>
      <c r="T75" s="240"/>
      <c r="U75" s="240"/>
      <c r="V75" s="240"/>
      <c r="W75" s="240"/>
      <c r="X75" s="240"/>
      <c r="Y75" s="240"/>
      <c r="Z75" s="240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</row>
    <row r="76" spans="1:36" s="4" customFormat="1" ht="68.25" customHeight="1">
      <c r="A76" s="88" t="s">
        <v>272</v>
      </c>
      <c r="B76" s="88" t="str">
        <f>'дод. 4'!A118</f>
        <v>3140</v>
      </c>
      <c r="C76" s="88" t="str">
        <f>'дод. 4'!B118</f>
        <v>1040</v>
      </c>
      <c r="D76" s="126" t="str">
        <f>'дод. 4'!C118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6" s="90">
        <f>F76+I76</f>
        <v>7000000</v>
      </c>
      <c r="F76" s="90">
        <v>7000000</v>
      </c>
      <c r="G76" s="90"/>
      <c r="H76" s="90"/>
      <c r="I76" s="90"/>
      <c r="J76" s="90">
        <f t="shared" si="21"/>
        <v>0</v>
      </c>
      <c r="K76" s="90"/>
      <c r="L76" s="90"/>
      <c r="M76" s="90"/>
      <c r="N76" s="90"/>
      <c r="O76" s="90"/>
      <c r="P76" s="90">
        <f>E76+J76</f>
        <v>7000000</v>
      </c>
      <c r="Q76" s="174"/>
      <c r="R76" s="213"/>
      <c r="S76" s="237"/>
      <c r="T76" s="237"/>
      <c r="U76" s="237"/>
      <c r="V76" s="237"/>
      <c r="W76" s="237"/>
      <c r="X76" s="237"/>
      <c r="Y76" s="237"/>
      <c r="Z76" s="237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</row>
    <row r="77" spans="1:36" s="4" customFormat="1" ht="36.75" customHeight="1">
      <c r="A77" s="88" t="s">
        <v>581</v>
      </c>
      <c r="B77" s="88" t="str">
        <f>'дод. 4'!A131</f>
        <v>3240</v>
      </c>
      <c r="C77" s="88">
        <f>'дод. 4'!B131</f>
        <v>0</v>
      </c>
      <c r="D77" s="125" t="str">
        <f>'дод. 4'!C131</f>
        <v>Інші заклади та заходи</v>
      </c>
      <c r="E77" s="90">
        <f aca="true" t="shared" si="24" ref="E77:P77">E78</f>
        <v>43440</v>
      </c>
      <c r="F77" s="90">
        <f t="shared" si="24"/>
        <v>43440</v>
      </c>
      <c r="G77" s="90">
        <f t="shared" si="24"/>
        <v>0</v>
      </c>
      <c r="H77" s="90">
        <f t="shared" si="24"/>
        <v>0</v>
      </c>
      <c r="I77" s="90">
        <f t="shared" si="24"/>
        <v>0</v>
      </c>
      <c r="J77" s="90">
        <f t="shared" si="24"/>
        <v>0</v>
      </c>
      <c r="K77" s="90">
        <f t="shared" si="24"/>
        <v>0</v>
      </c>
      <c r="L77" s="90">
        <f t="shared" si="24"/>
        <v>0</v>
      </c>
      <c r="M77" s="90">
        <f t="shared" si="24"/>
        <v>0</v>
      </c>
      <c r="N77" s="90">
        <f t="shared" si="24"/>
        <v>0</v>
      </c>
      <c r="O77" s="90">
        <f t="shared" si="24"/>
        <v>0</v>
      </c>
      <c r="P77" s="90">
        <f t="shared" si="24"/>
        <v>43440</v>
      </c>
      <c r="Q77" s="90"/>
      <c r="R77" s="169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</row>
    <row r="78" spans="1:36" s="136" customFormat="1" ht="36.75" customHeight="1">
      <c r="A78" s="91" t="s">
        <v>582</v>
      </c>
      <c r="B78" s="91" t="str">
        <f>'дод. 4'!A133</f>
        <v>3242</v>
      </c>
      <c r="C78" s="91" t="str">
        <f>'дод. 4'!B133</f>
        <v>1090</v>
      </c>
      <c r="D78" s="121" t="str">
        <f>'дод. 4'!C133</f>
        <v>Інші заходи у сфері соціального захисту і соціального забезпечення</v>
      </c>
      <c r="E78" s="93">
        <f>F78</f>
        <v>43440</v>
      </c>
      <c r="F78" s="93">
        <v>43440</v>
      </c>
      <c r="G78" s="93"/>
      <c r="H78" s="93"/>
      <c r="I78" s="93"/>
      <c r="J78" s="93">
        <f>K78+N78</f>
        <v>0</v>
      </c>
      <c r="K78" s="93"/>
      <c r="L78" s="93"/>
      <c r="M78" s="93"/>
      <c r="N78" s="93"/>
      <c r="O78" s="93"/>
      <c r="P78" s="93">
        <f>E78+J78</f>
        <v>43440</v>
      </c>
      <c r="Q78" s="192"/>
      <c r="R78" s="216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</row>
    <row r="79" spans="1:36" s="4" customFormat="1" ht="25.5" customHeight="1">
      <c r="A79" s="88" t="s">
        <v>273</v>
      </c>
      <c r="B79" s="88" t="str">
        <f>'дод. 4'!A143</f>
        <v>5030</v>
      </c>
      <c r="C79" s="88">
        <f>'дод. 4'!B143</f>
        <v>0</v>
      </c>
      <c r="D79" s="124" t="str">
        <f>'дод. 4'!C143</f>
        <v>Розвиток дитячо-юнацького та резервного спорту</v>
      </c>
      <c r="E79" s="90">
        <f>E80</f>
        <v>4604090</v>
      </c>
      <c r="F79" s="90">
        <f aca="true" t="shared" si="25" ref="F79:P79">F80</f>
        <v>4604090</v>
      </c>
      <c r="G79" s="90">
        <f t="shared" si="25"/>
        <v>3297400</v>
      </c>
      <c r="H79" s="90">
        <f t="shared" si="25"/>
        <v>198080</v>
      </c>
      <c r="I79" s="90">
        <f t="shared" si="25"/>
        <v>0</v>
      </c>
      <c r="J79" s="90">
        <f t="shared" si="25"/>
        <v>100000</v>
      </c>
      <c r="K79" s="90">
        <f t="shared" si="25"/>
        <v>0</v>
      </c>
      <c r="L79" s="90">
        <f t="shared" si="25"/>
        <v>0</v>
      </c>
      <c r="M79" s="90">
        <f t="shared" si="25"/>
        <v>0</v>
      </c>
      <c r="N79" s="90">
        <f t="shared" si="25"/>
        <v>100000</v>
      </c>
      <c r="O79" s="90">
        <f t="shared" si="25"/>
        <v>100000</v>
      </c>
      <c r="P79" s="90">
        <f t="shared" si="25"/>
        <v>4704090</v>
      </c>
      <c r="Q79" s="174"/>
      <c r="R79" s="213"/>
      <c r="S79" s="237"/>
      <c r="T79" s="237"/>
      <c r="U79" s="237"/>
      <c r="V79" s="237"/>
      <c r="W79" s="237"/>
      <c r="X79" s="237"/>
      <c r="Y79" s="237"/>
      <c r="Z79" s="237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</row>
    <row r="80" spans="1:36" s="136" customFormat="1" ht="33" customHeight="1">
      <c r="A80" s="91" t="s">
        <v>274</v>
      </c>
      <c r="B80" s="91" t="str">
        <f>'дод. 4'!A144</f>
        <v>5031</v>
      </c>
      <c r="C80" s="91" t="str">
        <f>'дод. 4'!B144</f>
        <v>0810</v>
      </c>
      <c r="D80" s="121" t="str">
        <f>'дод. 4'!C144</f>
        <v>Утримання та навчально-тренувальна робота комунальних дитячо-юнацьких спортивних шкіл</v>
      </c>
      <c r="E80" s="93">
        <f>F80+I80</f>
        <v>4604090</v>
      </c>
      <c r="F80" s="93">
        <f>4481090+123000</f>
        <v>4604090</v>
      </c>
      <c r="G80" s="93">
        <v>3297400</v>
      </c>
      <c r="H80" s="93">
        <v>198080</v>
      </c>
      <c r="I80" s="93"/>
      <c r="J80" s="93">
        <f t="shared" si="21"/>
        <v>100000</v>
      </c>
      <c r="K80" s="93"/>
      <c r="L80" s="93"/>
      <c r="M80" s="93"/>
      <c r="N80" s="93">
        <v>100000</v>
      </c>
      <c r="O80" s="93">
        <v>100000</v>
      </c>
      <c r="P80" s="93">
        <f>E80+J80</f>
        <v>4704090</v>
      </c>
      <c r="Q80" s="175"/>
      <c r="R80" s="214"/>
      <c r="S80" s="240"/>
      <c r="T80" s="240"/>
      <c r="U80" s="240"/>
      <c r="V80" s="240"/>
      <c r="W80" s="240"/>
      <c r="X80" s="240"/>
      <c r="Y80" s="240"/>
      <c r="Z80" s="240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</row>
    <row r="81" spans="1:36" s="136" customFormat="1" ht="25.5" customHeight="1">
      <c r="A81" s="94" t="s">
        <v>275</v>
      </c>
      <c r="B81" s="94" t="str">
        <f>'дод. 4'!A182</f>
        <v>7640</v>
      </c>
      <c r="C81" s="94" t="str">
        <f>'дод. 4'!B182</f>
        <v>0470</v>
      </c>
      <c r="D81" s="122" t="str">
        <f>'дод. 4'!C182</f>
        <v>Заходи з енергозбереження</v>
      </c>
      <c r="E81" s="96">
        <f>F81+I81</f>
        <v>790500</v>
      </c>
      <c r="F81" s="96">
        <v>790500</v>
      </c>
      <c r="G81" s="96"/>
      <c r="H81" s="96"/>
      <c r="I81" s="96"/>
      <c r="J81" s="96">
        <f t="shared" si="21"/>
        <v>12668000</v>
      </c>
      <c r="K81" s="96"/>
      <c r="L81" s="96"/>
      <c r="M81" s="96"/>
      <c r="N81" s="96">
        <f>11768000+900000</f>
        <v>12668000</v>
      </c>
      <c r="O81" s="96">
        <f>11768000+900000</f>
        <v>12668000</v>
      </c>
      <c r="P81" s="96">
        <f>E81+J81</f>
        <v>13458500</v>
      </c>
      <c r="Q81" s="174"/>
      <c r="R81" s="213"/>
      <c r="S81" s="237"/>
      <c r="T81" s="237"/>
      <c r="U81" s="237"/>
      <c r="V81" s="237"/>
      <c r="W81" s="237"/>
      <c r="X81" s="237"/>
      <c r="Y81" s="237"/>
      <c r="Z81" s="237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</row>
    <row r="82" spans="1:36" s="136" customFormat="1" ht="24.75" customHeight="1">
      <c r="A82" s="94" t="s">
        <v>276</v>
      </c>
      <c r="B82" s="94" t="str">
        <f>'дод. 4'!A198</f>
        <v>8340</v>
      </c>
      <c r="C82" s="94" t="str">
        <f>'дод. 4'!B198</f>
        <v>0540</v>
      </c>
      <c r="D82" s="122" t="str">
        <f>'дод. 4'!C198</f>
        <v>Природоохоронні заходи за рахунок цільових фондів</v>
      </c>
      <c r="E82" s="96">
        <f>F82+I82</f>
        <v>0</v>
      </c>
      <c r="F82" s="96"/>
      <c r="G82" s="96"/>
      <c r="H82" s="96"/>
      <c r="I82" s="96"/>
      <c r="J82" s="96">
        <f t="shared" si="21"/>
        <v>385000</v>
      </c>
      <c r="K82" s="96">
        <v>338000</v>
      </c>
      <c r="L82" s="96"/>
      <c r="M82" s="96"/>
      <c r="N82" s="96">
        <v>47000</v>
      </c>
      <c r="O82" s="96"/>
      <c r="P82" s="96">
        <f>E82+J82</f>
        <v>385000</v>
      </c>
      <c r="Q82" s="174"/>
      <c r="R82" s="213"/>
      <c r="S82" s="237"/>
      <c r="T82" s="237"/>
      <c r="U82" s="237"/>
      <c r="V82" s="237"/>
      <c r="W82" s="237"/>
      <c r="X82" s="237"/>
      <c r="Y82" s="237"/>
      <c r="Z82" s="237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</row>
    <row r="83" spans="1:36" s="131" customFormat="1" ht="21" customHeight="1">
      <c r="A83" s="129" t="s">
        <v>277</v>
      </c>
      <c r="B83" s="37"/>
      <c r="C83" s="37"/>
      <c r="D83" s="36" t="s">
        <v>51</v>
      </c>
      <c r="E83" s="47">
        <f>E84</f>
        <v>325042800</v>
      </c>
      <c r="F83" s="47">
        <f aca="true" t="shared" si="26" ref="F83:P83">F84</f>
        <v>325042800</v>
      </c>
      <c r="G83" s="47">
        <f t="shared" si="26"/>
        <v>1219700</v>
      </c>
      <c r="H83" s="47">
        <f t="shared" si="26"/>
        <v>23500</v>
      </c>
      <c r="I83" s="47">
        <f t="shared" si="26"/>
        <v>0</v>
      </c>
      <c r="J83" s="47">
        <f t="shared" si="26"/>
        <v>47180749</v>
      </c>
      <c r="K83" s="47">
        <f t="shared" si="26"/>
        <v>16983749</v>
      </c>
      <c r="L83" s="47">
        <f t="shared" si="26"/>
        <v>0</v>
      </c>
      <c r="M83" s="47">
        <f t="shared" si="26"/>
        <v>0</v>
      </c>
      <c r="N83" s="47">
        <f t="shared" si="26"/>
        <v>30197000</v>
      </c>
      <c r="O83" s="47">
        <f t="shared" si="26"/>
        <v>30197000</v>
      </c>
      <c r="P83" s="47">
        <f t="shared" si="26"/>
        <v>372223549</v>
      </c>
      <c r="Q83" s="172"/>
      <c r="R83" s="211"/>
      <c r="S83" s="233"/>
      <c r="T83" s="233"/>
      <c r="U83" s="233"/>
      <c r="V83" s="233"/>
      <c r="W83" s="233"/>
      <c r="X83" s="233"/>
      <c r="Y83" s="233"/>
      <c r="Z83" s="233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</row>
    <row r="84" spans="1:36" s="134" customFormat="1" ht="18.75" customHeight="1">
      <c r="A84" s="132" t="s">
        <v>278</v>
      </c>
      <c r="B84" s="146"/>
      <c r="C84" s="146"/>
      <c r="D84" s="145" t="s">
        <v>51</v>
      </c>
      <c r="E84" s="87">
        <f aca="true" t="shared" si="27" ref="E84:P84">E86+E87+E89+E91+E93+E95+E101+E107+E113</f>
        <v>325042800</v>
      </c>
      <c r="F84" s="87">
        <f t="shared" si="27"/>
        <v>325042800</v>
      </c>
      <c r="G84" s="87">
        <f t="shared" si="27"/>
        <v>1219700</v>
      </c>
      <c r="H84" s="87">
        <f t="shared" si="27"/>
        <v>23500</v>
      </c>
      <c r="I84" s="87">
        <f t="shared" si="27"/>
        <v>0</v>
      </c>
      <c r="J84" s="87">
        <f t="shared" si="27"/>
        <v>47180749</v>
      </c>
      <c r="K84" s="87">
        <f t="shared" si="27"/>
        <v>16983749</v>
      </c>
      <c r="L84" s="87">
        <f t="shared" si="27"/>
        <v>0</v>
      </c>
      <c r="M84" s="87">
        <f t="shared" si="27"/>
        <v>0</v>
      </c>
      <c r="N84" s="87">
        <f t="shared" si="27"/>
        <v>30197000</v>
      </c>
      <c r="O84" s="87">
        <f t="shared" si="27"/>
        <v>30197000</v>
      </c>
      <c r="P84" s="87">
        <f t="shared" si="27"/>
        <v>372223549</v>
      </c>
      <c r="Q84" s="173"/>
      <c r="R84" s="212"/>
      <c r="S84" s="235"/>
      <c r="T84" s="235"/>
      <c r="U84" s="235"/>
      <c r="V84" s="235"/>
      <c r="W84" s="235"/>
      <c r="X84" s="235"/>
      <c r="Y84" s="235"/>
      <c r="Z84" s="235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</row>
    <row r="85" spans="1:36" s="134" customFormat="1" ht="18.75" customHeight="1">
      <c r="A85" s="132"/>
      <c r="B85" s="146"/>
      <c r="C85" s="146"/>
      <c r="D85" s="145" t="s">
        <v>416</v>
      </c>
      <c r="E85" s="87">
        <f aca="true" t="shared" si="28" ref="E85:P85">E88+E90+E92+E94+E96+E102+E108</f>
        <v>239920600</v>
      </c>
      <c r="F85" s="87">
        <f t="shared" si="28"/>
        <v>239920600</v>
      </c>
      <c r="G85" s="87">
        <f t="shared" si="28"/>
        <v>0</v>
      </c>
      <c r="H85" s="87">
        <f t="shared" si="28"/>
        <v>0</v>
      </c>
      <c r="I85" s="87">
        <f t="shared" si="28"/>
        <v>0</v>
      </c>
      <c r="J85" s="87">
        <f t="shared" si="28"/>
        <v>0</v>
      </c>
      <c r="K85" s="87">
        <f t="shared" si="28"/>
        <v>0</v>
      </c>
      <c r="L85" s="87">
        <f t="shared" si="28"/>
        <v>0</v>
      </c>
      <c r="M85" s="87">
        <f t="shared" si="28"/>
        <v>0</v>
      </c>
      <c r="N85" s="87">
        <f t="shared" si="28"/>
        <v>0</v>
      </c>
      <c r="O85" s="87">
        <f t="shared" si="28"/>
        <v>0</v>
      </c>
      <c r="P85" s="87">
        <f t="shared" si="28"/>
        <v>239920600</v>
      </c>
      <c r="Q85" s="173"/>
      <c r="R85" s="212"/>
      <c r="S85" s="235"/>
      <c r="T85" s="235"/>
      <c r="U85" s="235"/>
      <c r="V85" s="235"/>
      <c r="W85" s="235"/>
      <c r="X85" s="235"/>
      <c r="Y85" s="235"/>
      <c r="Z85" s="235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</row>
    <row r="86" spans="1:36" s="4" customFormat="1" ht="45">
      <c r="A86" s="88" t="s">
        <v>279</v>
      </c>
      <c r="B86" s="88" t="str">
        <f>'дод. 4'!A14</f>
        <v>0160</v>
      </c>
      <c r="C86" s="88" t="str">
        <f>'дод. 4'!B14</f>
        <v>0111</v>
      </c>
      <c r="D86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86" s="90">
        <f aca="true" t="shared" si="29" ref="E86:E94">F86+I86</f>
        <v>1572100</v>
      </c>
      <c r="F86" s="90">
        <f>1600900-28800</f>
        <v>1572100</v>
      </c>
      <c r="G86" s="90">
        <v>1219700</v>
      </c>
      <c r="H86" s="90">
        <v>23500</v>
      </c>
      <c r="I86" s="90"/>
      <c r="J86" s="90">
        <f aca="true" t="shared" si="30" ref="J86:J94">K86+N86</f>
        <v>0</v>
      </c>
      <c r="K86" s="90"/>
      <c r="L86" s="90"/>
      <c r="M86" s="90"/>
      <c r="N86" s="90">
        <f>20500-20500</f>
        <v>0</v>
      </c>
      <c r="O86" s="90">
        <f>20500-20500</f>
        <v>0</v>
      </c>
      <c r="P86" s="90">
        <f aca="true" t="shared" si="31" ref="P86:P94">E86+J86</f>
        <v>1572100</v>
      </c>
      <c r="Q86" s="174"/>
      <c r="R86" s="213"/>
      <c r="S86" s="237"/>
      <c r="T86" s="237"/>
      <c r="U86" s="237"/>
      <c r="V86" s="237"/>
      <c r="W86" s="237"/>
      <c r="X86" s="237"/>
      <c r="Y86" s="237"/>
      <c r="Z86" s="237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</row>
    <row r="87" spans="1:36" s="4" customFormat="1" ht="31.5" customHeight="1">
      <c r="A87" s="88" t="s">
        <v>280</v>
      </c>
      <c r="B87" s="88" t="str">
        <f>'дод. 4'!A35</f>
        <v>2010</v>
      </c>
      <c r="C87" s="88" t="str">
        <f>'дод. 4'!B35</f>
        <v>0731</v>
      </c>
      <c r="D87" s="124" t="str">
        <f>'дод. 4'!C35</f>
        <v>Багатопрофільна стаціонарна медична допомога населенню</v>
      </c>
      <c r="E87" s="90">
        <f t="shared" si="29"/>
        <v>227372854</v>
      </c>
      <c r="F87" s="90">
        <v>227372854</v>
      </c>
      <c r="G87" s="90"/>
      <c r="H87" s="90"/>
      <c r="I87" s="90"/>
      <c r="J87" s="90">
        <f t="shared" si="30"/>
        <v>31668360</v>
      </c>
      <c r="K87" s="90">
        <f>11318360</f>
        <v>11318360</v>
      </c>
      <c r="L87" s="90"/>
      <c r="M87" s="90"/>
      <c r="N87" s="90">
        <f>20000000+350000</f>
        <v>20350000</v>
      </c>
      <c r="O87" s="90">
        <f>20000000+350000</f>
        <v>20350000</v>
      </c>
      <c r="P87" s="90">
        <f t="shared" si="31"/>
        <v>259041214</v>
      </c>
      <c r="Q87" s="174"/>
      <c r="R87" s="213"/>
      <c r="S87" s="237"/>
      <c r="T87" s="237"/>
      <c r="U87" s="237"/>
      <c r="V87" s="237"/>
      <c r="W87" s="237"/>
      <c r="X87" s="237"/>
      <c r="Y87" s="237"/>
      <c r="Z87" s="237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</row>
    <row r="88" spans="1:36" s="4" customFormat="1" ht="15">
      <c r="A88" s="88"/>
      <c r="B88" s="100"/>
      <c r="C88" s="100"/>
      <c r="D88" s="89" t="s">
        <v>416</v>
      </c>
      <c r="E88" s="90">
        <f t="shared" si="29"/>
        <v>156832009</v>
      </c>
      <c r="F88" s="90">
        <v>156832009</v>
      </c>
      <c r="G88" s="87"/>
      <c r="H88" s="90"/>
      <c r="I88" s="90"/>
      <c r="J88" s="90">
        <f t="shared" si="30"/>
        <v>0</v>
      </c>
      <c r="K88" s="90"/>
      <c r="L88" s="90"/>
      <c r="M88" s="90"/>
      <c r="N88" s="90"/>
      <c r="O88" s="90"/>
      <c r="P88" s="90">
        <f t="shared" si="31"/>
        <v>156832009</v>
      </c>
      <c r="Q88" s="174"/>
      <c r="R88" s="213"/>
      <c r="S88" s="237"/>
      <c r="T88" s="237"/>
      <c r="U88" s="237"/>
      <c r="V88" s="237"/>
      <c r="W88" s="237"/>
      <c r="X88" s="237"/>
      <c r="Y88" s="237"/>
      <c r="Z88" s="237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</row>
    <row r="89" spans="1:36" s="4" customFormat="1" ht="36.75" customHeight="1">
      <c r="A89" s="88" t="s">
        <v>289</v>
      </c>
      <c r="B89" s="88" t="str">
        <f>'дод. 4'!A37</f>
        <v>2030</v>
      </c>
      <c r="C89" s="88" t="str">
        <f>'дод. 4'!B37</f>
        <v>0733</v>
      </c>
      <c r="D89" s="124" t="str">
        <f>'дод. 4'!C37</f>
        <v>Лікарсько-акушерська допомога вагітним, породіллям та новонародженим</v>
      </c>
      <c r="E89" s="90">
        <f t="shared" si="29"/>
        <v>34579826</v>
      </c>
      <c r="F89" s="90">
        <f>34553891+25935</f>
        <v>34579826</v>
      </c>
      <c r="G89" s="90"/>
      <c r="H89" s="90"/>
      <c r="I89" s="90"/>
      <c r="J89" s="90">
        <f t="shared" si="30"/>
        <v>27300</v>
      </c>
      <c r="K89" s="90">
        <v>27300</v>
      </c>
      <c r="L89" s="90"/>
      <c r="M89" s="90"/>
      <c r="N89" s="90"/>
      <c r="O89" s="90"/>
      <c r="P89" s="90">
        <f t="shared" si="31"/>
        <v>34607126</v>
      </c>
      <c r="Q89" s="174"/>
      <c r="R89" s="213"/>
      <c r="S89" s="237"/>
      <c r="T89" s="237"/>
      <c r="U89" s="237"/>
      <c r="V89" s="237"/>
      <c r="W89" s="237"/>
      <c r="X89" s="237"/>
      <c r="Y89" s="237"/>
      <c r="Z89" s="237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</row>
    <row r="90" spans="1:36" s="4" customFormat="1" ht="19.5" customHeight="1">
      <c r="A90" s="88"/>
      <c r="B90" s="100"/>
      <c r="C90" s="100"/>
      <c r="D90" s="89" t="s">
        <v>416</v>
      </c>
      <c r="E90" s="90">
        <f t="shared" si="29"/>
        <v>24119993</v>
      </c>
      <c r="F90" s="90">
        <v>24119993</v>
      </c>
      <c r="G90" s="90"/>
      <c r="H90" s="90"/>
      <c r="I90" s="90"/>
      <c r="J90" s="90">
        <f t="shared" si="30"/>
        <v>0</v>
      </c>
      <c r="K90" s="90"/>
      <c r="L90" s="90"/>
      <c r="M90" s="90"/>
      <c r="N90" s="90"/>
      <c r="O90" s="90"/>
      <c r="P90" s="90">
        <f t="shared" si="31"/>
        <v>24119993</v>
      </c>
      <c r="Q90" s="174"/>
      <c r="R90" s="213"/>
      <c r="S90" s="237"/>
      <c r="T90" s="237"/>
      <c r="U90" s="237"/>
      <c r="V90" s="237"/>
      <c r="W90" s="237"/>
      <c r="X90" s="237"/>
      <c r="Y90" s="237"/>
      <c r="Z90" s="237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</row>
    <row r="91" spans="1:36" s="4" customFormat="1" ht="33.75" customHeight="1">
      <c r="A91" s="98" t="s">
        <v>288</v>
      </c>
      <c r="B91" s="98" t="str">
        <f>'дод. 4'!A39</f>
        <v>2080</v>
      </c>
      <c r="C91" s="98" t="str">
        <f>'дод. 4'!B39</f>
        <v>0721</v>
      </c>
      <c r="D91" s="123" t="str">
        <f>'дод. 4'!C39</f>
        <v>Амбулаторно-поліклінічна допомога населенню, крім первинної медичної допомоги</v>
      </c>
      <c r="E91" s="90">
        <f t="shared" si="29"/>
        <v>1039928</v>
      </c>
      <c r="F91" s="90">
        <v>1039928</v>
      </c>
      <c r="G91" s="90"/>
      <c r="H91" s="90"/>
      <c r="I91" s="90"/>
      <c r="J91" s="90">
        <f t="shared" si="30"/>
        <v>412100</v>
      </c>
      <c r="K91" s="90">
        <v>412100</v>
      </c>
      <c r="L91" s="90"/>
      <c r="M91" s="90"/>
      <c r="N91" s="90"/>
      <c r="O91" s="90"/>
      <c r="P91" s="90">
        <f t="shared" si="31"/>
        <v>1452028</v>
      </c>
      <c r="Q91" s="174"/>
      <c r="R91" s="213"/>
      <c r="S91" s="237"/>
      <c r="T91" s="237"/>
      <c r="U91" s="237"/>
      <c r="V91" s="237"/>
      <c r="W91" s="237"/>
      <c r="X91" s="237"/>
      <c r="Y91" s="237"/>
      <c r="Z91" s="237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</row>
    <row r="92" spans="1:36" s="4" customFormat="1" ht="15" customHeight="1">
      <c r="A92" s="98"/>
      <c r="B92" s="115"/>
      <c r="C92" s="115"/>
      <c r="D92" s="89" t="s">
        <v>416</v>
      </c>
      <c r="E92" s="90">
        <f t="shared" si="29"/>
        <v>925907</v>
      </c>
      <c r="F92" s="90">
        <v>925907</v>
      </c>
      <c r="G92" s="90"/>
      <c r="H92" s="90"/>
      <c r="I92" s="90"/>
      <c r="J92" s="90">
        <f t="shared" si="30"/>
        <v>0</v>
      </c>
      <c r="K92" s="90"/>
      <c r="L92" s="90"/>
      <c r="M92" s="90"/>
      <c r="N92" s="90"/>
      <c r="O92" s="90"/>
      <c r="P92" s="90">
        <f t="shared" si="31"/>
        <v>925907</v>
      </c>
      <c r="Q92" s="174"/>
      <c r="R92" s="213"/>
      <c r="S92" s="237"/>
      <c r="T92" s="237"/>
      <c r="U92" s="237"/>
      <c r="V92" s="237"/>
      <c r="W92" s="237"/>
      <c r="X92" s="237"/>
      <c r="Y92" s="237"/>
      <c r="Z92" s="237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</row>
    <row r="93" spans="1:36" s="4" customFormat="1" ht="24" customHeight="1">
      <c r="A93" s="88" t="s">
        <v>287</v>
      </c>
      <c r="B93" s="88" t="str">
        <f>'дод. 4'!A41</f>
        <v>2100</v>
      </c>
      <c r="C93" s="88" t="str">
        <f>'дод. 4'!B41</f>
        <v>0722</v>
      </c>
      <c r="D93" s="124" t="str">
        <f>'дод. 4'!C41</f>
        <v>Стоматологічна допомога населенню</v>
      </c>
      <c r="E93" s="90">
        <f t="shared" si="29"/>
        <v>5454842</v>
      </c>
      <c r="F93" s="90">
        <v>5454842</v>
      </c>
      <c r="G93" s="90"/>
      <c r="H93" s="90"/>
      <c r="I93" s="90"/>
      <c r="J93" s="90">
        <f t="shared" si="30"/>
        <v>5058989</v>
      </c>
      <c r="K93" s="90">
        <v>5058989</v>
      </c>
      <c r="L93" s="90"/>
      <c r="M93" s="90"/>
      <c r="N93" s="90"/>
      <c r="O93" s="90"/>
      <c r="P93" s="90">
        <f t="shared" si="31"/>
        <v>10513831</v>
      </c>
      <c r="Q93" s="174"/>
      <c r="R93" s="213"/>
      <c r="S93" s="237"/>
      <c r="T93" s="237"/>
      <c r="U93" s="237"/>
      <c r="V93" s="237"/>
      <c r="W93" s="237"/>
      <c r="X93" s="237"/>
      <c r="Y93" s="237"/>
      <c r="Z93" s="237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</row>
    <row r="94" spans="1:36" s="4" customFormat="1" ht="18" customHeight="1">
      <c r="A94" s="88"/>
      <c r="B94" s="100"/>
      <c r="C94" s="100"/>
      <c r="D94" s="89" t="s">
        <v>416</v>
      </c>
      <c r="E94" s="90">
        <f t="shared" si="29"/>
        <v>4325025</v>
      </c>
      <c r="F94" s="90">
        <v>4325025</v>
      </c>
      <c r="G94" s="90"/>
      <c r="H94" s="90"/>
      <c r="I94" s="90"/>
      <c r="J94" s="90">
        <f t="shared" si="30"/>
        <v>0</v>
      </c>
      <c r="K94" s="90"/>
      <c r="L94" s="90"/>
      <c r="M94" s="90"/>
      <c r="N94" s="90"/>
      <c r="O94" s="90"/>
      <c r="P94" s="90">
        <f t="shared" si="31"/>
        <v>4325025</v>
      </c>
      <c r="Q94" s="174"/>
      <c r="R94" s="213"/>
      <c r="S94" s="237"/>
      <c r="T94" s="237"/>
      <c r="U94" s="237"/>
      <c r="V94" s="237"/>
      <c r="W94" s="237"/>
      <c r="X94" s="237"/>
      <c r="Y94" s="237"/>
      <c r="Z94" s="237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</row>
    <row r="95" spans="1:36" s="4" customFormat="1" ht="16.5" customHeight="1">
      <c r="A95" s="88" t="s">
        <v>286</v>
      </c>
      <c r="B95" s="88" t="str">
        <f>'дод. 4'!A43</f>
        <v>2110</v>
      </c>
      <c r="C95" s="88">
        <f>'дод. 4'!B43</f>
        <v>0</v>
      </c>
      <c r="D95" s="124" t="str">
        <f>'дод. 4'!C43</f>
        <v>Первинна медична допомога населенню</v>
      </c>
      <c r="E95" s="90">
        <f>E97+E99</f>
        <v>36578306</v>
      </c>
      <c r="F95" s="90">
        <f aca="true" t="shared" si="32" ref="F95:P95">F97+F99</f>
        <v>36578306</v>
      </c>
      <c r="G95" s="90">
        <f t="shared" si="32"/>
        <v>0</v>
      </c>
      <c r="H95" s="90">
        <f t="shared" si="32"/>
        <v>0</v>
      </c>
      <c r="I95" s="90">
        <f t="shared" si="32"/>
        <v>0</v>
      </c>
      <c r="J95" s="90">
        <f t="shared" si="32"/>
        <v>167000</v>
      </c>
      <c r="K95" s="90">
        <f t="shared" si="32"/>
        <v>167000</v>
      </c>
      <c r="L95" s="90">
        <f t="shared" si="32"/>
        <v>0</v>
      </c>
      <c r="M95" s="90">
        <f t="shared" si="32"/>
        <v>0</v>
      </c>
      <c r="N95" s="90">
        <f t="shared" si="32"/>
        <v>0</v>
      </c>
      <c r="O95" s="90">
        <f t="shared" si="32"/>
        <v>0</v>
      </c>
      <c r="P95" s="90">
        <f t="shared" si="32"/>
        <v>36745306</v>
      </c>
      <c r="Q95" s="174"/>
      <c r="R95" s="213"/>
      <c r="S95" s="237"/>
      <c r="T95" s="237"/>
      <c r="U95" s="237"/>
      <c r="V95" s="237"/>
      <c r="W95" s="237"/>
      <c r="X95" s="237"/>
      <c r="Y95" s="237"/>
      <c r="Z95" s="237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</row>
    <row r="96" spans="1:36" s="4" customFormat="1" ht="19.5" customHeight="1">
      <c r="A96" s="88"/>
      <c r="B96" s="100"/>
      <c r="C96" s="100"/>
      <c r="D96" s="89" t="s">
        <v>416</v>
      </c>
      <c r="E96" s="90">
        <f>E98+E100</f>
        <v>35777500</v>
      </c>
      <c r="F96" s="90">
        <f aca="true" t="shared" si="33" ref="F96:P96">F98+F100</f>
        <v>35777500</v>
      </c>
      <c r="G96" s="90"/>
      <c r="H96" s="90">
        <f t="shared" si="33"/>
        <v>0</v>
      </c>
      <c r="I96" s="90">
        <f t="shared" si="33"/>
        <v>0</v>
      </c>
      <c r="J96" s="90">
        <f t="shared" si="33"/>
        <v>0</v>
      </c>
      <c r="K96" s="90">
        <f t="shared" si="33"/>
        <v>0</v>
      </c>
      <c r="L96" s="90">
        <f t="shared" si="33"/>
        <v>0</v>
      </c>
      <c r="M96" s="90">
        <f t="shared" si="33"/>
        <v>0</v>
      </c>
      <c r="N96" s="90">
        <f t="shared" si="33"/>
        <v>0</v>
      </c>
      <c r="O96" s="90">
        <f t="shared" si="33"/>
        <v>0</v>
      </c>
      <c r="P96" s="90">
        <f t="shared" si="33"/>
        <v>35777500</v>
      </c>
      <c r="Q96" s="174"/>
      <c r="R96" s="213"/>
      <c r="S96" s="237"/>
      <c r="T96" s="237"/>
      <c r="U96" s="237"/>
      <c r="V96" s="237"/>
      <c r="W96" s="237"/>
      <c r="X96" s="237"/>
      <c r="Y96" s="237"/>
      <c r="Z96" s="237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</row>
    <row r="97" spans="1:36" s="136" customFormat="1" ht="45">
      <c r="A97" s="91" t="s">
        <v>285</v>
      </c>
      <c r="B97" s="91" t="str">
        <f>'дод. 4'!A45</f>
        <v>2111</v>
      </c>
      <c r="C97" s="91" t="str">
        <f>'дод. 4'!B45</f>
        <v>0726</v>
      </c>
      <c r="D97" s="121" t="str">
        <f>'дод. 4'!C45</f>
        <v>Первинна медична допомога населенню, що надається центрами первинної медичної (медико-санітарної) допомоги</v>
      </c>
      <c r="E97" s="93">
        <f>F97+I97</f>
        <v>8672485</v>
      </c>
      <c r="F97" s="93">
        <v>8672485</v>
      </c>
      <c r="G97" s="93"/>
      <c r="H97" s="93"/>
      <c r="I97" s="93"/>
      <c r="J97" s="93">
        <f>K97+N97</f>
        <v>167000</v>
      </c>
      <c r="K97" s="93">
        <v>167000</v>
      </c>
      <c r="L97" s="93"/>
      <c r="M97" s="93"/>
      <c r="N97" s="93"/>
      <c r="O97" s="93"/>
      <c r="P97" s="93">
        <f>E97+J97</f>
        <v>8839485</v>
      </c>
      <c r="Q97" s="175"/>
      <c r="R97" s="214"/>
      <c r="S97" s="240"/>
      <c r="T97" s="240"/>
      <c r="U97" s="240"/>
      <c r="V97" s="240"/>
      <c r="W97" s="240"/>
      <c r="X97" s="240"/>
      <c r="Y97" s="240"/>
      <c r="Z97" s="240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</row>
    <row r="98" spans="1:36" s="136" customFormat="1" ht="15">
      <c r="A98" s="91"/>
      <c r="B98" s="101"/>
      <c r="C98" s="101"/>
      <c r="D98" s="92" t="s">
        <v>416</v>
      </c>
      <c r="E98" s="93">
        <f>F98+I98</f>
        <v>7871679</v>
      </c>
      <c r="F98" s="93">
        <v>7871679</v>
      </c>
      <c r="G98" s="93"/>
      <c r="H98" s="93"/>
      <c r="I98" s="93"/>
      <c r="J98" s="93">
        <f aca="true" t="shared" si="34" ref="J98:J113">K98+N98</f>
        <v>0</v>
      </c>
      <c r="K98" s="93"/>
      <c r="L98" s="93"/>
      <c r="M98" s="93"/>
      <c r="N98" s="93"/>
      <c r="O98" s="93"/>
      <c r="P98" s="93">
        <f>E98+J98</f>
        <v>7871679</v>
      </c>
      <c r="Q98" s="175"/>
      <c r="R98" s="214"/>
      <c r="S98" s="240"/>
      <c r="T98" s="240"/>
      <c r="U98" s="240"/>
      <c r="V98" s="240"/>
      <c r="W98" s="240"/>
      <c r="X98" s="240"/>
      <c r="Y98" s="240"/>
      <c r="Z98" s="240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</row>
    <row r="99" spans="1:36" s="136" customFormat="1" ht="45">
      <c r="A99" s="91" t="s">
        <v>595</v>
      </c>
      <c r="B99" s="91" t="str">
        <f>'дод. 4'!A47</f>
        <v>2113</v>
      </c>
      <c r="C99" s="91" t="str">
        <f>'дод. 4'!B47</f>
        <v>0721</v>
      </c>
      <c r="D99" s="121" t="str">
        <f>'дод. 4'!C47</f>
        <v>Первинна медична допомога населенню, що надається амбулаторно-поліклінічними закладами (відділеннями)</v>
      </c>
      <c r="E99" s="93">
        <f>F99+I99</f>
        <v>27905821</v>
      </c>
      <c r="F99" s="93">
        <v>27905821</v>
      </c>
      <c r="G99" s="93"/>
      <c r="H99" s="93"/>
      <c r="I99" s="93"/>
      <c r="J99" s="93">
        <f>K99+N99</f>
        <v>0</v>
      </c>
      <c r="K99" s="93"/>
      <c r="L99" s="93"/>
      <c r="M99" s="93"/>
      <c r="N99" s="93"/>
      <c r="O99" s="93"/>
      <c r="P99" s="93">
        <f>E99+J99</f>
        <v>27905821</v>
      </c>
      <c r="Q99" s="175"/>
      <c r="R99" s="214"/>
      <c r="S99" s="240"/>
      <c r="T99" s="240"/>
      <c r="U99" s="240"/>
      <c r="V99" s="240"/>
      <c r="W99" s="240"/>
      <c r="X99" s="240"/>
      <c r="Y99" s="240"/>
      <c r="Z99" s="240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</row>
    <row r="100" spans="1:36" s="136" customFormat="1" ht="15">
      <c r="A100" s="91"/>
      <c r="B100" s="101"/>
      <c r="C100" s="101"/>
      <c r="D100" s="92" t="s">
        <v>416</v>
      </c>
      <c r="E100" s="93">
        <f>F100+I100</f>
        <v>27905821</v>
      </c>
      <c r="F100" s="93">
        <v>27905821</v>
      </c>
      <c r="G100" s="93"/>
      <c r="H100" s="93"/>
      <c r="I100" s="93"/>
      <c r="J100" s="93">
        <f>K100+N100</f>
        <v>0</v>
      </c>
      <c r="K100" s="93"/>
      <c r="L100" s="93"/>
      <c r="M100" s="93"/>
      <c r="N100" s="93"/>
      <c r="O100" s="93"/>
      <c r="P100" s="93">
        <f>E100+J100</f>
        <v>27905821</v>
      </c>
      <c r="Q100" s="175"/>
      <c r="R100" s="214"/>
      <c r="S100" s="240"/>
      <c r="T100" s="240"/>
      <c r="U100" s="240"/>
      <c r="V100" s="240"/>
      <c r="W100" s="240"/>
      <c r="X100" s="240"/>
      <c r="Y100" s="240"/>
      <c r="Z100" s="240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</row>
    <row r="101" spans="1:36" s="4" customFormat="1" ht="30" customHeight="1">
      <c r="A101" s="94" t="s">
        <v>284</v>
      </c>
      <c r="B101" s="99">
        <f>'дод. 4'!A49</f>
        <v>2140</v>
      </c>
      <c r="C101" s="99">
        <f>'дод. 4'!B49</f>
        <v>0</v>
      </c>
      <c r="D101" s="187" t="str">
        <f>'дод. 4'!C49</f>
        <v>Програми і централізовані заходи у галузі охорони здоров’я</v>
      </c>
      <c r="E101" s="96">
        <f aca="true" t="shared" si="35" ref="E101:P101">E103+E105</f>
        <v>14043000</v>
      </c>
      <c r="F101" s="96">
        <f t="shared" si="35"/>
        <v>14043000</v>
      </c>
      <c r="G101" s="96">
        <f t="shared" si="35"/>
        <v>0</v>
      </c>
      <c r="H101" s="96">
        <f t="shared" si="35"/>
        <v>0</v>
      </c>
      <c r="I101" s="96">
        <f t="shared" si="35"/>
        <v>0</v>
      </c>
      <c r="J101" s="96">
        <f t="shared" si="35"/>
        <v>0</v>
      </c>
      <c r="K101" s="96">
        <f t="shared" si="35"/>
        <v>0</v>
      </c>
      <c r="L101" s="96">
        <f t="shared" si="35"/>
        <v>0</v>
      </c>
      <c r="M101" s="96">
        <f t="shared" si="35"/>
        <v>0</v>
      </c>
      <c r="N101" s="96">
        <f t="shared" si="35"/>
        <v>0</v>
      </c>
      <c r="O101" s="96">
        <f t="shared" si="35"/>
        <v>0</v>
      </c>
      <c r="P101" s="96">
        <f t="shared" si="35"/>
        <v>14043000</v>
      </c>
      <c r="Q101" s="96"/>
      <c r="R101" s="170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</row>
    <row r="102" spans="1:36" s="139" customFormat="1" ht="15" customHeight="1">
      <c r="A102" s="88"/>
      <c r="B102" s="99">
        <f>'дод. 4'!A50</f>
        <v>0</v>
      </c>
      <c r="C102" s="99">
        <f>'дод. 4'!B50</f>
        <v>0</v>
      </c>
      <c r="D102" s="187" t="str">
        <f>'дод. 4'!C50</f>
        <v>у т.ч. за рахунок субвенцій з держбюджету</v>
      </c>
      <c r="E102" s="96">
        <f aca="true" t="shared" si="36" ref="E102:P102">E104+E106</f>
        <v>14043000</v>
      </c>
      <c r="F102" s="96">
        <f t="shared" si="36"/>
        <v>14043000</v>
      </c>
      <c r="G102" s="96">
        <f t="shared" si="36"/>
        <v>0</v>
      </c>
      <c r="H102" s="96">
        <f t="shared" si="36"/>
        <v>0</v>
      </c>
      <c r="I102" s="96">
        <f t="shared" si="36"/>
        <v>0</v>
      </c>
      <c r="J102" s="96">
        <f t="shared" si="36"/>
        <v>0</v>
      </c>
      <c r="K102" s="96">
        <f t="shared" si="36"/>
        <v>0</v>
      </c>
      <c r="L102" s="96">
        <f t="shared" si="36"/>
        <v>0</v>
      </c>
      <c r="M102" s="96">
        <f t="shared" si="36"/>
        <v>0</v>
      </c>
      <c r="N102" s="96">
        <f t="shared" si="36"/>
        <v>0</v>
      </c>
      <c r="O102" s="96">
        <f t="shared" si="36"/>
        <v>0</v>
      </c>
      <c r="P102" s="96">
        <f t="shared" si="36"/>
        <v>14043000</v>
      </c>
      <c r="Q102" s="96"/>
      <c r="R102" s="170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</row>
    <row r="103" spans="1:36" s="136" customFormat="1" ht="32.25" customHeight="1">
      <c r="A103" s="91" t="s">
        <v>283</v>
      </c>
      <c r="B103" s="101">
        <f>'дод. 4'!A51</f>
        <v>2144</v>
      </c>
      <c r="C103" s="101" t="str">
        <f>'дод. 4'!B51</f>
        <v>0763</v>
      </c>
      <c r="D103" s="188" t="str">
        <f>'дод. 4'!C51</f>
        <v>Централізовані заходи з лікування хворих на цукровий та нецукровий діабет</v>
      </c>
      <c r="E103" s="93">
        <f>F103+I103</f>
        <v>7131500</v>
      </c>
      <c r="F103" s="93">
        <v>7131500</v>
      </c>
      <c r="G103" s="93"/>
      <c r="H103" s="93"/>
      <c r="I103" s="93"/>
      <c r="J103" s="93">
        <f t="shared" si="34"/>
        <v>0</v>
      </c>
      <c r="K103" s="93"/>
      <c r="L103" s="93"/>
      <c r="M103" s="93"/>
      <c r="N103" s="93"/>
      <c r="O103" s="93"/>
      <c r="P103" s="93">
        <f aca="true" t="shared" si="37" ref="P103:P113">E103+J103</f>
        <v>7131500</v>
      </c>
      <c r="Q103" s="175"/>
      <c r="R103" s="214"/>
      <c r="S103" s="240"/>
      <c r="T103" s="240"/>
      <c r="U103" s="240"/>
      <c r="V103" s="240"/>
      <c r="W103" s="240"/>
      <c r="X103" s="240"/>
      <c r="Y103" s="240"/>
      <c r="Z103" s="240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</row>
    <row r="104" spans="1:36" s="136" customFormat="1" ht="15" customHeight="1">
      <c r="A104" s="91"/>
      <c r="B104" s="101">
        <f>'дод. 4'!A52</f>
        <v>0</v>
      </c>
      <c r="C104" s="101">
        <f>'дод. 4'!B52</f>
        <v>0</v>
      </c>
      <c r="D104" s="188" t="str">
        <f>'дод. 4'!C52</f>
        <v>у т.ч. за рахунок субвенцій з держбюджету</v>
      </c>
      <c r="E104" s="93">
        <f>F104+I104</f>
        <v>7131500</v>
      </c>
      <c r="F104" s="93">
        <v>7131500</v>
      </c>
      <c r="G104" s="93"/>
      <c r="H104" s="93"/>
      <c r="I104" s="93"/>
      <c r="J104" s="93">
        <f t="shared" si="34"/>
        <v>0</v>
      </c>
      <c r="K104" s="93"/>
      <c r="L104" s="93"/>
      <c r="M104" s="93"/>
      <c r="N104" s="93"/>
      <c r="O104" s="93"/>
      <c r="P104" s="93">
        <f t="shared" si="37"/>
        <v>7131500</v>
      </c>
      <c r="Q104" s="175"/>
      <c r="R104" s="214"/>
      <c r="S104" s="240"/>
      <c r="T104" s="240"/>
      <c r="U104" s="240"/>
      <c r="V104" s="240"/>
      <c r="W104" s="240"/>
      <c r="X104" s="240"/>
      <c r="Y104" s="240"/>
      <c r="Z104" s="240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</row>
    <row r="105" spans="1:36" s="136" customFormat="1" ht="31.5" customHeight="1">
      <c r="A105" s="91" t="s">
        <v>517</v>
      </c>
      <c r="B105" s="101">
        <f>'дод. 4'!A53</f>
        <v>2146</v>
      </c>
      <c r="C105" s="101" t="str">
        <f>'дод. 4'!B53</f>
        <v>0763</v>
      </c>
      <c r="D105" s="188" t="str">
        <f>'дод. 4'!C53</f>
        <v>Відшкодування вартості лікарських засобів для лікування окремих захворювань</v>
      </c>
      <c r="E105" s="93">
        <f>F105+I105</f>
        <v>6911500</v>
      </c>
      <c r="F105" s="93">
        <v>6911500</v>
      </c>
      <c r="G105" s="93"/>
      <c r="H105" s="93"/>
      <c r="I105" s="93"/>
      <c r="J105" s="93">
        <f t="shared" si="34"/>
        <v>0</v>
      </c>
      <c r="K105" s="93"/>
      <c r="L105" s="93"/>
      <c r="M105" s="93"/>
      <c r="N105" s="93"/>
      <c r="O105" s="93"/>
      <c r="P105" s="93">
        <f t="shared" si="37"/>
        <v>6911500</v>
      </c>
      <c r="Q105" s="175"/>
      <c r="R105" s="214"/>
      <c r="S105" s="240"/>
      <c r="T105" s="240"/>
      <c r="U105" s="240"/>
      <c r="V105" s="240"/>
      <c r="W105" s="240"/>
      <c r="X105" s="240"/>
      <c r="Y105" s="240"/>
      <c r="Z105" s="240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</row>
    <row r="106" spans="1:36" s="136" customFormat="1" ht="15" customHeight="1">
      <c r="A106" s="91"/>
      <c r="B106" s="101">
        <f>'дод. 4'!A54</f>
        <v>0</v>
      </c>
      <c r="C106" s="101">
        <f>'дод. 4'!B54</f>
        <v>0</v>
      </c>
      <c r="D106" s="188" t="str">
        <f>'дод. 4'!C54</f>
        <v>у т.ч. за рахунок субвенцій з держбюджету</v>
      </c>
      <c r="E106" s="93">
        <f>F106+I106</f>
        <v>6911500</v>
      </c>
      <c r="F106" s="93">
        <v>6911500</v>
      </c>
      <c r="G106" s="93"/>
      <c r="H106" s="93"/>
      <c r="I106" s="93"/>
      <c r="J106" s="93">
        <f t="shared" si="34"/>
        <v>0</v>
      </c>
      <c r="K106" s="93"/>
      <c r="L106" s="93"/>
      <c r="M106" s="93"/>
      <c r="N106" s="93"/>
      <c r="O106" s="93"/>
      <c r="P106" s="93">
        <f t="shared" si="37"/>
        <v>6911500</v>
      </c>
      <c r="Q106" s="175"/>
      <c r="R106" s="214"/>
      <c r="S106" s="240"/>
      <c r="T106" s="240"/>
      <c r="U106" s="240"/>
      <c r="V106" s="240"/>
      <c r="W106" s="240"/>
      <c r="X106" s="240"/>
      <c r="Y106" s="240"/>
      <c r="Z106" s="240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</row>
    <row r="107" spans="1:36" s="4" customFormat="1" ht="35.25" customHeight="1">
      <c r="A107" s="94" t="s">
        <v>282</v>
      </c>
      <c r="B107" s="94" t="str">
        <f>'дод. 4'!A55</f>
        <v>2150</v>
      </c>
      <c r="C107" s="94">
        <f>'дод. 4'!B55</f>
        <v>0</v>
      </c>
      <c r="D107" s="122" t="str">
        <f>'дод. 4'!C55</f>
        <v>Інші програми, заклади та заходи у сфері охорони здоров’я</v>
      </c>
      <c r="E107" s="96">
        <f>E109+E111</f>
        <v>3933944</v>
      </c>
      <c r="F107" s="96">
        <f aca="true" t="shared" si="38" ref="F107:O107">F109+F111</f>
        <v>3933944</v>
      </c>
      <c r="G107" s="96">
        <f t="shared" si="38"/>
        <v>0</v>
      </c>
      <c r="H107" s="96">
        <f t="shared" si="38"/>
        <v>0</v>
      </c>
      <c r="I107" s="96">
        <f t="shared" si="38"/>
        <v>0</v>
      </c>
      <c r="J107" s="90">
        <f t="shared" si="34"/>
        <v>0</v>
      </c>
      <c r="K107" s="96">
        <f t="shared" si="38"/>
        <v>0</v>
      </c>
      <c r="L107" s="96">
        <f t="shared" si="38"/>
        <v>0</v>
      </c>
      <c r="M107" s="96">
        <f t="shared" si="38"/>
        <v>0</v>
      </c>
      <c r="N107" s="96">
        <f t="shared" si="38"/>
        <v>0</v>
      </c>
      <c r="O107" s="96">
        <f t="shared" si="38"/>
        <v>0</v>
      </c>
      <c r="P107" s="90">
        <f t="shared" si="37"/>
        <v>3933944</v>
      </c>
      <c r="Q107" s="174"/>
      <c r="R107" s="213"/>
      <c r="S107" s="237"/>
      <c r="T107" s="237"/>
      <c r="U107" s="237"/>
      <c r="V107" s="237"/>
      <c r="W107" s="237"/>
      <c r="X107" s="237"/>
      <c r="Y107" s="237"/>
      <c r="Z107" s="237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</row>
    <row r="108" spans="1:36" s="4" customFormat="1" ht="21.75" customHeight="1">
      <c r="A108" s="94"/>
      <c r="B108" s="99"/>
      <c r="C108" s="99"/>
      <c r="D108" s="95" t="s">
        <v>416</v>
      </c>
      <c r="E108" s="96">
        <f>E110+E112</f>
        <v>3897166</v>
      </c>
      <c r="F108" s="96">
        <f aca="true" t="shared" si="39" ref="F108:O108">F110+F112</f>
        <v>3897166</v>
      </c>
      <c r="G108" s="96">
        <f t="shared" si="39"/>
        <v>0</v>
      </c>
      <c r="H108" s="96">
        <f t="shared" si="39"/>
        <v>0</v>
      </c>
      <c r="I108" s="96">
        <f t="shared" si="39"/>
        <v>0</v>
      </c>
      <c r="J108" s="93">
        <f t="shared" si="34"/>
        <v>0</v>
      </c>
      <c r="K108" s="96">
        <f t="shared" si="39"/>
        <v>0</v>
      </c>
      <c r="L108" s="96">
        <f t="shared" si="39"/>
        <v>0</v>
      </c>
      <c r="M108" s="96">
        <f t="shared" si="39"/>
        <v>0</v>
      </c>
      <c r="N108" s="96">
        <f t="shared" si="39"/>
        <v>0</v>
      </c>
      <c r="O108" s="96">
        <f t="shared" si="39"/>
        <v>0</v>
      </c>
      <c r="P108" s="90">
        <f t="shared" si="37"/>
        <v>3897166</v>
      </c>
      <c r="Q108" s="174"/>
      <c r="R108" s="213"/>
      <c r="S108" s="237"/>
      <c r="T108" s="237"/>
      <c r="U108" s="237"/>
      <c r="V108" s="237"/>
      <c r="W108" s="237"/>
      <c r="X108" s="237"/>
      <c r="Y108" s="237"/>
      <c r="Z108" s="237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</row>
    <row r="109" spans="1:36" s="136" customFormat="1" ht="30" customHeight="1">
      <c r="A109" s="91" t="s">
        <v>485</v>
      </c>
      <c r="B109" s="137" t="str">
        <f>'дод. 4'!A57</f>
        <v>2151</v>
      </c>
      <c r="C109" s="137" t="str">
        <f>'дод. 4'!B57</f>
        <v>0763</v>
      </c>
      <c r="D109" s="121" t="str">
        <f>'дод. 4'!C57</f>
        <v>Забезпечення діяльності інших закладів у сфері охорони здоров’я</v>
      </c>
      <c r="E109" s="93">
        <f>F109+I109</f>
        <v>1975455</v>
      </c>
      <c r="F109" s="93">
        <f>1974877+578</f>
        <v>1975455</v>
      </c>
      <c r="G109" s="93"/>
      <c r="H109" s="93"/>
      <c r="I109" s="93"/>
      <c r="J109" s="93">
        <f t="shared" si="34"/>
        <v>0</v>
      </c>
      <c r="K109" s="93"/>
      <c r="L109" s="93"/>
      <c r="M109" s="93"/>
      <c r="N109" s="93"/>
      <c r="O109" s="93"/>
      <c r="P109" s="93">
        <f t="shared" si="37"/>
        <v>1975455</v>
      </c>
      <c r="Q109" s="175"/>
      <c r="R109" s="214"/>
      <c r="S109" s="240"/>
      <c r="T109" s="240"/>
      <c r="U109" s="240"/>
      <c r="V109" s="240"/>
      <c r="W109" s="240"/>
      <c r="X109" s="240"/>
      <c r="Y109" s="240"/>
      <c r="Z109" s="240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</row>
    <row r="110" spans="1:36" s="136" customFormat="1" ht="21.75" customHeight="1">
      <c r="A110" s="91"/>
      <c r="B110" s="137"/>
      <c r="C110" s="137"/>
      <c r="D110" s="92" t="s">
        <v>416</v>
      </c>
      <c r="E110" s="93">
        <f>F110+I110</f>
        <v>1938677</v>
      </c>
      <c r="F110" s="93">
        <v>1938677</v>
      </c>
      <c r="G110" s="93"/>
      <c r="H110" s="93"/>
      <c r="I110" s="93"/>
      <c r="J110" s="93">
        <f t="shared" si="34"/>
        <v>0</v>
      </c>
      <c r="K110" s="93"/>
      <c r="L110" s="93"/>
      <c r="M110" s="93"/>
      <c r="N110" s="93"/>
      <c r="O110" s="93"/>
      <c r="P110" s="93">
        <f t="shared" si="37"/>
        <v>1938677</v>
      </c>
      <c r="Q110" s="175"/>
      <c r="R110" s="214"/>
      <c r="S110" s="240"/>
      <c r="T110" s="240"/>
      <c r="U110" s="240"/>
      <c r="V110" s="240"/>
      <c r="W110" s="240"/>
      <c r="X110" s="240"/>
      <c r="Y110" s="240"/>
      <c r="Z110" s="240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</row>
    <row r="111" spans="1:36" s="136" customFormat="1" ht="20.25" customHeight="1">
      <c r="A111" s="91" t="s">
        <v>486</v>
      </c>
      <c r="B111" s="137" t="str">
        <f>'дод. 4'!A59</f>
        <v>2152</v>
      </c>
      <c r="C111" s="137" t="str">
        <f>'дод. 4'!B59</f>
        <v>0763</v>
      </c>
      <c r="D111" s="138" t="str">
        <f>'дод. 4'!C59</f>
        <v>Інші програми та заходи у сфері охорони здоров’я</v>
      </c>
      <c r="E111" s="93">
        <f>F111+I111</f>
        <v>1958489</v>
      </c>
      <c r="F111" s="93">
        <f>1958489+108000-108000</f>
        <v>1958489</v>
      </c>
      <c r="G111" s="93"/>
      <c r="H111" s="93"/>
      <c r="I111" s="93"/>
      <c r="J111" s="93">
        <f t="shared" si="34"/>
        <v>0</v>
      </c>
      <c r="K111" s="93"/>
      <c r="L111" s="93"/>
      <c r="M111" s="93"/>
      <c r="N111" s="93">
        <f>350000-350000</f>
        <v>0</v>
      </c>
      <c r="O111" s="93">
        <f>350000-350000</f>
        <v>0</v>
      </c>
      <c r="P111" s="93">
        <f t="shared" si="37"/>
        <v>1958489</v>
      </c>
      <c r="Q111" s="175"/>
      <c r="R111" s="214"/>
      <c r="S111" s="240"/>
      <c r="T111" s="240"/>
      <c r="U111" s="240"/>
      <c r="V111" s="240"/>
      <c r="W111" s="240"/>
      <c r="X111" s="240"/>
      <c r="Y111" s="240"/>
      <c r="Z111" s="240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</row>
    <row r="112" spans="1:36" s="136" customFormat="1" ht="21.75" customHeight="1">
      <c r="A112" s="91"/>
      <c r="B112" s="137"/>
      <c r="C112" s="137"/>
      <c r="D112" s="92" t="s">
        <v>416</v>
      </c>
      <c r="E112" s="93">
        <f>F112+I112</f>
        <v>1958489</v>
      </c>
      <c r="F112" s="93">
        <v>1958489</v>
      </c>
      <c r="G112" s="93"/>
      <c r="H112" s="93"/>
      <c r="I112" s="93"/>
      <c r="J112" s="93">
        <f t="shared" si="34"/>
        <v>0</v>
      </c>
      <c r="K112" s="93"/>
      <c r="L112" s="93"/>
      <c r="M112" s="93"/>
      <c r="N112" s="93"/>
      <c r="O112" s="93"/>
      <c r="P112" s="93">
        <f t="shared" si="37"/>
        <v>1958489</v>
      </c>
      <c r="Q112" s="175"/>
      <c r="R112" s="214"/>
      <c r="S112" s="240"/>
      <c r="T112" s="240"/>
      <c r="U112" s="240"/>
      <c r="V112" s="240"/>
      <c r="W112" s="240"/>
      <c r="X112" s="240"/>
      <c r="Y112" s="240"/>
      <c r="Z112" s="240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</row>
    <row r="113" spans="1:36" s="4" customFormat="1" ht="24" customHeight="1">
      <c r="A113" s="94" t="s">
        <v>281</v>
      </c>
      <c r="B113" s="94" t="str">
        <f>'дод. 4'!A182</f>
        <v>7640</v>
      </c>
      <c r="C113" s="94" t="str">
        <f>'дод. 4'!B182</f>
        <v>0470</v>
      </c>
      <c r="D113" s="122" t="str">
        <f>'дод. 4'!C182</f>
        <v>Заходи з енергозбереження</v>
      </c>
      <c r="E113" s="96">
        <f>F113+I113</f>
        <v>468000</v>
      </c>
      <c r="F113" s="96">
        <f>420000+48000</f>
        <v>468000</v>
      </c>
      <c r="G113" s="96"/>
      <c r="H113" s="96"/>
      <c r="I113" s="96"/>
      <c r="J113" s="93">
        <f t="shared" si="34"/>
        <v>9847000</v>
      </c>
      <c r="K113" s="96"/>
      <c r="L113" s="96"/>
      <c r="M113" s="96"/>
      <c r="N113" s="96">
        <f>6847000+3000000</f>
        <v>9847000</v>
      </c>
      <c r="O113" s="96">
        <f>6847000+3000000</f>
        <v>9847000</v>
      </c>
      <c r="P113" s="96">
        <f t="shared" si="37"/>
        <v>10315000</v>
      </c>
      <c r="Q113" s="174"/>
      <c r="R113" s="213"/>
      <c r="S113" s="237"/>
      <c r="T113" s="237"/>
      <c r="U113" s="237"/>
      <c r="V113" s="237"/>
      <c r="W113" s="237"/>
      <c r="X113" s="237"/>
      <c r="Y113" s="237"/>
      <c r="Z113" s="237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</row>
    <row r="114" spans="1:36" s="131" customFormat="1" ht="28.5">
      <c r="A114" s="129" t="s">
        <v>290</v>
      </c>
      <c r="B114" s="37"/>
      <c r="C114" s="37"/>
      <c r="D114" s="36" t="s">
        <v>70</v>
      </c>
      <c r="E114" s="47">
        <f>E115</f>
        <v>1258856170</v>
      </c>
      <c r="F114" s="47">
        <f aca="true" t="shared" si="40" ref="F114:P114">F115</f>
        <v>1258856170</v>
      </c>
      <c r="G114" s="47">
        <f t="shared" si="40"/>
        <v>41306277</v>
      </c>
      <c r="H114" s="47">
        <f t="shared" si="40"/>
        <v>1542626</v>
      </c>
      <c r="I114" s="47">
        <f t="shared" si="40"/>
        <v>0</v>
      </c>
      <c r="J114" s="47">
        <f t="shared" si="40"/>
        <v>1237400</v>
      </c>
      <c r="K114" s="47">
        <f t="shared" si="40"/>
        <v>57900</v>
      </c>
      <c r="L114" s="47">
        <f t="shared" si="40"/>
        <v>44700</v>
      </c>
      <c r="M114" s="47">
        <f t="shared" si="40"/>
        <v>0</v>
      </c>
      <c r="N114" s="47">
        <f t="shared" si="40"/>
        <v>1179500</v>
      </c>
      <c r="O114" s="47">
        <f t="shared" si="40"/>
        <v>1179500</v>
      </c>
      <c r="P114" s="47">
        <f t="shared" si="40"/>
        <v>1260093570</v>
      </c>
      <c r="Q114" s="172"/>
      <c r="R114" s="211"/>
      <c r="S114" s="233"/>
      <c r="T114" s="233"/>
      <c r="U114" s="233"/>
      <c r="V114" s="233"/>
      <c r="W114" s="233"/>
      <c r="X114" s="233"/>
      <c r="Y114" s="233"/>
      <c r="Z114" s="233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</row>
    <row r="115" spans="1:36" s="134" customFormat="1" ht="36" customHeight="1">
      <c r="A115" s="132" t="s">
        <v>291</v>
      </c>
      <c r="B115" s="146"/>
      <c r="C115" s="146"/>
      <c r="D115" s="145" t="s">
        <v>70</v>
      </c>
      <c r="E115" s="87">
        <f aca="true" t="shared" si="41" ref="E115:P115">E117+E130+E151+E165+E167+E171+E172+E175+E176+E179+E182+E183+E164+E168+E118+E124+E135+E152+E177</f>
        <v>1258856170</v>
      </c>
      <c r="F115" s="87">
        <f t="shared" si="41"/>
        <v>1258856170</v>
      </c>
      <c r="G115" s="87">
        <f t="shared" si="41"/>
        <v>41306277</v>
      </c>
      <c r="H115" s="87">
        <f t="shared" si="41"/>
        <v>1542626</v>
      </c>
      <c r="I115" s="87">
        <f t="shared" si="41"/>
        <v>0</v>
      </c>
      <c r="J115" s="87">
        <f t="shared" si="41"/>
        <v>1237400</v>
      </c>
      <c r="K115" s="87">
        <f t="shared" si="41"/>
        <v>57900</v>
      </c>
      <c r="L115" s="87">
        <f t="shared" si="41"/>
        <v>44700</v>
      </c>
      <c r="M115" s="87">
        <f t="shared" si="41"/>
        <v>0</v>
      </c>
      <c r="N115" s="87">
        <f t="shared" si="41"/>
        <v>1179500</v>
      </c>
      <c r="O115" s="87">
        <f t="shared" si="41"/>
        <v>1179500</v>
      </c>
      <c r="P115" s="87">
        <f t="shared" si="41"/>
        <v>1260093570</v>
      </c>
      <c r="Q115" s="87"/>
      <c r="R115" s="168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</row>
    <row r="116" spans="1:36" s="134" customFormat="1" ht="17.25" customHeight="1">
      <c r="A116" s="132"/>
      <c r="B116" s="146"/>
      <c r="C116" s="146"/>
      <c r="D116" s="145" t="s">
        <v>416</v>
      </c>
      <c r="E116" s="87">
        <f aca="true" t="shared" si="42" ref="E116:P116">E119+E125+E136+E153+E178</f>
        <v>1129786900</v>
      </c>
      <c r="F116" s="87">
        <f t="shared" si="42"/>
        <v>1129786900</v>
      </c>
      <c r="G116" s="87">
        <f t="shared" si="42"/>
        <v>0</v>
      </c>
      <c r="H116" s="87">
        <f t="shared" si="42"/>
        <v>0</v>
      </c>
      <c r="I116" s="87">
        <f t="shared" si="42"/>
        <v>0</v>
      </c>
      <c r="J116" s="87">
        <f t="shared" si="42"/>
        <v>0</v>
      </c>
      <c r="K116" s="87">
        <f t="shared" si="42"/>
        <v>0</v>
      </c>
      <c r="L116" s="87">
        <f t="shared" si="42"/>
        <v>0</v>
      </c>
      <c r="M116" s="87">
        <f t="shared" si="42"/>
        <v>0</v>
      </c>
      <c r="N116" s="87">
        <f t="shared" si="42"/>
        <v>0</v>
      </c>
      <c r="O116" s="87">
        <f t="shared" si="42"/>
        <v>0</v>
      </c>
      <c r="P116" s="87">
        <f t="shared" si="42"/>
        <v>1129786900</v>
      </c>
      <c r="Q116" s="87"/>
      <c r="R116" s="168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</row>
    <row r="117" spans="1:36" s="4" customFormat="1" ht="45">
      <c r="A117" s="88" t="s">
        <v>292</v>
      </c>
      <c r="B117" s="88" t="str">
        <f>'дод. 4'!A14</f>
        <v>0160</v>
      </c>
      <c r="C117" s="88" t="str">
        <f>'дод. 4'!B14</f>
        <v>0111</v>
      </c>
      <c r="D117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17" s="90">
        <f>F117+I117</f>
        <v>40183900</v>
      </c>
      <c r="F117" s="90">
        <f>40471900-288000</f>
        <v>40183900</v>
      </c>
      <c r="G117" s="90">
        <v>31781350</v>
      </c>
      <c r="H117" s="90">
        <v>676100</v>
      </c>
      <c r="I117" s="90"/>
      <c r="J117" s="90">
        <f>K117+N117</f>
        <v>572000</v>
      </c>
      <c r="K117" s="90"/>
      <c r="L117" s="90"/>
      <c r="M117" s="90"/>
      <c r="N117" s="90">
        <f>700000-128000</f>
        <v>572000</v>
      </c>
      <c r="O117" s="90">
        <f>700000-128000</f>
        <v>572000</v>
      </c>
      <c r="P117" s="90">
        <f>E117+J117</f>
        <v>40755900</v>
      </c>
      <c r="Q117" s="174"/>
      <c r="R117" s="213"/>
      <c r="S117" s="237"/>
      <c r="T117" s="237"/>
      <c r="U117" s="237"/>
      <c r="V117" s="237"/>
      <c r="W117" s="237"/>
      <c r="X117" s="237"/>
      <c r="Y117" s="237"/>
      <c r="Z117" s="237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</row>
    <row r="118" spans="1:36" s="4" customFormat="1" ht="69" customHeight="1">
      <c r="A118" s="88" t="s">
        <v>530</v>
      </c>
      <c r="B118" s="182" t="str">
        <f>'дод. 4'!A63</f>
        <v>3010</v>
      </c>
      <c r="C118" s="182">
        <f>'дод. 4'!B63</f>
        <v>0</v>
      </c>
      <c r="D118" s="124" t="str">
        <f>'дод. 4'!C63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18" s="90">
        <f aca="true" t="shared" si="43" ref="E118:P118">E120+E122</f>
        <v>772232100</v>
      </c>
      <c r="F118" s="90">
        <f t="shared" si="43"/>
        <v>772232100</v>
      </c>
      <c r="G118" s="90">
        <f t="shared" si="43"/>
        <v>0</v>
      </c>
      <c r="H118" s="90">
        <f t="shared" si="43"/>
        <v>0</v>
      </c>
      <c r="I118" s="90">
        <f t="shared" si="43"/>
        <v>0</v>
      </c>
      <c r="J118" s="90">
        <f t="shared" si="43"/>
        <v>0</v>
      </c>
      <c r="K118" s="90">
        <f t="shared" si="43"/>
        <v>0</v>
      </c>
      <c r="L118" s="90">
        <f t="shared" si="43"/>
        <v>0</v>
      </c>
      <c r="M118" s="90">
        <f t="shared" si="43"/>
        <v>0</v>
      </c>
      <c r="N118" s="90">
        <f t="shared" si="43"/>
        <v>0</v>
      </c>
      <c r="O118" s="90">
        <f t="shared" si="43"/>
        <v>0</v>
      </c>
      <c r="P118" s="90">
        <f t="shared" si="43"/>
        <v>772232100</v>
      </c>
      <c r="Q118" s="90"/>
      <c r="R118" s="169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</row>
    <row r="119" spans="1:36" s="4" customFormat="1" ht="15">
      <c r="A119" s="88"/>
      <c r="B119" s="182">
        <f>'дод. 4'!A64</f>
        <v>0</v>
      </c>
      <c r="C119" s="182">
        <f>'дод. 4'!B64</f>
        <v>0</v>
      </c>
      <c r="D119" s="124" t="str">
        <f>'дод. 4'!C64</f>
        <v>у т.ч. за рахунок субвенцій з держбюджету</v>
      </c>
      <c r="E119" s="90">
        <f aca="true" t="shared" si="44" ref="E119:P119">E121+E123</f>
        <v>772232100</v>
      </c>
      <c r="F119" s="90">
        <f t="shared" si="44"/>
        <v>772232100</v>
      </c>
      <c r="G119" s="90">
        <f t="shared" si="44"/>
        <v>0</v>
      </c>
      <c r="H119" s="90">
        <f t="shared" si="44"/>
        <v>0</v>
      </c>
      <c r="I119" s="90">
        <f t="shared" si="44"/>
        <v>0</v>
      </c>
      <c r="J119" s="90">
        <f t="shared" si="44"/>
        <v>0</v>
      </c>
      <c r="K119" s="90">
        <f t="shared" si="44"/>
        <v>0</v>
      </c>
      <c r="L119" s="90">
        <f t="shared" si="44"/>
        <v>0</v>
      </c>
      <c r="M119" s="90">
        <f t="shared" si="44"/>
        <v>0</v>
      </c>
      <c r="N119" s="90">
        <f t="shared" si="44"/>
        <v>0</v>
      </c>
      <c r="O119" s="90">
        <f t="shared" si="44"/>
        <v>0</v>
      </c>
      <c r="P119" s="90">
        <f t="shared" si="44"/>
        <v>772232100</v>
      </c>
      <c r="Q119" s="90"/>
      <c r="R119" s="169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</row>
    <row r="120" spans="1:36" s="136" customFormat="1" ht="45" customHeight="1">
      <c r="A120" s="91" t="s">
        <v>531</v>
      </c>
      <c r="B120" s="189" t="str">
        <f>'дод. 4'!A65</f>
        <v>3011</v>
      </c>
      <c r="C120" s="189">
        <f>'дод. 4'!B65</f>
        <v>1030</v>
      </c>
      <c r="D120" s="121" t="str">
        <f>'дод. 4'!C65</f>
        <v>Надання пільг на оплату житлово-комунальних послуг окремим категоріям громадян відповідно до законодавства </v>
      </c>
      <c r="E120" s="93">
        <f>F120+I120</f>
        <v>66261200</v>
      </c>
      <c r="F120" s="93">
        <v>66261200</v>
      </c>
      <c r="G120" s="93"/>
      <c r="H120" s="93"/>
      <c r="I120" s="93"/>
      <c r="J120" s="93">
        <f>K120+N120</f>
        <v>0</v>
      </c>
      <c r="K120" s="93"/>
      <c r="L120" s="93"/>
      <c r="M120" s="93"/>
      <c r="N120" s="93"/>
      <c r="O120" s="93"/>
      <c r="P120" s="93">
        <f>E120+J120</f>
        <v>66261200</v>
      </c>
      <c r="Q120" s="175"/>
      <c r="R120" s="214"/>
      <c r="S120" s="240"/>
      <c r="T120" s="240"/>
      <c r="U120" s="240"/>
      <c r="V120" s="240"/>
      <c r="W120" s="240"/>
      <c r="X120" s="240"/>
      <c r="Y120" s="240"/>
      <c r="Z120" s="240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</row>
    <row r="121" spans="1:36" s="136" customFormat="1" ht="15">
      <c r="A121" s="91"/>
      <c r="B121" s="189">
        <f>'дод. 4'!A66</f>
        <v>0</v>
      </c>
      <c r="C121" s="189">
        <f>'дод. 4'!B66</f>
        <v>0</v>
      </c>
      <c r="D121" s="121" t="str">
        <f>'дод. 4'!C66</f>
        <v>у т.ч. за рахунок субвенцій з держбюджету</v>
      </c>
      <c r="E121" s="93">
        <f>F121+I121</f>
        <v>66261200</v>
      </c>
      <c r="F121" s="93">
        <v>66261200</v>
      </c>
      <c r="G121" s="93"/>
      <c r="H121" s="93"/>
      <c r="I121" s="93"/>
      <c r="J121" s="93">
        <f>K121+N121</f>
        <v>0</v>
      </c>
      <c r="K121" s="93"/>
      <c r="L121" s="93"/>
      <c r="M121" s="93"/>
      <c r="N121" s="93"/>
      <c r="O121" s="93"/>
      <c r="P121" s="93">
        <f>E121+J121</f>
        <v>66261200</v>
      </c>
      <c r="Q121" s="175"/>
      <c r="R121" s="214"/>
      <c r="S121" s="240"/>
      <c r="T121" s="240"/>
      <c r="U121" s="240"/>
      <c r="V121" s="240"/>
      <c r="W121" s="240"/>
      <c r="X121" s="240"/>
      <c r="Y121" s="240"/>
      <c r="Z121" s="240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</row>
    <row r="122" spans="1:36" s="136" customFormat="1" ht="37.5" customHeight="1">
      <c r="A122" s="91" t="s">
        <v>532</v>
      </c>
      <c r="B122" s="189" t="str">
        <f>'дод. 4'!A67</f>
        <v>3012</v>
      </c>
      <c r="C122" s="189">
        <f>'дод. 4'!B67</f>
        <v>1060</v>
      </c>
      <c r="D122" s="121" t="str">
        <f>'дод. 4'!C67</f>
        <v>Надання субсидій населенню для відшкодування витрат на оплату житлово-комунальних послуг</v>
      </c>
      <c r="E122" s="93">
        <f>F122+I122</f>
        <v>705970900</v>
      </c>
      <c r="F122" s="93">
        <v>705970900</v>
      </c>
      <c r="G122" s="93"/>
      <c r="H122" s="93"/>
      <c r="I122" s="93"/>
      <c r="J122" s="93">
        <f>K122+N122</f>
        <v>0</v>
      </c>
      <c r="K122" s="93"/>
      <c r="L122" s="93"/>
      <c r="M122" s="93"/>
      <c r="N122" s="93"/>
      <c r="O122" s="93"/>
      <c r="P122" s="93">
        <f>E122+J122</f>
        <v>705970900</v>
      </c>
      <c r="Q122" s="175"/>
      <c r="R122" s="214"/>
      <c r="S122" s="240"/>
      <c r="T122" s="240"/>
      <c r="U122" s="240"/>
      <c r="V122" s="240"/>
      <c r="W122" s="240"/>
      <c r="X122" s="240"/>
      <c r="Y122" s="240"/>
      <c r="Z122" s="240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</row>
    <row r="123" spans="1:36" s="136" customFormat="1" ht="15">
      <c r="A123" s="91"/>
      <c r="B123" s="189">
        <f>'дод. 4'!A68</f>
        <v>0</v>
      </c>
      <c r="C123" s="189">
        <f>'дод. 4'!B68</f>
        <v>0</v>
      </c>
      <c r="D123" s="121" t="str">
        <f>'дод. 4'!C68</f>
        <v>у т.ч. за рахунок субвенцій з держбюджету</v>
      </c>
      <c r="E123" s="93">
        <f>F123+I123</f>
        <v>705970900</v>
      </c>
      <c r="F123" s="93">
        <v>705970900</v>
      </c>
      <c r="G123" s="93"/>
      <c r="H123" s="93"/>
      <c r="I123" s="93"/>
      <c r="J123" s="93">
        <f>K123+N123</f>
        <v>0</v>
      </c>
      <c r="K123" s="93"/>
      <c r="L123" s="93"/>
      <c r="M123" s="93"/>
      <c r="N123" s="93"/>
      <c r="O123" s="93"/>
      <c r="P123" s="93">
        <f>E123+J123</f>
        <v>705970900</v>
      </c>
      <c r="Q123" s="175"/>
      <c r="R123" s="214"/>
      <c r="S123" s="240"/>
      <c r="T123" s="240"/>
      <c r="U123" s="240"/>
      <c r="V123" s="240"/>
      <c r="W123" s="240"/>
      <c r="X123" s="240"/>
      <c r="Y123" s="240"/>
      <c r="Z123" s="240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</row>
    <row r="124" spans="1:36" s="4" customFormat="1" ht="45" customHeight="1">
      <c r="A124" s="88" t="s">
        <v>533</v>
      </c>
      <c r="B124" s="182" t="str">
        <f>'дод. 4'!A69</f>
        <v>3020</v>
      </c>
      <c r="C124" s="182">
        <f>'дод. 4'!B69</f>
        <v>0</v>
      </c>
      <c r="D124" s="124" t="str">
        <f>'дод. 4'!C69</f>
        <v>Надання пільг та субсидій населенню на придбання твердого та рідкого пічного побутового палива і скрапленого газу</v>
      </c>
      <c r="E124" s="90">
        <f aca="true" t="shared" si="45" ref="E124:P124">E126+E128</f>
        <v>375400</v>
      </c>
      <c r="F124" s="90">
        <f t="shared" si="45"/>
        <v>375400</v>
      </c>
      <c r="G124" s="90">
        <f t="shared" si="45"/>
        <v>0</v>
      </c>
      <c r="H124" s="90">
        <f t="shared" si="45"/>
        <v>0</v>
      </c>
      <c r="I124" s="90">
        <f t="shared" si="45"/>
        <v>0</v>
      </c>
      <c r="J124" s="90">
        <f t="shared" si="45"/>
        <v>0</v>
      </c>
      <c r="K124" s="90">
        <f t="shared" si="45"/>
        <v>0</v>
      </c>
      <c r="L124" s="90">
        <f t="shared" si="45"/>
        <v>0</v>
      </c>
      <c r="M124" s="90">
        <f t="shared" si="45"/>
        <v>0</v>
      </c>
      <c r="N124" s="90">
        <f t="shared" si="45"/>
        <v>0</v>
      </c>
      <c r="O124" s="90">
        <f t="shared" si="45"/>
        <v>0</v>
      </c>
      <c r="P124" s="90">
        <f t="shared" si="45"/>
        <v>375400</v>
      </c>
      <c r="Q124" s="90"/>
      <c r="R124" s="169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</row>
    <row r="125" spans="1:36" s="4" customFormat="1" ht="15">
      <c r="A125" s="88"/>
      <c r="B125" s="182">
        <f>'дод. 4'!A70</f>
        <v>0</v>
      </c>
      <c r="C125" s="182">
        <f>'дод. 4'!B70</f>
        <v>0</v>
      </c>
      <c r="D125" s="124" t="str">
        <f>'дод. 4'!C70</f>
        <v>у т.ч. за рахунок субвенцій з держбюджету</v>
      </c>
      <c r="E125" s="90">
        <f aca="true" t="shared" si="46" ref="E125:P125">E127+E129</f>
        <v>375400</v>
      </c>
      <c r="F125" s="90">
        <f t="shared" si="46"/>
        <v>375400</v>
      </c>
      <c r="G125" s="90">
        <f t="shared" si="46"/>
        <v>0</v>
      </c>
      <c r="H125" s="90">
        <f t="shared" si="46"/>
        <v>0</v>
      </c>
      <c r="I125" s="90">
        <f t="shared" si="46"/>
        <v>0</v>
      </c>
      <c r="J125" s="90">
        <f t="shared" si="46"/>
        <v>0</v>
      </c>
      <c r="K125" s="90">
        <f t="shared" si="46"/>
        <v>0</v>
      </c>
      <c r="L125" s="90">
        <f t="shared" si="46"/>
        <v>0</v>
      </c>
      <c r="M125" s="90">
        <f t="shared" si="46"/>
        <v>0</v>
      </c>
      <c r="N125" s="90">
        <f t="shared" si="46"/>
        <v>0</v>
      </c>
      <c r="O125" s="90">
        <f t="shared" si="46"/>
        <v>0</v>
      </c>
      <c r="P125" s="90">
        <f t="shared" si="46"/>
        <v>375400</v>
      </c>
      <c r="Q125" s="90"/>
      <c r="R125" s="169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</row>
    <row r="126" spans="1:36" s="136" customFormat="1" ht="59.25" customHeight="1">
      <c r="A126" s="91" t="s">
        <v>534</v>
      </c>
      <c r="B126" s="189" t="str">
        <f>'дод. 4'!A71</f>
        <v>3021</v>
      </c>
      <c r="C126" s="189">
        <f>'дод. 4'!B71</f>
        <v>1030</v>
      </c>
      <c r="D126" s="121" t="str">
        <f>'дод. 4'!C71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6" s="93">
        <f>F126+I126</f>
        <v>57630</v>
      </c>
      <c r="F126" s="93">
        <v>57630</v>
      </c>
      <c r="G126" s="93"/>
      <c r="H126" s="93"/>
      <c r="I126" s="93"/>
      <c r="J126" s="93">
        <f>K126+N126</f>
        <v>0</v>
      </c>
      <c r="K126" s="93"/>
      <c r="L126" s="93"/>
      <c r="M126" s="93"/>
      <c r="N126" s="93"/>
      <c r="O126" s="93"/>
      <c r="P126" s="93">
        <f>E126+J126</f>
        <v>57630</v>
      </c>
      <c r="Q126" s="175"/>
      <c r="R126" s="214"/>
      <c r="S126" s="240"/>
      <c r="T126" s="240"/>
      <c r="U126" s="240"/>
      <c r="V126" s="240"/>
      <c r="W126" s="240"/>
      <c r="X126" s="240"/>
      <c r="Y126" s="240"/>
      <c r="Z126" s="240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</row>
    <row r="127" spans="1:36" s="136" customFormat="1" ht="15">
      <c r="A127" s="91"/>
      <c r="B127" s="189">
        <f>'дод. 4'!A72</f>
        <v>0</v>
      </c>
      <c r="C127" s="189">
        <f>'дод. 4'!B72</f>
        <v>0</v>
      </c>
      <c r="D127" s="121" t="str">
        <f>'дод. 4'!C72</f>
        <v>у т.ч. за рахунок субвенцій з держбюджету</v>
      </c>
      <c r="E127" s="93">
        <f>F127+I127</f>
        <v>57630</v>
      </c>
      <c r="F127" s="93">
        <v>57630</v>
      </c>
      <c r="G127" s="93"/>
      <c r="H127" s="93"/>
      <c r="I127" s="93"/>
      <c r="J127" s="93">
        <f>K127+N127</f>
        <v>0</v>
      </c>
      <c r="K127" s="93"/>
      <c r="L127" s="93"/>
      <c r="M127" s="93"/>
      <c r="N127" s="93"/>
      <c r="O127" s="93"/>
      <c r="P127" s="93">
        <f>E127+J127</f>
        <v>57630</v>
      </c>
      <c r="Q127" s="175"/>
      <c r="R127" s="214"/>
      <c r="S127" s="240"/>
      <c r="T127" s="240"/>
      <c r="U127" s="240"/>
      <c r="V127" s="240"/>
      <c r="W127" s="240"/>
      <c r="X127" s="240"/>
      <c r="Y127" s="240"/>
      <c r="Z127" s="240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</row>
    <row r="128" spans="1:36" s="136" customFormat="1" ht="49.5" customHeight="1">
      <c r="A128" s="91" t="s">
        <v>535</v>
      </c>
      <c r="B128" s="189" t="str">
        <f>'дод. 4'!A73</f>
        <v>3022</v>
      </c>
      <c r="C128" s="189">
        <f>'дод. 4'!B73</f>
        <v>1060</v>
      </c>
      <c r="D128" s="121" t="str">
        <f>'дод. 4'!C73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8" s="93">
        <f>F128+I128</f>
        <v>317770</v>
      </c>
      <c r="F128" s="93">
        <v>317770</v>
      </c>
      <c r="G128" s="93"/>
      <c r="H128" s="93"/>
      <c r="I128" s="93"/>
      <c r="J128" s="93">
        <f>K128+N128</f>
        <v>0</v>
      </c>
      <c r="K128" s="93"/>
      <c r="L128" s="93"/>
      <c r="M128" s="93"/>
      <c r="N128" s="93"/>
      <c r="O128" s="93"/>
      <c r="P128" s="93">
        <f>E128+J128</f>
        <v>317770</v>
      </c>
      <c r="Q128" s="175"/>
      <c r="R128" s="214"/>
      <c r="S128" s="240"/>
      <c r="T128" s="240"/>
      <c r="U128" s="240"/>
      <c r="V128" s="240"/>
      <c r="W128" s="240"/>
      <c r="X128" s="240"/>
      <c r="Y128" s="240"/>
      <c r="Z128" s="240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</row>
    <row r="129" spans="1:36" s="136" customFormat="1" ht="15">
      <c r="A129" s="91"/>
      <c r="B129" s="189">
        <f>'дод. 4'!A74</f>
        <v>0</v>
      </c>
      <c r="C129" s="189">
        <f>'дод. 4'!B74</f>
        <v>0</v>
      </c>
      <c r="D129" s="121" t="str">
        <f>'дод. 4'!C74</f>
        <v>у т.ч. за рахунок субвенцій з держбюджету</v>
      </c>
      <c r="E129" s="93">
        <f>F129+I129</f>
        <v>317770</v>
      </c>
      <c r="F129" s="93">
        <v>317770</v>
      </c>
      <c r="G129" s="93"/>
      <c r="H129" s="93"/>
      <c r="I129" s="93"/>
      <c r="J129" s="93">
        <f>K129+N129</f>
        <v>0</v>
      </c>
      <c r="K129" s="93"/>
      <c r="L129" s="93"/>
      <c r="M129" s="93"/>
      <c r="N129" s="93"/>
      <c r="O129" s="93"/>
      <c r="P129" s="93">
        <f>E129+J129</f>
        <v>317770</v>
      </c>
      <c r="Q129" s="175"/>
      <c r="R129" s="214"/>
      <c r="S129" s="240"/>
      <c r="T129" s="240"/>
      <c r="U129" s="240"/>
      <c r="V129" s="240"/>
      <c r="W129" s="240"/>
      <c r="X129" s="240"/>
      <c r="Y129" s="240"/>
      <c r="Z129" s="240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</row>
    <row r="130" spans="1:37" s="147" customFormat="1" ht="60">
      <c r="A130" s="94" t="s">
        <v>293</v>
      </c>
      <c r="B130" s="94" t="str">
        <f>'дод. 4'!A75</f>
        <v>3030</v>
      </c>
      <c r="C130" s="94">
        <f>'дод. 4'!B75</f>
        <v>0</v>
      </c>
      <c r="D130" s="122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30" s="96">
        <f>E131+E132+E133+E134</f>
        <v>38674126</v>
      </c>
      <c r="F130" s="96">
        <f aca="true" t="shared" si="47" ref="F130:P130">F131+F132+F133+F134</f>
        <v>38674126</v>
      </c>
      <c r="G130" s="96">
        <f t="shared" si="47"/>
        <v>0</v>
      </c>
      <c r="H130" s="96">
        <f t="shared" si="47"/>
        <v>0</v>
      </c>
      <c r="I130" s="96">
        <f t="shared" si="47"/>
        <v>0</v>
      </c>
      <c r="J130" s="96">
        <f t="shared" si="47"/>
        <v>214000</v>
      </c>
      <c r="K130" s="96">
        <f t="shared" si="47"/>
        <v>0</v>
      </c>
      <c r="L130" s="96">
        <f t="shared" si="47"/>
        <v>0</v>
      </c>
      <c r="M130" s="96">
        <f t="shared" si="47"/>
        <v>0</v>
      </c>
      <c r="N130" s="96">
        <f t="shared" si="47"/>
        <v>214000</v>
      </c>
      <c r="O130" s="96">
        <f t="shared" si="47"/>
        <v>214000</v>
      </c>
      <c r="P130" s="96">
        <f t="shared" si="47"/>
        <v>38888126</v>
      </c>
      <c r="Q130" s="174"/>
      <c r="R130" s="213"/>
      <c r="S130" s="237"/>
      <c r="T130" s="237"/>
      <c r="U130" s="237"/>
      <c r="V130" s="237"/>
      <c r="W130" s="237"/>
      <c r="X130" s="237"/>
      <c r="Y130" s="237"/>
      <c r="Z130" s="237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156"/>
    </row>
    <row r="131" spans="1:36" s="148" customFormat="1" ht="36" customHeight="1">
      <c r="A131" s="91" t="s">
        <v>294</v>
      </c>
      <c r="B131" s="91" t="str">
        <f>'дод. 4'!A76</f>
        <v>3031</v>
      </c>
      <c r="C131" s="91" t="str">
        <f>'дод. 4'!B76</f>
        <v>1030</v>
      </c>
      <c r="D131" s="121" t="str">
        <f>'дод. 4'!C76</f>
        <v>Надання інших пільг окремим категоріям громадян відповідно до законодавства</v>
      </c>
      <c r="E131" s="93">
        <f>F131+I131</f>
        <v>371502</v>
      </c>
      <c r="F131" s="93">
        <v>371502</v>
      </c>
      <c r="G131" s="93"/>
      <c r="H131" s="93"/>
      <c r="I131" s="93"/>
      <c r="J131" s="93">
        <f>K131+N131</f>
        <v>214000</v>
      </c>
      <c r="K131" s="93"/>
      <c r="L131" s="93"/>
      <c r="M131" s="93"/>
      <c r="N131" s="93">
        <v>214000</v>
      </c>
      <c r="O131" s="93">
        <v>214000</v>
      </c>
      <c r="P131" s="93">
        <f>E131+J131</f>
        <v>585502</v>
      </c>
      <c r="Q131" s="175"/>
      <c r="R131" s="214"/>
      <c r="S131" s="240"/>
      <c r="T131" s="240"/>
      <c r="U131" s="240"/>
      <c r="V131" s="240"/>
      <c r="W131" s="240"/>
      <c r="X131" s="240"/>
      <c r="Y131" s="240"/>
      <c r="Z131" s="240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</row>
    <row r="132" spans="1:36" s="148" customFormat="1" ht="30">
      <c r="A132" s="91" t="s">
        <v>295</v>
      </c>
      <c r="B132" s="91" t="str">
        <f>'дод. 4'!A77</f>
        <v>3032</v>
      </c>
      <c r="C132" s="91" t="str">
        <f>'дод. 4'!B77</f>
        <v>1070</v>
      </c>
      <c r="D132" s="121" t="str">
        <f>'дод. 4'!C77</f>
        <v>Надання пільг окремим категоріям громадян з оплати послуг зв'язку</v>
      </c>
      <c r="E132" s="93">
        <f>F132+I132</f>
        <v>1541402</v>
      </c>
      <c r="F132" s="93">
        <v>1541402</v>
      </c>
      <c r="G132" s="93"/>
      <c r="H132" s="93"/>
      <c r="I132" s="93"/>
      <c r="J132" s="93">
        <f>K132+N132</f>
        <v>0</v>
      </c>
      <c r="K132" s="93"/>
      <c r="L132" s="93"/>
      <c r="M132" s="93"/>
      <c r="N132" s="93"/>
      <c r="O132" s="93"/>
      <c r="P132" s="93">
        <f>E132+J132</f>
        <v>1541402</v>
      </c>
      <c r="Q132" s="175"/>
      <c r="R132" s="214"/>
      <c r="S132" s="240"/>
      <c r="T132" s="240"/>
      <c r="U132" s="240"/>
      <c r="V132" s="240"/>
      <c r="W132" s="240"/>
      <c r="X132" s="240"/>
      <c r="Y132" s="240"/>
      <c r="Z132" s="240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</row>
    <row r="133" spans="1:36" s="148" customFormat="1" ht="45">
      <c r="A133" s="91" t="s">
        <v>296</v>
      </c>
      <c r="B133" s="91" t="str">
        <f>'дод. 4'!A78</f>
        <v>3033</v>
      </c>
      <c r="C133" s="91" t="str">
        <f>'дод. 4'!B78</f>
        <v>1070</v>
      </c>
      <c r="D133" s="121" t="str">
        <f>'дод. 4'!C78</f>
        <v>Компенсаційні виплати на пільговий проїзд автомобільним транспортом окремим категоріям громадян</v>
      </c>
      <c r="E133" s="93">
        <f>F133+I133</f>
        <v>9567796</v>
      </c>
      <c r="F133" s="93">
        <f>9466596+101200</f>
        <v>9567796</v>
      </c>
      <c r="G133" s="93"/>
      <c r="H133" s="93"/>
      <c r="I133" s="93"/>
      <c r="J133" s="93">
        <f>K133+N133</f>
        <v>0</v>
      </c>
      <c r="K133" s="93"/>
      <c r="L133" s="93"/>
      <c r="M133" s="93"/>
      <c r="N133" s="93"/>
      <c r="O133" s="93"/>
      <c r="P133" s="93">
        <f>E133+J133</f>
        <v>9567796</v>
      </c>
      <c r="Q133" s="175"/>
      <c r="R133" s="214"/>
      <c r="S133" s="240"/>
      <c r="T133" s="240"/>
      <c r="U133" s="240"/>
      <c r="V133" s="240"/>
      <c r="W133" s="240"/>
      <c r="X133" s="240"/>
      <c r="Y133" s="240"/>
      <c r="Z133" s="240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</row>
    <row r="134" spans="1:36" s="148" customFormat="1" ht="39.75" customHeight="1">
      <c r="A134" s="91" t="s">
        <v>297</v>
      </c>
      <c r="B134" s="91" t="str">
        <f>'дод. 4'!A79</f>
        <v>3036</v>
      </c>
      <c r="C134" s="91" t="str">
        <f>'дод. 4'!B79</f>
        <v>1070</v>
      </c>
      <c r="D134" s="121" t="str">
        <f>'дод. 4'!C79</f>
        <v>Компенсаційні виплати на пільговий проїзд електротранспортом окремим категоріям громадян</v>
      </c>
      <c r="E134" s="93">
        <f>F134+I134</f>
        <v>27193426</v>
      </c>
      <c r="F134" s="93">
        <v>27193426</v>
      </c>
      <c r="G134" s="93"/>
      <c r="H134" s="93"/>
      <c r="I134" s="93"/>
      <c r="J134" s="93">
        <f>K134+N134</f>
        <v>0</v>
      </c>
      <c r="K134" s="93"/>
      <c r="L134" s="93"/>
      <c r="M134" s="93"/>
      <c r="N134" s="93"/>
      <c r="O134" s="93"/>
      <c r="P134" s="93">
        <f>E134+J134</f>
        <v>27193426</v>
      </c>
      <c r="Q134" s="175"/>
      <c r="R134" s="214"/>
      <c r="S134" s="240"/>
      <c r="T134" s="240"/>
      <c r="U134" s="240"/>
      <c r="V134" s="240"/>
      <c r="W134" s="240"/>
      <c r="X134" s="240"/>
      <c r="Y134" s="240"/>
      <c r="Z134" s="240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</row>
    <row r="135" spans="1:36" s="178" customFormat="1" ht="33" customHeight="1">
      <c r="A135" s="182" t="s">
        <v>552</v>
      </c>
      <c r="B135" s="182" t="str">
        <f>'дод. 4'!A80</f>
        <v>3040</v>
      </c>
      <c r="C135" s="182">
        <f>'дод. 4'!B80</f>
        <v>0</v>
      </c>
      <c r="D135" s="124" t="str">
        <f>'дод. 4'!C80</f>
        <v>Надання допомоги сім'ям з дітьми, малозабезпеченим сім’ям, тимчасової допомоги дітям</v>
      </c>
      <c r="E135" s="90">
        <f aca="true" t="shared" si="48" ref="E135:P135">E137+E139+E141+E143+E145+E147+E149</f>
        <v>257256180</v>
      </c>
      <c r="F135" s="90">
        <f t="shared" si="48"/>
        <v>257256180</v>
      </c>
      <c r="G135" s="90">
        <f t="shared" si="48"/>
        <v>0</v>
      </c>
      <c r="H135" s="90">
        <f t="shared" si="48"/>
        <v>0</v>
      </c>
      <c r="I135" s="90">
        <f t="shared" si="48"/>
        <v>0</v>
      </c>
      <c r="J135" s="90">
        <f t="shared" si="48"/>
        <v>0</v>
      </c>
      <c r="K135" s="90">
        <f t="shared" si="48"/>
        <v>0</v>
      </c>
      <c r="L135" s="90">
        <f t="shared" si="48"/>
        <v>0</v>
      </c>
      <c r="M135" s="90">
        <f t="shared" si="48"/>
        <v>0</v>
      </c>
      <c r="N135" s="90">
        <f t="shared" si="48"/>
        <v>0</v>
      </c>
      <c r="O135" s="90">
        <f t="shared" si="48"/>
        <v>0</v>
      </c>
      <c r="P135" s="90">
        <f t="shared" si="48"/>
        <v>257256180</v>
      </c>
      <c r="Q135" s="90"/>
      <c r="R135" s="169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</row>
    <row r="136" spans="1:36" s="178" customFormat="1" ht="19.5" customHeight="1">
      <c r="A136" s="182"/>
      <c r="B136" s="182">
        <f>'дод. 4'!A81</f>
        <v>0</v>
      </c>
      <c r="C136" s="182">
        <f>'дод. 4'!B81</f>
        <v>0</v>
      </c>
      <c r="D136" s="124" t="str">
        <f>'дод. 4'!C81</f>
        <v>у т.ч. за рахунок субвенцій з держбюджету</v>
      </c>
      <c r="E136" s="90">
        <f aca="true" t="shared" si="49" ref="E136:P136">E138+E140+E142+E144+E146+E148+E150</f>
        <v>257256180</v>
      </c>
      <c r="F136" s="90">
        <f t="shared" si="49"/>
        <v>257256180</v>
      </c>
      <c r="G136" s="90">
        <f t="shared" si="49"/>
        <v>0</v>
      </c>
      <c r="H136" s="90">
        <f t="shared" si="49"/>
        <v>0</v>
      </c>
      <c r="I136" s="90">
        <f t="shared" si="49"/>
        <v>0</v>
      </c>
      <c r="J136" s="90">
        <f t="shared" si="49"/>
        <v>0</v>
      </c>
      <c r="K136" s="90">
        <f t="shared" si="49"/>
        <v>0</v>
      </c>
      <c r="L136" s="90">
        <f t="shared" si="49"/>
        <v>0</v>
      </c>
      <c r="M136" s="90">
        <f t="shared" si="49"/>
        <v>0</v>
      </c>
      <c r="N136" s="90">
        <f t="shared" si="49"/>
        <v>0</v>
      </c>
      <c r="O136" s="90">
        <f t="shared" si="49"/>
        <v>0</v>
      </c>
      <c r="P136" s="90">
        <f t="shared" si="49"/>
        <v>257256180</v>
      </c>
      <c r="Q136" s="90"/>
      <c r="R136" s="169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</row>
    <row r="137" spans="1:36" s="148" customFormat="1" ht="27" customHeight="1">
      <c r="A137" s="189" t="s">
        <v>553</v>
      </c>
      <c r="B137" s="189" t="str">
        <f>'дод. 4'!A82</f>
        <v>3041</v>
      </c>
      <c r="C137" s="189" t="str">
        <f>'дод. 4'!B82</f>
        <v>1040</v>
      </c>
      <c r="D137" s="121" t="str">
        <f>'дод. 4'!C82</f>
        <v>Надання допомоги у зв'язку з вагітністю і пологами</v>
      </c>
      <c r="E137" s="93">
        <f aca="true" t="shared" si="50" ref="E137:E151">F137+I137</f>
        <v>3598320</v>
      </c>
      <c r="F137" s="93">
        <v>3598320</v>
      </c>
      <c r="G137" s="93"/>
      <c r="H137" s="93"/>
      <c r="I137" s="93"/>
      <c r="J137" s="93">
        <f>K137+N137</f>
        <v>0</v>
      </c>
      <c r="K137" s="93"/>
      <c r="L137" s="93"/>
      <c r="M137" s="93"/>
      <c r="N137" s="93"/>
      <c r="O137" s="93"/>
      <c r="P137" s="93">
        <f aca="true" t="shared" si="51" ref="P137:P151">E137+J137</f>
        <v>3598320</v>
      </c>
      <c r="Q137" s="175"/>
      <c r="R137" s="214"/>
      <c r="S137" s="240"/>
      <c r="T137" s="240"/>
      <c r="U137" s="240"/>
      <c r="V137" s="240"/>
      <c r="W137" s="240"/>
      <c r="X137" s="240"/>
      <c r="Y137" s="240"/>
      <c r="Z137" s="240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</row>
    <row r="138" spans="1:36" s="148" customFormat="1" ht="19.5" customHeight="1">
      <c r="A138" s="189"/>
      <c r="B138" s="189">
        <f>'дод. 4'!A83</f>
        <v>0</v>
      </c>
      <c r="C138" s="189">
        <f>'дод. 4'!B83</f>
        <v>0</v>
      </c>
      <c r="D138" s="121" t="str">
        <f>'дод. 4'!C83</f>
        <v>у т.ч. за рахунок субвенцій з держбюджету</v>
      </c>
      <c r="E138" s="93">
        <f t="shared" si="50"/>
        <v>3598320</v>
      </c>
      <c r="F138" s="93">
        <v>3598320</v>
      </c>
      <c r="G138" s="93"/>
      <c r="H138" s="93"/>
      <c r="I138" s="93"/>
      <c r="J138" s="93">
        <f aca="true" t="shared" si="52" ref="J138:J150">K138+N138</f>
        <v>0</v>
      </c>
      <c r="K138" s="93"/>
      <c r="L138" s="93"/>
      <c r="M138" s="93"/>
      <c r="N138" s="93"/>
      <c r="O138" s="93"/>
      <c r="P138" s="93">
        <f t="shared" si="51"/>
        <v>3598320</v>
      </c>
      <c r="Q138" s="175"/>
      <c r="R138" s="214"/>
      <c r="S138" s="240"/>
      <c r="T138" s="240"/>
      <c r="U138" s="240"/>
      <c r="V138" s="240"/>
      <c r="W138" s="240"/>
      <c r="X138" s="240"/>
      <c r="Y138" s="240"/>
      <c r="Z138" s="240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</row>
    <row r="139" spans="1:36" s="148" customFormat="1" ht="21" customHeight="1">
      <c r="A139" s="189" t="s">
        <v>554</v>
      </c>
      <c r="B139" s="189" t="str">
        <f>'дод. 4'!A84</f>
        <v>3042</v>
      </c>
      <c r="C139" s="189" t="str">
        <f>'дод. 4'!B84</f>
        <v>1040</v>
      </c>
      <c r="D139" s="121" t="str">
        <f>'дод. 4'!C84</f>
        <v>Надання допомоги при усиновленні дитини</v>
      </c>
      <c r="E139" s="93">
        <f t="shared" si="50"/>
        <v>392160</v>
      </c>
      <c r="F139" s="93">
        <v>392160</v>
      </c>
      <c r="G139" s="93"/>
      <c r="H139" s="93"/>
      <c r="I139" s="93"/>
      <c r="J139" s="93">
        <f t="shared" si="52"/>
        <v>0</v>
      </c>
      <c r="K139" s="93"/>
      <c r="L139" s="93"/>
      <c r="M139" s="93"/>
      <c r="N139" s="93"/>
      <c r="O139" s="93"/>
      <c r="P139" s="93">
        <f t="shared" si="51"/>
        <v>392160</v>
      </c>
      <c r="Q139" s="175"/>
      <c r="R139" s="214"/>
      <c r="S139" s="240"/>
      <c r="T139" s="240"/>
      <c r="U139" s="240"/>
      <c r="V139" s="240"/>
      <c r="W139" s="240"/>
      <c r="X139" s="240"/>
      <c r="Y139" s="240"/>
      <c r="Z139" s="240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</row>
    <row r="140" spans="1:36" s="148" customFormat="1" ht="19.5" customHeight="1">
      <c r="A140" s="189"/>
      <c r="B140" s="189">
        <f>'дод. 4'!A85</f>
        <v>0</v>
      </c>
      <c r="C140" s="189">
        <f>'дод. 4'!B85</f>
        <v>0</v>
      </c>
      <c r="D140" s="121" t="str">
        <f>'дод. 4'!C85</f>
        <v>у т.ч. за рахунок субвенцій з держбюджету</v>
      </c>
      <c r="E140" s="93">
        <f t="shared" si="50"/>
        <v>392160</v>
      </c>
      <c r="F140" s="93">
        <v>392160</v>
      </c>
      <c r="G140" s="93"/>
      <c r="H140" s="93"/>
      <c r="I140" s="93"/>
      <c r="J140" s="93">
        <f t="shared" si="52"/>
        <v>0</v>
      </c>
      <c r="K140" s="93"/>
      <c r="L140" s="93"/>
      <c r="M140" s="93"/>
      <c r="N140" s="93"/>
      <c r="O140" s="93"/>
      <c r="P140" s="93">
        <f t="shared" si="51"/>
        <v>392160</v>
      </c>
      <c r="Q140" s="175"/>
      <c r="R140" s="214"/>
      <c r="S140" s="240"/>
      <c r="T140" s="240"/>
      <c r="U140" s="240"/>
      <c r="V140" s="240"/>
      <c r="W140" s="240"/>
      <c r="X140" s="240"/>
      <c r="Y140" s="240"/>
      <c r="Z140" s="240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</row>
    <row r="141" spans="1:36" s="148" customFormat="1" ht="19.5" customHeight="1">
      <c r="A141" s="189" t="s">
        <v>555</v>
      </c>
      <c r="B141" s="189" t="str">
        <f>'дод. 4'!A86</f>
        <v>3043</v>
      </c>
      <c r="C141" s="189" t="str">
        <f>'дод. 4'!B86</f>
        <v>1040</v>
      </c>
      <c r="D141" s="121" t="str">
        <f>'дод. 4'!C86</f>
        <v>Надання допомоги при народженні дитини</v>
      </c>
      <c r="E141" s="93">
        <f t="shared" si="50"/>
        <v>134165700</v>
      </c>
      <c r="F141" s="93">
        <v>134165700</v>
      </c>
      <c r="G141" s="93"/>
      <c r="H141" s="93"/>
      <c r="I141" s="93"/>
      <c r="J141" s="93">
        <f t="shared" si="52"/>
        <v>0</v>
      </c>
      <c r="K141" s="93"/>
      <c r="L141" s="93"/>
      <c r="M141" s="93"/>
      <c r="N141" s="93"/>
      <c r="O141" s="93"/>
      <c r="P141" s="93">
        <f t="shared" si="51"/>
        <v>134165700</v>
      </c>
      <c r="Q141" s="175"/>
      <c r="R141" s="214"/>
      <c r="S141" s="240"/>
      <c r="T141" s="240"/>
      <c r="U141" s="240"/>
      <c r="V141" s="240"/>
      <c r="W141" s="240"/>
      <c r="X141" s="240"/>
      <c r="Y141" s="240"/>
      <c r="Z141" s="240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</row>
    <row r="142" spans="1:36" s="148" customFormat="1" ht="19.5" customHeight="1">
      <c r="A142" s="189"/>
      <c r="B142" s="189">
        <f>'дод. 4'!A87</f>
        <v>0</v>
      </c>
      <c r="C142" s="189">
        <f>'дод. 4'!B87</f>
        <v>0</v>
      </c>
      <c r="D142" s="121" t="str">
        <f>'дод. 4'!C87</f>
        <v>у т.ч. за рахунок субвенцій з держбюджету</v>
      </c>
      <c r="E142" s="93">
        <f t="shared" si="50"/>
        <v>134165700</v>
      </c>
      <c r="F142" s="93">
        <v>134165700</v>
      </c>
      <c r="G142" s="93"/>
      <c r="H142" s="93"/>
      <c r="I142" s="93"/>
      <c r="J142" s="93">
        <f t="shared" si="52"/>
        <v>0</v>
      </c>
      <c r="K142" s="93"/>
      <c r="L142" s="93"/>
      <c r="M142" s="93"/>
      <c r="N142" s="93"/>
      <c r="O142" s="93"/>
      <c r="P142" s="93">
        <f t="shared" si="51"/>
        <v>134165700</v>
      </c>
      <c r="Q142" s="175"/>
      <c r="R142" s="214"/>
      <c r="S142" s="240"/>
      <c r="T142" s="240"/>
      <c r="U142" s="240"/>
      <c r="V142" s="240"/>
      <c r="W142" s="240"/>
      <c r="X142" s="240"/>
      <c r="Y142" s="240"/>
      <c r="Z142" s="240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</row>
    <row r="143" spans="1:36" s="148" customFormat="1" ht="30.75" customHeight="1">
      <c r="A143" s="189" t="s">
        <v>556</v>
      </c>
      <c r="B143" s="189" t="str">
        <f>'дод. 4'!A88</f>
        <v>3044</v>
      </c>
      <c r="C143" s="189" t="str">
        <f>'дод. 4'!B88</f>
        <v>1040</v>
      </c>
      <c r="D143" s="121" t="str">
        <f>'дод. 4'!C88</f>
        <v>Надання допомоги на дітей, над якими встановлено опіку чи піклування</v>
      </c>
      <c r="E143" s="93">
        <f t="shared" si="50"/>
        <v>10265200</v>
      </c>
      <c r="F143" s="93">
        <v>10265200</v>
      </c>
      <c r="G143" s="93"/>
      <c r="H143" s="93"/>
      <c r="I143" s="93"/>
      <c r="J143" s="93">
        <f t="shared" si="52"/>
        <v>0</v>
      </c>
      <c r="K143" s="93"/>
      <c r="L143" s="93"/>
      <c r="M143" s="93"/>
      <c r="N143" s="93"/>
      <c r="O143" s="93"/>
      <c r="P143" s="93">
        <f t="shared" si="51"/>
        <v>10265200</v>
      </c>
      <c r="Q143" s="175"/>
      <c r="R143" s="214"/>
      <c r="S143" s="240"/>
      <c r="T143" s="240"/>
      <c r="U143" s="240"/>
      <c r="V143" s="240"/>
      <c r="W143" s="240"/>
      <c r="X143" s="240"/>
      <c r="Y143" s="240"/>
      <c r="Z143" s="240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</row>
    <row r="144" spans="1:36" s="148" customFormat="1" ht="19.5" customHeight="1">
      <c r="A144" s="189"/>
      <c r="B144" s="189">
        <f>'дод. 4'!A89</f>
        <v>0</v>
      </c>
      <c r="C144" s="189">
        <f>'дод. 4'!B89</f>
        <v>0</v>
      </c>
      <c r="D144" s="121" t="str">
        <f>'дод. 4'!C89</f>
        <v>у т.ч. за рахунок субвенцій з держбюджету</v>
      </c>
      <c r="E144" s="93">
        <f t="shared" si="50"/>
        <v>10265200</v>
      </c>
      <c r="F144" s="93">
        <v>10265200</v>
      </c>
      <c r="G144" s="93"/>
      <c r="H144" s="93"/>
      <c r="I144" s="93"/>
      <c r="J144" s="93">
        <f t="shared" si="52"/>
        <v>0</v>
      </c>
      <c r="K144" s="93"/>
      <c r="L144" s="93"/>
      <c r="M144" s="93"/>
      <c r="N144" s="93"/>
      <c r="O144" s="93"/>
      <c r="P144" s="93">
        <f t="shared" si="51"/>
        <v>10265200</v>
      </c>
      <c r="Q144" s="175"/>
      <c r="R144" s="214"/>
      <c r="S144" s="240"/>
      <c r="T144" s="240"/>
      <c r="U144" s="240"/>
      <c r="V144" s="240"/>
      <c r="W144" s="240"/>
      <c r="X144" s="240"/>
      <c r="Y144" s="240"/>
      <c r="Z144" s="240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</row>
    <row r="145" spans="1:36" s="148" customFormat="1" ht="22.5" customHeight="1">
      <c r="A145" s="189" t="s">
        <v>557</v>
      </c>
      <c r="B145" s="189" t="str">
        <f>'дод. 4'!A90</f>
        <v>3045</v>
      </c>
      <c r="C145" s="189" t="str">
        <f>'дод. 4'!B90</f>
        <v>1040</v>
      </c>
      <c r="D145" s="121" t="str">
        <f>'дод. 4'!C90</f>
        <v>Надання допомоги на дітей одиноким матерям</v>
      </c>
      <c r="E145" s="93">
        <f t="shared" si="50"/>
        <v>50558840</v>
      </c>
      <c r="F145" s="93">
        <v>50558840</v>
      </c>
      <c r="G145" s="93"/>
      <c r="H145" s="93"/>
      <c r="I145" s="93"/>
      <c r="J145" s="93">
        <f t="shared" si="52"/>
        <v>0</v>
      </c>
      <c r="K145" s="93"/>
      <c r="L145" s="93"/>
      <c r="M145" s="93"/>
      <c r="N145" s="93"/>
      <c r="O145" s="93"/>
      <c r="P145" s="93">
        <f t="shared" si="51"/>
        <v>50558840</v>
      </c>
      <c r="Q145" s="175"/>
      <c r="R145" s="214"/>
      <c r="S145" s="240"/>
      <c r="T145" s="240"/>
      <c r="U145" s="240"/>
      <c r="V145" s="240"/>
      <c r="W145" s="240"/>
      <c r="X145" s="240"/>
      <c r="Y145" s="240"/>
      <c r="Z145" s="240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</row>
    <row r="146" spans="1:36" s="148" customFormat="1" ht="19.5" customHeight="1">
      <c r="A146" s="189"/>
      <c r="B146" s="189">
        <f>'дод. 4'!A91</f>
        <v>0</v>
      </c>
      <c r="C146" s="189">
        <f>'дод. 4'!B91</f>
        <v>0</v>
      </c>
      <c r="D146" s="121" t="str">
        <f>'дод. 4'!C91</f>
        <v>у т.ч. за рахунок субвенцій з держбюджету</v>
      </c>
      <c r="E146" s="93">
        <f t="shared" si="50"/>
        <v>50558840</v>
      </c>
      <c r="F146" s="93">
        <v>50558840</v>
      </c>
      <c r="G146" s="93"/>
      <c r="H146" s="93"/>
      <c r="I146" s="93"/>
      <c r="J146" s="93">
        <f t="shared" si="52"/>
        <v>0</v>
      </c>
      <c r="K146" s="93"/>
      <c r="L146" s="93"/>
      <c r="M146" s="93"/>
      <c r="N146" s="93"/>
      <c r="O146" s="93"/>
      <c r="P146" s="93">
        <f t="shared" si="51"/>
        <v>50558840</v>
      </c>
      <c r="Q146" s="175"/>
      <c r="R146" s="214"/>
      <c r="S146" s="240"/>
      <c r="T146" s="240"/>
      <c r="U146" s="240"/>
      <c r="V146" s="240"/>
      <c r="W146" s="240"/>
      <c r="X146" s="240"/>
      <c r="Y146" s="240"/>
      <c r="Z146" s="240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</row>
    <row r="147" spans="1:36" s="148" customFormat="1" ht="20.25" customHeight="1">
      <c r="A147" s="189" t="s">
        <v>558</v>
      </c>
      <c r="B147" s="189" t="str">
        <f>'дод. 4'!A92</f>
        <v>3046</v>
      </c>
      <c r="C147" s="189" t="str">
        <f>'дод. 4'!B92</f>
        <v>1040</v>
      </c>
      <c r="D147" s="121" t="str">
        <f>'дод. 4'!C92</f>
        <v>Надання тимчасової державної допомоги дітям</v>
      </c>
      <c r="E147" s="93">
        <f t="shared" si="50"/>
        <v>2245360</v>
      </c>
      <c r="F147" s="93">
        <v>2245360</v>
      </c>
      <c r="G147" s="93"/>
      <c r="H147" s="93"/>
      <c r="I147" s="93"/>
      <c r="J147" s="93">
        <f t="shared" si="52"/>
        <v>0</v>
      </c>
      <c r="K147" s="93"/>
      <c r="L147" s="93"/>
      <c r="M147" s="93"/>
      <c r="N147" s="93"/>
      <c r="O147" s="93"/>
      <c r="P147" s="93">
        <f t="shared" si="51"/>
        <v>2245360</v>
      </c>
      <c r="Q147" s="175"/>
      <c r="R147" s="214"/>
      <c r="S147" s="240"/>
      <c r="T147" s="240"/>
      <c r="U147" s="240"/>
      <c r="V147" s="240"/>
      <c r="W147" s="240"/>
      <c r="X147" s="240"/>
      <c r="Y147" s="240"/>
      <c r="Z147" s="240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</row>
    <row r="148" spans="1:36" s="148" customFormat="1" ht="19.5" customHeight="1">
      <c r="A148" s="189"/>
      <c r="B148" s="189">
        <f>'дод. 4'!A93</f>
        <v>0</v>
      </c>
      <c r="C148" s="189">
        <f>'дод. 4'!B93</f>
        <v>0</v>
      </c>
      <c r="D148" s="121" t="str">
        <f>'дод. 4'!C93</f>
        <v>у т.ч. за рахунок субвенцій з держбюджету</v>
      </c>
      <c r="E148" s="93">
        <f t="shared" si="50"/>
        <v>2245360</v>
      </c>
      <c r="F148" s="93">
        <v>2245360</v>
      </c>
      <c r="G148" s="93"/>
      <c r="H148" s="93"/>
      <c r="I148" s="93"/>
      <c r="J148" s="93">
        <f t="shared" si="52"/>
        <v>0</v>
      </c>
      <c r="K148" s="93"/>
      <c r="L148" s="93"/>
      <c r="M148" s="93"/>
      <c r="N148" s="93"/>
      <c r="O148" s="93"/>
      <c r="P148" s="93">
        <f t="shared" si="51"/>
        <v>2245360</v>
      </c>
      <c r="Q148" s="175"/>
      <c r="R148" s="214"/>
      <c r="S148" s="240"/>
      <c r="T148" s="240"/>
      <c r="U148" s="240"/>
      <c r="V148" s="240"/>
      <c r="W148" s="240"/>
      <c r="X148" s="240"/>
      <c r="Y148" s="240"/>
      <c r="Z148" s="240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</row>
    <row r="149" spans="1:36" s="148" customFormat="1" ht="31.5" customHeight="1">
      <c r="A149" s="189" t="s">
        <v>559</v>
      </c>
      <c r="B149" s="189" t="str">
        <f>'дод. 4'!A94</f>
        <v>3047</v>
      </c>
      <c r="C149" s="189" t="str">
        <f>'дод. 4'!B94</f>
        <v>1040</v>
      </c>
      <c r="D149" s="121" t="str">
        <f>'дод. 4'!C94</f>
        <v>Надання державної соціальної допомоги малозабезпеченим сім’ям</v>
      </c>
      <c r="E149" s="93">
        <f t="shared" si="50"/>
        <v>56030600</v>
      </c>
      <c r="F149" s="93">
        <v>56030600</v>
      </c>
      <c r="G149" s="93"/>
      <c r="H149" s="93"/>
      <c r="I149" s="93"/>
      <c r="J149" s="93">
        <f t="shared" si="52"/>
        <v>0</v>
      </c>
      <c r="K149" s="93"/>
      <c r="L149" s="93"/>
      <c r="M149" s="93"/>
      <c r="N149" s="93"/>
      <c r="O149" s="93"/>
      <c r="P149" s="93">
        <f t="shared" si="51"/>
        <v>56030600</v>
      </c>
      <c r="Q149" s="175"/>
      <c r="R149" s="214"/>
      <c r="S149" s="240"/>
      <c r="T149" s="240"/>
      <c r="U149" s="240"/>
      <c r="V149" s="240"/>
      <c r="W149" s="240"/>
      <c r="X149" s="240"/>
      <c r="Y149" s="240"/>
      <c r="Z149" s="240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</row>
    <row r="150" spans="1:36" s="148" customFormat="1" ht="19.5" customHeight="1">
      <c r="A150" s="189"/>
      <c r="B150" s="189">
        <f>'дод. 4'!A95</f>
        <v>0</v>
      </c>
      <c r="C150" s="189">
        <f>'дод. 4'!B95</f>
        <v>0</v>
      </c>
      <c r="D150" s="121" t="str">
        <f>'дод. 4'!C95</f>
        <v>у т.ч. за рахунок субвенцій з держбюджету</v>
      </c>
      <c r="E150" s="93">
        <f t="shared" si="50"/>
        <v>56030600</v>
      </c>
      <c r="F150" s="93">
        <v>56030600</v>
      </c>
      <c r="G150" s="93"/>
      <c r="H150" s="93"/>
      <c r="I150" s="93"/>
      <c r="J150" s="93">
        <f t="shared" si="52"/>
        <v>0</v>
      </c>
      <c r="K150" s="93"/>
      <c r="L150" s="93"/>
      <c r="M150" s="93"/>
      <c r="N150" s="93"/>
      <c r="O150" s="93"/>
      <c r="P150" s="93">
        <f t="shared" si="51"/>
        <v>56030600</v>
      </c>
      <c r="Q150" s="175"/>
      <c r="R150" s="214"/>
      <c r="S150" s="240"/>
      <c r="T150" s="240"/>
      <c r="U150" s="240"/>
      <c r="V150" s="240"/>
      <c r="W150" s="240"/>
      <c r="X150" s="240"/>
      <c r="Y150" s="240"/>
      <c r="Z150" s="240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</row>
    <row r="151" spans="1:36" s="4" customFormat="1" ht="30.75" customHeight="1">
      <c r="A151" s="94" t="s">
        <v>298</v>
      </c>
      <c r="B151" s="94" t="str">
        <f>'дод. 4'!A96</f>
        <v>3050</v>
      </c>
      <c r="C151" s="94" t="str">
        <f>'дод. 4'!B96</f>
        <v>1070</v>
      </c>
      <c r="D151" s="122" t="str">
        <f>'дод. 4'!C96</f>
        <v>Пільгове медичне обслуговування осіб, які постраждали внаслідок Чорнобильської катастрофи</v>
      </c>
      <c r="E151" s="96">
        <f t="shared" si="50"/>
        <v>1203435</v>
      </c>
      <c r="F151" s="96">
        <f>578335+625100</f>
        <v>1203435</v>
      </c>
      <c r="G151" s="96"/>
      <c r="H151" s="96"/>
      <c r="I151" s="96"/>
      <c r="J151" s="96">
        <f>K151+N151</f>
        <v>0</v>
      </c>
      <c r="K151" s="96"/>
      <c r="L151" s="96"/>
      <c r="M151" s="96"/>
      <c r="N151" s="96"/>
      <c r="O151" s="96"/>
      <c r="P151" s="96">
        <f t="shared" si="51"/>
        <v>1203435</v>
      </c>
      <c r="Q151" s="174"/>
      <c r="R151" s="213"/>
      <c r="S151" s="237"/>
      <c r="T151" s="237"/>
      <c r="U151" s="237"/>
      <c r="V151" s="237"/>
      <c r="W151" s="237"/>
      <c r="X151" s="237"/>
      <c r="Y151" s="237"/>
      <c r="Z151" s="237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</row>
    <row r="152" spans="1:36" s="4" customFormat="1" ht="138.75" customHeight="1">
      <c r="A152" s="94" t="s">
        <v>574</v>
      </c>
      <c r="B152" s="94" t="str">
        <f>'дод. 4'!A97</f>
        <v>3080</v>
      </c>
      <c r="C152" s="94">
        <f>'дод. 4'!B97</f>
        <v>0</v>
      </c>
      <c r="D152" s="89" t="s">
        <v>566</v>
      </c>
      <c r="E152" s="96">
        <f aca="true" t="shared" si="53" ref="E152:P152">E154+E156+E158+E160+E162</f>
        <v>97227520</v>
      </c>
      <c r="F152" s="96">
        <f t="shared" si="53"/>
        <v>97227520</v>
      </c>
      <c r="G152" s="96">
        <f t="shared" si="53"/>
        <v>0</v>
      </c>
      <c r="H152" s="96">
        <f t="shared" si="53"/>
        <v>0</v>
      </c>
      <c r="I152" s="96">
        <f t="shared" si="53"/>
        <v>0</v>
      </c>
      <c r="J152" s="96">
        <f t="shared" si="53"/>
        <v>0</v>
      </c>
      <c r="K152" s="96">
        <f t="shared" si="53"/>
        <v>0</v>
      </c>
      <c r="L152" s="96">
        <f t="shared" si="53"/>
        <v>0</v>
      </c>
      <c r="M152" s="96">
        <f t="shared" si="53"/>
        <v>0</v>
      </c>
      <c r="N152" s="96">
        <f t="shared" si="53"/>
        <v>0</v>
      </c>
      <c r="O152" s="96">
        <f t="shared" si="53"/>
        <v>0</v>
      </c>
      <c r="P152" s="96">
        <f t="shared" si="53"/>
        <v>97227520</v>
      </c>
      <c r="Q152" s="96"/>
      <c r="R152" s="170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</row>
    <row r="153" spans="1:36" s="4" customFormat="1" ht="24.75" customHeight="1">
      <c r="A153" s="94"/>
      <c r="B153" s="94">
        <f>'дод. 4'!A98</f>
        <v>0</v>
      </c>
      <c r="C153" s="94">
        <f>'дод. 4'!B98</f>
        <v>0</v>
      </c>
      <c r="D153" s="122" t="str">
        <f>'дод. 4'!C98</f>
        <v>у т.ч. за рахунок субвенцій з держбюджету</v>
      </c>
      <c r="E153" s="96">
        <f aca="true" t="shared" si="54" ref="E153:P153">E155+E157+E159+E161+E163</f>
        <v>97227520</v>
      </c>
      <c r="F153" s="96">
        <f t="shared" si="54"/>
        <v>97227520</v>
      </c>
      <c r="G153" s="96">
        <f t="shared" si="54"/>
        <v>0</v>
      </c>
      <c r="H153" s="96">
        <f t="shared" si="54"/>
        <v>0</v>
      </c>
      <c r="I153" s="96">
        <f t="shared" si="54"/>
        <v>0</v>
      </c>
      <c r="J153" s="96">
        <f t="shared" si="54"/>
        <v>0</v>
      </c>
      <c r="K153" s="96">
        <f t="shared" si="54"/>
        <v>0</v>
      </c>
      <c r="L153" s="96">
        <f t="shared" si="54"/>
        <v>0</v>
      </c>
      <c r="M153" s="96">
        <f t="shared" si="54"/>
        <v>0</v>
      </c>
      <c r="N153" s="96">
        <f t="shared" si="54"/>
        <v>0</v>
      </c>
      <c r="O153" s="96">
        <f t="shared" si="54"/>
        <v>0</v>
      </c>
      <c r="P153" s="96">
        <f t="shared" si="54"/>
        <v>97227520</v>
      </c>
      <c r="Q153" s="96"/>
      <c r="R153" s="170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</row>
    <row r="154" spans="1:36" s="136" customFormat="1" ht="35.25" customHeight="1">
      <c r="A154" s="91" t="s">
        <v>575</v>
      </c>
      <c r="B154" s="91" t="str">
        <f>'дод. 4'!A99</f>
        <v>3081</v>
      </c>
      <c r="C154" s="91" t="str">
        <f>'дод. 4'!B99</f>
        <v>1010</v>
      </c>
      <c r="D154" s="121" t="str">
        <f>'дод. 4'!C99</f>
        <v>Надання державної соціальної допомоги особам з інвалідністю з дитинства та дітям з інвалідністю</v>
      </c>
      <c r="E154" s="93">
        <f aca="true" t="shared" si="55" ref="E154:E164">F154+I154</f>
        <v>62044050</v>
      </c>
      <c r="F154" s="93">
        <v>62044050</v>
      </c>
      <c r="G154" s="93"/>
      <c r="H154" s="93"/>
      <c r="I154" s="93"/>
      <c r="J154" s="93">
        <f>K154+N154</f>
        <v>0</v>
      </c>
      <c r="K154" s="93"/>
      <c r="L154" s="93"/>
      <c r="M154" s="93"/>
      <c r="N154" s="93"/>
      <c r="O154" s="93"/>
      <c r="P154" s="93">
        <f aca="true" t="shared" si="56" ref="P154:P164">E154+J154</f>
        <v>62044050</v>
      </c>
      <c r="Q154" s="175"/>
      <c r="R154" s="214"/>
      <c r="S154" s="240"/>
      <c r="T154" s="240"/>
      <c r="U154" s="240"/>
      <c r="V154" s="240"/>
      <c r="W154" s="240"/>
      <c r="X154" s="240"/>
      <c r="Y154" s="240"/>
      <c r="Z154" s="240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</row>
    <row r="155" spans="1:36" s="136" customFormat="1" ht="25.5" customHeight="1">
      <c r="A155" s="91"/>
      <c r="B155" s="91">
        <f>'дод. 4'!A100</f>
        <v>0</v>
      </c>
      <c r="C155" s="91">
        <f>'дод. 4'!B100</f>
        <v>0</v>
      </c>
      <c r="D155" s="121" t="str">
        <f>'дод. 4'!C100</f>
        <v>у т.ч. за рахунок субвенцій з держбюджету</v>
      </c>
      <c r="E155" s="93">
        <f t="shared" si="55"/>
        <v>62044050</v>
      </c>
      <c r="F155" s="93">
        <v>62044050</v>
      </c>
      <c r="G155" s="93"/>
      <c r="H155" s="93"/>
      <c r="I155" s="93"/>
      <c r="J155" s="93">
        <f aca="true" t="shared" si="57" ref="J155:J163">K155+N155</f>
        <v>0</v>
      </c>
      <c r="K155" s="93"/>
      <c r="L155" s="93"/>
      <c r="M155" s="93"/>
      <c r="N155" s="93"/>
      <c r="O155" s="93"/>
      <c r="P155" s="93">
        <f t="shared" si="56"/>
        <v>62044050</v>
      </c>
      <c r="Q155" s="175"/>
      <c r="R155" s="214"/>
      <c r="S155" s="240"/>
      <c r="T155" s="240"/>
      <c r="U155" s="240"/>
      <c r="V155" s="240"/>
      <c r="W155" s="240"/>
      <c r="X155" s="240"/>
      <c r="Y155" s="240"/>
      <c r="Z155" s="240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</row>
    <row r="156" spans="1:36" s="136" customFormat="1" ht="63" customHeight="1">
      <c r="A156" s="91" t="s">
        <v>576</v>
      </c>
      <c r="B156" s="91" t="str">
        <f>'дод. 4'!A101</f>
        <v>3082</v>
      </c>
      <c r="C156" s="91" t="str">
        <f>'дод. 4'!B101</f>
        <v>1010</v>
      </c>
      <c r="D156" s="121" t="str">
        <f>'дод. 4'!C101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6" s="93">
        <f t="shared" si="55"/>
        <v>12251650</v>
      </c>
      <c r="F156" s="93">
        <v>12251650</v>
      </c>
      <c r="G156" s="93"/>
      <c r="H156" s="93"/>
      <c r="I156" s="93"/>
      <c r="J156" s="93">
        <f t="shared" si="57"/>
        <v>0</v>
      </c>
      <c r="K156" s="93"/>
      <c r="L156" s="93"/>
      <c r="M156" s="93"/>
      <c r="N156" s="93"/>
      <c r="O156" s="93"/>
      <c r="P156" s="93">
        <f t="shared" si="56"/>
        <v>12251650</v>
      </c>
      <c r="Q156" s="175"/>
      <c r="R156" s="214"/>
      <c r="S156" s="240"/>
      <c r="T156" s="240"/>
      <c r="U156" s="240"/>
      <c r="V156" s="240"/>
      <c r="W156" s="240"/>
      <c r="X156" s="240"/>
      <c r="Y156" s="240"/>
      <c r="Z156" s="240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</row>
    <row r="157" spans="1:36" s="136" customFormat="1" ht="21" customHeight="1">
      <c r="A157" s="91"/>
      <c r="B157" s="91">
        <f>'дод. 4'!A102</f>
        <v>0</v>
      </c>
      <c r="C157" s="91">
        <f>'дод. 4'!B102</f>
        <v>0</v>
      </c>
      <c r="D157" s="121" t="str">
        <f>'дод. 4'!C102</f>
        <v>у т.ч. за рахунок субвенцій з держбюджету</v>
      </c>
      <c r="E157" s="93">
        <f t="shared" si="55"/>
        <v>12251650</v>
      </c>
      <c r="F157" s="93">
        <v>12251650</v>
      </c>
      <c r="G157" s="93"/>
      <c r="H157" s="93"/>
      <c r="I157" s="93"/>
      <c r="J157" s="93">
        <f t="shared" si="57"/>
        <v>0</v>
      </c>
      <c r="K157" s="93"/>
      <c r="L157" s="93"/>
      <c r="M157" s="93"/>
      <c r="N157" s="93"/>
      <c r="O157" s="93"/>
      <c r="P157" s="93">
        <f t="shared" si="56"/>
        <v>12251650</v>
      </c>
      <c r="Q157" s="175"/>
      <c r="R157" s="214"/>
      <c r="S157" s="240"/>
      <c r="T157" s="240"/>
      <c r="U157" s="240"/>
      <c r="V157" s="240"/>
      <c r="W157" s="240"/>
      <c r="X157" s="240"/>
      <c r="Y157" s="240"/>
      <c r="Z157" s="240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</row>
    <row r="158" spans="1:36" s="136" customFormat="1" ht="51.75" customHeight="1">
      <c r="A158" s="91" t="s">
        <v>577</v>
      </c>
      <c r="B158" s="91" t="str">
        <f>'дод. 4'!A103</f>
        <v>3083</v>
      </c>
      <c r="C158" s="91" t="str">
        <f>'дод. 4'!B103</f>
        <v>1010</v>
      </c>
      <c r="D158" s="121" t="str">
        <f>'дод. 4'!C103</f>
        <v>Надання допомоги по догляду за особами з інвалідністю I чи II групи внаслідок психічного розладу</v>
      </c>
      <c r="E158" s="93">
        <f t="shared" si="55"/>
        <v>11516480</v>
      </c>
      <c r="F158" s="93">
        <v>11516480</v>
      </c>
      <c r="G158" s="93"/>
      <c r="H158" s="93"/>
      <c r="I158" s="93"/>
      <c r="J158" s="93">
        <f t="shared" si="57"/>
        <v>0</v>
      </c>
      <c r="K158" s="93"/>
      <c r="L158" s="93"/>
      <c r="M158" s="93"/>
      <c r="N158" s="93"/>
      <c r="O158" s="93"/>
      <c r="P158" s="93">
        <f t="shared" si="56"/>
        <v>11516480</v>
      </c>
      <c r="Q158" s="175"/>
      <c r="R158" s="214"/>
      <c r="S158" s="240"/>
      <c r="T158" s="240"/>
      <c r="U158" s="240"/>
      <c r="V158" s="240"/>
      <c r="W158" s="240"/>
      <c r="X158" s="240"/>
      <c r="Y158" s="240"/>
      <c r="Z158" s="240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</row>
    <row r="159" spans="1:36" s="136" customFormat="1" ht="22.5" customHeight="1">
      <c r="A159" s="91"/>
      <c r="B159" s="91">
        <f>'дод. 4'!A104</f>
        <v>0</v>
      </c>
      <c r="C159" s="91">
        <f>'дод. 4'!B104</f>
        <v>0</v>
      </c>
      <c r="D159" s="121" t="str">
        <f>'дод. 4'!C104</f>
        <v>у т.ч. за рахунок субвенцій з держбюджету</v>
      </c>
      <c r="E159" s="93">
        <f t="shared" si="55"/>
        <v>11516480</v>
      </c>
      <c r="F159" s="93">
        <v>11516480</v>
      </c>
      <c r="G159" s="93"/>
      <c r="H159" s="93"/>
      <c r="I159" s="93"/>
      <c r="J159" s="93">
        <f t="shared" si="57"/>
        <v>0</v>
      </c>
      <c r="K159" s="93"/>
      <c r="L159" s="93"/>
      <c r="M159" s="93"/>
      <c r="N159" s="93"/>
      <c r="O159" s="93"/>
      <c r="P159" s="93">
        <f t="shared" si="56"/>
        <v>11516480</v>
      </c>
      <c r="Q159" s="175"/>
      <c r="R159" s="214"/>
      <c r="S159" s="240"/>
      <c r="T159" s="240"/>
      <c r="U159" s="240"/>
      <c r="V159" s="240"/>
      <c r="W159" s="240"/>
      <c r="X159" s="240"/>
      <c r="Y159" s="240"/>
      <c r="Z159" s="240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</row>
    <row r="160" spans="1:36" s="136" customFormat="1" ht="47.25" customHeight="1">
      <c r="A160" s="91" t="s">
        <v>578</v>
      </c>
      <c r="B160" s="91" t="str">
        <f>'дод. 4'!A105</f>
        <v>3084</v>
      </c>
      <c r="C160" s="91" t="str">
        <f>'дод. 4'!B105</f>
        <v>1040</v>
      </c>
      <c r="D160" s="121" t="str">
        <f>'дод. 4'!C105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60" s="93">
        <f t="shared" si="55"/>
        <v>11267070</v>
      </c>
      <c r="F160" s="93">
        <v>11267070</v>
      </c>
      <c r="G160" s="93"/>
      <c r="H160" s="93"/>
      <c r="I160" s="93"/>
      <c r="J160" s="93">
        <f t="shared" si="57"/>
        <v>0</v>
      </c>
      <c r="K160" s="93"/>
      <c r="L160" s="93"/>
      <c r="M160" s="93"/>
      <c r="N160" s="93"/>
      <c r="O160" s="93"/>
      <c r="P160" s="93">
        <f t="shared" si="56"/>
        <v>11267070</v>
      </c>
      <c r="Q160" s="175"/>
      <c r="R160" s="214"/>
      <c r="S160" s="240"/>
      <c r="T160" s="240"/>
      <c r="U160" s="240"/>
      <c r="V160" s="240"/>
      <c r="W160" s="240"/>
      <c r="X160" s="240"/>
      <c r="Y160" s="240"/>
      <c r="Z160" s="240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</row>
    <row r="161" spans="1:36" s="136" customFormat="1" ht="21.75" customHeight="1">
      <c r="A161" s="91"/>
      <c r="B161" s="91">
        <f>'дод. 4'!A106</f>
        <v>0</v>
      </c>
      <c r="C161" s="91">
        <f>'дод. 4'!B106</f>
        <v>0</v>
      </c>
      <c r="D161" s="121" t="str">
        <f>'дод. 4'!C106</f>
        <v>у т.ч. за рахунок субвенцій з держбюджету</v>
      </c>
      <c r="E161" s="93">
        <f t="shared" si="55"/>
        <v>11267070</v>
      </c>
      <c r="F161" s="93">
        <v>11267070</v>
      </c>
      <c r="G161" s="93"/>
      <c r="H161" s="93"/>
      <c r="I161" s="93"/>
      <c r="J161" s="93">
        <f t="shared" si="57"/>
        <v>0</v>
      </c>
      <c r="K161" s="93"/>
      <c r="L161" s="93"/>
      <c r="M161" s="93"/>
      <c r="N161" s="93"/>
      <c r="O161" s="93"/>
      <c r="P161" s="93">
        <f t="shared" si="56"/>
        <v>11267070</v>
      </c>
      <c r="Q161" s="175"/>
      <c r="R161" s="214"/>
      <c r="S161" s="240"/>
      <c r="T161" s="240"/>
      <c r="U161" s="240"/>
      <c r="V161" s="240"/>
      <c r="W161" s="240"/>
      <c r="X161" s="240"/>
      <c r="Y161" s="240"/>
      <c r="Z161" s="240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</row>
    <row r="162" spans="1:36" s="136" customFormat="1" ht="60.75" customHeight="1">
      <c r="A162" s="91" t="s">
        <v>579</v>
      </c>
      <c r="B162" s="91" t="str">
        <f>'дод. 4'!A107</f>
        <v>3085</v>
      </c>
      <c r="C162" s="91" t="str">
        <f>'дод. 4'!B107</f>
        <v>1010</v>
      </c>
      <c r="D162" s="121" t="str">
        <f>'дод. 4'!C107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62" s="93">
        <f t="shared" si="55"/>
        <v>148270</v>
      </c>
      <c r="F162" s="93">
        <v>148270</v>
      </c>
      <c r="G162" s="93"/>
      <c r="H162" s="93"/>
      <c r="I162" s="93"/>
      <c r="J162" s="93">
        <f t="shared" si="57"/>
        <v>0</v>
      </c>
      <c r="K162" s="93"/>
      <c r="L162" s="93"/>
      <c r="M162" s="93"/>
      <c r="N162" s="93"/>
      <c r="O162" s="93"/>
      <c r="P162" s="93">
        <f t="shared" si="56"/>
        <v>148270</v>
      </c>
      <c r="Q162" s="175"/>
      <c r="R162" s="214"/>
      <c r="S162" s="240"/>
      <c r="T162" s="240"/>
      <c r="U162" s="240"/>
      <c r="V162" s="240"/>
      <c r="W162" s="240"/>
      <c r="X162" s="240"/>
      <c r="Y162" s="240"/>
      <c r="Z162" s="240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</row>
    <row r="163" spans="1:36" s="136" customFormat="1" ht="15.75" customHeight="1">
      <c r="A163" s="91"/>
      <c r="B163" s="91">
        <f>'дод. 4'!A108</f>
        <v>0</v>
      </c>
      <c r="C163" s="91">
        <f>'дод. 4'!B108</f>
        <v>0</v>
      </c>
      <c r="D163" s="121" t="str">
        <f>'дод. 4'!C108</f>
        <v>у т.ч. за рахунок субвенцій з держбюджету</v>
      </c>
      <c r="E163" s="93">
        <f t="shared" si="55"/>
        <v>148270</v>
      </c>
      <c r="F163" s="93">
        <v>148270</v>
      </c>
      <c r="G163" s="93"/>
      <c r="H163" s="93"/>
      <c r="I163" s="93"/>
      <c r="J163" s="93">
        <f t="shared" si="57"/>
        <v>0</v>
      </c>
      <c r="K163" s="93"/>
      <c r="L163" s="93"/>
      <c r="M163" s="93"/>
      <c r="N163" s="93"/>
      <c r="O163" s="93"/>
      <c r="P163" s="93">
        <f t="shared" si="56"/>
        <v>148270</v>
      </c>
      <c r="Q163" s="175"/>
      <c r="R163" s="214"/>
      <c r="S163" s="240"/>
      <c r="T163" s="240"/>
      <c r="U163" s="240"/>
      <c r="V163" s="240"/>
      <c r="W163" s="240"/>
      <c r="X163" s="240"/>
      <c r="Y163" s="240"/>
      <c r="Z163" s="240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</row>
    <row r="164" spans="1:36" s="4" customFormat="1" ht="30.75" customHeight="1">
      <c r="A164" s="94" t="s">
        <v>504</v>
      </c>
      <c r="B164" s="94" t="str">
        <f>'дод. 4'!A109</f>
        <v>3090</v>
      </c>
      <c r="C164" s="94" t="str">
        <f>'дод. 4'!B109</f>
        <v>1030</v>
      </c>
      <c r="D164" s="122" t="str">
        <f>'дод. 4'!C109</f>
        <v>Видатки на поховання учасників бойових дій та осіб з інвалідністю внаслідок війни</v>
      </c>
      <c r="E164" s="96">
        <f t="shared" si="55"/>
        <v>200700</v>
      </c>
      <c r="F164" s="96">
        <v>200700</v>
      </c>
      <c r="G164" s="96"/>
      <c r="H164" s="96"/>
      <c r="I164" s="96"/>
      <c r="J164" s="96">
        <f>K164+N164</f>
        <v>0</v>
      </c>
      <c r="K164" s="96"/>
      <c r="L164" s="96"/>
      <c r="M164" s="96"/>
      <c r="N164" s="96"/>
      <c r="O164" s="96"/>
      <c r="P164" s="96">
        <f t="shared" si="56"/>
        <v>200700</v>
      </c>
      <c r="Q164" s="174"/>
      <c r="R164" s="213"/>
      <c r="S164" s="237"/>
      <c r="T164" s="237"/>
      <c r="U164" s="237"/>
      <c r="V164" s="237"/>
      <c r="W164" s="237"/>
      <c r="X164" s="237"/>
      <c r="Y164" s="237"/>
      <c r="Z164" s="237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</row>
    <row r="165" spans="1:36" s="4" customFormat="1" ht="62.25" customHeight="1">
      <c r="A165" s="94" t="s">
        <v>299</v>
      </c>
      <c r="B165" s="94" t="str">
        <f>'дод. 4'!A110</f>
        <v>3100</v>
      </c>
      <c r="C165" s="94">
        <f>'дод. 4'!B110</f>
        <v>0</v>
      </c>
      <c r="D165" s="122" t="str">
        <f>'дод. 4'!C110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65" s="96">
        <f>E166</f>
        <v>9191915</v>
      </c>
      <c r="F165" s="96">
        <f aca="true" t="shared" si="58" ref="F165:P165">F166</f>
        <v>9191915</v>
      </c>
      <c r="G165" s="96">
        <f t="shared" si="58"/>
        <v>6946900</v>
      </c>
      <c r="H165" s="96">
        <f t="shared" si="58"/>
        <v>193245</v>
      </c>
      <c r="I165" s="96">
        <f t="shared" si="58"/>
        <v>0</v>
      </c>
      <c r="J165" s="96">
        <f t="shared" si="58"/>
        <v>76400</v>
      </c>
      <c r="K165" s="96">
        <f t="shared" si="58"/>
        <v>57900</v>
      </c>
      <c r="L165" s="96">
        <f t="shared" si="58"/>
        <v>44700</v>
      </c>
      <c r="M165" s="96">
        <f t="shared" si="58"/>
        <v>0</v>
      </c>
      <c r="N165" s="96">
        <f t="shared" si="58"/>
        <v>18500</v>
      </c>
      <c r="O165" s="96">
        <f t="shared" si="58"/>
        <v>18500</v>
      </c>
      <c r="P165" s="96">
        <f t="shared" si="58"/>
        <v>9268315</v>
      </c>
      <c r="Q165" s="174"/>
      <c r="R165" s="213"/>
      <c r="S165" s="237"/>
      <c r="T165" s="237"/>
      <c r="U165" s="237"/>
      <c r="V165" s="237"/>
      <c r="W165" s="237"/>
      <c r="X165" s="237"/>
      <c r="Y165" s="237"/>
      <c r="Z165" s="237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</row>
    <row r="166" spans="1:36" s="136" customFormat="1" ht="60">
      <c r="A166" s="91" t="s">
        <v>300</v>
      </c>
      <c r="B166" s="91" t="str">
        <f>'дод. 4'!A111</f>
        <v>3104</v>
      </c>
      <c r="C166" s="91" t="str">
        <f>'дод. 4'!B111</f>
        <v>1020</v>
      </c>
      <c r="D166" s="121" t="str">
        <f>'дод. 4'!C111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6" s="93">
        <f>F166+I166</f>
        <v>9191915</v>
      </c>
      <c r="F166" s="93">
        <v>9191915</v>
      </c>
      <c r="G166" s="93">
        <v>6946900</v>
      </c>
      <c r="H166" s="93">
        <v>193245</v>
      </c>
      <c r="I166" s="93"/>
      <c r="J166" s="93">
        <f>K166+N166</f>
        <v>76400</v>
      </c>
      <c r="K166" s="93">
        <v>57900</v>
      </c>
      <c r="L166" s="93">
        <v>44700</v>
      </c>
      <c r="M166" s="93"/>
      <c r="N166" s="93">
        <v>18500</v>
      </c>
      <c r="O166" s="93">
        <v>18500</v>
      </c>
      <c r="P166" s="93">
        <f>E166+J166</f>
        <v>9268315</v>
      </c>
      <c r="Q166" s="175"/>
      <c r="R166" s="214"/>
      <c r="S166" s="240"/>
      <c r="T166" s="240"/>
      <c r="U166" s="240"/>
      <c r="V166" s="240"/>
      <c r="W166" s="240"/>
      <c r="X166" s="240"/>
      <c r="Y166" s="240"/>
      <c r="Z166" s="240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</row>
    <row r="167" spans="1:36" s="4" customFormat="1" ht="81.75" customHeight="1">
      <c r="A167" s="94" t="s">
        <v>301</v>
      </c>
      <c r="B167" s="94" t="str">
        <f>'дод. 4'!A119</f>
        <v>3160</v>
      </c>
      <c r="C167" s="94">
        <f>'дод. 4'!B119</f>
        <v>1010</v>
      </c>
      <c r="D167" s="122" t="str">
        <f>'дод. 4'!C119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7" s="96">
        <f>F167+I167</f>
        <v>1673920</v>
      </c>
      <c r="F167" s="96">
        <v>1673920</v>
      </c>
      <c r="G167" s="96"/>
      <c r="H167" s="96"/>
      <c r="I167" s="96"/>
      <c r="J167" s="96">
        <f>O167</f>
        <v>0</v>
      </c>
      <c r="K167" s="96"/>
      <c r="L167" s="96"/>
      <c r="M167" s="96"/>
      <c r="N167" s="96"/>
      <c r="O167" s="96">
        <v>0</v>
      </c>
      <c r="P167" s="96">
        <f>J167+E167</f>
        <v>1673920</v>
      </c>
      <c r="Q167" s="174"/>
      <c r="R167" s="213"/>
      <c r="S167" s="237"/>
      <c r="T167" s="237"/>
      <c r="U167" s="237"/>
      <c r="V167" s="237"/>
      <c r="W167" s="237"/>
      <c r="X167" s="237"/>
      <c r="Y167" s="237"/>
      <c r="Z167" s="237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</row>
    <row r="168" spans="1:36" s="4" customFormat="1" ht="36" customHeight="1">
      <c r="A168" s="94" t="s">
        <v>513</v>
      </c>
      <c r="B168" s="94" t="str">
        <f>'дод. 4'!A120</f>
        <v>3170</v>
      </c>
      <c r="C168" s="94">
        <f>'дод. 4'!B120</f>
        <v>0</v>
      </c>
      <c r="D168" s="122" t="str">
        <f>'дод. 4'!C120</f>
        <v>Забезпечення реалізації окремих програм для осіб з інвалідністю</v>
      </c>
      <c r="E168" s="96">
        <f aca="true" t="shared" si="59" ref="E168:P168">E169+E170</f>
        <v>188864</v>
      </c>
      <c r="F168" s="96">
        <f t="shared" si="59"/>
        <v>188864</v>
      </c>
      <c r="G168" s="96">
        <f t="shared" si="59"/>
        <v>0</v>
      </c>
      <c r="H168" s="96">
        <f t="shared" si="59"/>
        <v>0</v>
      </c>
      <c r="I168" s="96">
        <f t="shared" si="59"/>
        <v>0</v>
      </c>
      <c r="J168" s="96">
        <f t="shared" si="59"/>
        <v>0</v>
      </c>
      <c r="K168" s="96">
        <f t="shared" si="59"/>
        <v>0</v>
      </c>
      <c r="L168" s="96">
        <f t="shared" si="59"/>
        <v>0</v>
      </c>
      <c r="M168" s="96">
        <f t="shared" si="59"/>
        <v>0</v>
      </c>
      <c r="N168" s="96">
        <f t="shared" si="59"/>
        <v>0</v>
      </c>
      <c r="O168" s="96">
        <f t="shared" si="59"/>
        <v>0</v>
      </c>
      <c r="P168" s="96">
        <f t="shared" si="59"/>
        <v>188864</v>
      </c>
      <c r="Q168" s="96"/>
      <c r="R168" s="170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</row>
    <row r="169" spans="1:36" s="136" customFormat="1" ht="52.5" customHeight="1">
      <c r="A169" s="91" t="s">
        <v>514</v>
      </c>
      <c r="B169" s="94" t="str">
        <f>'дод. 4'!A121</f>
        <v>3171</v>
      </c>
      <c r="C169" s="94">
        <f>'дод. 4'!B121</f>
        <v>1010</v>
      </c>
      <c r="D169" s="121" t="str">
        <f>'дод. 4'!C121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9" s="93">
        <f>F169+I169</f>
        <v>188024</v>
      </c>
      <c r="F169" s="93">
        <v>188024</v>
      </c>
      <c r="G169" s="93"/>
      <c r="H169" s="93"/>
      <c r="I169" s="93"/>
      <c r="J169" s="93">
        <f>K169+N169</f>
        <v>0</v>
      </c>
      <c r="K169" s="93"/>
      <c r="L169" s="93"/>
      <c r="M169" s="93"/>
      <c r="N169" s="93"/>
      <c r="O169" s="93"/>
      <c r="P169" s="93">
        <f>E169+J169</f>
        <v>188024</v>
      </c>
      <c r="Q169" s="175"/>
      <c r="R169" s="214"/>
      <c r="S169" s="240"/>
      <c r="T169" s="240"/>
      <c r="U169" s="240"/>
      <c r="V169" s="240"/>
      <c r="W169" s="240"/>
      <c r="X169" s="240"/>
      <c r="Y169" s="240"/>
      <c r="Z169" s="240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</row>
    <row r="170" spans="1:36" s="136" customFormat="1" ht="33.75" customHeight="1">
      <c r="A170" s="91" t="s">
        <v>515</v>
      </c>
      <c r="B170" s="94" t="str">
        <f>'дод. 4'!A122</f>
        <v>3172</v>
      </c>
      <c r="C170" s="94">
        <f>'дод. 4'!B122</f>
        <v>1010</v>
      </c>
      <c r="D170" s="121" t="str">
        <f>'дод. 4'!C122</f>
        <v>Встановлення телефонів особам з інвалідністю I і II груп</v>
      </c>
      <c r="E170" s="93">
        <f>F170+I170</f>
        <v>840</v>
      </c>
      <c r="F170" s="93">
        <v>840</v>
      </c>
      <c r="G170" s="93"/>
      <c r="H170" s="93"/>
      <c r="I170" s="93"/>
      <c r="J170" s="93">
        <f>K170+N170</f>
        <v>0</v>
      </c>
      <c r="K170" s="93"/>
      <c r="L170" s="93"/>
      <c r="M170" s="93"/>
      <c r="N170" s="93"/>
      <c r="O170" s="93"/>
      <c r="P170" s="93">
        <f>E170+J170</f>
        <v>840</v>
      </c>
      <c r="Q170" s="175"/>
      <c r="R170" s="214"/>
      <c r="S170" s="240"/>
      <c r="T170" s="240"/>
      <c r="U170" s="240"/>
      <c r="V170" s="240"/>
      <c r="W170" s="240"/>
      <c r="X170" s="240"/>
      <c r="Y170" s="240"/>
      <c r="Z170" s="240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</row>
    <row r="171" spans="1:36" s="4" customFormat="1" ht="66" customHeight="1">
      <c r="A171" s="94" t="s">
        <v>302</v>
      </c>
      <c r="B171" s="94" t="str">
        <f>'дод. 4'!A123</f>
        <v>3180</v>
      </c>
      <c r="C171" s="94" t="str">
        <f>'дод. 4'!B123</f>
        <v>1060</v>
      </c>
      <c r="D171" s="122" t="str">
        <f>'дод. 4'!C123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71" s="96">
        <f>F171+I171</f>
        <v>1242491</v>
      </c>
      <c r="F171" s="96">
        <v>1242491</v>
      </c>
      <c r="G171" s="96"/>
      <c r="H171" s="96"/>
      <c r="I171" s="96"/>
      <c r="J171" s="96">
        <f>K171+N171</f>
        <v>0</v>
      </c>
      <c r="K171" s="96"/>
      <c r="L171" s="96"/>
      <c r="M171" s="96"/>
      <c r="N171" s="96"/>
      <c r="O171" s="96"/>
      <c r="P171" s="96">
        <f>E171+J171</f>
        <v>1242491</v>
      </c>
      <c r="Q171" s="174"/>
      <c r="R171" s="213"/>
      <c r="S171" s="237"/>
      <c r="T171" s="237"/>
      <c r="U171" s="237"/>
      <c r="V171" s="237"/>
      <c r="W171" s="237"/>
      <c r="X171" s="237"/>
      <c r="Y171" s="237"/>
      <c r="Z171" s="237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</row>
    <row r="172" spans="1:36" s="4" customFormat="1" ht="21.75" customHeight="1">
      <c r="A172" s="94" t="s">
        <v>487</v>
      </c>
      <c r="B172" s="94" t="str">
        <f>'дод. 4'!A124</f>
        <v>3190</v>
      </c>
      <c r="C172" s="94">
        <f>'дод. 4'!B124</f>
        <v>0</v>
      </c>
      <c r="D172" s="122" t="str">
        <f>'дод. 4'!C124</f>
        <v>Соціальний захист ветеранів війни та праці</v>
      </c>
      <c r="E172" s="96">
        <f>E173+E174</f>
        <v>2940434</v>
      </c>
      <c r="F172" s="96">
        <f aca="true" t="shared" si="60" ref="F172:P172">F173+F174</f>
        <v>2940434</v>
      </c>
      <c r="G172" s="96">
        <f t="shared" si="60"/>
        <v>0</v>
      </c>
      <c r="H172" s="96">
        <f t="shared" si="60"/>
        <v>0</v>
      </c>
      <c r="I172" s="96">
        <f t="shared" si="60"/>
        <v>0</v>
      </c>
      <c r="J172" s="96">
        <f t="shared" si="60"/>
        <v>0</v>
      </c>
      <c r="K172" s="96">
        <f t="shared" si="60"/>
        <v>0</v>
      </c>
      <c r="L172" s="96">
        <f t="shared" si="60"/>
        <v>0</v>
      </c>
      <c r="M172" s="96">
        <f t="shared" si="60"/>
        <v>0</v>
      </c>
      <c r="N172" s="96">
        <f t="shared" si="60"/>
        <v>0</v>
      </c>
      <c r="O172" s="96">
        <f t="shared" si="60"/>
        <v>0</v>
      </c>
      <c r="P172" s="96">
        <f t="shared" si="60"/>
        <v>2940434</v>
      </c>
      <c r="Q172" s="174"/>
      <c r="R172" s="213"/>
      <c r="S172" s="237"/>
      <c r="T172" s="237"/>
      <c r="U172" s="237"/>
      <c r="V172" s="237"/>
      <c r="W172" s="237"/>
      <c r="X172" s="237"/>
      <c r="Y172" s="237"/>
      <c r="Z172" s="237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</row>
    <row r="173" spans="1:36" s="136" customFormat="1" ht="30">
      <c r="A173" s="91" t="s">
        <v>488</v>
      </c>
      <c r="B173" s="91" t="str">
        <f>'дод. 4'!A125</f>
        <v>3191</v>
      </c>
      <c r="C173" s="91" t="str">
        <f>'дод. 4'!B125</f>
        <v>1030</v>
      </c>
      <c r="D173" s="121" t="str">
        <f>'дод. 4'!C125</f>
        <v>Інші видатки на соціальний захист ветеранів війни та праці</v>
      </c>
      <c r="E173" s="93">
        <f aca="true" t="shared" si="61" ref="E173:E178">F173+I173</f>
        <v>1748334</v>
      </c>
      <c r="F173" s="93">
        <f>1736305-10378+22407</f>
        <v>1748334</v>
      </c>
      <c r="G173" s="93"/>
      <c r="H173" s="93"/>
      <c r="I173" s="93"/>
      <c r="J173" s="93">
        <f aca="true" t="shared" si="62" ref="J173:J183">K173+N173</f>
        <v>0</v>
      </c>
      <c r="K173" s="93"/>
      <c r="L173" s="93"/>
      <c r="M173" s="93"/>
      <c r="N173" s="93"/>
      <c r="O173" s="93"/>
      <c r="P173" s="93">
        <f aca="true" t="shared" si="63" ref="P173:P178">E173+J173</f>
        <v>1748334</v>
      </c>
      <c r="Q173" s="175"/>
      <c r="R173" s="214"/>
      <c r="S173" s="240"/>
      <c r="T173" s="240"/>
      <c r="U173" s="240"/>
      <c r="V173" s="240"/>
      <c r="W173" s="240"/>
      <c r="X173" s="240"/>
      <c r="Y173" s="240"/>
      <c r="Z173" s="240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</row>
    <row r="174" spans="1:36" s="136" customFormat="1" ht="45">
      <c r="A174" s="91" t="s">
        <v>489</v>
      </c>
      <c r="B174" s="91" t="str">
        <f>'дод. 4'!A126</f>
        <v>3192</v>
      </c>
      <c r="C174" s="91" t="str">
        <f>'дод. 4'!B126</f>
        <v>1030</v>
      </c>
      <c r="D174" s="121" t="str">
        <f>'дод. 4'!C126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4" s="93">
        <f t="shared" si="61"/>
        <v>1192100</v>
      </c>
      <c r="F174" s="93">
        <v>1192100</v>
      </c>
      <c r="G174" s="93"/>
      <c r="H174" s="93"/>
      <c r="I174" s="93"/>
      <c r="J174" s="93">
        <f t="shared" si="62"/>
        <v>0</v>
      </c>
      <c r="K174" s="93"/>
      <c r="L174" s="93"/>
      <c r="M174" s="93"/>
      <c r="N174" s="93"/>
      <c r="O174" s="93"/>
      <c r="P174" s="93">
        <f t="shared" si="63"/>
        <v>1192100</v>
      </c>
      <c r="Q174" s="175"/>
      <c r="R174" s="214"/>
      <c r="S174" s="240"/>
      <c r="T174" s="240"/>
      <c r="U174" s="240"/>
      <c r="V174" s="240"/>
      <c r="W174" s="240"/>
      <c r="X174" s="240"/>
      <c r="Y174" s="240"/>
      <c r="Z174" s="240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</row>
    <row r="175" spans="1:36" s="4" customFormat="1" ht="30">
      <c r="A175" s="94" t="s">
        <v>303</v>
      </c>
      <c r="B175" s="94" t="str">
        <f>'дод. 4'!A127</f>
        <v>3200</v>
      </c>
      <c r="C175" s="94" t="str">
        <f>'дод. 4'!B127</f>
        <v>1090</v>
      </c>
      <c r="D175" s="122" t="str">
        <f>'дод. 4'!C127</f>
        <v>Забезпечення обробки інформації з нарахування та виплати допомог і компенсацій </v>
      </c>
      <c r="E175" s="96">
        <f t="shared" si="61"/>
        <v>75000</v>
      </c>
      <c r="F175" s="96">
        <v>75000</v>
      </c>
      <c r="G175" s="96"/>
      <c r="H175" s="96"/>
      <c r="I175" s="96"/>
      <c r="J175" s="96">
        <f t="shared" si="62"/>
        <v>0</v>
      </c>
      <c r="K175" s="96"/>
      <c r="L175" s="96"/>
      <c r="M175" s="96"/>
      <c r="N175" s="96"/>
      <c r="O175" s="96"/>
      <c r="P175" s="96">
        <f t="shared" si="63"/>
        <v>75000</v>
      </c>
      <c r="Q175" s="174"/>
      <c r="R175" s="213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</row>
    <row r="176" spans="1:36" s="4" customFormat="1" ht="19.5" customHeight="1">
      <c r="A176" s="97" t="s">
        <v>490</v>
      </c>
      <c r="B176" s="97" t="str">
        <f>'дод. 4'!A128</f>
        <v>3210</v>
      </c>
      <c r="C176" s="97" t="str">
        <f>'дод. 4'!B128</f>
        <v>1050</v>
      </c>
      <c r="D176" s="127" t="str">
        <f>'дод. 4'!C128</f>
        <v>Організація та проведення громадських робіт</v>
      </c>
      <c r="E176" s="96">
        <f t="shared" si="61"/>
        <v>300000</v>
      </c>
      <c r="F176" s="96">
        <v>300000</v>
      </c>
      <c r="G176" s="96">
        <v>245902</v>
      </c>
      <c r="H176" s="96"/>
      <c r="I176" s="96"/>
      <c r="J176" s="96">
        <f t="shared" si="62"/>
        <v>0</v>
      </c>
      <c r="K176" s="96"/>
      <c r="L176" s="96"/>
      <c r="M176" s="96"/>
      <c r="N176" s="96"/>
      <c r="O176" s="96"/>
      <c r="P176" s="96">
        <f t="shared" si="63"/>
        <v>300000</v>
      </c>
      <c r="Q176" s="174"/>
      <c r="R176" s="213"/>
      <c r="S176" s="237"/>
      <c r="T176" s="237"/>
      <c r="U176" s="237"/>
      <c r="V176" s="237"/>
      <c r="W176" s="237"/>
      <c r="X176" s="237"/>
      <c r="Y176" s="237"/>
      <c r="Z176" s="237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</row>
    <row r="177" spans="1:36" s="4" customFormat="1" ht="153.75" customHeight="1">
      <c r="A177" s="97" t="s">
        <v>580</v>
      </c>
      <c r="B177" s="191" t="str">
        <f>'дод. 4'!A129</f>
        <v>3230</v>
      </c>
      <c r="C177" s="191" t="str">
        <f>'дод. 4'!B129</f>
        <v>1040</v>
      </c>
      <c r="D177" s="89" t="s">
        <v>568</v>
      </c>
      <c r="E177" s="96">
        <f t="shared" si="61"/>
        <v>2695700</v>
      </c>
      <c r="F177" s="96">
        <v>2695700</v>
      </c>
      <c r="G177" s="96"/>
      <c r="H177" s="96"/>
      <c r="I177" s="96"/>
      <c r="J177" s="96">
        <f t="shared" si="62"/>
        <v>0</v>
      </c>
      <c r="K177" s="96"/>
      <c r="L177" s="96"/>
      <c r="M177" s="96"/>
      <c r="N177" s="96"/>
      <c r="O177" s="96"/>
      <c r="P177" s="96">
        <f t="shared" si="63"/>
        <v>2695700</v>
      </c>
      <c r="Q177" s="174"/>
      <c r="R177" s="213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</row>
    <row r="178" spans="1:36" s="4" customFormat="1" ht="19.5" customHeight="1">
      <c r="A178" s="97"/>
      <c r="B178" s="191">
        <f>'дод. 4'!A130</f>
        <v>0</v>
      </c>
      <c r="C178" s="191">
        <f>'дод. 4'!B130</f>
        <v>0</v>
      </c>
      <c r="D178" s="127" t="str">
        <f>'дод. 4'!C130</f>
        <v>у т.ч. за рахунок субвенцій з держбюджету</v>
      </c>
      <c r="E178" s="96">
        <f t="shared" si="61"/>
        <v>2695700</v>
      </c>
      <c r="F178" s="96">
        <v>2695700</v>
      </c>
      <c r="G178" s="96"/>
      <c r="H178" s="96"/>
      <c r="I178" s="96"/>
      <c r="J178" s="96">
        <f t="shared" si="62"/>
        <v>0</v>
      </c>
      <c r="K178" s="96"/>
      <c r="L178" s="96"/>
      <c r="M178" s="96"/>
      <c r="N178" s="96"/>
      <c r="O178" s="96"/>
      <c r="P178" s="96">
        <f t="shared" si="63"/>
        <v>2695700</v>
      </c>
      <c r="Q178" s="174"/>
      <c r="R178" s="213"/>
      <c r="S178" s="237"/>
      <c r="T178" s="237"/>
      <c r="U178" s="237"/>
      <c r="V178" s="237"/>
      <c r="W178" s="237"/>
      <c r="X178" s="237"/>
      <c r="Y178" s="237"/>
      <c r="Z178" s="237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</row>
    <row r="179" spans="1:36" s="4" customFormat="1" ht="22.5" customHeight="1">
      <c r="A179" s="94" t="s">
        <v>483</v>
      </c>
      <c r="B179" s="94" t="str">
        <f>'дод. 4'!A131</f>
        <v>3240</v>
      </c>
      <c r="C179" s="94">
        <f>'дод. 4'!B131</f>
        <v>0</v>
      </c>
      <c r="D179" s="122" t="str">
        <f>'дод. 4'!C131</f>
        <v>Інші заклади та заходи</v>
      </c>
      <c r="E179" s="96">
        <f>E180+E181</f>
        <v>32554485</v>
      </c>
      <c r="F179" s="96">
        <f aca="true" t="shared" si="64" ref="F179:P179">F180+F181</f>
        <v>32554485</v>
      </c>
      <c r="G179" s="96">
        <f t="shared" si="64"/>
        <v>2332125</v>
      </c>
      <c r="H179" s="96">
        <f t="shared" si="64"/>
        <v>673281</v>
      </c>
      <c r="I179" s="96">
        <f t="shared" si="64"/>
        <v>0</v>
      </c>
      <c r="J179" s="96">
        <f t="shared" si="64"/>
        <v>375000</v>
      </c>
      <c r="K179" s="96">
        <f t="shared" si="64"/>
        <v>0</v>
      </c>
      <c r="L179" s="96">
        <f t="shared" si="64"/>
        <v>0</v>
      </c>
      <c r="M179" s="96">
        <f t="shared" si="64"/>
        <v>0</v>
      </c>
      <c r="N179" s="96">
        <f t="shared" si="64"/>
        <v>375000</v>
      </c>
      <c r="O179" s="96">
        <f t="shared" si="64"/>
        <v>375000</v>
      </c>
      <c r="P179" s="96">
        <f t="shared" si="64"/>
        <v>32929485</v>
      </c>
      <c r="Q179" s="174"/>
      <c r="R179" s="213"/>
      <c r="S179" s="237"/>
      <c r="T179" s="237"/>
      <c r="U179" s="237"/>
      <c r="V179" s="237"/>
      <c r="W179" s="237"/>
      <c r="X179" s="237"/>
      <c r="Y179" s="237"/>
      <c r="Z179" s="237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</row>
    <row r="180" spans="1:36" s="33" customFormat="1" ht="31.5" customHeight="1">
      <c r="A180" s="91" t="s">
        <v>482</v>
      </c>
      <c r="B180" s="91" t="str">
        <f>'дод. 4'!A132</f>
        <v>3241</v>
      </c>
      <c r="C180" s="91" t="str">
        <f>'дод. 4'!B132</f>
        <v>1090</v>
      </c>
      <c r="D180" s="121" t="str">
        <f>'дод. 4'!C132</f>
        <v>Забезпечення діяльності інших закладів у сфері соціального захисту і соціального забезпечення</v>
      </c>
      <c r="E180" s="93">
        <f>F180+I180</f>
        <v>4241010</v>
      </c>
      <c r="F180" s="93">
        <v>4241010</v>
      </c>
      <c r="G180" s="93">
        <v>2332125</v>
      </c>
      <c r="H180" s="93">
        <v>673281</v>
      </c>
      <c r="I180" s="93"/>
      <c r="J180" s="93">
        <f t="shared" si="62"/>
        <v>300000</v>
      </c>
      <c r="K180" s="93"/>
      <c r="L180" s="93"/>
      <c r="M180" s="93"/>
      <c r="N180" s="93">
        <v>300000</v>
      </c>
      <c r="O180" s="93">
        <v>300000</v>
      </c>
      <c r="P180" s="93">
        <f>E180+J180</f>
        <v>4541010</v>
      </c>
      <c r="Q180" s="175"/>
      <c r="R180" s="214"/>
      <c r="S180" s="240"/>
      <c r="T180" s="240"/>
      <c r="U180" s="240"/>
      <c r="V180" s="240"/>
      <c r="W180" s="240"/>
      <c r="X180" s="240"/>
      <c r="Y180" s="240"/>
      <c r="Z180" s="240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</row>
    <row r="181" spans="1:36" s="33" customFormat="1" ht="29.25" customHeight="1">
      <c r="A181" s="91" t="s">
        <v>484</v>
      </c>
      <c r="B181" s="91" t="str">
        <f>'дод. 4'!A133</f>
        <v>3242</v>
      </c>
      <c r="C181" s="91" t="str">
        <f>'дод. 4'!B133</f>
        <v>1090</v>
      </c>
      <c r="D181" s="121" t="str">
        <f>'дод. 4'!C133</f>
        <v>Інші заходи у сфері соціального захисту і соціального забезпечення</v>
      </c>
      <c r="E181" s="93">
        <f>F181+I181</f>
        <v>28313475</v>
      </c>
      <c r="F181" s="93">
        <f>11768030+16000000-4024-26631+175000+401100</f>
        <v>28313475</v>
      </c>
      <c r="G181" s="93"/>
      <c r="H181" s="93"/>
      <c r="I181" s="93"/>
      <c r="J181" s="93">
        <f t="shared" si="62"/>
        <v>75000</v>
      </c>
      <c r="K181" s="93"/>
      <c r="L181" s="93"/>
      <c r="M181" s="93"/>
      <c r="N181" s="93">
        <v>75000</v>
      </c>
      <c r="O181" s="93">
        <v>75000</v>
      </c>
      <c r="P181" s="93">
        <f>E181+J181</f>
        <v>28388475</v>
      </c>
      <c r="Q181" s="175"/>
      <c r="R181" s="214"/>
      <c r="S181" s="240"/>
      <c r="T181" s="240"/>
      <c r="U181" s="240"/>
      <c r="V181" s="240"/>
      <c r="W181" s="240"/>
      <c r="X181" s="240"/>
      <c r="Y181" s="240"/>
      <c r="Z181" s="240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</row>
    <row r="182" spans="1:36" s="136" customFormat="1" ht="19.5" customHeight="1">
      <c r="A182" s="94" t="s">
        <v>304</v>
      </c>
      <c r="B182" s="94" t="str">
        <f>'дод. 4'!A182</f>
        <v>7640</v>
      </c>
      <c r="C182" s="94" t="str">
        <f>'дод. 4'!B182</f>
        <v>0470</v>
      </c>
      <c r="D182" s="128" t="str">
        <f>'дод. 4'!C182</f>
        <v>Заходи з енергозбереження</v>
      </c>
      <c r="E182" s="96">
        <f>F182+I182</f>
        <v>29000</v>
      </c>
      <c r="F182" s="96">
        <v>29000</v>
      </c>
      <c r="G182" s="96"/>
      <c r="H182" s="96"/>
      <c r="I182" s="96"/>
      <c r="J182" s="96">
        <f t="shared" si="62"/>
        <v>0</v>
      </c>
      <c r="K182" s="96"/>
      <c r="L182" s="96"/>
      <c r="M182" s="96"/>
      <c r="N182" s="96"/>
      <c r="O182" s="96"/>
      <c r="P182" s="96">
        <f>E182+J182</f>
        <v>29000</v>
      </c>
      <c r="Q182" s="174"/>
      <c r="R182" s="213"/>
      <c r="S182" s="237"/>
      <c r="T182" s="237"/>
      <c r="U182" s="237"/>
      <c r="V182" s="237"/>
      <c r="W182" s="237"/>
      <c r="X182" s="237"/>
      <c r="Y182" s="237"/>
      <c r="Z182" s="237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</row>
    <row r="183" spans="1:36" s="136" customFormat="1" ht="23.25" customHeight="1">
      <c r="A183" s="94" t="s">
        <v>414</v>
      </c>
      <c r="B183" s="94" t="str">
        <f>'дод. 4'!A207</f>
        <v>9770</v>
      </c>
      <c r="C183" s="94" t="str">
        <f>'дод. 4'!B207</f>
        <v>0180</v>
      </c>
      <c r="D183" s="128" t="str">
        <f>'дод. 4'!C207</f>
        <v>Інші субвенції з місцевого бюджету </v>
      </c>
      <c r="E183" s="96">
        <f>F183+I183</f>
        <v>611000</v>
      </c>
      <c r="F183" s="96">
        <v>611000</v>
      </c>
      <c r="G183" s="96"/>
      <c r="H183" s="96"/>
      <c r="I183" s="96"/>
      <c r="J183" s="96">
        <f t="shared" si="62"/>
        <v>0</v>
      </c>
      <c r="K183" s="96"/>
      <c r="L183" s="96"/>
      <c r="M183" s="96"/>
      <c r="N183" s="96"/>
      <c r="O183" s="96"/>
      <c r="P183" s="96">
        <f>E183+J183</f>
        <v>611000</v>
      </c>
      <c r="Q183" s="174"/>
      <c r="R183" s="213"/>
      <c r="S183" s="237"/>
      <c r="T183" s="237"/>
      <c r="U183" s="237"/>
      <c r="V183" s="237"/>
      <c r="W183" s="237"/>
      <c r="X183" s="237"/>
      <c r="Y183" s="237"/>
      <c r="Z183" s="237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</row>
    <row r="184" spans="1:36" s="131" customFormat="1" ht="21" customHeight="1">
      <c r="A184" s="141" t="s">
        <v>305</v>
      </c>
      <c r="B184" s="142"/>
      <c r="C184" s="142"/>
      <c r="D184" s="36" t="s">
        <v>59</v>
      </c>
      <c r="E184" s="47">
        <f>E185</f>
        <v>3804000</v>
      </c>
      <c r="F184" s="47">
        <f aca="true" t="shared" si="65" ref="F184:P184">F185</f>
        <v>3804000</v>
      </c>
      <c r="G184" s="47">
        <f t="shared" si="65"/>
        <v>2969000</v>
      </c>
      <c r="H184" s="47">
        <f t="shared" si="65"/>
        <v>37220</v>
      </c>
      <c r="I184" s="47">
        <f t="shared" si="65"/>
        <v>0</v>
      </c>
      <c r="J184" s="47">
        <f t="shared" si="65"/>
        <v>0</v>
      </c>
      <c r="K184" s="47">
        <f t="shared" si="65"/>
        <v>0</v>
      </c>
      <c r="L184" s="47">
        <f t="shared" si="65"/>
        <v>0</v>
      </c>
      <c r="M184" s="47">
        <f t="shared" si="65"/>
        <v>0</v>
      </c>
      <c r="N184" s="47">
        <f t="shared" si="65"/>
        <v>0</v>
      </c>
      <c r="O184" s="47">
        <f t="shared" si="65"/>
        <v>0</v>
      </c>
      <c r="P184" s="47">
        <f t="shared" si="65"/>
        <v>3804000</v>
      </c>
      <c r="Q184" s="172"/>
      <c r="R184" s="211"/>
      <c r="S184" s="233"/>
      <c r="T184" s="233"/>
      <c r="U184" s="233"/>
      <c r="V184" s="233"/>
      <c r="W184" s="233"/>
      <c r="X184" s="233"/>
      <c r="Y184" s="233"/>
      <c r="Z184" s="233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</row>
    <row r="185" spans="1:36" s="134" customFormat="1" ht="21.75" customHeight="1">
      <c r="A185" s="143" t="s">
        <v>306</v>
      </c>
      <c r="B185" s="144"/>
      <c r="C185" s="144"/>
      <c r="D185" s="145" t="s">
        <v>59</v>
      </c>
      <c r="E185" s="87">
        <f>E186+E187</f>
        <v>3804000</v>
      </c>
      <c r="F185" s="87">
        <f aca="true" t="shared" si="66" ref="F185:P185">F186+F187</f>
        <v>3804000</v>
      </c>
      <c r="G185" s="87">
        <f t="shared" si="66"/>
        <v>2969000</v>
      </c>
      <c r="H185" s="87">
        <f t="shared" si="66"/>
        <v>37220</v>
      </c>
      <c r="I185" s="87">
        <f t="shared" si="66"/>
        <v>0</v>
      </c>
      <c r="J185" s="87">
        <f t="shared" si="66"/>
        <v>0</v>
      </c>
      <c r="K185" s="87">
        <f t="shared" si="66"/>
        <v>0</v>
      </c>
      <c r="L185" s="87">
        <f t="shared" si="66"/>
        <v>0</v>
      </c>
      <c r="M185" s="87">
        <f t="shared" si="66"/>
        <v>0</v>
      </c>
      <c r="N185" s="87">
        <f t="shared" si="66"/>
        <v>0</v>
      </c>
      <c r="O185" s="87">
        <f t="shared" si="66"/>
        <v>0</v>
      </c>
      <c r="P185" s="87">
        <f t="shared" si="66"/>
        <v>3804000</v>
      </c>
      <c r="Q185" s="173">
        <f>Q186+Q187</f>
        <v>0</v>
      </c>
      <c r="R185" s="212"/>
      <c r="S185" s="235"/>
      <c r="T185" s="235"/>
      <c r="U185" s="235"/>
      <c r="V185" s="235"/>
      <c r="W185" s="235"/>
      <c r="X185" s="235"/>
      <c r="Y185" s="235"/>
      <c r="Z185" s="235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</row>
    <row r="186" spans="1:36" s="4" customFormat="1" ht="45">
      <c r="A186" s="88" t="s">
        <v>307</v>
      </c>
      <c r="B186" s="88" t="str">
        <f>'дод. 4'!A14</f>
        <v>0160</v>
      </c>
      <c r="C186" s="88" t="str">
        <f>'дод. 4'!B14</f>
        <v>0111</v>
      </c>
      <c r="D186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86" s="90">
        <f>F186+I186</f>
        <v>3724000</v>
      </c>
      <c r="F186" s="90">
        <f>3538900+211500-26400</f>
        <v>3724000</v>
      </c>
      <c r="G186" s="90">
        <v>2969000</v>
      </c>
      <c r="H186" s="90">
        <v>37220</v>
      </c>
      <c r="I186" s="90"/>
      <c r="J186" s="90">
        <f>K186+N186</f>
        <v>0</v>
      </c>
      <c r="K186" s="90"/>
      <c r="L186" s="90"/>
      <c r="M186" s="90"/>
      <c r="N186" s="90">
        <f>27000-27000</f>
        <v>0</v>
      </c>
      <c r="O186" s="90">
        <f>27000-27000</f>
        <v>0</v>
      </c>
      <c r="P186" s="90">
        <f>E186+J186</f>
        <v>3724000</v>
      </c>
      <c r="Q186" s="174">
        <f>R186+S186+T186</f>
        <v>0</v>
      </c>
      <c r="R186" s="213"/>
      <c r="S186" s="237"/>
      <c r="T186" s="237"/>
      <c r="U186" s="237"/>
      <c r="V186" s="237"/>
      <c r="W186" s="237"/>
      <c r="X186" s="237"/>
      <c r="Y186" s="237"/>
      <c r="Z186" s="237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</row>
    <row r="187" spans="1:36" s="4" customFormat="1" ht="30.75" customHeight="1">
      <c r="A187" s="88" t="s">
        <v>308</v>
      </c>
      <c r="B187" s="88" t="str">
        <f>'дод. 4'!A112</f>
        <v>3110</v>
      </c>
      <c r="C187" s="88">
        <f>'дод. 4'!B112</f>
        <v>0</v>
      </c>
      <c r="D187" s="124" t="str">
        <f>'дод. 4'!C112</f>
        <v>Заклади і заходи з питань дітей та їх соціального захисту</v>
      </c>
      <c r="E187" s="90">
        <f>E188</f>
        <v>80000</v>
      </c>
      <c r="F187" s="90">
        <f aca="true" t="shared" si="67" ref="F187:P187">F188</f>
        <v>80000</v>
      </c>
      <c r="G187" s="90">
        <f t="shared" si="67"/>
        <v>0</v>
      </c>
      <c r="H187" s="90">
        <f t="shared" si="67"/>
        <v>0</v>
      </c>
      <c r="I187" s="90">
        <f t="shared" si="67"/>
        <v>0</v>
      </c>
      <c r="J187" s="90">
        <f t="shared" si="67"/>
        <v>0</v>
      </c>
      <c r="K187" s="90">
        <f t="shared" si="67"/>
        <v>0</v>
      </c>
      <c r="L187" s="90">
        <f t="shared" si="67"/>
        <v>0</v>
      </c>
      <c r="M187" s="90">
        <f t="shared" si="67"/>
        <v>0</v>
      </c>
      <c r="N187" s="90">
        <f t="shared" si="67"/>
        <v>0</v>
      </c>
      <c r="O187" s="90">
        <f t="shared" si="67"/>
        <v>0</v>
      </c>
      <c r="P187" s="90">
        <f t="shared" si="67"/>
        <v>80000</v>
      </c>
      <c r="Q187" s="174">
        <f>Q188</f>
        <v>0</v>
      </c>
      <c r="R187" s="213"/>
      <c r="S187" s="237"/>
      <c r="T187" s="237"/>
      <c r="U187" s="237"/>
      <c r="V187" s="237"/>
      <c r="W187" s="237"/>
      <c r="X187" s="237"/>
      <c r="Y187" s="237"/>
      <c r="Z187" s="237"/>
      <c r="AA187" s="239"/>
      <c r="AB187" s="239"/>
      <c r="AC187" s="239"/>
      <c r="AD187" s="239"/>
      <c r="AE187" s="239"/>
      <c r="AF187" s="239"/>
      <c r="AG187" s="239"/>
      <c r="AH187" s="239">
        <f>AH188</f>
        <v>0</v>
      </c>
      <c r="AI187" s="239">
        <f>AI188</f>
        <v>0</v>
      </c>
      <c r="AJ187" s="239">
        <f>AJ188</f>
        <v>0</v>
      </c>
    </row>
    <row r="188" spans="1:36" s="136" customFormat="1" ht="36.75" customHeight="1">
      <c r="A188" s="91" t="s">
        <v>309</v>
      </c>
      <c r="B188" s="91" t="str">
        <f>'дод. 4'!A113</f>
        <v>3112</v>
      </c>
      <c r="C188" s="91" t="str">
        <f>'дод. 4'!B113</f>
        <v>1040</v>
      </c>
      <c r="D188" s="121" t="str">
        <f>'дод. 4'!C113</f>
        <v>Заходи державної політики з питань дітей та їх соціального захисту</v>
      </c>
      <c r="E188" s="93">
        <f>F188+I188</f>
        <v>80000</v>
      </c>
      <c r="F188" s="93">
        <v>80000</v>
      </c>
      <c r="G188" s="93"/>
      <c r="H188" s="93"/>
      <c r="I188" s="93"/>
      <c r="J188" s="93">
        <f>K188+N188</f>
        <v>0</v>
      </c>
      <c r="K188" s="93"/>
      <c r="L188" s="93"/>
      <c r="M188" s="93"/>
      <c r="N188" s="93"/>
      <c r="O188" s="93"/>
      <c r="P188" s="93">
        <f>E188+J188</f>
        <v>80000</v>
      </c>
      <c r="Q188" s="175">
        <f>R188+S188+T188</f>
        <v>0</v>
      </c>
      <c r="R188" s="214"/>
      <c r="S188" s="240"/>
      <c r="T188" s="240"/>
      <c r="U188" s="240"/>
      <c r="V188" s="240"/>
      <c r="W188" s="240"/>
      <c r="X188" s="240"/>
      <c r="Y188" s="240"/>
      <c r="Z188" s="240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>
        <f>Z188*$AJ$10</f>
        <v>0</v>
      </c>
    </row>
    <row r="189" spans="1:36" s="131" customFormat="1" ht="20.25" customHeight="1">
      <c r="A189" s="129" t="s">
        <v>50</v>
      </c>
      <c r="B189" s="37"/>
      <c r="C189" s="37"/>
      <c r="D189" s="36" t="s">
        <v>61</v>
      </c>
      <c r="E189" s="47">
        <f>E190</f>
        <v>50408300</v>
      </c>
      <c r="F189" s="47">
        <f aca="true" t="shared" si="68" ref="F189:P189">F190</f>
        <v>50408300</v>
      </c>
      <c r="G189" s="47">
        <f t="shared" si="68"/>
        <v>36885629</v>
      </c>
      <c r="H189" s="47">
        <f t="shared" si="68"/>
        <v>1862231</v>
      </c>
      <c r="I189" s="47">
        <f t="shared" si="68"/>
        <v>0</v>
      </c>
      <c r="J189" s="47">
        <f t="shared" si="68"/>
        <v>4348550</v>
      </c>
      <c r="K189" s="47">
        <f t="shared" si="68"/>
        <v>2135830</v>
      </c>
      <c r="L189" s="47">
        <f t="shared" si="68"/>
        <v>1726450</v>
      </c>
      <c r="M189" s="47">
        <f t="shared" si="68"/>
        <v>0</v>
      </c>
      <c r="N189" s="47">
        <f t="shared" si="68"/>
        <v>2212720</v>
      </c>
      <c r="O189" s="47">
        <f t="shared" si="68"/>
        <v>2208000</v>
      </c>
      <c r="P189" s="47">
        <f t="shared" si="68"/>
        <v>54756850</v>
      </c>
      <c r="Q189" s="172">
        <f>Q191+Q192+Q193+Q195+Q196+Q197</f>
        <v>0</v>
      </c>
      <c r="R189" s="211"/>
      <c r="S189" s="233"/>
      <c r="T189" s="233"/>
      <c r="U189" s="233"/>
      <c r="V189" s="233"/>
      <c r="W189" s="233"/>
      <c r="X189" s="233"/>
      <c r="Y189" s="233"/>
      <c r="Z189" s="233"/>
      <c r="AA189" s="234"/>
      <c r="AB189" s="234"/>
      <c r="AC189" s="234"/>
      <c r="AD189" s="234"/>
      <c r="AE189" s="234"/>
      <c r="AF189" s="234"/>
      <c r="AG189" s="234"/>
      <c r="AH189" s="234">
        <f>AH191+AH192+AH193+AH195+AH196+AH197</f>
        <v>0</v>
      </c>
      <c r="AI189" s="234">
        <f>AI191+AI192+AI193+AI195+AI196+AI197</f>
        <v>0</v>
      </c>
      <c r="AJ189" s="234">
        <f>AJ191+AJ192+AJ193+AJ195+AJ196+AJ197</f>
        <v>0</v>
      </c>
    </row>
    <row r="190" spans="1:36" s="134" customFormat="1" ht="24.75" customHeight="1">
      <c r="A190" s="132" t="s">
        <v>310</v>
      </c>
      <c r="B190" s="146"/>
      <c r="C190" s="146"/>
      <c r="D190" s="145" t="s">
        <v>61</v>
      </c>
      <c r="E190" s="87">
        <f>E191+E192+E193+E194+E197</f>
        <v>50408300</v>
      </c>
      <c r="F190" s="87">
        <f aca="true" t="shared" si="69" ref="F190:P190">F191+F192+F193+F194+F197</f>
        <v>50408300</v>
      </c>
      <c r="G190" s="87">
        <f t="shared" si="69"/>
        <v>36885629</v>
      </c>
      <c r="H190" s="87">
        <f t="shared" si="69"/>
        <v>1862231</v>
      </c>
      <c r="I190" s="87">
        <f t="shared" si="69"/>
        <v>0</v>
      </c>
      <c r="J190" s="87">
        <f t="shared" si="69"/>
        <v>4348550</v>
      </c>
      <c r="K190" s="87">
        <f t="shared" si="69"/>
        <v>2135830</v>
      </c>
      <c r="L190" s="87">
        <f t="shared" si="69"/>
        <v>1726450</v>
      </c>
      <c r="M190" s="87">
        <f t="shared" si="69"/>
        <v>0</v>
      </c>
      <c r="N190" s="87">
        <f t="shared" si="69"/>
        <v>2212720</v>
      </c>
      <c r="O190" s="87">
        <f t="shared" si="69"/>
        <v>2208000</v>
      </c>
      <c r="P190" s="87">
        <f t="shared" si="69"/>
        <v>54756850</v>
      </c>
      <c r="Q190" s="173">
        <f>Q191+Q192+Q193+Q194+Q197</f>
        <v>0</v>
      </c>
      <c r="R190" s="212"/>
      <c r="S190" s="235"/>
      <c r="T190" s="235"/>
      <c r="U190" s="235"/>
      <c r="V190" s="235"/>
      <c r="W190" s="235"/>
      <c r="X190" s="235"/>
      <c r="Y190" s="235"/>
      <c r="Z190" s="235"/>
      <c r="AA190" s="246"/>
      <c r="AB190" s="246"/>
      <c r="AC190" s="246"/>
      <c r="AD190" s="246"/>
      <c r="AE190" s="246"/>
      <c r="AF190" s="246"/>
      <c r="AG190" s="246"/>
      <c r="AH190" s="246">
        <f>AH191+AH192+AH193+AH194+AH197</f>
        <v>0</v>
      </c>
      <c r="AI190" s="246">
        <f>AI191+AI192+AI193+AI194+AI197</f>
        <v>0</v>
      </c>
      <c r="AJ190" s="246">
        <f>AJ191+AJ192+AJ193+AJ194+AJ197</f>
        <v>0</v>
      </c>
    </row>
    <row r="191" spans="1:36" s="4" customFormat="1" ht="45">
      <c r="A191" s="88" t="s">
        <v>220</v>
      </c>
      <c r="B191" s="88" t="str">
        <f>'дод. 4'!A14</f>
        <v>0160</v>
      </c>
      <c r="C191" s="88" t="str">
        <f>'дод. 4'!B14</f>
        <v>0111</v>
      </c>
      <c r="D191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91" s="90">
        <f>F191+I191</f>
        <v>1423100</v>
      </c>
      <c r="F191" s="90">
        <f>1461500-38400</f>
        <v>1423100</v>
      </c>
      <c r="G191" s="90">
        <v>1101670</v>
      </c>
      <c r="H191" s="90">
        <v>14960</v>
      </c>
      <c r="I191" s="90"/>
      <c r="J191" s="90">
        <f aca="true" t="shared" si="70" ref="J191:J197">K191+N191</f>
        <v>10000</v>
      </c>
      <c r="K191" s="90"/>
      <c r="L191" s="90"/>
      <c r="M191" s="90"/>
      <c r="N191" s="90">
        <v>10000</v>
      </c>
      <c r="O191" s="90">
        <v>10000</v>
      </c>
      <c r="P191" s="90">
        <f>E191+J191</f>
        <v>1433100</v>
      </c>
      <c r="Q191" s="174">
        <f>R191+S191+T191</f>
        <v>0</v>
      </c>
      <c r="R191" s="213"/>
      <c r="S191" s="237"/>
      <c r="T191" s="237"/>
      <c r="U191" s="237"/>
      <c r="V191" s="237"/>
      <c r="W191" s="237"/>
      <c r="X191" s="237"/>
      <c r="Y191" s="237"/>
      <c r="Z191" s="237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>
        <f>Z191*$AJ$10</f>
        <v>0</v>
      </c>
    </row>
    <row r="192" spans="1:36" s="4" customFormat="1" ht="52.5" customHeight="1">
      <c r="A192" s="88" t="s">
        <v>351</v>
      </c>
      <c r="B192" s="88" t="str">
        <f>'дод. 4'!A26</f>
        <v>1100</v>
      </c>
      <c r="C192" s="88" t="str">
        <f>'дод. 4'!B26</f>
        <v>0960</v>
      </c>
      <c r="D192" s="124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2" s="90">
        <f>F192+I192</f>
        <v>29741300</v>
      </c>
      <c r="F192" s="90">
        <v>29741300</v>
      </c>
      <c r="G192" s="90">
        <v>23498774</v>
      </c>
      <c r="H192" s="90">
        <v>711900</v>
      </c>
      <c r="I192" s="90"/>
      <c r="J192" s="90">
        <f t="shared" si="70"/>
        <v>2313550</v>
      </c>
      <c r="K192" s="90">
        <f>2108830</f>
        <v>2108830</v>
      </c>
      <c r="L192" s="90">
        <v>1721450</v>
      </c>
      <c r="M192" s="90"/>
      <c r="N192" s="90">
        <f>200000+4720</f>
        <v>204720</v>
      </c>
      <c r="O192" s="90">
        <v>200000</v>
      </c>
      <c r="P192" s="90">
        <f>E192+J192</f>
        <v>32054850</v>
      </c>
      <c r="Q192" s="174">
        <f>R192+S192+T192</f>
        <v>0</v>
      </c>
      <c r="R192" s="213"/>
      <c r="S192" s="237"/>
      <c r="T192" s="237"/>
      <c r="U192" s="237"/>
      <c r="V192" s="237"/>
      <c r="W192" s="237"/>
      <c r="X192" s="237"/>
      <c r="Y192" s="237"/>
      <c r="Z192" s="237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</row>
    <row r="193" spans="1:36" s="4" customFormat="1" ht="21" customHeight="1">
      <c r="A193" s="88" t="s">
        <v>311</v>
      </c>
      <c r="B193" s="88" t="str">
        <f>'дод. 4'!A135</f>
        <v>4030</v>
      </c>
      <c r="C193" s="88" t="str">
        <f>'дод. 4'!B135</f>
        <v>0824</v>
      </c>
      <c r="D193" s="125" t="str">
        <f>'дод. 4'!C135</f>
        <v>Забезпечення діяльності бібліотек</v>
      </c>
      <c r="E193" s="90">
        <f>F193+I193</f>
        <v>16071720</v>
      </c>
      <c r="F193" s="90">
        <f>15733720+338000</f>
        <v>16071720</v>
      </c>
      <c r="G193" s="90">
        <v>11407051</v>
      </c>
      <c r="H193" s="90">
        <v>1115260</v>
      </c>
      <c r="I193" s="90"/>
      <c r="J193" s="90">
        <f t="shared" si="70"/>
        <v>327000</v>
      </c>
      <c r="K193" s="90">
        <f>27000</f>
        <v>27000</v>
      </c>
      <c r="L193" s="90">
        <v>5000</v>
      </c>
      <c r="M193" s="90"/>
      <c r="N193" s="90">
        <v>300000</v>
      </c>
      <c r="O193" s="90">
        <v>300000</v>
      </c>
      <c r="P193" s="90">
        <f>E193+J193</f>
        <v>16398720</v>
      </c>
      <c r="Q193" s="174">
        <f>R193+S193+T193</f>
        <v>0</v>
      </c>
      <c r="R193" s="213"/>
      <c r="S193" s="237"/>
      <c r="T193" s="237"/>
      <c r="U193" s="237"/>
      <c r="V193" s="237"/>
      <c r="W193" s="237"/>
      <c r="X193" s="237"/>
      <c r="Y193" s="237"/>
      <c r="Z193" s="237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</row>
    <row r="194" spans="1:36" s="4" customFormat="1" ht="25.5" customHeight="1">
      <c r="A194" s="88" t="s">
        <v>312</v>
      </c>
      <c r="B194" s="88" t="str">
        <f>'дод. 4'!A136</f>
        <v>4080</v>
      </c>
      <c r="C194" s="88">
        <f>'дод. 4'!B136</f>
        <v>0</v>
      </c>
      <c r="D194" s="149" t="str">
        <f>'дод. 4'!C136</f>
        <v>Інші заклади та заходи в галузі культури і мистецтва</v>
      </c>
      <c r="E194" s="90">
        <f>E195+E196</f>
        <v>3112180</v>
      </c>
      <c r="F194" s="90">
        <f aca="true" t="shared" si="71" ref="F194:P194">F195+F196</f>
        <v>3112180</v>
      </c>
      <c r="G194" s="90">
        <f t="shared" si="71"/>
        <v>878134</v>
      </c>
      <c r="H194" s="90">
        <f t="shared" si="71"/>
        <v>20111</v>
      </c>
      <c r="I194" s="90">
        <f t="shared" si="71"/>
        <v>0</v>
      </c>
      <c r="J194" s="90">
        <f t="shared" si="71"/>
        <v>50000</v>
      </c>
      <c r="K194" s="90">
        <f t="shared" si="71"/>
        <v>0</v>
      </c>
      <c r="L194" s="90">
        <f t="shared" si="71"/>
        <v>0</v>
      </c>
      <c r="M194" s="90">
        <f t="shared" si="71"/>
        <v>0</v>
      </c>
      <c r="N194" s="90">
        <f t="shared" si="71"/>
        <v>50000</v>
      </c>
      <c r="O194" s="90">
        <f t="shared" si="71"/>
        <v>50000</v>
      </c>
      <c r="P194" s="90">
        <f t="shared" si="71"/>
        <v>3162180</v>
      </c>
      <c r="Q194" s="174">
        <f>Q195+Q196</f>
        <v>0</v>
      </c>
      <c r="R194" s="213"/>
      <c r="S194" s="237"/>
      <c r="T194" s="237"/>
      <c r="U194" s="237"/>
      <c r="V194" s="237"/>
      <c r="W194" s="237"/>
      <c r="X194" s="237"/>
      <c r="Y194" s="237"/>
      <c r="Z194" s="237"/>
      <c r="AA194" s="239"/>
      <c r="AB194" s="239"/>
      <c r="AC194" s="239"/>
      <c r="AD194" s="239"/>
      <c r="AE194" s="239"/>
      <c r="AF194" s="239"/>
      <c r="AG194" s="239"/>
      <c r="AH194" s="239"/>
      <c r="AI194" s="239"/>
      <c r="AJ194" s="239"/>
    </row>
    <row r="195" spans="1:36" s="136" customFormat="1" ht="33.75" customHeight="1">
      <c r="A195" s="101">
        <v>1014081</v>
      </c>
      <c r="B195" s="91" t="str">
        <f>'дод. 4'!A137</f>
        <v>4081</v>
      </c>
      <c r="C195" s="91" t="str">
        <f>'дод. 4'!B137</f>
        <v>0829</v>
      </c>
      <c r="D195" s="151" t="str">
        <f>'дод. 4'!C137</f>
        <v>Забезпечення діяльності інших закладів в галузі культури і мистецтва </v>
      </c>
      <c r="E195" s="93">
        <f>F195+I195</f>
        <v>1212180</v>
      </c>
      <c r="F195" s="93">
        <v>1212180</v>
      </c>
      <c r="G195" s="93">
        <v>878134</v>
      </c>
      <c r="H195" s="93">
        <v>20111</v>
      </c>
      <c r="I195" s="93"/>
      <c r="J195" s="93">
        <f t="shared" si="70"/>
        <v>50000</v>
      </c>
      <c r="K195" s="93"/>
      <c r="L195" s="93"/>
      <c r="M195" s="93"/>
      <c r="N195" s="93">
        <v>50000</v>
      </c>
      <c r="O195" s="93">
        <v>50000</v>
      </c>
      <c r="P195" s="93">
        <f>E195+J195</f>
        <v>1262180</v>
      </c>
      <c r="Q195" s="175">
        <f>R195+S195+T195</f>
        <v>0</v>
      </c>
      <c r="R195" s="214"/>
      <c r="S195" s="240"/>
      <c r="T195" s="240"/>
      <c r="U195" s="240"/>
      <c r="V195" s="240"/>
      <c r="W195" s="240"/>
      <c r="X195" s="240"/>
      <c r="Y195" s="240"/>
      <c r="Z195" s="240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</row>
    <row r="196" spans="1:36" s="136" customFormat="1" ht="25.5" customHeight="1">
      <c r="A196" s="101">
        <v>1014082</v>
      </c>
      <c r="B196" s="91" t="str">
        <f>'дод. 4'!A138</f>
        <v>4082</v>
      </c>
      <c r="C196" s="91" t="str">
        <f>'дод. 4'!B138</f>
        <v>0829</v>
      </c>
      <c r="D196" s="151" t="str">
        <f>'дод. 4'!C138</f>
        <v>Інші заходи в галузі культури і мистецтва</v>
      </c>
      <c r="E196" s="93">
        <f>F196+I196</f>
        <v>1900000</v>
      </c>
      <c r="F196" s="93">
        <v>1900000</v>
      </c>
      <c r="G196" s="93"/>
      <c r="H196" s="93"/>
      <c r="I196" s="93"/>
      <c r="J196" s="93">
        <f t="shared" si="70"/>
        <v>0</v>
      </c>
      <c r="K196" s="93"/>
      <c r="L196" s="93"/>
      <c r="M196" s="93"/>
      <c r="N196" s="93"/>
      <c r="O196" s="93"/>
      <c r="P196" s="93">
        <f>E196+J196</f>
        <v>1900000</v>
      </c>
      <c r="Q196" s="175">
        <f>R196+S196+T196</f>
        <v>0</v>
      </c>
      <c r="R196" s="214"/>
      <c r="S196" s="240"/>
      <c r="T196" s="240"/>
      <c r="U196" s="240"/>
      <c r="V196" s="240"/>
      <c r="W196" s="240"/>
      <c r="X196" s="240"/>
      <c r="Y196" s="240"/>
      <c r="Z196" s="240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</row>
    <row r="197" spans="1:36" s="4" customFormat="1" ht="22.5" customHeight="1">
      <c r="A197" s="88" t="s">
        <v>233</v>
      </c>
      <c r="B197" s="88" t="str">
        <f>'дод. 4'!A182</f>
        <v>7640</v>
      </c>
      <c r="C197" s="88" t="str">
        <f>'дод. 4'!B182</f>
        <v>0470</v>
      </c>
      <c r="D197" s="125" t="str">
        <f>'дод. 4'!C182</f>
        <v>Заходи з енергозбереження</v>
      </c>
      <c r="E197" s="90">
        <f>F197+I197</f>
        <v>60000</v>
      </c>
      <c r="F197" s="90">
        <v>60000</v>
      </c>
      <c r="G197" s="90"/>
      <c r="H197" s="90"/>
      <c r="I197" s="90"/>
      <c r="J197" s="90">
        <f t="shared" si="70"/>
        <v>1648000</v>
      </c>
      <c r="K197" s="90"/>
      <c r="L197" s="90"/>
      <c r="M197" s="90"/>
      <c r="N197" s="90">
        <v>1648000</v>
      </c>
      <c r="O197" s="90">
        <v>1648000</v>
      </c>
      <c r="P197" s="90">
        <f>E197+J197</f>
        <v>1708000</v>
      </c>
      <c r="Q197" s="174">
        <f>R197+S197+T197</f>
        <v>0</v>
      </c>
      <c r="R197" s="213"/>
      <c r="S197" s="237"/>
      <c r="T197" s="237"/>
      <c r="U197" s="237"/>
      <c r="V197" s="237"/>
      <c r="W197" s="237"/>
      <c r="X197" s="237"/>
      <c r="Y197" s="237"/>
      <c r="Z197" s="237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</row>
    <row r="198" spans="1:36" s="131" customFormat="1" ht="28.5">
      <c r="A198" s="129" t="s">
        <v>313</v>
      </c>
      <c r="B198" s="37"/>
      <c r="C198" s="37"/>
      <c r="D198" s="36" t="s">
        <v>63</v>
      </c>
      <c r="E198" s="47">
        <f>E199</f>
        <v>78728680</v>
      </c>
      <c r="F198" s="47">
        <f aca="true" t="shared" si="72" ref="F198:P198">F199</f>
        <v>74791805</v>
      </c>
      <c r="G198" s="47">
        <f t="shared" si="72"/>
        <v>7603186.1</v>
      </c>
      <c r="H198" s="47">
        <f t="shared" si="72"/>
        <v>17608620</v>
      </c>
      <c r="I198" s="47">
        <f t="shared" si="72"/>
        <v>3936875</v>
      </c>
      <c r="J198" s="47">
        <f t="shared" si="72"/>
        <v>133552104</v>
      </c>
      <c r="K198" s="47">
        <f t="shared" si="72"/>
        <v>1791500</v>
      </c>
      <c r="L198" s="47">
        <f t="shared" si="72"/>
        <v>0</v>
      </c>
      <c r="M198" s="47">
        <f t="shared" si="72"/>
        <v>0</v>
      </c>
      <c r="N198" s="47">
        <f t="shared" si="72"/>
        <v>131760604</v>
      </c>
      <c r="O198" s="47">
        <f t="shared" si="72"/>
        <v>130420604</v>
      </c>
      <c r="P198" s="47">
        <f t="shared" si="72"/>
        <v>212280784</v>
      </c>
      <c r="Q198" s="172"/>
      <c r="R198" s="211"/>
      <c r="S198" s="233"/>
      <c r="T198" s="233"/>
      <c r="U198" s="233"/>
      <c r="V198" s="233"/>
      <c r="W198" s="233"/>
      <c r="X198" s="233"/>
      <c r="Y198" s="233"/>
      <c r="Z198" s="233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</row>
    <row r="199" spans="1:36" s="134" customFormat="1" ht="30">
      <c r="A199" s="132" t="s">
        <v>314</v>
      </c>
      <c r="B199" s="146"/>
      <c r="C199" s="146"/>
      <c r="D199" s="145" t="s">
        <v>63</v>
      </c>
      <c r="E199" s="87">
        <f>E200+E201+E202+E207+E208+E209+E210+E211+E212+E213+E214+E216+E217+E218</f>
        <v>78728680</v>
      </c>
      <c r="F199" s="87">
        <f aca="true" t="shared" si="73" ref="F199:P199">F200+F201+F202+F207+F208+F209+F210+F211+F212+F213+F214+F216+F217+F218</f>
        <v>74791805</v>
      </c>
      <c r="G199" s="87">
        <f t="shared" si="73"/>
        <v>7603186.1</v>
      </c>
      <c r="H199" s="87">
        <f t="shared" si="73"/>
        <v>17608620</v>
      </c>
      <c r="I199" s="87">
        <f t="shared" si="73"/>
        <v>3936875</v>
      </c>
      <c r="J199" s="87">
        <f t="shared" si="73"/>
        <v>133552104</v>
      </c>
      <c r="K199" s="87">
        <f t="shared" si="73"/>
        <v>1791500</v>
      </c>
      <c r="L199" s="87">
        <f t="shared" si="73"/>
        <v>0</v>
      </c>
      <c r="M199" s="87">
        <f t="shared" si="73"/>
        <v>0</v>
      </c>
      <c r="N199" s="87">
        <f t="shared" si="73"/>
        <v>131760604</v>
      </c>
      <c r="O199" s="87">
        <f t="shared" si="73"/>
        <v>130420604</v>
      </c>
      <c r="P199" s="87">
        <f t="shared" si="73"/>
        <v>212280784</v>
      </c>
      <c r="Q199" s="173"/>
      <c r="R199" s="212"/>
      <c r="S199" s="235"/>
      <c r="T199" s="235"/>
      <c r="U199" s="235"/>
      <c r="V199" s="235"/>
      <c r="W199" s="235"/>
      <c r="X199" s="235"/>
      <c r="Y199" s="235"/>
      <c r="Z199" s="235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</row>
    <row r="200" spans="1:36" s="4" customFormat="1" ht="45">
      <c r="A200" s="88" t="s">
        <v>315</v>
      </c>
      <c r="B200" s="88" t="str">
        <f>'дод. 4'!A14</f>
        <v>0160</v>
      </c>
      <c r="C200" s="88" t="str">
        <f>'дод. 4'!B14</f>
        <v>0111</v>
      </c>
      <c r="D200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0" s="90">
        <f>F200+I200</f>
        <v>9699700</v>
      </c>
      <c r="F200" s="90">
        <f>9793300-93600</f>
        <v>9699700</v>
      </c>
      <c r="G200" s="90">
        <v>7590891</v>
      </c>
      <c r="H200" s="90">
        <v>102300</v>
      </c>
      <c r="I200" s="90"/>
      <c r="J200" s="90">
        <f>K200+N200</f>
        <v>62500</v>
      </c>
      <c r="K200" s="90"/>
      <c r="L200" s="90"/>
      <c r="M200" s="90"/>
      <c r="N200" s="90">
        <f>200000-137500</f>
        <v>62500</v>
      </c>
      <c r="O200" s="90">
        <f>200000-137500</f>
        <v>62500</v>
      </c>
      <c r="P200" s="90">
        <f>E200+J200</f>
        <v>9762200</v>
      </c>
      <c r="Q200" s="174"/>
      <c r="R200" s="213"/>
      <c r="S200" s="237"/>
      <c r="T200" s="237"/>
      <c r="U200" s="237"/>
      <c r="V200" s="237"/>
      <c r="W200" s="237"/>
      <c r="X200" s="237"/>
      <c r="Y200" s="237"/>
      <c r="Z200" s="237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</row>
    <row r="201" spans="1:36" s="4" customFormat="1" ht="19.5" customHeight="1">
      <c r="A201" s="98" t="s">
        <v>474</v>
      </c>
      <c r="B201" s="98" t="str">
        <f>'дод. 4'!A128</f>
        <v>3210</v>
      </c>
      <c r="C201" s="98" t="str">
        <f>'дод. 4'!B128</f>
        <v>1050</v>
      </c>
      <c r="D201" s="150" t="str">
        <f>'дод. 4'!C128</f>
        <v>Організація та проведення громадських робіт</v>
      </c>
      <c r="E201" s="90">
        <f>F201+I201</f>
        <v>565000</v>
      </c>
      <c r="F201" s="90">
        <v>565000</v>
      </c>
      <c r="G201" s="90">
        <v>12295.1</v>
      </c>
      <c r="H201" s="90"/>
      <c r="I201" s="90"/>
      <c r="J201" s="90">
        <f aca="true" t="shared" si="74" ref="J201:J218">K201+N201</f>
        <v>0</v>
      </c>
      <c r="K201" s="90"/>
      <c r="L201" s="90"/>
      <c r="M201" s="90"/>
      <c r="N201" s="90"/>
      <c r="O201" s="90"/>
      <c r="P201" s="90">
        <f>E201+J201</f>
        <v>565000</v>
      </c>
      <c r="Q201" s="174"/>
      <c r="R201" s="213"/>
      <c r="S201" s="237"/>
      <c r="T201" s="237"/>
      <c r="U201" s="237"/>
      <c r="V201" s="237"/>
      <c r="W201" s="237"/>
      <c r="X201" s="237"/>
      <c r="Y201" s="237"/>
      <c r="Z201" s="237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</row>
    <row r="202" spans="1:36" s="4" customFormat="1" ht="30">
      <c r="A202" s="88" t="s">
        <v>316</v>
      </c>
      <c r="B202" s="88" t="str">
        <f>'дод. 4'!A150</f>
        <v>6010</v>
      </c>
      <c r="C202" s="88">
        <f>'дод. 4'!B150</f>
        <v>0</v>
      </c>
      <c r="D202" s="149" t="str">
        <f>'дод. 4'!C150</f>
        <v>Утримання та ефективна експлуатація об’єктів житлово-комунального господарства</v>
      </c>
      <c r="E202" s="90">
        <f>E203+E204+E205+E206</f>
        <v>4799000</v>
      </c>
      <c r="F202" s="90">
        <f aca="true" t="shared" si="75" ref="F202:P202">F203+F204+F205+F206</f>
        <v>1703000</v>
      </c>
      <c r="G202" s="90">
        <f t="shared" si="75"/>
        <v>0</v>
      </c>
      <c r="H202" s="90">
        <f t="shared" si="75"/>
        <v>0</v>
      </c>
      <c r="I202" s="90">
        <f t="shared" si="75"/>
        <v>3096000</v>
      </c>
      <c r="J202" s="90">
        <f t="shared" si="75"/>
        <v>60750000</v>
      </c>
      <c r="K202" s="90">
        <f t="shared" si="75"/>
        <v>0</v>
      </c>
      <c r="L202" s="90">
        <f t="shared" si="75"/>
        <v>0</v>
      </c>
      <c r="M202" s="90">
        <f t="shared" si="75"/>
        <v>0</v>
      </c>
      <c r="N202" s="90">
        <f t="shared" si="75"/>
        <v>60750000</v>
      </c>
      <c r="O202" s="90">
        <f t="shared" si="75"/>
        <v>60750000</v>
      </c>
      <c r="P202" s="90">
        <f t="shared" si="75"/>
        <v>65549000</v>
      </c>
      <c r="Q202" s="174"/>
      <c r="R202" s="213"/>
      <c r="S202" s="237"/>
      <c r="T202" s="237"/>
      <c r="U202" s="237"/>
      <c r="V202" s="237"/>
      <c r="W202" s="237"/>
      <c r="X202" s="237"/>
      <c r="Y202" s="237"/>
      <c r="Z202" s="237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</row>
    <row r="203" spans="1:36" s="136" customFormat="1" ht="30">
      <c r="A203" s="91" t="s">
        <v>317</v>
      </c>
      <c r="B203" s="91" t="str">
        <f>'дод. 4'!A151</f>
        <v>6011</v>
      </c>
      <c r="C203" s="91" t="str">
        <f>'дод. 4'!B151</f>
        <v>0620</v>
      </c>
      <c r="D203" s="151" t="str">
        <f>'дод. 4'!C151</f>
        <v>Експлуатація та технічне обслуговування житлового фонду</v>
      </c>
      <c r="E203" s="93">
        <f aca="true" t="shared" si="76" ref="E203:E213">F203+I203</f>
        <v>0</v>
      </c>
      <c r="F203" s="93"/>
      <c r="G203" s="93"/>
      <c r="H203" s="93"/>
      <c r="I203" s="93"/>
      <c r="J203" s="93">
        <f t="shared" si="74"/>
        <v>30750000</v>
      </c>
      <c r="K203" s="93"/>
      <c r="L203" s="93"/>
      <c r="M203" s="93"/>
      <c r="N203" s="93">
        <f>20000000+15000000-150000-4100000</f>
        <v>30750000</v>
      </c>
      <c r="O203" s="93">
        <f>20000000+15000000-150000-4100000</f>
        <v>30750000</v>
      </c>
      <c r="P203" s="93">
        <f aca="true" t="shared" si="77" ref="P203:P213">E203+J203</f>
        <v>30750000</v>
      </c>
      <c r="Q203" s="175"/>
      <c r="R203" s="214"/>
      <c r="S203" s="240"/>
      <c r="T203" s="240"/>
      <c r="U203" s="240"/>
      <c r="V203" s="240"/>
      <c r="W203" s="240"/>
      <c r="X203" s="240"/>
      <c r="Y203" s="240"/>
      <c r="Z203" s="240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</row>
    <row r="204" spans="1:36" s="136" customFormat="1" ht="30">
      <c r="A204" s="91" t="s">
        <v>318</v>
      </c>
      <c r="B204" s="91" t="str">
        <f>'дод. 4'!A152</f>
        <v>6013</v>
      </c>
      <c r="C204" s="91" t="str">
        <f>'дод. 4'!B152</f>
        <v>0620</v>
      </c>
      <c r="D204" s="151" t="str">
        <f>'дод. 4'!C152</f>
        <v>Забезпечення діяльності водопровідно-каналізаційного господарства</v>
      </c>
      <c r="E204" s="93">
        <f t="shared" si="76"/>
        <v>3296000</v>
      </c>
      <c r="F204" s="93">
        <f>200000</f>
        <v>200000</v>
      </c>
      <c r="G204" s="93"/>
      <c r="H204" s="93"/>
      <c r="I204" s="93">
        <v>3096000</v>
      </c>
      <c r="J204" s="93">
        <f t="shared" si="74"/>
        <v>0</v>
      </c>
      <c r="K204" s="93"/>
      <c r="L204" s="93"/>
      <c r="M204" s="93"/>
      <c r="N204" s="93"/>
      <c r="O204" s="93"/>
      <c r="P204" s="93">
        <f t="shared" si="77"/>
        <v>3296000</v>
      </c>
      <c r="Q204" s="175"/>
      <c r="R204" s="214"/>
      <c r="S204" s="240"/>
      <c r="T204" s="240"/>
      <c r="U204" s="240"/>
      <c r="V204" s="240"/>
      <c r="W204" s="240"/>
      <c r="X204" s="240"/>
      <c r="Y204" s="240"/>
      <c r="Z204" s="240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</row>
    <row r="205" spans="1:36" s="136" customFormat="1" ht="30">
      <c r="A205" s="91" t="s">
        <v>405</v>
      </c>
      <c r="B205" s="91" t="str">
        <f>'дод. 4'!A153</f>
        <v>6015</v>
      </c>
      <c r="C205" s="91" t="str">
        <f>'дод. 4'!B153</f>
        <v>0620</v>
      </c>
      <c r="D205" s="151" t="str">
        <f>'дод. 4'!C153</f>
        <v>Забезпечення надійної та безперебійної експлуатації ліфтів</v>
      </c>
      <c r="E205" s="93">
        <f t="shared" si="76"/>
        <v>503000</v>
      </c>
      <c r="F205" s="93">
        <f>350000+153000</f>
        <v>503000</v>
      </c>
      <c r="G205" s="93"/>
      <c r="H205" s="93"/>
      <c r="I205" s="93"/>
      <c r="J205" s="93">
        <f>K205+N205</f>
        <v>30000000</v>
      </c>
      <c r="K205" s="93"/>
      <c r="L205" s="93"/>
      <c r="M205" s="93"/>
      <c r="N205" s="93">
        <f>20000000+10000000</f>
        <v>30000000</v>
      </c>
      <c r="O205" s="93">
        <f>20000000+10000000</f>
        <v>30000000</v>
      </c>
      <c r="P205" s="93">
        <f t="shared" si="77"/>
        <v>30503000</v>
      </c>
      <c r="Q205" s="175"/>
      <c r="R205" s="214"/>
      <c r="S205" s="240"/>
      <c r="T205" s="240"/>
      <c r="U205" s="240"/>
      <c r="V205" s="240"/>
      <c r="W205" s="240"/>
      <c r="X205" s="240"/>
      <c r="Y205" s="240"/>
      <c r="Z205" s="240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</row>
    <row r="206" spans="1:36" s="136" customFormat="1" ht="38.25" customHeight="1">
      <c r="A206" s="91" t="s">
        <v>408</v>
      </c>
      <c r="B206" s="91" t="str">
        <f>'дод. 4'!A154</f>
        <v>6017</v>
      </c>
      <c r="C206" s="91" t="str">
        <f>'дод. 4'!B154</f>
        <v>0620</v>
      </c>
      <c r="D206" s="151" t="str">
        <f>'дод. 4'!C154</f>
        <v>Інша діяльність, пов’язана з експлуатацією об’єктів житлово-комунального господарства </v>
      </c>
      <c r="E206" s="93">
        <f t="shared" si="76"/>
        <v>1000000</v>
      </c>
      <c r="F206" s="93">
        <v>1000000</v>
      </c>
      <c r="G206" s="93"/>
      <c r="H206" s="93"/>
      <c r="I206" s="93"/>
      <c r="J206" s="93">
        <f t="shared" si="74"/>
        <v>0</v>
      </c>
      <c r="K206" s="93"/>
      <c r="L206" s="93"/>
      <c r="M206" s="93"/>
      <c r="N206" s="93"/>
      <c r="O206" s="93"/>
      <c r="P206" s="93">
        <f t="shared" si="77"/>
        <v>1000000</v>
      </c>
      <c r="Q206" s="175"/>
      <c r="R206" s="214"/>
      <c r="S206" s="240"/>
      <c r="T206" s="240"/>
      <c r="U206" s="240"/>
      <c r="V206" s="240"/>
      <c r="W206" s="240"/>
      <c r="X206" s="240"/>
      <c r="Y206" s="240"/>
      <c r="Z206" s="240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</row>
    <row r="207" spans="1:36" s="136" customFormat="1" ht="45">
      <c r="A207" s="94" t="s">
        <v>319</v>
      </c>
      <c r="B207" s="94" t="str">
        <f>'дод. 4'!A155</f>
        <v>6020</v>
      </c>
      <c r="C207" s="94" t="str">
        <f>'дод. 4'!B155</f>
        <v>0620</v>
      </c>
      <c r="D207" s="122" t="str">
        <f>'дод. 4'!C155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7" s="96">
        <f t="shared" si="76"/>
        <v>300000</v>
      </c>
      <c r="F207" s="96"/>
      <c r="G207" s="96"/>
      <c r="H207" s="96"/>
      <c r="I207" s="96">
        <v>300000</v>
      </c>
      <c r="J207" s="96">
        <f t="shared" si="74"/>
        <v>0</v>
      </c>
      <c r="K207" s="96"/>
      <c r="L207" s="96"/>
      <c r="M207" s="96"/>
      <c r="N207" s="96"/>
      <c r="O207" s="96"/>
      <c r="P207" s="96">
        <f t="shared" si="77"/>
        <v>300000</v>
      </c>
      <c r="Q207" s="174"/>
      <c r="R207" s="213"/>
      <c r="S207" s="237"/>
      <c r="T207" s="237"/>
      <c r="U207" s="237"/>
      <c r="V207" s="237"/>
      <c r="W207" s="237"/>
      <c r="X207" s="237"/>
      <c r="Y207" s="237"/>
      <c r="Z207" s="237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</row>
    <row r="208" spans="1:36" s="4" customFormat="1" ht="21.75" customHeight="1">
      <c r="A208" s="94" t="s">
        <v>320</v>
      </c>
      <c r="B208" s="94" t="str">
        <f>'дод. 4'!A156</f>
        <v>6030</v>
      </c>
      <c r="C208" s="94" t="str">
        <f>'дод. 4'!B156</f>
        <v>0620</v>
      </c>
      <c r="D208" s="122" t="str">
        <f>'дод. 4'!C156</f>
        <v>Організація благоустрою населених пунктів</v>
      </c>
      <c r="E208" s="96">
        <f t="shared" si="76"/>
        <v>58516210</v>
      </c>
      <c r="F208" s="96">
        <f>51058210+4128000+3150000</f>
        <v>58336210</v>
      </c>
      <c r="G208" s="96"/>
      <c r="H208" s="96">
        <f>16966320+500000</f>
        <v>17466320</v>
      </c>
      <c r="I208" s="96">
        <v>180000</v>
      </c>
      <c r="J208" s="96">
        <f t="shared" si="74"/>
        <v>57338104</v>
      </c>
      <c r="K208" s="96"/>
      <c r="L208" s="96"/>
      <c r="M208" s="96"/>
      <c r="N208" s="96">
        <f>37188104+9000000+9000000+3150000-1000000</f>
        <v>57338104</v>
      </c>
      <c r="O208" s="96">
        <f>37188104+9000000+9000000+3150000-1000000</f>
        <v>57338104</v>
      </c>
      <c r="P208" s="96">
        <f t="shared" si="77"/>
        <v>115854314</v>
      </c>
      <c r="Q208" s="174"/>
      <c r="R208" s="213"/>
      <c r="S208" s="237"/>
      <c r="T208" s="237"/>
      <c r="U208" s="237"/>
      <c r="V208" s="237"/>
      <c r="W208" s="237"/>
      <c r="X208" s="237"/>
      <c r="Y208" s="237"/>
      <c r="Z208" s="24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48"/>
    </row>
    <row r="209" spans="1:36" s="4" customFormat="1" ht="31.5" customHeight="1">
      <c r="A209" s="94" t="s">
        <v>396</v>
      </c>
      <c r="B209" s="94" t="str">
        <f>'дод. 4'!A159</f>
        <v>6090</v>
      </c>
      <c r="C209" s="94" t="str">
        <f>'дод. 4'!B159</f>
        <v>0640</v>
      </c>
      <c r="D209" s="122" t="str">
        <f>'дод. 4'!C159</f>
        <v>Інша діяльність у сфері житлово-комунального господарства</v>
      </c>
      <c r="E209" s="96">
        <f t="shared" si="76"/>
        <v>2512170</v>
      </c>
      <c r="F209" s="96">
        <f>391104+1450191+670875-160875</f>
        <v>2351295</v>
      </c>
      <c r="G209" s="96"/>
      <c r="H209" s="96">
        <f>30000+10000</f>
        <v>40000</v>
      </c>
      <c r="I209" s="96">
        <v>160875</v>
      </c>
      <c r="J209" s="96">
        <f t="shared" si="74"/>
        <v>0</v>
      </c>
      <c r="K209" s="96"/>
      <c r="L209" s="96"/>
      <c r="M209" s="96"/>
      <c r="N209" s="96"/>
      <c r="O209" s="96"/>
      <c r="P209" s="96">
        <f t="shared" si="77"/>
        <v>2512170</v>
      </c>
      <c r="Q209" s="174"/>
      <c r="R209" s="213"/>
      <c r="S209" s="237"/>
      <c r="T209" s="237"/>
      <c r="U209" s="237"/>
      <c r="V209" s="237"/>
      <c r="W209" s="237"/>
      <c r="X209" s="237"/>
      <c r="Y209" s="237"/>
      <c r="Z209" s="237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</row>
    <row r="210" spans="1:36" s="4" customFormat="1" ht="36.75" customHeight="1">
      <c r="A210" s="94" t="s">
        <v>424</v>
      </c>
      <c r="B210" s="94" t="str">
        <f>'дод. 4'!A164</f>
        <v>7310</v>
      </c>
      <c r="C210" s="94" t="str">
        <f>'дод. 4'!B164</f>
        <v>0443</v>
      </c>
      <c r="D210" s="122" t="str">
        <f>'дод. 4'!C164</f>
        <v>Будівництво об'єктів житлово-комунального господарства</v>
      </c>
      <c r="E210" s="96">
        <f t="shared" si="76"/>
        <v>0</v>
      </c>
      <c r="F210" s="96"/>
      <c r="G210" s="96"/>
      <c r="H210" s="96"/>
      <c r="I210" s="96"/>
      <c r="J210" s="96">
        <f>K210+N210</f>
        <v>2500000</v>
      </c>
      <c r="K210" s="96"/>
      <c r="L210" s="96"/>
      <c r="M210" s="96"/>
      <c r="N210" s="96">
        <f>2000000+500000</f>
        <v>2500000</v>
      </c>
      <c r="O210" s="96">
        <f>2000000+500000</f>
        <v>2500000</v>
      </c>
      <c r="P210" s="96">
        <f t="shared" si="77"/>
        <v>2500000</v>
      </c>
      <c r="Q210" s="174"/>
      <c r="R210" s="213"/>
      <c r="S210" s="237"/>
      <c r="T210" s="237"/>
      <c r="U210" s="237"/>
      <c r="V210" s="237"/>
      <c r="W210" s="237"/>
      <c r="X210" s="237"/>
      <c r="Y210" s="237"/>
      <c r="Z210" s="237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</row>
    <row r="211" spans="1:36" s="4" customFormat="1" ht="40.5" customHeight="1">
      <c r="A211" s="94" t="s">
        <v>426</v>
      </c>
      <c r="B211" s="94" t="str">
        <f>'дод. 4'!A169</f>
        <v>7330</v>
      </c>
      <c r="C211" s="94" t="str">
        <f>'дод. 4'!B169</f>
        <v>0443</v>
      </c>
      <c r="D211" s="122" t="str">
        <f>'дод. 4'!C169</f>
        <v>Будівництво інших об'єктів соціальної та виробничої інфраструктури комунальної власності</v>
      </c>
      <c r="E211" s="96">
        <f t="shared" si="76"/>
        <v>0</v>
      </c>
      <c r="F211" s="96"/>
      <c r="G211" s="96"/>
      <c r="H211" s="96"/>
      <c r="I211" s="96"/>
      <c r="J211" s="96">
        <f>K211+N211</f>
        <v>5350000</v>
      </c>
      <c r="K211" s="96"/>
      <c r="L211" s="96"/>
      <c r="M211" s="96"/>
      <c r="N211" s="96">
        <f>1000000+4100000+250000</f>
        <v>5350000</v>
      </c>
      <c r="O211" s="96">
        <f>1000000+4100000+250000</f>
        <v>5350000</v>
      </c>
      <c r="P211" s="96">
        <f t="shared" si="77"/>
        <v>5350000</v>
      </c>
      <c r="Q211" s="174"/>
      <c r="R211" s="213"/>
      <c r="S211" s="237"/>
      <c r="T211" s="237"/>
      <c r="U211" s="237"/>
      <c r="V211" s="237"/>
      <c r="W211" s="237"/>
      <c r="X211" s="237"/>
      <c r="Y211" s="237"/>
      <c r="Z211" s="237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</row>
    <row r="212" spans="1:36" s="4" customFormat="1" ht="36" customHeight="1">
      <c r="A212" s="94" t="s">
        <v>321</v>
      </c>
      <c r="B212" s="94" t="str">
        <f>'дод. 4'!A170</f>
        <v>7340</v>
      </c>
      <c r="C212" s="94" t="str">
        <f>'дод. 4'!B170</f>
        <v>0443</v>
      </c>
      <c r="D212" s="122" t="str">
        <f>'дод. 4'!C170</f>
        <v>Проектування, реставрація та охорона пам'яток архітектури</v>
      </c>
      <c r="E212" s="96">
        <f t="shared" si="76"/>
        <v>0</v>
      </c>
      <c r="F212" s="96"/>
      <c r="G212" s="96"/>
      <c r="H212" s="96"/>
      <c r="I212" s="96"/>
      <c r="J212" s="96">
        <f t="shared" si="74"/>
        <v>3200000</v>
      </c>
      <c r="K212" s="96"/>
      <c r="L212" s="96"/>
      <c r="M212" s="96"/>
      <c r="N212" s="96">
        <f>1200000+2000000</f>
        <v>3200000</v>
      </c>
      <c r="O212" s="96">
        <f>1200000+2000000</f>
        <v>3200000</v>
      </c>
      <c r="P212" s="96">
        <f t="shared" si="77"/>
        <v>3200000</v>
      </c>
      <c r="Q212" s="174"/>
      <c r="R212" s="213"/>
      <c r="S212" s="237"/>
      <c r="T212" s="237"/>
      <c r="U212" s="237"/>
      <c r="V212" s="237"/>
      <c r="W212" s="237"/>
      <c r="X212" s="237"/>
      <c r="Y212" s="237"/>
      <c r="Z212" s="237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</row>
    <row r="213" spans="1:36" s="4" customFormat="1" ht="24" customHeight="1">
      <c r="A213" s="94" t="s">
        <v>322</v>
      </c>
      <c r="B213" s="94" t="str">
        <f>'дод. 4'!A182</f>
        <v>7640</v>
      </c>
      <c r="C213" s="94" t="str">
        <f>'дод. 4'!B182</f>
        <v>0470</v>
      </c>
      <c r="D213" s="128" t="str">
        <f>'дод. 4'!C182</f>
        <v>Заходи з енергозбереження</v>
      </c>
      <c r="E213" s="96">
        <f t="shared" si="76"/>
        <v>1500000</v>
      </c>
      <c r="F213" s="96">
        <v>1300000</v>
      </c>
      <c r="G213" s="96"/>
      <c r="H213" s="96"/>
      <c r="I213" s="96">
        <v>200000</v>
      </c>
      <c r="J213" s="96">
        <f t="shared" si="74"/>
        <v>0</v>
      </c>
      <c r="K213" s="96"/>
      <c r="L213" s="96"/>
      <c r="M213" s="96"/>
      <c r="N213" s="96">
        <f>2000000-2000000</f>
        <v>0</v>
      </c>
      <c r="O213" s="96">
        <f>2000000-2000000</f>
        <v>0</v>
      </c>
      <c r="P213" s="96">
        <f t="shared" si="77"/>
        <v>1500000</v>
      </c>
      <c r="Q213" s="174"/>
      <c r="R213" s="213"/>
      <c r="S213" s="237"/>
      <c r="T213" s="237"/>
      <c r="U213" s="237"/>
      <c r="V213" s="237"/>
      <c r="W213" s="237"/>
      <c r="X213" s="237"/>
      <c r="Y213" s="237"/>
      <c r="Z213" s="237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</row>
    <row r="214" spans="1:36" s="4" customFormat="1" ht="21.75" customHeight="1">
      <c r="A214" s="94" t="s">
        <v>323</v>
      </c>
      <c r="B214" s="94" t="str">
        <f>'дод. 4'!A187</f>
        <v>7690</v>
      </c>
      <c r="C214" s="94">
        <f>'дод. 4'!B187</f>
        <v>0</v>
      </c>
      <c r="D214" s="128" t="str">
        <f>'дод. 4'!C187</f>
        <v>Інша економічна діяльність</v>
      </c>
      <c r="E214" s="96">
        <f>E215</f>
        <v>0</v>
      </c>
      <c r="F214" s="96">
        <f aca="true" t="shared" si="78" ref="F214:P214">F215</f>
        <v>0</v>
      </c>
      <c r="G214" s="96">
        <f t="shared" si="78"/>
        <v>0</v>
      </c>
      <c r="H214" s="96">
        <f t="shared" si="78"/>
        <v>0</v>
      </c>
      <c r="I214" s="96">
        <f t="shared" si="78"/>
        <v>0</v>
      </c>
      <c r="J214" s="96">
        <f t="shared" si="78"/>
        <v>880000</v>
      </c>
      <c r="K214" s="96">
        <f t="shared" si="78"/>
        <v>80000</v>
      </c>
      <c r="L214" s="96">
        <f t="shared" si="78"/>
        <v>0</v>
      </c>
      <c r="M214" s="96">
        <f t="shared" si="78"/>
        <v>0</v>
      </c>
      <c r="N214" s="96">
        <f t="shared" si="78"/>
        <v>800000</v>
      </c>
      <c r="O214" s="96">
        <f t="shared" si="78"/>
        <v>0</v>
      </c>
      <c r="P214" s="96">
        <f t="shared" si="78"/>
        <v>880000</v>
      </c>
      <c r="Q214" s="174"/>
      <c r="R214" s="213"/>
      <c r="S214" s="237"/>
      <c r="T214" s="237"/>
      <c r="U214" s="237"/>
      <c r="V214" s="237"/>
      <c r="W214" s="237"/>
      <c r="X214" s="237"/>
      <c r="Y214" s="237"/>
      <c r="Z214" s="237"/>
      <c r="AA214" s="239"/>
      <c r="AB214" s="239"/>
      <c r="AC214" s="239"/>
      <c r="AD214" s="239"/>
      <c r="AE214" s="239"/>
      <c r="AF214" s="239"/>
      <c r="AG214" s="239"/>
      <c r="AH214" s="239"/>
      <c r="AI214" s="239"/>
      <c r="AJ214" s="239"/>
    </row>
    <row r="215" spans="1:36" s="136" customFormat="1" ht="114.75" customHeight="1">
      <c r="A215" s="137" t="s">
        <v>472</v>
      </c>
      <c r="B215" s="114">
        <v>7691</v>
      </c>
      <c r="C215" s="114" t="s">
        <v>126</v>
      </c>
      <c r="D215" s="92" t="s">
        <v>502</v>
      </c>
      <c r="E215" s="93">
        <f>F215+I215</f>
        <v>0</v>
      </c>
      <c r="F215" s="93"/>
      <c r="G215" s="93"/>
      <c r="H215" s="93"/>
      <c r="I215" s="93"/>
      <c r="J215" s="93">
        <f t="shared" si="74"/>
        <v>880000</v>
      </c>
      <c r="K215" s="93">
        <v>80000</v>
      </c>
      <c r="L215" s="93"/>
      <c r="M215" s="93"/>
      <c r="N215" s="93">
        <v>800000</v>
      </c>
      <c r="O215" s="93"/>
      <c r="P215" s="93">
        <f>E215+J215</f>
        <v>880000</v>
      </c>
      <c r="Q215" s="175"/>
      <c r="R215" s="214"/>
      <c r="S215" s="240"/>
      <c r="T215" s="240"/>
      <c r="U215" s="240"/>
      <c r="V215" s="240"/>
      <c r="W215" s="240"/>
      <c r="X215" s="240"/>
      <c r="Y215" s="240"/>
      <c r="Z215" s="240"/>
      <c r="AA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</row>
    <row r="216" spans="1:36" s="4" customFormat="1" ht="21.75" customHeight="1">
      <c r="A216" s="94" t="s">
        <v>324</v>
      </c>
      <c r="B216" s="94" t="str">
        <f>'дод. 4'!A197</f>
        <v>8320</v>
      </c>
      <c r="C216" s="94" t="str">
        <f>'дод. 4'!B197</f>
        <v>0520</v>
      </c>
      <c r="D216" s="128" t="str">
        <f>'дод. 4'!C197</f>
        <v>Збереження природно-заповідного фонду</v>
      </c>
      <c r="E216" s="96">
        <f>F216+I216</f>
        <v>76600</v>
      </c>
      <c r="F216" s="96">
        <v>76600</v>
      </c>
      <c r="G216" s="96"/>
      <c r="H216" s="96"/>
      <c r="I216" s="96"/>
      <c r="J216" s="96">
        <f t="shared" si="74"/>
        <v>0</v>
      </c>
      <c r="K216" s="96"/>
      <c r="L216" s="96"/>
      <c r="M216" s="96"/>
      <c r="N216" s="96"/>
      <c r="O216" s="96"/>
      <c r="P216" s="96">
        <f>E216+J216</f>
        <v>76600</v>
      </c>
      <c r="Q216" s="174"/>
      <c r="R216" s="213"/>
      <c r="S216" s="237"/>
      <c r="T216" s="237"/>
      <c r="U216" s="237"/>
      <c r="V216" s="237"/>
      <c r="W216" s="237"/>
      <c r="X216" s="237"/>
      <c r="Y216" s="237"/>
      <c r="Z216" s="237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</row>
    <row r="217" spans="1:36" s="4" customFormat="1" ht="22.5" customHeight="1">
      <c r="A217" s="94" t="s">
        <v>325</v>
      </c>
      <c r="B217" s="94" t="str">
        <f>'дод. 4'!A198</f>
        <v>8340</v>
      </c>
      <c r="C217" s="94" t="str">
        <f>'дод. 4'!B198</f>
        <v>0540</v>
      </c>
      <c r="D217" s="128" t="str">
        <f>'дод. 4'!C198</f>
        <v>Природоохоронні заходи за рахунок цільових фондів</v>
      </c>
      <c r="E217" s="96">
        <f>F217+I217</f>
        <v>0</v>
      </c>
      <c r="F217" s="96"/>
      <c r="G217" s="96"/>
      <c r="H217" s="96"/>
      <c r="I217" s="96"/>
      <c r="J217" s="96">
        <f t="shared" si="74"/>
        <v>2251500</v>
      </c>
      <c r="K217" s="96">
        <v>1711500</v>
      </c>
      <c r="L217" s="96"/>
      <c r="M217" s="96"/>
      <c r="N217" s="96">
        <f>1540000-1000000</f>
        <v>540000</v>
      </c>
      <c r="O217" s="96"/>
      <c r="P217" s="96">
        <f>E217+J217</f>
        <v>2251500</v>
      </c>
      <c r="Q217" s="174"/>
      <c r="R217" s="213"/>
      <c r="S217" s="237"/>
      <c r="T217" s="237"/>
      <c r="U217" s="237"/>
      <c r="V217" s="237"/>
      <c r="W217" s="237"/>
      <c r="X217" s="237"/>
      <c r="Y217" s="237"/>
      <c r="Z217" s="237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</row>
    <row r="218" spans="1:36" s="4" customFormat="1" ht="24.75" customHeight="1">
      <c r="A218" s="94" t="s">
        <v>326</v>
      </c>
      <c r="B218" s="94" t="str">
        <f>'дод. 4'!A207</f>
        <v>9770</v>
      </c>
      <c r="C218" s="94" t="str">
        <f>'дод. 4'!B207</f>
        <v>0180</v>
      </c>
      <c r="D218" s="128" t="str">
        <f>'дод. 4'!C207</f>
        <v>Інші субвенції з місцевого бюджету </v>
      </c>
      <c r="E218" s="96">
        <f>F218+I218</f>
        <v>760000</v>
      </c>
      <c r="F218" s="96">
        <v>760000</v>
      </c>
      <c r="G218" s="96"/>
      <c r="H218" s="96"/>
      <c r="I218" s="96"/>
      <c r="J218" s="96">
        <f t="shared" si="74"/>
        <v>1220000</v>
      </c>
      <c r="K218" s="96"/>
      <c r="L218" s="96"/>
      <c r="M218" s="96"/>
      <c r="N218" s="96">
        <v>1220000</v>
      </c>
      <c r="O218" s="96">
        <v>1220000</v>
      </c>
      <c r="P218" s="96">
        <f>E218+J218</f>
        <v>1980000</v>
      </c>
      <c r="Q218" s="174"/>
      <c r="R218" s="213"/>
      <c r="S218" s="237"/>
      <c r="T218" s="237"/>
      <c r="U218" s="237"/>
      <c r="V218" s="237"/>
      <c r="W218" s="237"/>
      <c r="X218" s="237"/>
      <c r="Y218" s="237"/>
      <c r="Z218" s="237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</row>
    <row r="219" spans="1:36" s="131" customFormat="1" ht="28.5" customHeight="1">
      <c r="A219" s="129" t="s">
        <v>52</v>
      </c>
      <c r="B219" s="37"/>
      <c r="C219" s="37"/>
      <c r="D219" s="36" t="s">
        <v>66</v>
      </c>
      <c r="E219" s="47">
        <f>E220</f>
        <v>5004000</v>
      </c>
      <c r="F219" s="47">
        <f aca="true" t="shared" si="79" ref="F219:P219">F220</f>
        <v>5004000</v>
      </c>
      <c r="G219" s="47">
        <f t="shared" si="79"/>
        <v>3515000</v>
      </c>
      <c r="H219" s="47">
        <f t="shared" si="79"/>
        <v>81850</v>
      </c>
      <c r="I219" s="47">
        <f t="shared" si="79"/>
        <v>0</v>
      </c>
      <c r="J219" s="47">
        <f t="shared" si="79"/>
        <v>10000</v>
      </c>
      <c r="K219" s="47">
        <f t="shared" si="79"/>
        <v>0</v>
      </c>
      <c r="L219" s="47">
        <f t="shared" si="79"/>
        <v>0</v>
      </c>
      <c r="M219" s="47">
        <f t="shared" si="79"/>
        <v>0</v>
      </c>
      <c r="N219" s="47">
        <f t="shared" si="79"/>
        <v>10000</v>
      </c>
      <c r="O219" s="47">
        <f t="shared" si="79"/>
        <v>10000</v>
      </c>
      <c r="P219" s="47">
        <f t="shared" si="79"/>
        <v>5014000</v>
      </c>
      <c r="Q219" s="172"/>
      <c r="R219" s="211"/>
      <c r="S219" s="233"/>
      <c r="T219" s="233"/>
      <c r="U219" s="233"/>
      <c r="V219" s="233"/>
      <c r="W219" s="233"/>
      <c r="X219" s="233"/>
      <c r="Y219" s="233"/>
      <c r="Z219" s="233"/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</row>
    <row r="220" spans="1:36" s="134" customFormat="1" ht="33" customHeight="1">
      <c r="A220" s="132" t="s">
        <v>179</v>
      </c>
      <c r="B220" s="146"/>
      <c r="C220" s="146"/>
      <c r="D220" s="145" t="s">
        <v>66</v>
      </c>
      <c r="E220" s="87">
        <f>E221+E222</f>
        <v>5004000</v>
      </c>
      <c r="F220" s="87">
        <f aca="true" t="shared" si="80" ref="F220:P220">F221+F222</f>
        <v>5004000</v>
      </c>
      <c r="G220" s="87">
        <f t="shared" si="80"/>
        <v>3515000</v>
      </c>
      <c r="H220" s="87">
        <f t="shared" si="80"/>
        <v>81850</v>
      </c>
      <c r="I220" s="87">
        <f t="shared" si="80"/>
        <v>0</v>
      </c>
      <c r="J220" s="87">
        <f t="shared" si="80"/>
        <v>10000</v>
      </c>
      <c r="K220" s="87">
        <f t="shared" si="80"/>
        <v>0</v>
      </c>
      <c r="L220" s="87">
        <f t="shared" si="80"/>
        <v>0</v>
      </c>
      <c r="M220" s="87">
        <f t="shared" si="80"/>
        <v>0</v>
      </c>
      <c r="N220" s="87">
        <f t="shared" si="80"/>
        <v>10000</v>
      </c>
      <c r="O220" s="87">
        <f t="shared" si="80"/>
        <v>10000</v>
      </c>
      <c r="P220" s="87">
        <f t="shared" si="80"/>
        <v>5014000</v>
      </c>
      <c r="Q220" s="173"/>
      <c r="R220" s="212"/>
      <c r="S220" s="235"/>
      <c r="T220" s="235"/>
      <c r="U220" s="235"/>
      <c r="V220" s="235"/>
      <c r="W220" s="235"/>
      <c r="X220" s="235"/>
      <c r="Y220" s="235"/>
      <c r="Z220" s="235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</row>
    <row r="221" spans="1:36" s="4" customFormat="1" ht="45">
      <c r="A221" s="88" t="s">
        <v>0</v>
      </c>
      <c r="B221" s="88" t="str">
        <f>'дод. 4'!A14</f>
        <v>0160</v>
      </c>
      <c r="C221" s="88" t="str">
        <f>'дод. 4'!B14</f>
        <v>0111</v>
      </c>
      <c r="D221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1" s="90">
        <f>F221+I221</f>
        <v>4464000</v>
      </c>
      <c r="F221" s="90">
        <f>4516800-52800</f>
        <v>4464000</v>
      </c>
      <c r="G221" s="90">
        <v>3515000</v>
      </c>
      <c r="H221" s="90">
        <v>81850</v>
      </c>
      <c r="I221" s="90"/>
      <c r="J221" s="90">
        <f>K221+N221</f>
        <v>10000</v>
      </c>
      <c r="K221" s="90"/>
      <c r="L221" s="90"/>
      <c r="M221" s="90"/>
      <c r="N221" s="90">
        <f>20000-10000</f>
        <v>10000</v>
      </c>
      <c r="O221" s="90">
        <f>20000-10000</f>
        <v>10000</v>
      </c>
      <c r="P221" s="90">
        <f>E221+J221</f>
        <v>4474000</v>
      </c>
      <c r="Q221" s="174"/>
      <c r="R221" s="213"/>
      <c r="S221" s="237"/>
      <c r="T221" s="237"/>
      <c r="U221" s="237"/>
      <c r="V221" s="237"/>
      <c r="W221" s="237"/>
      <c r="X221" s="237"/>
      <c r="Y221" s="237"/>
      <c r="Z221" s="237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</row>
    <row r="222" spans="1:36" s="4" customFormat="1" ht="30">
      <c r="A222" s="88" t="s">
        <v>404</v>
      </c>
      <c r="B222" s="88" t="str">
        <f>'дод. 4'!A159</f>
        <v>6090</v>
      </c>
      <c r="C222" s="88" t="str">
        <f>'дод. 4'!B159</f>
        <v>0640</v>
      </c>
      <c r="D222" s="124" t="str">
        <f>'дод. 4'!C159</f>
        <v>Інша діяльність у сфері житлово-комунального господарства</v>
      </c>
      <c r="E222" s="90">
        <f>F222+I222</f>
        <v>540000</v>
      </c>
      <c r="F222" s="90">
        <v>540000</v>
      </c>
      <c r="G222" s="90"/>
      <c r="H222" s="90"/>
      <c r="I222" s="90"/>
      <c r="J222" s="90">
        <f>K222+N222</f>
        <v>0</v>
      </c>
      <c r="K222" s="90"/>
      <c r="L222" s="90"/>
      <c r="M222" s="90"/>
      <c r="N222" s="90"/>
      <c r="O222" s="90"/>
      <c r="P222" s="90">
        <f>E222+J222</f>
        <v>540000</v>
      </c>
      <c r="Q222" s="174"/>
      <c r="R222" s="213"/>
      <c r="S222" s="237"/>
      <c r="T222" s="237"/>
      <c r="U222" s="237"/>
      <c r="V222" s="237"/>
      <c r="W222" s="237"/>
      <c r="X222" s="237"/>
      <c r="Y222" s="237"/>
      <c r="Z222" s="237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</row>
    <row r="223" spans="1:36" s="131" customFormat="1" ht="33" customHeight="1">
      <c r="A223" s="129" t="s">
        <v>54</v>
      </c>
      <c r="B223" s="37"/>
      <c r="C223" s="37"/>
      <c r="D223" s="36" t="s">
        <v>65</v>
      </c>
      <c r="E223" s="47">
        <f>E224</f>
        <v>60084906</v>
      </c>
      <c r="F223" s="47">
        <f aca="true" t="shared" si="81" ref="F223:P223">F224</f>
        <v>60084906</v>
      </c>
      <c r="G223" s="47">
        <f t="shared" si="81"/>
        <v>0</v>
      </c>
      <c r="H223" s="47">
        <f t="shared" si="81"/>
        <v>0</v>
      </c>
      <c r="I223" s="47">
        <f t="shared" si="81"/>
        <v>0</v>
      </c>
      <c r="J223" s="47">
        <f t="shared" si="81"/>
        <v>175818048</v>
      </c>
      <c r="K223" s="47">
        <f>K224</f>
        <v>2289048</v>
      </c>
      <c r="L223" s="47">
        <f t="shared" si="81"/>
        <v>1725540</v>
      </c>
      <c r="M223" s="47">
        <f t="shared" si="81"/>
        <v>46200</v>
      </c>
      <c r="N223" s="47">
        <f t="shared" si="81"/>
        <v>173529000</v>
      </c>
      <c r="O223" s="47">
        <f t="shared" si="81"/>
        <v>173179000</v>
      </c>
      <c r="P223" s="47">
        <f t="shared" si="81"/>
        <v>235902954</v>
      </c>
      <c r="Q223" s="172"/>
      <c r="R223" s="211"/>
      <c r="S223" s="233"/>
      <c r="T223" s="233"/>
      <c r="U223" s="233"/>
      <c r="V223" s="233"/>
      <c r="W223" s="233"/>
      <c r="X223" s="233"/>
      <c r="Y223" s="233"/>
      <c r="Z223" s="233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</row>
    <row r="224" spans="1:36" s="134" customFormat="1" ht="38.25" customHeight="1">
      <c r="A224" s="132" t="s">
        <v>55</v>
      </c>
      <c r="B224" s="146"/>
      <c r="C224" s="146"/>
      <c r="D224" s="145" t="s">
        <v>65</v>
      </c>
      <c r="E224" s="87">
        <f aca="true" t="shared" si="82" ref="E224:P224">E225+E226+E227+E229+E230+E234+E237+E235</f>
        <v>60084906</v>
      </c>
      <c r="F224" s="87">
        <f t="shared" si="82"/>
        <v>60084906</v>
      </c>
      <c r="G224" s="87">
        <f t="shared" si="82"/>
        <v>0</v>
      </c>
      <c r="H224" s="87">
        <f t="shared" si="82"/>
        <v>0</v>
      </c>
      <c r="I224" s="87">
        <f t="shared" si="82"/>
        <v>0</v>
      </c>
      <c r="J224" s="87">
        <f t="shared" si="82"/>
        <v>175818048</v>
      </c>
      <c r="K224" s="87">
        <f t="shared" si="82"/>
        <v>2289048</v>
      </c>
      <c r="L224" s="87">
        <f t="shared" si="82"/>
        <v>1725540</v>
      </c>
      <c r="M224" s="87">
        <f t="shared" si="82"/>
        <v>46200</v>
      </c>
      <c r="N224" s="87">
        <f t="shared" si="82"/>
        <v>173529000</v>
      </c>
      <c r="O224" s="87">
        <f t="shared" si="82"/>
        <v>173179000</v>
      </c>
      <c r="P224" s="87">
        <f t="shared" si="82"/>
        <v>235902954</v>
      </c>
      <c r="Q224" s="87"/>
      <c r="R224" s="168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</row>
    <row r="225" spans="1:36" s="4" customFormat="1" ht="45">
      <c r="A225" s="88" t="s">
        <v>221</v>
      </c>
      <c r="B225" s="88" t="str">
        <f>'дод. 4'!A14</f>
        <v>0160</v>
      </c>
      <c r="C225" s="88" t="str">
        <f>'дод. 4'!B14</f>
        <v>0111</v>
      </c>
      <c r="D225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5" s="90">
        <f>F225+I225</f>
        <v>0</v>
      </c>
      <c r="F225" s="90"/>
      <c r="G225" s="90"/>
      <c r="H225" s="90"/>
      <c r="I225" s="90"/>
      <c r="J225" s="90">
        <f>K225+N225</f>
        <v>2600000</v>
      </c>
      <c r="K225" s="90">
        <v>2250000</v>
      </c>
      <c r="L225" s="90">
        <v>1725540</v>
      </c>
      <c r="M225" s="90">
        <v>46200</v>
      </c>
      <c r="N225" s="90">
        <v>350000</v>
      </c>
      <c r="O225" s="90"/>
      <c r="P225" s="90">
        <f>E225+J225</f>
        <v>2600000</v>
      </c>
      <c r="Q225" s="174"/>
      <c r="R225" s="213"/>
      <c r="S225" s="237"/>
      <c r="T225" s="237"/>
      <c r="U225" s="237"/>
      <c r="V225" s="237"/>
      <c r="W225" s="237"/>
      <c r="X225" s="237"/>
      <c r="Y225" s="237"/>
      <c r="Z225" s="237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38"/>
    </row>
    <row r="226" spans="1:36" s="4" customFormat="1" ht="22.5" customHeight="1">
      <c r="A226" s="88" t="s">
        <v>327</v>
      </c>
      <c r="B226" s="88" t="str">
        <f>'дод. 4'!A156</f>
        <v>6030</v>
      </c>
      <c r="C226" s="88" t="str">
        <f>'дод. 4'!B156</f>
        <v>0620</v>
      </c>
      <c r="D226" s="125" t="str">
        <f>'дод. 4'!C156</f>
        <v>Організація благоустрою населених пунктів</v>
      </c>
      <c r="E226" s="90">
        <f>F226+I226</f>
        <v>60000000</v>
      </c>
      <c r="F226" s="90">
        <f>40000000+20000000</f>
        <v>60000000</v>
      </c>
      <c r="G226" s="90"/>
      <c r="H226" s="90"/>
      <c r="I226" s="90"/>
      <c r="J226" s="90">
        <f>K226+N226</f>
        <v>86752000</v>
      </c>
      <c r="K226" s="90"/>
      <c r="L226" s="90"/>
      <c r="M226" s="90"/>
      <c r="N226" s="90">
        <f>60000000+30000000-3248000</f>
        <v>86752000</v>
      </c>
      <c r="O226" s="90">
        <f>60000000+30000000-3248000</f>
        <v>86752000</v>
      </c>
      <c r="P226" s="90">
        <f>E226+J226</f>
        <v>146752000</v>
      </c>
      <c r="Q226" s="174"/>
      <c r="R226" s="213"/>
      <c r="S226" s="237"/>
      <c r="T226" s="249"/>
      <c r="U226" s="237"/>
      <c r="V226" s="237"/>
      <c r="W226" s="237"/>
      <c r="X226" s="237"/>
      <c r="Y226" s="237"/>
      <c r="Z226" s="24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48"/>
    </row>
    <row r="227" spans="1:37" s="4" customFormat="1" ht="24" customHeight="1">
      <c r="A227" s="98" t="s">
        <v>328</v>
      </c>
      <c r="B227" s="98" t="str">
        <f>'дод. 4'!A157</f>
        <v>6080</v>
      </c>
      <c r="C227" s="98">
        <f>'дод. 4'!B157</f>
        <v>0</v>
      </c>
      <c r="D227" s="150" t="str">
        <f>'дод. 4'!C157</f>
        <v>Реалізація державних та місцевих житлових програм </v>
      </c>
      <c r="E227" s="90">
        <f>E228</f>
        <v>84906</v>
      </c>
      <c r="F227" s="90">
        <f aca="true" t="shared" si="83" ref="F227:P227">F228</f>
        <v>84906</v>
      </c>
      <c r="G227" s="90">
        <f t="shared" si="83"/>
        <v>0</v>
      </c>
      <c r="H227" s="90">
        <f t="shared" si="83"/>
        <v>0</v>
      </c>
      <c r="I227" s="90">
        <f t="shared" si="83"/>
        <v>0</v>
      </c>
      <c r="J227" s="90">
        <f t="shared" si="83"/>
        <v>39048</v>
      </c>
      <c r="K227" s="90">
        <f>K228</f>
        <v>39048</v>
      </c>
      <c r="L227" s="90">
        <f t="shared" si="83"/>
        <v>0</v>
      </c>
      <c r="M227" s="90">
        <f t="shared" si="83"/>
        <v>0</v>
      </c>
      <c r="N227" s="90">
        <f t="shared" si="83"/>
        <v>0</v>
      </c>
      <c r="O227" s="90">
        <f t="shared" si="83"/>
        <v>0</v>
      </c>
      <c r="P227" s="90">
        <f t="shared" si="83"/>
        <v>123954</v>
      </c>
      <c r="Q227" s="174"/>
      <c r="R227" s="213"/>
      <c r="S227" s="237"/>
      <c r="T227" s="237"/>
      <c r="U227" s="237"/>
      <c r="V227" s="237"/>
      <c r="W227" s="237"/>
      <c r="X227" s="237"/>
      <c r="Y227" s="237"/>
      <c r="Z227" s="237"/>
      <c r="AA227" s="239"/>
      <c r="AB227" s="239"/>
      <c r="AC227" s="239"/>
      <c r="AD227" s="239"/>
      <c r="AE227" s="239"/>
      <c r="AF227" s="239"/>
      <c r="AG227" s="239"/>
      <c r="AH227" s="239"/>
      <c r="AI227" s="239"/>
      <c r="AJ227" s="239"/>
      <c r="AK227" s="219"/>
    </row>
    <row r="228" spans="1:36" s="136" customFormat="1" ht="68.25" customHeight="1">
      <c r="A228" s="91" t="s">
        <v>329</v>
      </c>
      <c r="B228" s="91" t="str">
        <f>'дод. 4'!A158</f>
        <v>6084</v>
      </c>
      <c r="C228" s="91" t="str">
        <f>'дод. 4'!B158</f>
        <v>0610</v>
      </c>
      <c r="D228" s="121" t="str">
        <f>'дод. 4'!C158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8" s="93">
        <f>F228+I228</f>
        <v>84906</v>
      </c>
      <c r="F228" s="93">
        <v>84906</v>
      </c>
      <c r="G228" s="93"/>
      <c r="H228" s="93"/>
      <c r="I228" s="93"/>
      <c r="J228" s="93">
        <f>K228+N228</f>
        <v>39048</v>
      </c>
      <c r="K228" s="93">
        <v>39048</v>
      </c>
      <c r="L228" s="93"/>
      <c r="M228" s="93"/>
      <c r="N228" s="93"/>
      <c r="O228" s="93"/>
      <c r="P228" s="93">
        <f>E228+J228</f>
        <v>123954</v>
      </c>
      <c r="Q228" s="175"/>
      <c r="R228" s="214"/>
      <c r="S228" s="240"/>
      <c r="T228" s="240"/>
      <c r="U228" s="240"/>
      <c r="V228" s="240"/>
      <c r="W228" s="240"/>
      <c r="X228" s="240"/>
      <c r="Y228" s="240"/>
      <c r="Z228" s="240"/>
      <c r="AA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</row>
    <row r="229" spans="1:36" s="4" customFormat="1" ht="36" customHeight="1">
      <c r="A229" s="88" t="s">
        <v>428</v>
      </c>
      <c r="B229" s="88" t="str">
        <f>'дод. 4'!A164</f>
        <v>7310</v>
      </c>
      <c r="C229" s="88" t="str">
        <f>'дод. 4'!B164</f>
        <v>0443</v>
      </c>
      <c r="D229" s="124" t="str">
        <f>'дод. 4'!C164</f>
        <v>Будівництво об'єктів житлово-комунального господарства</v>
      </c>
      <c r="E229" s="90">
        <f>F229+I229</f>
        <v>0</v>
      </c>
      <c r="F229" s="90"/>
      <c r="G229" s="90"/>
      <c r="H229" s="90"/>
      <c r="I229" s="90"/>
      <c r="J229" s="90">
        <f>K229+N229</f>
        <v>9900000</v>
      </c>
      <c r="K229" s="90"/>
      <c r="L229" s="90"/>
      <c r="M229" s="90"/>
      <c r="N229" s="90">
        <v>9900000</v>
      </c>
      <c r="O229" s="90">
        <v>9900000</v>
      </c>
      <c r="P229" s="90">
        <f>E229+J229</f>
        <v>9900000</v>
      </c>
      <c r="Q229" s="174"/>
      <c r="R229" s="213"/>
      <c r="S229" s="237"/>
      <c r="T229" s="237"/>
      <c r="U229" s="237"/>
      <c r="V229" s="237"/>
      <c r="W229" s="237"/>
      <c r="X229" s="237"/>
      <c r="Y229" s="237"/>
      <c r="Z229" s="24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48"/>
    </row>
    <row r="230" spans="1:36" s="4" customFormat="1" ht="36" customHeight="1">
      <c r="A230" s="88" t="s">
        <v>429</v>
      </c>
      <c r="B230" s="88" t="str">
        <f>'дод. 4'!A165</f>
        <v>7320</v>
      </c>
      <c r="C230" s="88" t="str">
        <f>'дод. 4'!B165</f>
        <v>0443</v>
      </c>
      <c r="D230" s="124" t="str">
        <f>'дод. 4'!C165</f>
        <v>Будівництво об'єктів соціально-культурного призначення</v>
      </c>
      <c r="E230" s="90">
        <f>E231+E232+E233</f>
        <v>0</v>
      </c>
      <c r="F230" s="90">
        <f aca="true" t="shared" si="84" ref="F230:P230">F231+F232+F233</f>
        <v>0</v>
      </c>
      <c r="G230" s="90">
        <f t="shared" si="84"/>
        <v>0</v>
      </c>
      <c r="H230" s="90">
        <f t="shared" si="84"/>
        <v>0</v>
      </c>
      <c r="I230" s="90">
        <f t="shared" si="84"/>
        <v>0</v>
      </c>
      <c r="J230" s="90">
        <f t="shared" si="84"/>
        <v>24741000</v>
      </c>
      <c r="K230" s="90">
        <f t="shared" si="84"/>
        <v>0</v>
      </c>
      <c r="L230" s="90">
        <f t="shared" si="84"/>
        <v>0</v>
      </c>
      <c r="M230" s="90">
        <f t="shared" si="84"/>
        <v>0</v>
      </c>
      <c r="N230" s="90">
        <f t="shared" si="84"/>
        <v>24741000</v>
      </c>
      <c r="O230" s="90">
        <f t="shared" si="84"/>
        <v>24741000</v>
      </c>
      <c r="P230" s="90">
        <f t="shared" si="84"/>
        <v>24741000</v>
      </c>
      <c r="Q230" s="174"/>
      <c r="R230" s="213"/>
      <c r="S230" s="237"/>
      <c r="T230" s="237"/>
      <c r="U230" s="237"/>
      <c r="V230" s="237"/>
      <c r="W230" s="237"/>
      <c r="X230" s="237"/>
      <c r="Y230" s="237"/>
      <c r="Z230" s="237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39"/>
    </row>
    <row r="231" spans="1:36" s="136" customFormat="1" ht="25.5" customHeight="1">
      <c r="A231" s="91" t="s">
        <v>431</v>
      </c>
      <c r="B231" s="91" t="str">
        <f>'дод. 4'!A166</f>
        <v>7321</v>
      </c>
      <c r="C231" s="91" t="str">
        <f>'дод. 4'!B166</f>
        <v>0443</v>
      </c>
      <c r="D231" s="121" t="str">
        <f>'дод. 4'!C166</f>
        <v>Будівництво освітніх установ та закладів</v>
      </c>
      <c r="E231" s="93">
        <f>F231+I231</f>
        <v>0</v>
      </c>
      <c r="F231" s="93"/>
      <c r="G231" s="93"/>
      <c r="H231" s="93"/>
      <c r="I231" s="93"/>
      <c r="J231" s="93">
        <f>K231+N231</f>
        <v>10741000</v>
      </c>
      <c r="K231" s="93"/>
      <c r="L231" s="93"/>
      <c r="M231" s="93"/>
      <c r="N231" s="93">
        <f>3741000+7000000</f>
        <v>10741000</v>
      </c>
      <c r="O231" s="93">
        <f>3741000+7000000</f>
        <v>10741000</v>
      </c>
      <c r="P231" s="93">
        <f>E231+J231</f>
        <v>10741000</v>
      </c>
      <c r="Q231" s="175"/>
      <c r="R231" s="214"/>
      <c r="S231" s="240"/>
      <c r="T231" s="240"/>
      <c r="U231" s="240"/>
      <c r="V231" s="240"/>
      <c r="W231" s="240"/>
      <c r="X231" s="240"/>
      <c r="Y231" s="240"/>
      <c r="Z231" s="240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2"/>
    </row>
    <row r="232" spans="1:36" s="136" customFormat="1" ht="25.5" customHeight="1">
      <c r="A232" s="91" t="s">
        <v>433</v>
      </c>
      <c r="B232" s="91" t="str">
        <f>'дод. 4'!A167</f>
        <v>7322</v>
      </c>
      <c r="C232" s="91" t="str">
        <f>'дод. 4'!B167</f>
        <v>0443</v>
      </c>
      <c r="D232" s="121" t="str">
        <f>'дод. 4'!C167</f>
        <v>Будівництво медичних установ та закладів</v>
      </c>
      <c r="E232" s="93">
        <f>F232+I232</f>
        <v>0</v>
      </c>
      <c r="F232" s="93"/>
      <c r="G232" s="93"/>
      <c r="H232" s="93"/>
      <c r="I232" s="93"/>
      <c r="J232" s="93">
        <f>K232+N232</f>
        <v>5500000</v>
      </c>
      <c r="K232" s="93"/>
      <c r="L232" s="93"/>
      <c r="M232" s="93"/>
      <c r="N232" s="93">
        <v>5500000</v>
      </c>
      <c r="O232" s="93">
        <v>5500000</v>
      </c>
      <c r="P232" s="93">
        <f>E232+J232</f>
        <v>5500000</v>
      </c>
      <c r="Q232" s="175"/>
      <c r="R232" s="214"/>
      <c r="S232" s="240"/>
      <c r="T232" s="240"/>
      <c r="U232" s="240"/>
      <c r="V232" s="240"/>
      <c r="W232" s="240"/>
      <c r="X232" s="240"/>
      <c r="Y232" s="240"/>
      <c r="Z232" s="240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</row>
    <row r="233" spans="1:36" s="136" customFormat="1" ht="36" customHeight="1">
      <c r="A233" s="91" t="s">
        <v>435</v>
      </c>
      <c r="B233" s="91" t="str">
        <f>'дод. 4'!A168</f>
        <v>7325</v>
      </c>
      <c r="C233" s="91" t="str">
        <f>'дод. 4'!B168</f>
        <v>0443</v>
      </c>
      <c r="D233" s="121" t="str">
        <f>'дод. 4'!C168</f>
        <v>Будівництво споруд, установ та закладів фізичної культури і спорту</v>
      </c>
      <c r="E233" s="93">
        <f>F233+I233</f>
        <v>0</v>
      </c>
      <c r="F233" s="93"/>
      <c r="G233" s="93"/>
      <c r="H233" s="93"/>
      <c r="I233" s="93"/>
      <c r="J233" s="93">
        <f>K233+N233</f>
        <v>8500000</v>
      </c>
      <c r="K233" s="93"/>
      <c r="L233" s="93"/>
      <c r="M233" s="93"/>
      <c r="N233" s="93">
        <v>8500000</v>
      </c>
      <c r="O233" s="93">
        <v>8500000</v>
      </c>
      <c r="P233" s="93">
        <f>E233+J233</f>
        <v>8500000</v>
      </c>
      <c r="Q233" s="175"/>
      <c r="R233" s="214"/>
      <c r="S233" s="240"/>
      <c r="T233" s="240"/>
      <c r="U233" s="240"/>
      <c r="V233" s="240"/>
      <c r="W233" s="240"/>
      <c r="X233" s="240"/>
      <c r="Y233" s="240"/>
      <c r="Z233" s="240"/>
      <c r="AA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</row>
    <row r="234" spans="1:36" s="4" customFormat="1" ht="36" customHeight="1">
      <c r="A234" s="88" t="s">
        <v>437</v>
      </c>
      <c r="B234" s="88" t="str">
        <f>'дод. 4'!A169</f>
        <v>7330</v>
      </c>
      <c r="C234" s="88" t="str">
        <f>'дод. 4'!B169</f>
        <v>0443</v>
      </c>
      <c r="D234" s="124" t="str">
        <f>'дод. 4'!C169</f>
        <v>Будівництво інших об'єктів соціальної та виробничої інфраструктури комунальної власності</v>
      </c>
      <c r="E234" s="90">
        <f>F234+I234</f>
        <v>0</v>
      </c>
      <c r="F234" s="90"/>
      <c r="G234" s="90"/>
      <c r="H234" s="90"/>
      <c r="I234" s="90"/>
      <c r="J234" s="90">
        <f>K234+N234</f>
        <v>31229000</v>
      </c>
      <c r="K234" s="90"/>
      <c r="L234" s="90"/>
      <c r="M234" s="90"/>
      <c r="N234" s="90">
        <f>30359000+870000</f>
        <v>31229000</v>
      </c>
      <c r="O234" s="90">
        <f>30359000+870000</f>
        <v>31229000</v>
      </c>
      <c r="P234" s="90">
        <f>E234+J234</f>
        <v>31229000</v>
      </c>
      <c r="Q234" s="174"/>
      <c r="R234" s="213"/>
      <c r="S234" s="237"/>
      <c r="T234" s="237"/>
      <c r="U234" s="237"/>
      <c r="V234" s="237"/>
      <c r="W234" s="237"/>
      <c r="X234" s="237"/>
      <c r="Y234" s="237"/>
      <c r="Z234" s="237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</row>
    <row r="235" spans="1:36" s="4" customFormat="1" ht="36" customHeight="1">
      <c r="A235" s="88" t="s">
        <v>590</v>
      </c>
      <c r="B235" s="88" t="str">
        <f>'дод. 4'!A174</f>
        <v>7420</v>
      </c>
      <c r="C235" s="88">
        <f>'дод. 4'!B174</f>
        <v>0</v>
      </c>
      <c r="D235" s="124" t="str">
        <f>'дод. 4'!C174</f>
        <v>Забезпечення надання послуг з перевезення пасажирів електротранспортом</v>
      </c>
      <c r="E235" s="90">
        <f aca="true" t="shared" si="85" ref="E235:P235">E236</f>
        <v>0</v>
      </c>
      <c r="F235" s="90">
        <f t="shared" si="85"/>
        <v>0</v>
      </c>
      <c r="G235" s="90">
        <f t="shared" si="85"/>
        <v>0</v>
      </c>
      <c r="H235" s="90">
        <f t="shared" si="85"/>
        <v>0</v>
      </c>
      <c r="I235" s="90">
        <f t="shared" si="85"/>
        <v>0</v>
      </c>
      <c r="J235" s="90">
        <f t="shared" si="85"/>
        <v>2000000</v>
      </c>
      <c r="K235" s="90">
        <f t="shared" si="85"/>
        <v>0</v>
      </c>
      <c r="L235" s="90">
        <f t="shared" si="85"/>
        <v>0</v>
      </c>
      <c r="M235" s="90">
        <f t="shared" si="85"/>
        <v>0</v>
      </c>
      <c r="N235" s="90">
        <f t="shared" si="85"/>
        <v>2000000</v>
      </c>
      <c r="O235" s="90">
        <f t="shared" si="85"/>
        <v>2000000</v>
      </c>
      <c r="P235" s="90">
        <f t="shared" si="85"/>
        <v>2000000</v>
      </c>
      <c r="Q235" s="90"/>
      <c r="R235" s="169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</row>
    <row r="236" spans="1:36" s="136" customFormat="1" ht="24" customHeight="1">
      <c r="A236" s="91" t="s">
        <v>591</v>
      </c>
      <c r="B236" s="91" t="str">
        <f>'дод. 4'!A176</f>
        <v>7426</v>
      </c>
      <c r="C236" s="91" t="str">
        <f>'дод. 4'!B176</f>
        <v>0453</v>
      </c>
      <c r="D236" s="121" t="str">
        <f>'дод. 4'!C176</f>
        <v>Інші заходи у сфері електротранспорту</v>
      </c>
      <c r="E236" s="93">
        <f>F236+I236</f>
        <v>0</v>
      </c>
      <c r="F236" s="93"/>
      <c r="G236" s="93"/>
      <c r="H236" s="93"/>
      <c r="I236" s="93"/>
      <c r="J236" s="93">
        <f>K236+N236</f>
        <v>2000000</v>
      </c>
      <c r="K236" s="93"/>
      <c r="L236" s="93"/>
      <c r="M236" s="93"/>
      <c r="N236" s="93">
        <v>2000000</v>
      </c>
      <c r="O236" s="93">
        <v>2000000</v>
      </c>
      <c r="P236" s="93">
        <f>E236+J236</f>
        <v>2000000</v>
      </c>
      <c r="Q236" s="175"/>
      <c r="R236" s="214"/>
      <c r="S236" s="240"/>
      <c r="T236" s="240"/>
      <c r="U236" s="240"/>
      <c r="V236" s="240"/>
      <c r="W236" s="240"/>
      <c r="X236" s="240"/>
      <c r="Y236" s="240"/>
      <c r="Z236" s="240"/>
      <c r="AA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</row>
    <row r="237" spans="1:36" s="4" customFormat="1" ht="28.5" customHeight="1">
      <c r="A237" s="94" t="s">
        <v>234</v>
      </c>
      <c r="B237" s="94" t="str">
        <f>'дод. 4'!A182</f>
        <v>7640</v>
      </c>
      <c r="C237" s="94" t="str">
        <f>'дод. 4'!B182</f>
        <v>0470</v>
      </c>
      <c r="D237" s="128" t="str">
        <f>'дод. 4'!C182</f>
        <v>Заходи з енергозбереження</v>
      </c>
      <c r="E237" s="96">
        <f>F237+I237</f>
        <v>0</v>
      </c>
      <c r="F237" s="96"/>
      <c r="G237" s="96"/>
      <c r="H237" s="96"/>
      <c r="I237" s="96"/>
      <c r="J237" s="96">
        <f>K237+N237</f>
        <v>18557000</v>
      </c>
      <c r="K237" s="96"/>
      <c r="L237" s="96"/>
      <c r="M237" s="96"/>
      <c r="N237" s="96">
        <v>18557000</v>
      </c>
      <c r="O237" s="96">
        <v>18557000</v>
      </c>
      <c r="P237" s="96">
        <f>E237+J237</f>
        <v>18557000</v>
      </c>
      <c r="Q237" s="174"/>
      <c r="R237" s="213"/>
      <c r="S237" s="237"/>
      <c r="T237" s="237"/>
      <c r="U237" s="237"/>
      <c r="V237" s="237"/>
      <c r="W237" s="237"/>
      <c r="X237" s="237"/>
      <c r="Y237" s="237"/>
      <c r="Z237" s="24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48"/>
    </row>
    <row r="238" spans="1:36" s="134" customFormat="1" ht="28.5">
      <c r="A238" s="129" t="s">
        <v>330</v>
      </c>
      <c r="B238" s="37"/>
      <c r="C238" s="37"/>
      <c r="D238" s="36" t="s">
        <v>72</v>
      </c>
      <c r="E238" s="47">
        <f>E239</f>
        <v>6329600</v>
      </c>
      <c r="F238" s="47">
        <f aca="true" t="shared" si="86" ref="F238:P238">F239</f>
        <v>6329600</v>
      </c>
      <c r="G238" s="47">
        <f t="shared" si="86"/>
        <v>4858230</v>
      </c>
      <c r="H238" s="47">
        <f t="shared" si="86"/>
        <v>81200</v>
      </c>
      <c r="I238" s="47">
        <f t="shared" si="86"/>
        <v>0</v>
      </c>
      <c r="J238" s="47">
        <f t="shared" si="86"/>
        <v>341539</v>
      </c>
      <c r="K238" s="47">
        <f t="shared" si="86"/>
        <v>341539</v>
      </c>
      <c r="L238" s="47">
        <f t="shared" si="86"/>
        <v>0</v>
      </c>
      <c r="M238" s="47">
        <f t="shared" si="86"/>
        <v>0</v>
      </c>
      <c r="N238" s="47">
        <f t="shared" si="86"/>
        <v>0</v>
      </c>
      <c r="O238" s="47">
        <f t="shared" si="86"/>
        <v>0</v>
      </c>
      <c r="P238" s="47">
        <f t="shared" si="86"/>
        <v>6671139</v>
      </c>
      <c r="Q238" s="172"/>
      <c r="R238" s="211"/>
      <c r="S238" s="233"/>
      <c r="T238" s="233"/>
      <c r="U238" s="233"/>
      <c r="V238" s="233"/>
      <c r="W238" s="233"/>
      <c r="X238" s="233"/>
      <c r="Y238" s="233"/>
      <c r="Z238" s="233"/>
      <c r="AA238" s="234"/>
      <c r="AB238" s="234"/>
      <c r="AC238" s="234"/>
      <c r="AD238" s="234"/>
      <c r="AE238" s="234"/>
      <c r="AF238" s="234"/>
      <c r="AG238" s="234"/>
      <c r="AH238" s="234"/>
      <c r="AI238" s="234"/>
      <c r="AJ238" s="234"/>
    </row>
    <row r="239" spans="1:37" s="134" customFormat="1" ht="30">
      <c r="A239" s="132" t="s">
        <v>331</v>
      </c>
      <c r="B239" s="146"/>
      <c r="C239" s="146"/>
      <c r="D239" s="145" t="s">
        <v>72</v>
      </c>
      <c r="E239" s="87">
        <f>E240+E242+E241</f>
        <v>6329600</v>
      </c>
      <c r="F239" s="87">
        <f aca="true" t="shared" si="87" ref="F239:P239">F240+F242+F241</f>
        <v>6329600</v>
      </c>
      <c r="G239" s="87">
        <f t="shared" si="87"/>
        <v>4858230</v>
      </c>
      <c r="H239" s="87">
        <f t="shared" si="87"/>
        <v>81200</v>
      </c>
      <c r="I239" s="87">
        <f t="shared" si="87"/>
        <v>0</v>
      </c>
      <c r="J239" s="87">
        <f t="shared" si="87"/>
        <v>341539</v>
      </c>
      <c r="K239" s="87">
        <f t="shared" si="87"/>
        <v>341539</v>
      </c>
      <c r="L239" s="87">
        <f t="shared" si="87"/>
        <v>0</v>
      </c>
      <c r="M239" s="87">
        <f t="shared" si="87"/>
        <v>0</v>
      </c>
      <c r="N239" s="87">
        <f t="shared" si="87"/>
        <v>0</v>
      </c>
      <c r="O239" s="87">
        <f t="shared" si="87"/>
        <v>0</v>
      </c>
      <c r="P239" s="87">
        <f t="shared" si="87"/>
        <v>6671139</v>
      </c>
      <c r="Q239" s="173"/>
      <c r="R239" s="212"/>
      <c r="S239" s="235"/>
      <c r="T239" s="235"/>
      <c r="U239" s="235"/>
      <c r="V239" s="235"/>
      <c r="W239" s="235"/>
      <c r="X239" s="235"/>
      <c r="Y239" s="235"/>
      <c r="Z239" s="235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20"/>
    </row>
    <row r="240" spans="1:36" s="4" customFormat="1" ht="45">
      <c r="A240" s="88" t="s">
        <v>332</v>
      </c>
      <c r="B240" s="88" t="str">
        <f>'дод. 4'!A14</f>
        <v>0160</v>
      </c>
      <c r="C240" s="88" t="str">
        <f>'дод. 4'!B14</f>
        <v>0111</v>
      </c>
      <c r="D240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0" s="90">
        <f>F240+I240</f>
        <v>6179600</v>
      </c>
      <c r="F240" s="90">
        <f>6208400-28800</f>
        <v>6179600</v>
      </c>
      <c r="G240" s="90">
        <v>4858230</v>
      </c>
      <c r="H240" s="90">
        <v>81200</v>
      </c>
      <c r="I240" s="90"/>
      <c r="J240" s="90">
        <f>K240+N240</f>
        <v>0</v>
      </c>
      <c r="K240" s="90"/>
      <c r="L240" s="90"/>
      <c r="M240" s="90"/>
      <c r="N240" s="90">
        <f>20000-20000</f>
        <v>0</v>
      </c>
      <c r="O240" s="90">
        <f>20000-20000</f>
        <v>0</v>
      </c>
      <c r="P240" s="90">
        <f>E240+J240</f>
        <v>6179600</v>
      </c>
      <c r="Q240" s="174"/>
      <c r="R240" s="213"/>
      <c r="S240" s="237"/>
      <c r="T240" s="237"/>
      <c r="U240" s="237"/>
      <c r="V240" s="237"/>
      <c r="W240" s="237"/>
      <c r="X240" s="237"/>
      <c r="Y240" s="237"/>
      <c r="Z240" s="237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</row>
    <row r="241" spans="1:36" s="4" customFormat="1" ht="32.25" customHeight="1">
      <c r="A241" s="88" t="s">
        <v>491</v>
      </c>
      <c r="B241" s="182" t="str">
        <f>'дод. 4'!A159</f>
        <v>6090</v>
      </c>
      <c r="C241" s="182" t="str">
        <f>'дод. 4'!B159</f>
        <v>0640</v>
      </c>
      <c r="D241" s="124" t="str">
        <f>'дод. 4'!C159</f>
        <v>Інша діяльність у сфері житлово-комунального господарства</v>
      </c>
      <c r="E241" s="90">
        <f>F241+I241</f>
        <v>150000</v>
      </c>
      <c r="F241" s="90">
        <v>150000</v>
      </c>
      <c r="G241" s="90"/>
      <c r="H241" s="90"/>
      <c r="I241" s="90"/>
      <c r="J241" s="90">
        <f>K241+N241</f>
        <v>0</v>
      </c>
      <c r="K241" s="90"/>
      <c r="L241" s="90"/>
      <c r="M241" s="90"/>
      <c r="N241" s="90"/>
      <c r="O241" s="90"/>
      <c r="P241" s="90">
        <f>E241+J241</f>
        <v>150000</v>
      </c>
      <c r="Q241" s="174"/>
      <c r="R241" s="213"/>
      <c r="S241" s="237"/>
      <c r="T241" s="237"/>
      <c r="U241" s="237"/>
      <c r="V241" s="237"/>
      <c r="W241" s="237"/>
      <c r="X241" s="237"/>
      <c r="Y241" s="237"/>
      <c r="Z241" s="237">
        <f>O241*$Z$10</f>
        <v>0</v>
      </c>
      <c r="AA241" s="238">
        <f>AB241+AC241+AD241</f>
        <v>0</v>
      </c>
      <c r="AB241" s="238">
        <f>R241*$AB$10</f>
        <v>0</v>
      </c>
      <c r="AC241" s="238">
        <f>S241*$AC$10</f>
        <v>0</v>
      </c>
      <c r="AD241" s="238">
        <f>T241*$AD$10</f>
        <v>0</v>
      </c>
      <c r="AE241" s="238">
        <f>AF241+AG241+AH241+AI241+AJ241</f>
        <v>0</v>
      </c>
      <c r="AF241" s="238"/>
      <c r="AG241" s="238"/>
      <c r="AH241" s="238"/>
      <c r="AI241" s="238"/>
      <c r="AJ241" s="238">
        <f>Z241*$AJ$10</f>
        <v>0</v>
      </c>
    </row>
    <row r="242" spans="1:36" s="4" customFormat="1" ht="18.75" customHeight="1">
      <c r="A242" s="98" t="s">
        <v>333</v>
      </c>
      <c r="B242" s="98" t="str">
        <f>'дод. 4'!A187</f>
        <v>7690</v>
      </c>
      <c r="C242" s="98">
        <f>'дод. 4'!B187</f>
        <v>0</v>
      </c>
      <c r="D242" s="150" t="str">
        <f>'дод. 4'!C187</f>
        <v>Інша економічна діяльність</v>
      </c>
      <c r="E242" s="90">
        <f>E243</f>
        <v>0</v>
      </c>
      <c r="F242" s="90">
        <f aca="true" t="shared" si="88" ref="F242:P242">F243</f>
        <v>0</v>
      </c>
      <c r="G242" s="90">
        <f t="shared" si="88"/>
        <v>0</v>
      </c>
      <c r="H242" s="90">
        <f t="shared" si="88"/>
        <v>0</v>
      </c>
      <c r="I242" s="90">
        <f t="shared" si="88"/>
        <v>0</v>
      </c>
      <c r="J242" s="90">
        <f t="shared" si="88"/>
        <v>341539</v>
      </c>
      <c r="K242" s="90">
        <f t="shared" si="88"/>
        <v>341539</v>
      </c>
      <c r="L242" s="90">
        <f t="shared" si="88"/>
        <v>0</v>
      </c>
      <c r="M242" s="90">
        <f t="shared" si="88"/>
        <v>0</v>
      </c>
      <c r="N242" s="90">
        <f t="shared" si="88"/>
        <v>0</v>
      </c>
      <c r="O242" s="90">
        <f t="shared" si="88"/>
        <v>0</v>
      </c>
      <c r="P242" s="90">
        <f t="shared" si="88"/>
        <v>341539</v>
      </c>
      <c r="Q242" s="174"/>
      <c r="R242" s="213"/>
      <c r="S242" s="237"/>
      <c r="T242" s="237"/>
      <c r="U242" s="237"/>
      <c r="V242" s="237"/>
      <c r="W242" s="237"/>
      <c r="X242" s="237"/>
      <c r="Y242" s="237"/>
      <c r="Z242" s="237"/>
      <c r="AA242" s="239"/>
      <c r="AB242" s="239"/>
      <c r="AC242" s="239"/>
      <c r="AD242" s="239"/>
      <c r="AE242" s="239"/>
      <c r="AF242" s="239"/>
      <c r="AG242" s="239"/>
      <c r="AH242" s="239"/>
      <c r="AI242" s="239"/>
      <c r="AJ242" s="239"/>
    </row>
    <row r="243" spans="1:36" s="136" customFormat="1" ht="140.25" customHeight="1">
      <c r="A243" s="137" t="s">
        <v>471</v>
      </c>
      <c r="B243" s="185" t="str">
        <f>'дод. 4'!A188</f>
        <v>7691</v>
      </c>
      <c r="C243" s="185" t="str">
        <f>'дод. 4'!B188</f>
        <v>0490</v>
      </c>
      <c r="D243" s="14" t="s">
        <v>502</v>
      </c>
      <c r="E243" s="93">
        <f>F243+I243</f>
        <v>0</v>
      </c>
      <c r="F243" s="93"/>
      <c r="G243" s="93"/>
      <c r="H243" s="93"/>
      <c r="I243" s="93"/>
      <c r="J243" s="93">
        <f>K243+N243</f>
        <v>341539</v>
      </c>
      <c r="K243" s="93">
        <v>341539</v>
      </c>
      <c r="L243" s="93"/>
      <c r="M243" s="93"/>
      <c r="N243" s="93"/>
      <c r="O243" s="93"/>
      <c r="P243" s="93">
        <f>E243+J243</f>
        <v>341539</v>
      </c>
      <c r="Q243" s="175"/>
      <c r="R243" s="214"/>
      <c r="S243" s="240"/>
      <c r="T243" s="240"/>
      <c r="U243" s="240"/>
      <c r="V243" s="240"/>
      <c r="W243" s="240"/>
      <c r="X243" s="240"/>
      <c r="Y243" s="240"/>
      <c r="Z243" s="240"/>
      <c r="AA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</row>
    <row r="244" spans="1:36" s="134" customFormat="1" ht="36.75" customHeight="1">
      <c r="A244" s="129" t="s">
        <v>336</v>
      </c>
      <c r="B244" s="37"/>
      <c r="C244" s="37"/>
      <c r="D244" s="36" t="s">
        <v>75</v>
      </c>
      <c r="E244" s="47">
        <f>E245</f>
        <v>3506700</v>
      </c>
      <c r="F244" s="47">
        <f aca="true" t="shared" si="89" ref="F244:P245">F245</f>
        <v>3506700</v>
      </c>
      <c r="G244" s="47">
        <f t="shared" si="89"/>
        <v>2745200</v>
      </c>
      <c r="H244" s="47">
        <f t="shared" si="89"/>
        <v>36300</v>
      </c>
      <c r="I244" s="47">
        <f t="shared" si="89"/>
        <v>0</v>
      </c>
      <c r="J244" s="47">
        <f t="shared" si="89"/>
        <v>40000</v>
      </c>
      <c r="K244" s="47">
        <f t="shared" si="89"/>
        <v>0</v>
      </c>
      <c r="L244" s="47">
        <f t="shared" si="89"/>
        <v>0</v>
      </c>
      <c r="M244" s="47">
        <f t="shared" si="89"/>
        <v>0</v>
      </c>
      <c r="N244" s="47">
        <f t="shared" si="89"/>
        <v>40000</v>
      </c>
      <c r="O244" s="47">
        <f t="shared" si="89"/>
        <v>40000</v>
      </c>
      <c r="P244" s="47">
        <f t="shared" si="89"/>
        <v>3546700</v>
      </c>
      <c r="Q244" s="172"/>
      <c r="R244" s="211"/>
      <c r="S244" s="233"/>
      <c r="T244" s="233"/>
      <c r="U244" s="233"/>
      <c r="V244" s="233"/>
      <c r="W244" s="233"/>
      <c r="X244" s="233"/>
      <c r="Y244" s="233"/>
      <c r="Z244" s="233"/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</row>
    <row r="245" spans="1:36" s="134" customFormat="1" ht="41.25" customHeight="1">
      <c r="A245" s="132" t="s">
        <v>334</v>
      </c>
      <c r="B245" s="146"/>
      <c r="C245" s="146"/>
      <c r="D245" s="145" t="s">
        <v>75</v>
      </c>
      <c r="E245" s="87">
        <f>E246</f>
        <v>3506700</v>
      </c>
      <c r="F245" s="87">
        <f t="shared" si="89"/>
        <v>3506700</v>
      </c>
      <c r="G245" s="87">
        <f t="shared" si="89"/>
        <v>2745200</v>
      </c>
      <c r="H245" s="87">
        <f t="shared" si="89"/>
        <v>36300</v>
      </c>
      <c r="I245" s="87">
        <f t="shared" si="89"/>
        <v>0</v>
      </c>
      <c r="J245" s="87">
        <f t="shared" si="89"/>
        <v>40000</v>
      </c>
      <c r="K245" s="87">
        <f t="shared" si="89"/>
        <v>0</v>
      </c>
      <c r="L245" s="87">
        <f t="shared" si="89"/>
        <v>0</v>
      </c>
      <c r="M245" s="87">
        <f t="shared" si="89"/>
        <v>0</v>
      </c>
      <c r="N245" s="87">
        <f t="shared" si="89"/>
        <v>40000</v>
      </c>
      <c r="O245" s="87">
        <f t="shared" si="89"/>
        <v>40000</v>
      </c>
      <c r="P245" s="87">
        <f t="shared" si="89"/>
        <v>3546700</v>
      </c>
      <c r="Q245" s="173"/>
      <c r="R245" s="212"/>
      <c r="S245" s="235"/>
      <c r="T245" s="235"/>
      <c r="U245" s="235"/>
      <c r="V245" s="235"/>
      <c r="W245" s="235"/>
      <c r="X245" s="235"/>
      <c r="Y245" s="235"/>
      <c r="Z245" s="235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</row>
    <row r="246" spans="1:36" s="136" customFormat="1" ht="47.25" customHeight="1">
      <c r="A246" s="88" t="s">
        <v>335</v>
      </c>
      <c r="B246" s="88" t="str">
        <f>'дод. 4'!A14</f>
        <v>0160</v>
      </c>
      <c r="C246" s="88" t="str">
        <f>'дод. 4'!B14</f>
        <v>0111</v>
      </c>
      <c r="D246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6" s="90">
        <f>F246+I246</f>
        <v>3506700</v>
      </c>
      <c r="F246" s="90">
        <f>3525900-19200</f>
        <v>3506700</v>
      </c>
      <c r="G246" s="90">
        <v>2745200</v>
      </c>
      <c r="H246" s="90">
        <v>36300</v>
      </c>
      <c r="I246" s="90"/>
      <c r="J246" s="90">
        <f>K246+N246</f>
        <v>40000</v>
      </c>
      <c r="K246" s="90"/>
      <c r="L246" s="90"/>
      <c r="M246" s="90"/>
      <c r="N246" s="90">
        <v>40000</v>
      </c>
      <c r="O246" s="90">
        <v>40000</v>
      </c>
      <c r="P246" s="90">
        <f>E246+J246</f>
        <v>3546700</v>
      </c>
      <c r="Q246" s="174"/>
      <c r="R246" s="213"/>
      <c r="S246" s="237"/>
      <c r="T246" s="237"/>
      <c r="U246" s="237"/>
      <c r="V246" s="237"/>
      <c r="W246" s="237"/>
      <c r="X246" s="237"/>
      <c r="Y246" s="237"/>
      <c r="Z246" s="237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</row>
    <row r="247" spans="1:36" s="131" customFormat="1" ht="28.5">
      <c r="A247" s="129" t="s">
        <v>337</v>
      </c>
      <c r="B247" s="37"/>
      <c r="C247" s="37"/>
      <c r="D247" s="36" t="s">
        <v>71</v>
      </c>
      <c r="E247" s="47">
        <f>E248</f>
        <v>17290300</v>
      </c>
      <c r="F247" s="47">
        <f aca="true" t="shared" si="90" ref="F247:P247">F248</f>
        <v>16390300</v>
      </c>
      <c r="G247" s="47">
        <f t="shared" si="90"/>
        <v>11700000</v>
      </c>
      <c r="H247" s="47">
        <f t="shared" si="90"/>
        <v>250267</v>
      </c>
      <c r="I247" s="47">
        <f t="shared" si="90"/>
        <v>900000</v>
      </c>
      <c r="J247" s="47">
        <f t="shared" si="90"/>
        <v>69500</v>
      </c>
      <c r="K247" s="47">
        <f t="shared" si="90"/>
        <v>0</v>
      </c>
      <c r="L247" s="47">
        <f t="shared" si="90"/>
        <v>0</v>
      </c>
      <c r="M247" s="47">
        <f t="shared" si="90"/>
        <v>0</v>
      </c>
      <c r="N247" s="47">
        <f t="shared" si="90"/>
        <v>69500</v>
      </c>
      <c r="O247" s="47">
        <f t="shared" si="90"/>
        <v>69500</v>
      </c>
      <c r="P247" s="47">
        <f t="shared" si="90"/>
        <v>17359800</v>
      </c>
      <c r="Q247" s="172"/>
      <c r="R247" s="211"/>
      <c r="S247" s="233"/>
      <c r="T247" s="233"/>
      <c r="U247" s="233"/>
      <c r="V247" s="233"/>
      <c r="W247" s="233"/>
      <c r="X247" s="233"/>
      <c r="Y247" s="233"/>
      <c r="Z247" s="233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4"/>
    </row>
    <row r="248" spans="1:36" s="134" customFormat="1" ht="30.75" customHeight="1">
      <c r="A248" s="132" t="s">
        <v>338</v>
      </c>
      <c r="B248" s="146"/>
      <c r="C248" s="146"/>
      <c r="D248" s="145" t="s">
        <v>71</v>
      </c>
      <c r="E248" s="87">
        <f>E249+E250+E251+E252+E253+E254</f>
        <v>17290300</v>
      </c>
      <c r="F248" s="87">
        <f aca="true" t="shared" si="91" ref="F248:P248">F249+F250+F251+F252+F253+F254</f>
        <v>16390300</v>
      </c>
      <c r="G248" s="87">
        <f t="shared" si="91"/>
        <v>11700000</v>
      </c>
      <c r="H248" s="87">
        <f t="shared" si="91"/>
        <v>250267</v>
      </c>
      <c r="I248" s="87">
        <f t="shared" si="91"/>
        <v>900000</v>
      </c>
      <c r="J248" s="87">
        <f t="shared" si="91"/>
        <v>69500</v>
      </c>
      <c r="K248" s="87">
        <f t="shared" si="91"/>
        <v>0</v>
      </c>
      <c r="L248" s="87">
        <f t="shared" si="91"/>
        <v>0</v>
      </c>
      <c r="M248" s="87">
        <f t="shared" si="91"/>
        <v>0</v>
      </c>
      <c r="N248" s="87">
        <f t="shared" si="91"/>
        <v>69500</v>
      </c>
      <c r="O248" s="87">
        <f t="shared" si="91"/>
        <v>69500</v>
      </c>
      <c r="P248" s="87">
        <f t="shared" si="91"/>
        <v>17359800</v>
      </c>
      <c r="Q248" s="173"/>
      <c r="R248" s="212"/>
      <c r="S248" s="235"/>
      <c r="T248" s="235"/>
      <c r="U248" s="235"/>
      <c r="V248" s="235"/>
      <c r="W248" s="235"/>
      <c r="X248" s="235"/>
      <c r="Y248" s="235"/>
      <c r="Z248" s="235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</row>
    <row r="249" spans="1:36" s="131" customFormat="1" ht="54" customHeight="1">
      <c r="A249" s="88" t="s">
        <v>339</v>
      </c>
      <c r="B249" s="88" t="str">
        <f>'дод. 4'!A14</f>
        <v>0160</v>
      </c>
      <c r="C249" s="88" t="str">
        <f>'дод. 4'!B14</f>
        <v>0111</v>
      </c>
      <c r="D249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9" s="90">
        <f>F249+I249</f>
        <v>15013300</v>
      </c>
      <c r="F249" s="90">
        <f>15102100-88800</f>
        <v>15013300</v>
      </c>
      <c r="G249" s="90">
        <v>11700000</v>
      </c>
      <c r="H249" s="90">
        <v>250267</v>
      </c>
      <c r="I249" s="90"/>
      <c r="J249" s="90">
        <f>K249+N249</f>
        <v>19500</v>
      </c>
      <c r="K249" s="90"/>
      <c r="L249" s="90"/>
      <c r="M249" s="90"/>
      <c r="N249" s="90">
        <f>150000-130500</f>
        <v>19500</v>
      </c>
      <c r="O249" s="90">
        <f>150000-130500</f>
        <v>19500</v>
      </c>
      <c r="P249" s="90">
        <f>E249+J249</f>
        <v>15032800</v>
      </c>
      <c r="Q249" s="174"/>
      <c r="R249" s="213"/>
      <c r="S249" s="237"/>
      <c r="T249" s="237"/>
      <c r="U249" s="237"/>
      <c r="V249" s="237"/>
      <c r="W249" s="237"/>
      <c r="X249" s="237"/>
      <c r="Y249" s="237"/>
      <c r="Z249" s="237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</row>
    <row r="250" spans="1:36" s="154" customFormat="1" ht="29.25" customHeight="1">
      <c r="A250" s="88" t="s">
        <v>340</v>
      </c>
      <c r="B250" s="88" t="str">
        <f>'дод. 4'!A162</f>
        <v>7130</v>
      </c>
      <c r="C250" s="88" t="str">
        <f>'дод. 4'!B162</f>
        <v>0421</v>
      </c>
      <c r="D250" s="125" t="str">
        <f>'дод. 4'!C162</f>
        <v>Здійснення  заходів із землеустрою</v>
      </c>
      <c r="E250" s="90">
        <f>F250+I250</f>
        <v>550000</v>
      </c>
      <c r="F250" s="152">
        <f>50000+500000</f>
        <v>550000</v>
      </c>
      <c r="G250" s="153"/>
      <c r="H250" s="153"/>
      <c r="I250" s="153"/>
      <c r="J250" s="90">
        <f>K250+N250</f>
        <v>0</v>
      </c>
      <c r="K250" s="153"/>
      <c r="L250" s="153"/>
      <c r="M250" s="153"/>
      <c r="N250" s="153"/>
      <c r="O250" s="153"/>
      <c r="P250" s="90">
        <f>E250+J250</f>
        <v>550000</v>
      </c>
      <c r="Q250" s="174">
        <f>R250+S250+T250</f>
        <v>0</v>
      </c>
      <c r="R250" s="213"/>
      <c r="S250" s="237"/>
      <c r="T250" s="237"/>
      <c r="U250" s="237"/>
      <c r="V250" s="237"/>
      <c r="W250" s="237"/>
      <c r="X250" s="237"/>
      <c r="Y250" s="237"/>
      <c r="Z250" s="237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</row>
    <row r="251" spans="1:36" s="4" customFormat="1" ht="30">
      <c r="A251" s="98" t="s">
        <v>341</v>
      </c>
      <c r="B251" s="98" t="str">
        <f>'дод. 4'!A181</f>
        <v>7610</v>
      </c>
      <c r="C251" s="98" t="str">
        <f>'дод. 4'!B181</f>
        <v>0411</v>
      </c>
      <c r="D251" s="123" t="str">
        <f>'дод. 4'!C181</f>
        <v>Сприяння розвитку малого та середнього підприємництва</v>
      </c>
      <c r="E251" s="90">
        <f>F251+I251</f>
        <v>1085000</v>
      </c>
      <c r="F251" s="90">
        <v>185000</v>
      </c>
      <c r="G251" s="90"/>
      <c r="H251" s="90"/>
      <c r="I251" s="90">
        <v>900000</v>
      </c>
      <c r="J251" s="90">
        <f>K251+N251</f>
        <v>0</v>
      </c>
      <c r="K251" s="90"/>
      <c r="L251" s="90"/>
      <c r="M251" s="90"/>
      <c r="N251" s="90"/>
      <c r="O251" s="90"/>
      <c r="P251" s="90">
        <f>E251+J251</f>
        <v>1085000</v>
      </c>
      <c r="Q251" s="174">
        <f>R251+S251+T251</f>
        <v>0</v>
      </c>
      <c r="R251" s="213"/>
      <c r="S251" s="237"/>
      <c r="T251" s="237"/>
      <c r="U251" s="237"/>
      <c r="V251" s="237"/>
      <c r="W251" s="237"/>
      <c r="X251" s="237"/>
      <c r="Y251" s="237"/>
      <c r="Z251" s="237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</row>
    <row r="252" spans="1:36" s="139" customFormat="1" ht="37.5" customHeight="1">
      <c r="A252" s="98" t="s">
        <v>417</v>
      </c>
      <c r="B252" s="98" t="str">
        <f>'дод. 4'!A183</f>
        <v>7650</v>
      </c>
      <c r="C252" s="98" t="str">
        <f>'дод. 4'!B183</f>
        <v>0490</v>
      </c>
      <c r="D252" s="123" t="str">
        <f>'дод. 4'!C183</f>
        <v>Проведення експертної  грошової  оцінки  земельної ділянки чи права на неї</v>
      </c>
      <c r="E252" s="90">
        <f>F252+I252</f>
        <v>0</v>
      </c>
      <c r="F252" s="90"/>
      <c r="G252" s="90"/>
      <c r="H252" s="90"/>
      <c r="I252" s="90"/>
      <c r="J252" s="90">
        <f>K252+N252</f>
        <v>25000</v>
      </c>
      <c r="K252" s="90"/>
      <c r="L252" s="90"/>
      <c r="M252" s="90"/>
      <c r="N252" s="90">
        <v>25000</v>
      </c>
      <c r="O252" s="90">
        <v>25000</v>
      </c>
      <c r="P252" s="90">
        <f>E252+J252</f>
        <v>25000</v>
      </c>
      <c r="Q252" s="174">
        <f>R252+S252+T252</f>
        <v>0</v>
      </c>
      <c r="R252" s="213"/>
      <c r="S252" s="237"/>
      <c r="T252" s="237"/>
      <c r="U252" s="237"/>
      <c r="V252" s="237"/>
      <c r="W252" s="237"/>
      <c r="X252" s="237"/>
      <c r="Y252" s="237"/>
      <c r="Z252" s="237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</row>
    <row r="253" spans="1:36" s="139" customFormat="1" ht="60">
      <c r="A253" s="98" t="s">
        <v>419</v>
      </c>
      <c r="B253" s="98" t="str">
        <f>'дод. 4'!A184</f>
        <v>7660</v>
      </c>
      <c r="C253" s="98" t="str">
        <f>'дод. 4'!B184</f>
        <v>0490</v>
      </c>
      <c r="D253" s="123" t="str">
        <f>'дод. 4'!C184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3" s="90">
        <f>F253+I253</f>
        <v>0</v>
      </c>
      <c r="F253" s="90"/>
      <c r="G253" s="90"/>
      <c r="H253" s="90"/>
      <c r="I253" s="90"/>
      <c r="J253" s="90">
        <f>K253+N253</f>
        <v>25000</v>
      </c>
      <c r="K253" s="90"/>
      <c r="L253" s="90"/>
      <c r="M253" s="90"/>
      <c r="N253" s="90">
        <v>25000</v>
      </c>
      <c r="O253" s="90">
        <v>25000</v>
      </c>
      <c r="P253" s="90">
        <f>E253+J253</f>
        <v>25000</v>
      </c>
      <c r="Q253" s="174">
        <f>R253+S253+T253</f>
        <v>0</v>
      </c>
      <c r="R253" s="213"/>
      <c r="S253" s="237"/>
      <c r="T253" s="237"/>
      <c r="U253" s="237"/>
      <c r="V253" s="237"/>
      <c r="W253" s="237"/>
      <c r="X253" s="237"/>
      <c r="Y253" s="237"/>
      <c r="Z253" s="237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</row>
    <row r="254" spans="1:36" s="4" customFormat="1" ht="22.5" customHeight="1">
      <c r="A254" s="98" t="s">
        <v>411</v>
      </c>
      <c r="B254" s="98" t="str">
        <f>'дод. 4'!A187</f>
        <v>7690</v>
      </c>
      <c r="C254" s="98">
        <f>'дод. 4'!B187</f>
        <v>0</v>
      </c>
      <c r="D254" s="123" t="str">
        <f>'дод. 4'!C187</f>
        <v>Інша економічна діяльність</v>
      </c>
      <c r="E254" s="90">
        <f>E255</f>
        <v>642000</v>
      </c>
      <c r="F254" s="90">
        <f aca="true" t="shared" si="92" ref="F254:P254">F255</f>
        <v>642000</v>
      </c>
      <c r="G254" s="90">
        <f t="shared" si="92"/>
        <v>0</v>
      </c>
      <c r="H254" s="90">
        <f t="shared" si="92"/>
        <v>0</v>
      </c>
      <c r="I254" s="90">
        <f t="shared" si="92"/>
        <v>0</v>
      </c>
      <c r="J254" s="90">
        <f t="shared" si="92"/>
        <v>0</v>
      </c>
      <c r="K254" s="90">
        <f t="shared" si="92"/>
        <v>0</v>
      </c>
      <c r="L254" s="90">
        <f t="shared" si="92"/>
        <v>0</v>
      </c>
      <c r="M254" s="90">
        <f t="shared" si="92"/>
        <v>0</v>
      </c>
      <c r="N254" s="90">
        <f t="shared" si="92"/>
        <v>0</v>
      </c>
      <c r="O254" s="90">
        <f t="shared" si="92"/>
        <v>0</v>
      </c>
      <c r="P254" s="90">
        <f t="shared" si="92"/>
        <v>642000</v>
      </c>
      <c r="Q254" s="174">
        <f>Q255</f>
        <v>0</v>
      </c>
      <c r="R254" s="213">
        <f aca="true" t="shared" si="93" ref="R254:AJ254">R255</f>
        <v>0</v>
      </c>
      <c r="S254" s="237">
        <f t="shared" si="93"/>
        <v>0</v>
      </c>
      <c r="T254" s="237">
        <f t="shared" si="93"/>
        <v>0</v>
      </c>
      <c r="U254" s="237">
        <f t="shared" si="93"/>
        <v>0</v>
      </c>
      <c r="V254" s="237">
        <f t="shared" si="93"/>
        <v>0</v>
      </c>
      <c r="W254" s="237">
        <f t="shared" si="93"/>
        <v>0</v>
      </c>
      <c r="X254" s="237">
        <f t="shared" si="93"/>
        <v>0</v>
      </c>
      <c r="Y254" s="237">
        <f t="shared" si="93"/>
        <v>0</v>
      </c>
      <c r="Z254" s="237">
        <f t="shared" si="93"/>
        <v>0</v>
      </c>
      <c r="AA254" s="239">
        <f t="shared" si="93"/>
        <v>0</v>
      </c>
      <c r="AB254" s="239">
        <f t="shared" si="93"/>
        <v>0</v>
      </c>
      <c r="AC254" s="239">
        <f t="shared" si="93"/>
        <v>0</v>
      </c>
      <c r="AD254" s="239">
        <f t="shared" si="93"/>
        <v>0</v>
      </c>
      <c r="AE254" s="239">
        <f t="shared" si="93"/>
        <v>0</v>
      </c>
      <c r="AF254" s="239">
        <f t="shared" si="93"/>
        <v>0</v>
      </c>
      <c r="AG254" s="239">
        <f t="shared" si="93"/>
        <v>0</v>
      </c>
      <c r="AH254" s="239">
        <f t="shared" si="93"/>
        <v>0</v>
      </c>
      <c r="AI254" s="239">
        <f t="shared" si="93"/>
        <v>0</v>
      </c>
      <c r="AJ254" s="239">
        <f t="shared" si="93"/>
        <v>0</v>
      </c>
    </row>
    <row r="255" spans="1:36" s="136" customFormat="1" ht="23.25" customHeight="1">
      <c r="A255" s="137" t="s">
        <v>412</v>
      </c>
      <c r="B255" s="137" t="str">
        <f>'дод. 4'!A189</f>
        <v>7693</v>
      </c>
      <c r="C255" s="137" t="str">
        <f>'дод. 4'!B189</f>
        <v>0490</v>
      </c>
      <c r="D255" s="138" t="str">
        <f>'дод. 4'!C189</f>
        <v>Інші заходи, пов'язані з економічною діяльністю</v>
      </c>
      <c r="E255" s="93">
        <f>F255+I255</f>
        <v>642000</v>
      </c>
      <c r="F255" s="93">
        <v>642000</v>
      </c>
      <c r="G255" s="93"/>
      <c r="H255" s="93"/>
      <c r="I255" s="93"/>
      <c r="J255" s="93">
        <f>K255+N255</f>
        <v>0</v>
      </c>
      <c r="K255" s="93"/>
      <c r="L255" s="93"/>
      <c r="M255" s="93"/>
      <c r="N255" s="93"/>
      <c r="O255" s="93"/>
      <c r="P255" s="93">
        <f>E255+J255</f>
        <v>642000</v>
      </c>
      <c r="Q255" s="175">
        <f>R255+S255+T255</f>
        <v>0</v>
      </c>
      <c r="R255" s="214"/>
      <c r="S255" s="240"/>
      <c r="T255" s="240"/>
      <c r="U255" s="240"/>
      <c r="V255" s="240"/>
      <c r="W255" s="240"/>
      <c r="X255" s="240"/>
      <c r="Y255" s="240"/>
      <c r="Z255" s="240">
        <f>O255*$Z$10</f>
        <v>0</v>
      </c>
      <c r="AA255" s="241">
        <f>AB255+AC255+AD255</f>
        <v>0</v>
      </c>
      <c r="AB255" s="241">
        <f>R255*$AB$10</f>
        <v>0</v>
      </c>
      <c r="AC255" s="241">
        <f>S255*$AC$10</f>
        <v>0</v>
      </c>
      <c r="AD255" s="241">
        <f>T255*$AD$10</f>
        <v>0</v>
      </c>
      <c r="AE255" s="241">
        <f>AF255+AG255+AH255+AI255+AJ255</f>
        <v>0</v>
      </c>
      <c r="AF255" s="241"/>
      <c r="AG255" s="241"/>
      <c r="AH255" s="241"/>
      <c r="AI255" s="241"/>
      <c r="AJ255" s="241">
        <f>Z255*$AJ$10</f>
        <v>0</v>
      </c>
    </row>
    <row r="256" spans="1:36" s="131" customFormat="1" ht="28.5">
      <c r="A256" s="129" t="s">
        <v>347</v>
      </c>
      <c r="B256" s="37"/>
      <c r="C256" s="37"/>
      <c r="D256" s="36" t="s">
        <v>350</v>
      </c>
      <c r="E256" s="47">
        <f>E257</f>
        <v>146700</v>
      </c>
      <c r="F256" s="47">
        <f aca="true" t="shared" si="94" ref="F256:P257">F257</f>
        <v>146700</v>
      </c>
      <c r="G256" s="47">
        <f t="shared" si="94"/>
        <v>120245</v>
      </c>
      <c r="H256" s="47">
        <f t="shared" si="94"/>
        <v>0</v>
      </c>
      <c r="I256" s="47">
        <f t="shared" si="94"/>
        <v>0</v>
      </c>
      <c r="J256" s="47">
        <f t="shared" si="94"/>
        <v>0</v>
      </c>
      <c r="K256" s="47">
        <f t="shared" si="94"/>
        <v>0</v>
      </c>
      <c r="L256" s="47">
        <f t="shared" si="94"/>
        <v>0</v>
      </c>
      <c r="M256" s="47">
        <f t="shared" si="94"/>
        <v>0</v>
      </c>
      <c r="N256" s="47">
        <f t="shared" si="94"/>
        <v>0</v>
      </c>
      <c r="O256" s="47">
        <f t="shared" si="94"/>
        <v>0</v>
      </c>
      <c r="P256" s="47">
        <f t="shared" si="94"/>
        <v>146700</v>
      </c>
      <c r="Q256" s="172">
        <f>Q258</f>
        <v>0</v>
      </c>
      <c r="R256" s="211"/>
      <c r="S256" s="233"/>
      <c r="T256" s="233"/>
      <c r="U256" s="233"/>
      <c r="V256" s="233"/>
      <c r="W256" s="233"/>
      <c r="X256" s="233">
        <f aca="true" t="shared" si="95" ref="X256:AJ256">X258</f>
        <v>0</v>
      </c>
      <c r="Y256" s="233">
        <f t="shared" si="95"/>
        <v>0</v>
      </c>
      <c r="Z256" s="233">
        <f t="shared" si="95"/>
        <v>0</v>
      </c>
      <c r="AA256" s="234">
        <f t="shared" si="95"/>
        <v>0</v>
      </c>
      <c r="AB256" s="234">
        <f t="shared" si="95"/>
        <v>0</v>
      </c>
      <c r="AC256" s="234">
        <f t="shared" si="95"/>
        <v>0</v>
      </c>
      <c r="AD256" s="234">
        <f t="shared" si="95"/>
        <v>0</v>
      </c>
      <c r="AE256" s="234">
        <f t="shared" si="95"/>
        <v>0</v>
      </c>
      <c r="AF256" s="234">
        <f t="shared" si="95"/>
        <v>0</v>
      </c>
      <c r="AG256" s="234">
        <f t="shared" si="95"/>
        <v>0</v>
      </c>
      <c r="AH256" s="234">
        <f t="shared" si="95"/>
        <v>0</v>
      </c>
      <c r="AI256" s="234">
        <f t="shared" si="95"/>
        <v>0</v>
      </c>
      <c r="AJ256" s="234">
        <f t="shared" si="95"/>
        <v>0</v>
      </c>
    </row>
    <row r="257" spans="1:36" s="134" customFormat="1" ht="36.75" customHeight="1">
      <c r="A257" s="132" t="s">
        <v>348</v>
      </c>
      <c r="B257" s="146"/>
      <c r="C257" s="146"/>
      <c r="D257" s="145" t="s">
        <v>350</v>
      </c>
      <c r="E257" s="87">
        <f>E258</f>
        <v>146700</v>
      </c>
      <c r="F257" s="87">
        <f t="shared" si="94"/>
        <v>146700</v>
      </c>
      <c r="G257" s="87">
        <f t="shared" si="94"/>
        <v>120245</v>
      </c>
      <c r="H257" s="87">
        <f t="shared" si="94"/>
        <v>0</v>
      </c>
      <c r="I257" s="87">
        <f t="shared" si="94"/>
        <v>0</v>
      </c>
      <c r="J257" s="87">
        <f t="shared" si="94"/>
        <v>0</v>
      </c>
      <c r="K257" s="87">
        <f t="shared" si="94"/>
        <v>0</v>
      </c>
      <c r="L257" s="87">
        <f t="shared" si="94"/>
        <v>0</v>
      </c>
      <c r="M257" s="87">
        <f t="shared" si="94"/>
        <v>0</v>
      </c>
      <c r="N257" s="87">
        <f t="shared" si="94"/>
        <v>0</v>
      </c>
      <c r="O257" s="87">
        <f t="shared" si="94"/>
        <v>0</v>
      </c>
      <c r="P257" s="87">
        <f t="shared" si="94"/>
        <v>146700</v>
      </c>
      <c r="Q257" s="173">
        <f>Q258</f>
        <v>0</v>
      </c>
      <c r="R257" s="212"/>
      <c r="S257" s="235"/>
      <c r="T257" s="235"/>
      <c r="U257" s="235"/>
      <c r="V257" s="235"/>
      <c r="W257" s="235"/>
      <c r="X257" s="235">
        <f aca="true" t="shared" si="96" ref="X257:AJ257">X258</f>
        <v>0</v>
      </c>
      <c r="Y257" s="235">
        <f t="shared" si="96"/>
        <v>0</v>
      </c>
      <c r="Z257" s="235">
        <f t="shared" si="96"/>
        <v>0</v>
      </c>
      <c r="AA257" s="246">
        <f t="shared" si="96"/>
        <v>0</v>
      </c>
      <c r="AB257" s="246">
        <f t="shared" si="96"/>
        <v>0</v>
      </c>
      <c r="AC257" s="246">
        <f t="shared" si="96"/>
        <v>0</v>
      </c>
      <c r="AD257" s="246">
        <f t="shared" si="96"/>
        <v>0</v>
      </c>
      <c r="AE257" s="246">
        <f t="shared" si="96"/>
        <v>0</v>
      </c>
      <c r="AF257" s="246">
        <f t="shared" si="96"/>
        <v>0</v>
      </c>
      <c r="AG257" s="246">
        <f t="shared" si="96"/>
        <v>0</v>
      </c>
      <c r="AH257" s="246">
        <f t="shared" si="96"/>
        <v>0</v>
      </c>
      <c r="AI257" s="246">
        <f t="shared" si="96"/>
        <v>0</v>
      </c>
      <c r="AJ257" s="246">
        <f t="shared" si="96"/>
        <v>0</v>
      </c>
    </row>
    <row r="258" spans="1:36" s="4" customFormat="1" ht="45">
      <c r="A258" s="88" t="s">
        <v>349</v>
      </c>
      <c r="B258" s="88" t="str">
        <f>'дод. 4'!A14</f>
        <v>0160</v>
      </c>
      <c r="C258" s="88" t="str">
        <f>'дод. 4'!B14</f>
        <v>0111</v>
      </c>
      <c r="D258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8" s="90">
        <f>F258+I258</f>
        <v>146700</v>
      </c>
      <c r="F258" s="90">
        <v>146700</v>
      </c>
      <c r="G258" s="90">
        <v>120245</v>
      </c>
      <c r="H258" s="90"/>
      <c r="I258" s="90"/>
      <c r="J258" s="90">
        <f>K258+N258</f>
        <v>0</v>
      </c>
      <c r="K258" s="90"/>
      <c r="L258" s="90"/>
      <c r="M258" s="90"/>
      <c r="N258" s="90"/>
      <c r="O258" s="90"/>
      <c r="P258" s="90">
        <f>E258+J258</f>
        <v>146700</v>
      </c>
      <c r="Q258" s="174">
        <f>R258+S258+T258</f>
        <v>0</v>
      </c>
      <c r="R258" s="213"/>
      <c r="S258" s="237"/>
      <c r="T258" s="237"/>
      <c r="U258" s="237"/>
      <c r="V258" s="237"/>
      <c r="W258" s="237"/>
      <c r="X258" s="237"/>
      <c r="Y258" s="237"/>
      <c r="Z258" s="237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</row>
    <row r="259" spans="1:36" s="131" customFormat="1" ht="33" customHeight="1">
      <c r="A259" s="129" t="s">
        <v>342</v>
      </c>
      <c r="B259" s="37"/>
      <c r="C259" s="37"/>
      <c r="D259" s="36" t="s">
        <v>73</v>
      </c>
      <c r="E259" s="47">
        <f>E260</f>
        <v>118260985.67</v>
      </c>
      <c r="F259" s="47">
        <f aca="true" t="shared" si="97" ref="F259:P259">F260</f>
        <v>104114152.41</v>
      </c>
      <c r="G259" s="47">
        <f t="shared" si="97"/>
        <v>12928412</v>
      </c>
      <c r="H259" s="47">
        <f t="shared" si="97"/>
        <v>183655</v>
      </c>
      <c r="I259" s="47">
        <f t="shared" si="97"/>
        <v>0</v>
      </c>
      <c r="J259" s="47">
        <f t="shared" si="97"/>
        <v>581000</v>
      </c>
      <c r="K259" s="47">
        <f t="shared" si="97"/>
        <v>20000</v>
      </c>
      <c r="L259" s="47">
        <f t="shared" si="97"/>
        <v>0</v>
      </c>
      <c r="M259" s="47">
        <f t="shared" si="97"/>
        <v>0</v>
      </c>
      <c r="N259" s="47">
        <f t="shared" si="97"/>
        <v>561000</v>
      </c>
      <c r="O259" s="47">
        <f t="shared" si="97"/>
        <v>561000</v>
      </c>
      <c r="P259" s="47">
        <f t="shared" si="97"/>
        <v>118841985.67</v>
      </c>
      <c r="Q259" s="172">
        <f>Q261+Q262+Q263+Q264+Q265+Q266</f>
        <v>0</v>
      </c>
      <c r="R259" s="211"/>
      <c r="S259" s="233"/>
      <c r="T259" s="233"/>
      <c r="U259" s="233"/>
      <c r="V259" s="233"/>
      <c r="W259" s="233"/>
      <c r="X259" s="233"/>
      <c r="Y259" s="233"/>
      <c r="Z259" s="233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</row>
    <row r="260" spans="1:36" s="134" customFormat="1" ht="30.75" customHeight="1">
      <c r="A260" s="132" t="s">
        <v>343</v>
      </c>
      <c r="B260" s="146"/>
      <c r="C260" s="146"/>
      <c r="D260" s="145" t="s">
        <v>73</v>
      </c>
      <c r="E260" s="87">
        <f aca="true" t="shared" si="98" ref="E260:Q260">E261+E262+E263+E264+E265+E266+E267</f>
        <v>118260985.67</v>
      </c>
      <c r="F260" s="87">
        <f t="shared" si="98"/>
        <v>104114152.41</v>
      </c>
      <c r="G260" s="87">
        <f t="shared" si="98"/>
        <v>12928412</v>
      </c>
      <c r="H260" s="87">
        <f t="shared" si="98"/>
        <v>183655</v>
      </c>
      <c r="I260" s="87">
        <f t="shared" si="98"/>
        <v>0</v>
      </c>
      <c r="J260" s="87">
        <f t="shared" si="98"/>
        <v>581000</v>
      </c>
      <c r="K260" s="87">
        <f t="shared" si="98"/>
        <v>20000</v>
      </c>
      <c r="L260" s="87">
        <f t="shared" si="98"/>
        <v>0</v>
      </c>
      <c r="M260" s="87">
        <f t="shared" si="98"/>
        <v>0</v>
      </c>
      <c r="N260" s="87">
        <f t="shared" si="98"/>
        <v>561000</v>
      </c>
      <c r="O260" s="87">
        <f t="shared" si="98"/>
        <v>561000</v>
      </c>
      <c r="P260" s="87">
        <f t="shared" si="98"/>
        <v>118841985.67</v>
      </c>
      <c r="Q260" s="87">
        <f t="shared" si="98"/>
        <v>0</v>
      </c>
      <c r="R260" s="168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</row>
    <row r="261" spans="1:36" s="4" customFormat="1" ht="45">
      <c r="A261" s="88" t="s">
        <v>344</v>
      </c>
      <c r="B261" s="88" t="str">
        <f>'дод. 4'!A14</f>
        <v>0160</v>
      </c>
      <c r="C261" s="88" t="str">
        <f>'дод. 4'!B14</f>
        <v>0111</v>
      </c>
      <c r="D261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61" s="90">
        <f>F261+I261</f>
        <v>16561600</v>
      </c>
      <c r="F261" s="90">
        <f>16667200-105600</f>
        <v>16561600</v>
      </c>
      <c r="G261" s="90">
        <v>12928412</v>
      </c>
      <c r="H261" s="90">
        <v>183655</v>
      </c>
      <c r="I261" s="90"/>
      <c r="J261" s="90">
        <f aca="true" t="shared" si="99" ref="J261:J267">K261+N261</f>
        <v>61000</v>
      </c>
      <c r="K261" s="90"/>
      <c r="L261" s="90"/>
      <c r="M261" s="90"/>
      <c r="N261" s="90">
        <f>184000-123000</f>
        <v>61000</v>
      </c>
      <c r="O261" s="90">
        <f>184000-123000</f>
        <v>61000</v>
      </c>
      <c r="P261" s="90">
        <f aca="true" t="shared" si="100" ref="P261:P267">E261+J261</f>
        <v>16622600</v>
      </c>
      <c r="Q261" s="174">
        <f aca="true" t="shared" si="101" ref="Q261:Q266">R261+S261+T261</f>
        <v>0</v>
      </c>
      <c r="R261" s="213"/>
      <c r="S261" s="237"/>
      <c r="T261" s="237"/>
      <c r="U261" s="237"/>
      <c r="V261" s="237"/>
      <c r="W261" s="237"/>
      <c r="X261" s="237"/>
      <c r="Y261" s="237"/>
      <c r="Z261" s="237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</row>
    <row r="262" spans="1:36" s="4" customFormat="1" ht="23.25" customHeight="1">
      <c r="A262" s="88" t="s">
        <v>403</v>
      </c>
      <c r="B262" s="88" t="str">
        <f>'дод. 4'!A182</f>
        <v>7640</v>
      </c>
      <c r="C262" s="88" t="str">
        <f>'дод. 4'!B182</f>
        <v>0470</v>
      </c>
      <c r="D262" s="124" t="str">
        <f>'дод. 4'!C182</f>
        <v>Заходи з енергозбереження</v>
      </c>
      <c r="E262" s="90">
        <f>F262+I262</f>
        <v>75000</v>
      </c>
      <c r="F262" s="90">
        <v>75000</v>
      </c>
      <c r="G262" s="90"/>
      <c r="H262" s="90"/>
      <c r="I262" s="90"/>
      <c r="J262" s="90">
        <f>K262+N262</f>
        <v>0</v>
      </c>
      <c r="K262" s="90"/>
      <c r="L262" s="90"/>
      <c r="M262" s="90"/>
      <c r="N262" s="90"/>
      <c r="O262" s="90"/>
      <c r="P262" s="90">
        <f t="shared" si="100"/>
        <v>75000</v>
      </c>
      <c r="Q262" s="174">
        <f t="shared" si="101"/>
        <v>0</v>
      </c>
      <c r="R262" s="213"/>
      <c r="S262" s="237"/>
      <c r="T262" s="237"/>
      <c r="U262" s="237"/>
      <c r="V262" s="237"/>
      <c r="W262" s="237"/>
      <c r="X262" s="237"/>
      <c r="Y262" s="237"/>
      <c r="Z262" s="237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</row>
    <row r="263" spans="1:36" s="4" customFormat="1" ht="27" customHeight="1">
      <c r="A263" s="88" t="s">
        <v>345</v>
      </c>
      <c r="B263" s="88" t="str">
        <f>'дод. 4'!A198</f>
        <v>8340</v>
      </c>
      <c r="C263" s="88" t="str">
        <f>'дод. 4'!B198</f>
        <v>0540</v>
      </c>
      <c r="D263" s="124" t="str">
        <f>'дод. 4'!C198</f>
        <v>Природоохоронні заходи за рахунок цільових фондів</v>
      </c>
      <c r="E263" s="90">
        <f>F263+I263</f>
        <v>0</v>
      </c>
      <c r="F263" s="90"/>
      <c r="G263" s="90"/>
      <c r="H263" s="90"/>
      <c r="I263" s="90"/>
      <c r="J263" s="90">
        <f t="shared" si="99"/>
        <v>20000</v>
      </c>
      <c r="K263" s="90">
        <v>20000</v>
      </c>
      <c r="L263" s="90"/>
      <c r="M263" s="90"/>
      <c r="N263" s="90"/>
      <c r="O263" s="90"/>
      <c r="P263" s="90">
        <f t="shared" si="100"/>
        <v>20000</v>
      </c>
      <c r="Q263" s="174">
        <f t="shared" si="101"/>
        <v>0</v>
      </c>
      <c r="R263" s="213"/>
      <c r="S263" s="237"/>
      <c r="T263" s="237"/>
      <c r="U263" s="237"/>
      <c r="V263" s="237"/>
      <c r="W263" s="237"/>
      <c r="X263" s="237"/>
      <c r="Y263" s="237"/>
      <c r="Z263" s="237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</row>
    <row r="264" spans="1:36" s="4" customFormat="1" ht="22.5" customHeight="1">
      <c r="A264" s="88" t="s">
        <v>346</v>
      </c>
      <c r="B264" s="88" t="str">
        <f>'дод. 4'!A201</f>
        <v>8600</v>
      </c>
      <c r="C264" s="88" t="str">
        <f>'дод. 4'!B201</f>
        <v>0170</v>
      </c>
      <c r="D264" s="124" t="str">
        <f>'дод. 4'!C201</f>
        <v>Обслуговування місцевого боргу</v>
      </c>
      <c r="E264" s="90">
        <f>F264+I264</f>
        <v>177952.41</v>
      </c>
      <c r="F264" s="90">
        <f>180850-2897.59</f>
        <v>177952.41</v>
      </c>
      <c r="G264" s="90"/>
      <c r="H264" s="90"/>
      <c r="I264" s="90"/>
      <c r="J264" s="90">
        <f t="shared" si="99"/>
        <v>0</v>
      </c>
      <c r="K264" s="90"/>
      <c r="L264" s="90"/>
      <c r="M264" s="90"/>
      <c r="N264" s="90"/>
      <c r="O264" s="90"/>
      <c r="P264" s="90">
        <f t="shared" si="100"/>
        <v>177952.41</v>
      </c>
      <c r="Q264" s="174">
        <f t="shared" si="101"/>
        <v>0</v>
      </c>
      <c r="R264" s="213"/>
      <c r="S264" s="237"/>
      <c r="T264" s="248"/>
      <c r="U264" s="237"/>
      <c r="V264" s="237"/>
      <c r="W264" s="237"/>
      <c r="X264" s="237"/>
      <c r="Y264" s="237"/>
      <c r="Z264" s="237"/>
      <c r="AA264" s="238"/>
      <c r="AB264" s="238"/>
      <c r="AC264" s="238"/>
      <c r="AD264" s="248"/>
      <c r="AE264" s="238"/>
      <c r="AF264" s="238"/>
      <c r="AG264" s="238"/>
      <c r="AH264" s="238"/>
      <c r="AI264" s="238"/>
      <c r="AJ264" s="238"/>
    </row>
    <row r="265" spans="1:36" s="4" customFormat="1" ht="21" customHeight="1">
      <c r="A265" s="88" t="s">
        <v>374</v>
      </c>
      <c r="B265" s="88" t="str">
        <f>'дод. 4'!A202</f>
        <v>8700</v>
      </c>
      <c r="C265" s="88" t="str">
        <f>'дод. 4'!B202</f>
        <v>0133</v>
      </c>
      <c r="D265" s="124" t="str">
        <f>'дод. 4'!C202</f>
        <v>Резервний фонд</v>
      </c>
      <c r="E265" s="90">
        <f>15430600-500000-700000-211500+200000+41298+669995.82-6700-262200-22626-43510-50000-50000-30100+313616-175000-500000+42959.44</f>
        <v>14146833.26</v>
      </c>
      <c r="F265" s="90"/>
      <c r="G265" s="90"/>
      <c r="H265" s="90"/>
      <c r="I265" s="90"/>
      <c r="J265" s="90">
        <f t="shared" si="99"/>
        <v>0</v>
      </c>
      <c r="K265" s="90"/>
      <c r="L265" s="90"/>
      <c r="M265" s="90"/>
      <c r="N265" s="90"/>
      <c r="O265" s="90"/>
      <c r="P265" s="90">
        <f t="shared" si="100"/>
        <v>14146833.26</v>
      </c>
      <c r="Q265" s="174">
        <f t="shared" si="101"/>
        <v>0</v>
      </c>
      <c r="R265" s="213"/>
      <c r="S265" s="237"/>
      <c r="T265" s="237"/>
      <c r="U265" s="237"/>
      <c r="V265" s="237"/>
      <c r="W265" s="237"/>
      <c r="X265" s="237"/>
      <c r="Y265" s="237"/>
      <c r="Z265" s="237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</row>
    <row r="266" spans="1:36" s="4" customFormat="1" ht="21.75" customHeight="1">
      <c r="A266" s="88" t="s">
        <v>375</v>
      </c>
      <c r="B266" s="88" t="str">
        <f>'дод. 4'!A205</f>
        <v>9110</v>
      </c>
      <c r="C266" s="88" t="str">
        <f>'дод. 4'!B205</f>
        <v>0180</v>
      </c>
      <c r="D266" s="124" t="str">
        <f>'дод. 4'!C205</f>
        <v>Реверсна дотація</v>
      </c>
      <c r="E266" s="90">
        <f>F266+I266</f>
        <v>87299600</v>
      </c>
      <c r="F266" s="90">
        <v>87299600</v>
      </c>
      <c r="G266" s="90"/>
      <c r="H266" s="90"/>
      <c r="I266" s="90"/>
      <c r="J266" s="90">
        <f t="shared" si="99"/>
        <v>0</v>
      </c>
      <c r="K266" s="90"/>
      <c r="L266" s="90"/>
      <c r="M266" s="90"/>
      <c r="N266" s="90"/>
      <c r="O266" s="90"/>
      <c r="P266" s="90">
        <f t="shared" si="100"/>
        <v>87299600</v>
      </c>
      <c r="Q266" s="174">
        <f t="shared" si="101"/>
        <v>0</v>
      </c>
      <c r="R266" s="213"/>
      <c r="S266" s="237"/>
      <c r="T266" s="237"/>
      <c r="U266" s="237"/>
      <c r="V266" s="237"/>
      <c r="W266" s="237"/>
      <c r="X266" s="237"/>
      <c r="Y266" s="237"/>
      <c r="Z266" s="237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</row>
    <row r="267" spans="1:36" s="4" customFormat="1" ht="21.75" customHeight="1">
      <c r="A267" s="88" t="s">
        <v>503</v>
      </c>
      <c r="B267" s="88" t="str">
        <f>'дод. 4'!A207</f>
        <v>9770</v>
      </c>
      <c r="C267" s="88" t="str">
        <f>'дод. 4'!B207</f>
        <v>0180</v>
      </c>
      <c r="D267" s="125" t="str">
        <f>'дод. 4'!C207</f>
        <v>Інші субвенції з місцевого бюджету </v>
      </c>
      <c r="E267" s="90">
        <f>F267+I267</f>
        <v>0</v>
      </c>
      <c r="F267" s="90"/>
      <c r="G267" s="90"/>
      <c r="H267" s="90"/>
      <c r="I267" s="90"/>
      <c r="J267" s="90">
        <f t="shared" si="99"/>
        <v>500000</v>
      </c>
      <c r="K267" s="90"/>
      <c r="L267" s="90"/>
      <c r="M267" s="90"/>
      <c r="N267" s="90">
        <v>500000</v>
      </c>
      <c r="O267" s="90">
        <v>500000</v>
      </c>
      <c r="P267" s="90">
        <f t="shared" si="100"/>
        <v>500000</v>
      </c>
      <c r="Q267" s="174"/>
      <c r="R267" s="213"/>
      <c r="S267" s="237"/>
      <c r="T267" s="237"/>
      <c r="U267" s="237"/>
      <c r="V267" s="237"/>
      <c r="W267" s="237"/>
      <c r="X267" s="237"/>
      <c r="Y267" s="237"/>
      <c r="Z267" s="237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</row>
    <row r="268" spans="1:36" s="131" customFormat="1" ht="20.25" customHeight="1">
      <c r="A268" s="38"/>
      <c r="B268" s="37"/>
      <c r="C268" s="37"/>
      <c r="D268" s="36" t="s">
        <v>39</v>
      </c>
      <c r="E268" s="47">
        <f aca="true" t="shared" si="102" ref="E268:P268">E12+E58+E83+E114+E184+E189+E198+E219+E223+E238+E244+E247+E256+E259</f>
        <v>2805595776.67</v>
      </c>
      <c r="F268" s="47">
        <f t="shared" si="102"/>
        <v>2765067432.41</v>
      </c>
      <c r="G268" s="47">
        <f t="shared" si="102"/>
        <v>663396378.1</v>
      </c>
      <c r="H268" s="47">
        <f t="shared" si="102"/>
        <v>95161855</v>
      </c>
      <c r="I268" s="47">
        <f t="shared" si="102"/>
        <v>26381511</v>
      </c>
      <c r="J268" s="47">
        <f t="shared" si="102"/>
        <v>473640332</v>
      </c>
      <c r="K268" s="47">
        <f t="shared" si="102"/>
        <v>72333808</v>
      </c>
      <c r="L268" s="47">
        <f t="shared" si="102"/>
        <v>6315206</v>
      </c>
      <c r="M268" s="47">
        <f t="shared" si="102"/>
        <v>2472134</v>
      </c>
      <c r="N268" s="47">
        <f t="shared" si="102"/>
        <v>401306524</v>
      </c>
      <c r="O268" s="47">
        <f t="shared" si="102"/>
        <v>399370104</v>
      </c>
      <c r="P268" s="47">
        <f t="shared" si="102"/>
        <v>3279236108.67</v>
      </c>
      <c r="Q268" s="172"/>
      <c r="R268" s="211"/>
      <c r="S268" s="233"/>
      <c r="T268" s="233"/>
      <c r="U268" s="233"/>
      <c r="V268" s="233"/>
      <c r="W268" s="233"/>
      <c r="X268" s="233"/>
      <c r="Y268" s="233"/>
      <c r="Z268" s="233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</row>
    <row r="269" spans="1:36" s="131" customFormat="1" ht="27.75" customHeight="1">
      <c r="A269" s="60"/>
      <c r="B269" s="61"/>
      <c r="C269" s="61"/>
      <c r="D269" s="36" t="s">
        <v>416</v>
      </c>
      <c r="E269" s="48">
        <f aca="true" t="shared" si="103" ref="E269:P269">E60+E85+E116</f>
        <v>1629008100</v>
      </c>
      <c r="F269" s="48">
        <f t="shared" si="103"/>
        <v>1629008100</v>
      </c>
      <c r="G269" s="48">
        <f t="shared" si="103"/>
        <v>212872900</v>
      </c>
      <c r="H269" s="48">
        <f t="shared" si="103"/>
        <v>0</v>
      </c>
      <c r="I269" s="48">
        <f t="shared" si="103"/>
        <v>0</v>
      </c>
      <c r="J269" s="48">
        <f t="shared" si="103"/>
        <v>0</v>
      </c>
      <c r="K269" s="48">
        <f t="shared" si="103"/>
        <v>0</v>
      </c>
      <c r="L269" s="48">
        <f t="shared" si="103"/>
        <v>0</v>
      </c>
      <c r="M269" s="48">
        <f t="shared" si="103"/>
        <v>0</v>
      </c>
      <c r="N269" s="48">
        <f t="shared" si="103"/>
        <v>0</v>
      </c>
      <c r="O269" s="48">
        <f t="shared" si="103"/>
        <v>0</v>
      </c>
      <c r="P269" s="48">
        <f t="shared" si="103"/>
        <v>1629008100</v>
      </c>
      <c r="Q269" s="48"/>
      <c r="R269" s="217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</row>
    <row r="270" spans="1:36" s="34" customFormat="1" ht="79.5" customHeight="1">
      <c r="A270" s="105"/>
      <c r="B270" s="102"/>
      <c r="C270" s="102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76"/>
      <c r="R270" s="218"/>
      <c r="S270" s="250"/>
      <c r="T270" s="250"/>
      <c r="U270" s="251"/>
      <c r="V270" s="250"/>
      <c r="W270" s="250"/>
      <c r="X270" s="250"/>
      <c r="Y270" s="250"/>
      <c r="Z270" s="250"/>
      <c r="AA270" s="234"/>
      <c r="AB270" s="252"/>
      <c r="AC270" s="252"/>
      <c r="AD270" s="252"/>
      <c r="AE270" s="234"/>
      <c r="AF270" s="252"/>
      <c r="AG270" s="252"/>
      <c r="AH270" s="252"/>
      <c r="AI270" s="252"/>
      <c r="AJ270" s="252"/>
    </row>
    <row r="271" spans="1:36" s="34" customFormat="1" ht="27.75" customHeight="1">
      <c r="A271" s="193"/>
      <c r="B271" s="293" t="s">
        <v>583</v>
      </c>
      <c r="C271" s="293"/>
      <c r="D271" s="293"/>
      <c r="E271" s="113"/>
      <c r="F271" s="113"/>
      <c r="G271" s="113"/>
      <c r="H271" s="113"/>
      <c r="I271" s="113"/>
      <c r="J271" s="113"/>
      <c r="K271" s="287" t="s">
        <v>584</v>
      </c>
      <c r="L271" s="287"/>
      <c r="M271" s="287"/>
      <c r="N271" s="194"/>
      <c r="O271" s="104"/>
      <c r="P271" s="104"/>
      <c r="Q271" s="165"/>
      <c r="R271" s="166"/>
      <c r="S271" s="250"/>
      <c r="T271" s="250"/>
      <c r="U271" s="250"/>
      <c r="V271" s="250"/>
      <c r="W271" s="250"/>
      <c r="X271" s="250"/>
      <c r="Y271" s="250"/>
      <c r="Z271" s="253"/>
      <c r="AA271" s="234"/>
      <c r="AB271" s="252"/>
      <c r="AC271" s="252"/>
      <c r="AD271" s="252"/>
      <c r="AE271" s="252"/>
      <c r="AF271" s="252"/>
      <c r="AG271" s="252"/>
      <c r="AH271" s="252"/>
      <c r="AI271" s="252"/>
      <c r="AJ271" s="252"/>
    </row>
    <row r="272" spans="1:36" s="34" customFormat="1" ht="27.75" customHeight="1">
      <c r="A272" s="292"/>
      <c r="B272" s="292"/>
      <c r="C272" s="292"/>
      <c r="D272" s="292"/>
      <c r="E272" s="292"/>
      <c r="F272" s="292"/>
      <c r="G272" s="195"/>
      <c r="H272" s="195"/>
      <c r="I272" s="194"/>
      <c r="J272" s="195"/>
      <c r="K272" s="281"/>
      <c r="L272" s="281"/>
      <c r="M272" s="281"/>
      <c r="N272" s="281"/>
      <c r="O272" s="104"/>
      <c r="P272" s="104"/>
      <c r="Q272" s="165"/>
      <c r="R272" s="166"/>
      <c r="S272" s="250"/>
      <c r="T272" s="250"/>
      <c r="U272" s="250"/>
      <c r="V272" s="250"/>
      <c r="W272" s="250"/>
      <c r="X272" s="250"/>
      <c r="Y272" s="250"/>
      <c r="Z272" s="250"/>
      <c r="AA272" s="252"/>
      <c r="AB272" s="252"/>
      <c r="AC272" s="252"/>
      <c r="AD272" s="252"/>
      <c r="AE272" s="252"/>
      <c r="AF272" s="252"/>
      <c r="AG272" s="252"/>
      <c r="AH272" s="252"/>
      <c r="AI272" s="252"/>
      <c r="AJ272" s="252"/>
    </row>
    <row r="273" spans="1:36" s="34" customFormat="1" ht="27.75" customHeight="1">
      <c r="A273" s="196"/>
      <c r="B273" s="197" t="s">
        <v>585</v>
      </c>
      <c r="C273" s="196"/>
      <c r="D273" s="198"/>
      <c r="E273" s="198"/>
      <c r="F273" s="198"/>
      <c r="G273" s="198"/>
      <c r="H273" s="198"/>
      <c r="I273" s="198"/>
      <c r="J273" s="198"/>
      <c r="K273" s="198"/>
      <c r="L273" s="198"/>
      <c r="M273" s="196"/>
      <c r="N273" s="196"/>
      <c r="O273" s="104"/>
      <c r="P273" s="104"/>
      <c r="Q273" s="165"/>
      <c r="R273" s="166"/>
      <c r="S273" s="250"/>
      <c r="T273" s="250"/>
      <c r="U273" s="250"/>
      <c r="V273" s="250"/>
      <c r="W273" s="250"/>
      <c r="X273" s="250"/>
      <c r="Y273" s="250"/>
      <c r="Z273" s="250"/>
      <c r="AA273" s="252"/>
      <c r="AB273" s="252"/>
      <c r="AC273" s="252"/>
      <c r="AD273" s="252"/>
      <c r="AE273" s="252"/>
      <c r="AF273" s="252"/>
      <c r="AG273" s="252"/>
      <c r="AH273" s="252"/>
      <c r="AI273" s="252"/>
      <c r="AJ273" s="252"/>
    </row>
    <row r="274" spans="1:36" s="34" customFormat="1" ht="27.75" customHeight="1">
      <c r="A274" s="106"/>
      <c r="B274" s="102"/>
      <c r="C274" s="102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83"/>
      <c r="P274" s="104"/>
      <c r="Q274" s="165"/>
      <c r="R274" s="166"/>
      <c r="S274" s="250"/>
      <c r="T274" s="250"/>
      <c r="U274" s="250"/>
      <c r="V274" s="250"/>
      <c r="W274" s="250"/>
      <c r="X274" s="250"/>
      <c r="Y274" s="250"/>
      <c r="Z274" s="250"/>
      <c r="AA274" s="252"/>
      <c r="AB274" s="252"/>
      <c r="AC274" s="252"/>
      <c r="AD274" s="252"/>
      <c r="AE274" s="252"/>
      <c r="AF274" s="252"/>
      <c r="AG274" s="252"/>
      <c r="AH274" s="252"/>
      <c r="AI274" s="252"/>
      <c r="AJ274" s="252"/>
    </row>
    <row r="275" spans="1:36" s="34" customFormat="1" ht="27.75" customHeight="1">
      <c r="A275" s="106"/>
      <c r="B275" s="102"/>
      <c r="C275" s="102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65"/>
      <c r="R275" s="166"/>
      <c r="S275" s="250"/>
      <c r="T275" s="250"/>
      <c r="U275" s="250"/>
      <c r="V275" s="250"/>
      <c r="W275" s="250"/>
      <c r="X275" s="250"/>
      <c r="Y275" s="250"/>
      <c r="Z275" s="250"/>
      <c r="AA275" s="252"/>
      <c r="AB275" s="252"/>
      <c r="AC275" s="252"/>
      <c r="AD275" s="252"/>
      <c r="AE275" s="252"/>
      <c r="AF275" s="252"/>
      <c r="AG275" s="252"/>
      <c r="AH275" s="252"/>
      <c r="AI275" s="252"/>
      <c r="AJ275" s="252"/>
    </row>
    <row r="276" spans="1:36" s="34" customFormat="1" ht="27.75" customHeight="1">
      <c r="A276" s="106"/>
      <c r="B276" s="102"/>
      <c r="C276" s="102"/>
      <c r="D276" s="103"/>
      <c r="E276" s="104">
        <f>E268-'дод. 4'!D208</f>
        <v>0</v>
      </c>
      <c r="F276" s="104">
        <f>F268-'дод. 4'!E208</f>
        <v>0</v>
      </c>
      <c r="G276" s="104">
        <f>G268-'дод. 4'!F208</f>
        <v>0</v>
      </c>
      <c r="H276" s="104">
        <f>H268-'дод. 4'!G208</f>
        <v>0</v>
      </c>
      <c r="I276" s="104">
        <f>I268-'дод. 4'!H208</f>
        <v>0</v>
      </c>
      <c r="J276" s="104">
        <f>J268-'дод. 4'!I208</f>
        <v>0</v>
      </c>
      <c r="K276" s="104">
        <f>K268-'дод. 4'!J208</f>
        <v>0</v>
      </c>
      <c r="L276" s="104">
        <f>L268-'дод. 4'!K208</f>
        <v>0</v>
      </c>
      <c r="M276" s="104">
        <f>M268-'дод. 4'!L208</f>
        <v>0</v>
      </c>
      <c r="N276" s="104">
        <f>N268-'дод. 4'!M208</f>
        <v>0</v>
      </c>
      <c r="O276" s="104">
        <f>O268-'дод. 4'!N208</f>
        <v>0</v>
      </c>
      <c r="P276" s="104">
        <f>P268-'дод. 4'!O208</f>
        <v>0</v>
      </c>
      <c r="Q276" s="165"/>
      <c r="R276" s="166"/>
      <c r="S276" s="250"/>
      <c r="T276" s="250"/>
      <c r="U276" s="250"/>
      <c r="V276" s="250"/>
      <c r="W276" s="250"/>
      <c r="X276" s="250"/>
      <c r="Y276" s="250"/>
      <c r="Z276" s="250"/>
      <c r="AA276" s="252"/>
      <c r="AB276" s="252"/>
      <c r="AC276" s="252"/>
      <c r="AD276" s="252"/>
      <c r="AE276" s="252"/>
      <c r="AF276" s="252"/>
      <c r="AG276" s="252"/>
      <c r="AH276" s="252"/>
      <c r="AI276" s="252"/>
      <c r="AJ276" s="252"/>
    </row>
    <row r="277" spans="1:36" s="34" customFormat="1" ht="27.75" customHeight="1">
      <c r="A277" s="106"/>
      <c r="B277" s="102"/>
      <c r="C277" s="102"/>
      <c r="D277" s="103"/>
      <c r="E277" s="104">
        <f>E269-'дод. 4'!D209</f>
        <v>0</v>
      </c>
      <c r="F277" s="104">
        <f>F269-'дод. 4'!E209</f>
        <v>0</v>
      </c>
      <c r="G277" s="104">
        <f>G269-'дод. 4'!F209</f>
        <v>0</v>
      </c>
      <c r="H277" s="104">
        <f>H269-'дод. 4'!G209</f>
        <v>0</v>
      </c>
      <c r="I277" s="104">
        <f>I269-'дод. 4'!H209</f>
        <v>0</v>
      </c>
      <c r="J277" s="104">
        <f>J269-'дод. 4'!I209</f>
        <v>0</v>
      </c>
      <c r="K277" s="104">
        <f>K269-'дод. 4'!J209</f>
        <v>0</v>
      </c>
      <c r="L277" s="104">
        <f>L269-'дод. 4'!K209</f>
        <v>0</v>
      </c>
      <c r="M277" s="104">
        <f>M269-'дод. 4'!L209</f>
        <v>0</v>
      </c>
      <c r="N277" s="104">
        <f>N269-'дод. 4'!M209</f>
        <v>0</v>
      </c>
      <c r="O277" s="104">
        <f>O269-'дод. 4'!N209</f>
        <v>0</v>
      </c>
      <c r="P277" s="104">
        <f>P269-'дод. 4'!O209</f>
        <v>0</v>
      </c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</row>
    <row r="278" spans="1:36" s="4" customFormat="1" ht="20.25" customHeight="1">
      <c r="A278" s="69"/>
      <c r="B278" s="70"/>
      <c r="C278" s="70"/>
      <c r="D278" s="71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</row>
    <row r="279" spans="1:17" ht="22.5" customHeight="1">
      <c r="A279" s="72"/>
      <c r="B279" s="73"/>
      <c r="C279" s="73"/>
      <c r="D279" s="74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167"/>
    </row>
    <row r="280" spans="1:36" s="157" customFormat="1" ht="22.5" customHeight="1">
      <c r="A280" s="72"/>
      <c r="B280" s="73"/>
      <c r="C280" s="73"/>
      <c r="D280" s="84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85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</row>
    <row r="281" spans="1:36" s="157" customFormat="1" ht="22.5" customHeight="1">
      <c r="A281" s="72"/>
      <c r="B281" s="73"/>
      <c r="C281" s="73"/>
      <c r="D281" s="84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85"/>
      <c r="Q281" s="202"/>
      <c r="R281" s="203"/>
      <c r="S281" s="159"/>
      <c r="T281" s="159"/>
      <c r="U281" s="159"/>
      <c r="V281" s="159"/>
      <c r="W281" s="159"/>
      <c r="X281" s="159"/>
      <c r="Y281" s="202"/>
      <c r="Z281" s="202"/>
      <c r="AA281" s="204"/>
      <c r="AB281" s="205"/>
      <c r="AC281" s="201"/>
      <c r="AD281" s="201"/>
      <c r="AE281" s="201"/>
      <c r="AF281" s="201"/>
      <c r="AG281" s="201"/>
      <c r="AH281" s="201"/>
      <c r="AI281" s="161"/>
      <c r="AJ281" s="206"/>
    </row>
    <row r="282" spans="1:36" s="157" customFormat="1" ht="22.5" customHeight="1">
      <c r="A282" s="72"/>
      <c r="B282" s="73"/>
      <c r="C282" s="73"/>
      <c r="D282" s="84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85"/>
      <c r="Q282" s="202"/>
      <c r="R282" s="203"/>
      <c r="S282" s="159"/>
      <c r="T282" s="159"/>
      <c r="U282" s="159"/>
      <c r="V282" s="159"/>
      <c r="W282" s="159"/>
      <c r="X282" s="159"/>
      <c r="Y282" s="202"/>
      <c r="Z282" s="202"/>
      <c r="AA282" s="204"/>
      <c r="AB282" s="205"/>
      <c r="AC282" s="201"/>
      <c r="AD282" s="201"/>
      <c r="AE282" s="201"/>
      <c r="AF282" s="201"/>
      <c r="AG282" s="201"/>
      <c r="AH282" s="201"/>
      <c r="AI282" s="161"/>
      <c r="AJ282" s="206"/>
    </row>
    <row r="283" spans="1:36" s="157" customFormat="1" ht="22.5" customHeight="1">
      <c r="A283" s="72"/>
      <c r="B283" s="73"/>
      <c r="C283" s="73"/>
      <c r="D283" s="84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207"/>
      <c r="P283" s="85"/>
      <c r="Q283" s="159"/>
      <c r="R283" s="203"/>
      <c r="S283" s="159"/>
      <c r="T283" s="159"/>
      <c r="U283" s="159"/>
      <c r="V283" s="159"/>
      <c r="W283" s="159"/>
      <c r="Y283" s="202"/>
      <c r="Z283" s="202"/>
      <c r="AA283" s="201"/>
      <c r="AB283" s="205"/>
      <c r="AC283" s="201"/>
      <c r="AD283" s="201"/>
      <c r="AE283" s="201"/>
      <c r="AF283" s="201"/>
      <c r="AG283" s="201"/>
      <c r="AH283" s="201"/>
      <c r="AI283" s="161"/>
      <c r="AJ283" s="206"/>
    </row>
    <row r="284" spans="1:36" s="157" customFormat="1" ht="22.5" customHeight="1">
      <c r="A284" s="72"/>
      <c r="B284" s="73"/>
      <c r="C284" s="73"/>
      <c r="D284" s="84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85"/>
      <c r="Q284" s="202"/>
      <c r="R284" s="203"/>
      <c r="S284" s="159"/>
      <c r="T284" s="159"/>
      <c r="U284" s="159"/>
      <c r="V284" s="159"/>
      <c r="W284" s="159"/>
      <c r="X284" s="159"/>
      <c r="Y284" s="202"/>
      <c r="Z284" s="202"/>
      <c r="AA284" s="204"/>
      <c r="AB284" s="205"/>
      <c r="AC284" s="201"/>
      <c r="AD284" s="201"/>
      <c r="AE284" s="201"/>
      <c r="AF284" s="201"/>
      <c r="AG284" s="201"/>
      <c r="AH284" s="201"/>
      <c r="AI284" s="161"/>
      <c r="AJ284" s="206"/>
    </row>
    <row r="285" spans="1:36" s="157" customFormat="1" ht="22.5" customHeight="1">
      <c r="A285" s="72"/>
      <c r="B285" s="73"/>
      <c r="C285" s="73"/>
      <c r="D285" s="84"/>
      <c r="E285" s="75"/>
      <c r="F285" s="75"/>
      <c r="G285" s="75"/>
      <c r="H285" s="75"/>
      <c r="I285" s="75"/>
      <c r="J285" s="75"/>
      <c r="K285" s="75"/>
      <c r="L285" s="75"/>
      <c r="M285" s="75"/>
      <c r="N285" s="73"/>
      <c r="O285" s="75"/>
      <c r="P285" s="85"/>
      <c r="Q285" s="202"/>
      <c r="R285" s="203"/>
      <c r="S285" s="159"/>
      <c r="T285" s="159"/>
      <c r="U285" s="159"/>
      <c r="V285" s="159"/>
      <c r="W285" s="159"/>
      <c r="X285" s="208"/>
      <c r="Y285" s="202"/>
      <c r="Z285" s="202"/>
      <c r="AA285" s="204"/>
      <c r="AB285" s="205"/>
      <c r="AC285" s="201"/>
      <c r="AD285" s="201"/>
      <c r="AE285" s="201"/>
      <c r="AF285" s="201"/>
      <c r="AG285" s="201"/>
      <c r="AH285" s="201"/>
      <c r="AI285" s="161"/>
      <c r="AJ285" s="206"/>
    </row>
    <row r="286" spans="1:36" s="157" customFormat="1" ht="35.25" customHeight="1">
      <c r="A286" s="72"/>
      <c r="B286" s="73"/>
      <c r="C286" s="73"/>
      <c r="D286" s="84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85"/>
      <c r="Q286" s="202"/>
      <c r="R286" s="203"/>
      <c r="S286" s="159"/>
      <c r="T286" s="159"/>
      <c r="U286" s="159"/>
      <c r="V286" s="159"/>
      <c r="W286" s="159"/>
      <c r="X286" s="159"/>
      <c r="Y286" s="159"/>
      <c r="Z286" s="202"/>
      <c r="AA286" s="204"/>
      <c r="AB286" s="205"/>
      <c r="AC286" s="201"/>
      <c r="AD286" s="201"/>
      <c r="AE286" s="201"/>
      <c r="AF286" s="201"/>
      <c r="AG286" s="201"/>
      <c r="AH286" s="201"/>
      <c r="AJ286" s="206"/>
    </row>
    <row r="287" spans="1:36" s="157" customFormat="1" ht="22.5" customHeight="1">
      <c r="A287" s="72"/>
      <c r="B287" s="73"/>
      <c r="C287" s="73"/>
      <c r="D287" s="84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85"/>
      <c r="Q287" s="202"/>
      <c r="R287" s="203"/>
      <c r="S287" s="159"/>
      <c r="T287" s="159"/>
      <c r="U287" s="159"/>
      <c r="V287" s="159"/>
      <c r="W287" s="159"/>
      <c r="X287" s="159"/>
      <c r="Y287" s="202"/>
      <c r="Z287" s="202"/>
      <c r="AA287" s="204"/>
      <c r="AB287" s="205"/>
      <c r="AC287" s="201"/>
      <c r="AD287" s="201"/>
      <c r="AE287" s="201"/>
      <c r="AF287" s="201"/>
      <c r="AG287" s="201"/>
      <c r="AH287" s="201"/>
      <c r="AI287" s="161"/>
      <c r="AJ287" s="206"/>
    </row>
    <row r="288" spans="1:36" s="157" customFormat="1" ht="22.5" customHeight="1">
      <c r="A288" s="72"/>
      <c r="B288" s="73"/>
      <c r="C288" s="73"/>
      <c r="D288" s="84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85"/>
      <c r="Q288" s="202"/>
      <c r="R288" s="203"/>
      <c r="S288" s="159"/>
      <c r="T288" s="159"/>
      <c r="U288" s="159"/>
      <c r="V288" s="159"/>
      <c r="W288" s="159"/>
      <c r="X288" s="159"/>
      <c r="Y288" s="202"/>
      <c r="Z288" s="202"/>
      <c r="AA288" s="201"/>
      <c r="AB288" s="205"/>
      <c r="AC288" s="201"/>
      <c r="AD288" s="201"/>
      <c r="AE288" s="201"/>
      <c r="AF288" s="201"/>
      <c r="AG288" s="201"/>
      <c r="AH288" s="201"/>
      <c r="AI288" s="161"/>
      <c r="AJ288" s="206"/>
    </row>
    <row r="289" spans="1:36" s="157" customFormat="1" ht="22.5" customHeight="1">
      <c r="A289" s="72"/>
      <c r="B289" s="73"/>
      <c r="C289" s="73"/>
      <c r="D289" s="84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85"/>
      <c r="Q289" s="202"/>
      <c r="R289" s="203"/>
      <c r="S289" s="159"/>
      <c r="T289" s="159"/>
      <c r="U289" s="159"/>
      <c r="V289" s="159"/>
      <c r="W289" s="159"/>
      <c r="X289" s="159"/>
      <c r="Y289" s="202"/>
      <c r="Z289" s="202"/>
      <c r="AA289" s="204"/>
      <c r="AB289" s="205"/>
      <c r="AC289" s="201"/>
      <c r="AD289" s="201"/>
      <c r="AE289" s="201"/>
      <c r="AF289" s="201"/>
      <c r="AG289" s="201"/>
      <c r="AH289" s="201"/>
      <c r="AI289" s="161"/>
      <c r="AJ289" s="206"/>
    </row>
    <row r="290" spans="1:36" s="157" customFormat="1" ht="22.5" customHeight="1">
      <c r="A290" s="72"/>
      <c r="B290" s="73"/>
      <c r="C290" s="73"/>
      <c r="D290" s="84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85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</row>
    <row r="291" spans="1:36" s="30" customFormat="1" ht="24.75" customHeight="1">
      <c r="A291" s="110"/>
      <c r="B291" s="291"/>
      <c r="C291" s="291"/>
      <c r="D291" s="291"/>
      <c r="E291" s="75"/>
      <c r="F291" s="73"/>
      <c r="G291" s="73"/>
      <c r="H291" s="73"/>
      <c r="I291" s="73"/>
      <c r="J291" s="73"/>
      <c r="K291" s="73"/>
      <c r="L291" s="73"/>
      <c r="M291" s="73"/>
      <c r="N291" s="73"/>
      <c r="O291" s="75"/>
      <c r="P291" s="86"/>
      <c r="Q291" s="158"/>
      <c r="R291" s="158"/>
      <c r="S291" s="159"/>
      <c r="T291" s="159"/>
      <c r="U291" s="159"/>
      <c r="V291" s="159"/>
      <c r="W291" s="159"/>
      <c r="X291" s="159"/>
      <c r="Y291" s="159"/>
      <c r="Z291" s="159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</row>
    <row r="292" spans="1:36" s="30" customFormat="1" ht="24.75" customHeight="1">
      <c r="A292" s="110"/>
      <c r="B292" s="83"/>
      <c r="C292" s="83"/>
      <c r="D292" s="83"/>
      <c r="E292" s="75"/>
      <c r="F292" s="73"/>
      <c r="G292" s="73"/>
      <c r="H292" s="73"/>
      <c r="I292" s="73"/>
      <c r="J292" s="73"/>
      <c r="K292" s="73"/>
      <c r="L292" s="73"/>
      <c r="M292" s="73"/>
      <c r="N292" s="73"/>
      <c r="O292" s="75"/>
      <c r="P292" s="86"/>
      <c r="Q292" s="158"/>
      <c r="R292" s="158"/>
      <c r="S292" s="159"/>
      <c r="T292" s="159"/>
      <c r="U292" s="159"/>
      <c r="V292" s="159"/>
      <c r="W292" s="159"/>
      <c r="X292" s="159"/>
      <c r="Y292" s="159"/>
      <c r="Z292" s="159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</row>
    <row r="293" spans="1:36" s="30" customFormat="1" ht="24.75" customHeight="1">
      <c r="A293" s="110"/>
      <c r="B293" s="83"/>
      <c r="C293" s="83"/>
      <c r="D293" s="83"/>
      <c r="E293" s="75"/>
      <c r="F293" s="73"/>
      <c r="G293" s="73"/>
      <c r="H293" s="73"/>
      <c r="I293" s="73"/>
      <c r="J293" s="73"/>
      <c r="K293" s="73"/>
      <c r="L293" s="73"/>
      <c r="M293" s="73"/>
      <c r="N293" s="73"/>
      <c r="O293" s="75"/>
      <c r="P293" s="86"/>
      <c r="Q293" s="158"/>
      <c r="R293" s="158"/>
      <c r="S293" s="159"/>
      <c r="T293" s="159"/>
      <c r="U293" s="159"/>
      <c r="V293" s="159"/>
      <c r="W293" s="159"/>
      <c r="X293" s="159"/>
      <c r="Y293" s="159"/>
      <c r="Z293" s="159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</row>
    <row r="294" spans="1:36" s="30" customFormat="1" ht="24.75" customHeight="1">
      <c r="A294" s="110"/>
      <c r="B294" s="83"/>
      <c r="C294" s="83"/>
      <c r="D294" s="83"/>
      <c r="E294" s="75"/>
      <c r="F294" s="73"/>
      <c r="G294" s="73"/>
      <c r="H294" s="73"/>
      <c r="I294" s="73"/>
      <c r="J294" s="73"/>
      <c r="K294" s="73"/>
      <c r="L294" s="73"/>
      <c r="M294" s="73"/>
      <c r="N294" s="73"/>
      <c r="O294" s="75"/>
      <c r="P294" s="86"/>
      <c r="Q294" s="158"/>
      <c r="R294" s="158"/>
      <c r="S294" s="159"/>
      <c r="T294" s="159"/>
      <c r="U294" s="159"/>
      <c r="V294" s="159"/>
      <c r="W294" s="159"/>
      <c r="X294" s="159"/>
      <c r="Y294" s="159"/>
      <c r="Z294" s="159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</row>
    <row r="295" spans="1:36" s="30" customFormat="1" ht="15">
      <c r="A295" s="78"/>
      <c r="B295" s="80"/>
      <c r="C295" s="73"/>
      <c r="D295" s="117"/>
      <c r="E295" s="75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86"/>
      <c r="Q295" s="158"/>
      <c r="R295" s="158"/>
      <c r="S295" s="159"/>
      <c r="T295" s="159"/>
      <c r="U295" s="159"/>
      <c r="V295" s="159"/>
      <c r="W295" s="159"/>
      <c r="X295" s="159"/>
      <c r="Y295" s="159"/>
      <c r="Z295" s="159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</row>
    <row r="296" spans="1:36" s="30" customFormat="1" ht="15">
      <c r="A296" s="111"/>
      <c r="B296" s="73"/>
      <c r="C296" s="73"/>
      <c r="D296" s="74"/>
      <c r="E296" s="75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158"/>
      <c r="R296" s="158"/>
      <c r="S296" s="159"/>
      <c r="T296" s="159"/>
      <c r="U296" s="159"/>
      <c r="V296" s="159"/>
      <c r="W296" s="159"/>
      <c r="X296" s="159"/>
      <c r="Y296" s="159"/>
      <c r="Z296" s="159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</row>
    <row r="297" spans="1:36" s="30" customFormat="1" ht="15">
      <c r="A297" s="72"/>
      <c r="B297" s="79"/>
      <c r="C297" s="80"/>
      <c r="D297" s="118"/>
      <c r="E297" s="75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158"/>
      <c r="R297" s="158"/>
      <c r="S297" s="159"/>
      <c r="T297" s="159"/>
      <c r="U297" s="159"/>
      <c r="V297" s="159"/>
      <c r="W297" s="159"/>
      <c r="X297" s="159"/>
      <c r="Y297" s="159"/>
      <c r="Z297" s="159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</row>
    <row r="298" spans="1:36" s="30" customFormat="1" ht="15">
      <c r="A298" s="79"/>
      <c r="B298" s="80"/>
      <c r="C298" s="80"/>
      <c r="D298" s="119"/>
      <c r="E298" s="73"/>
      <c r="F298" s="73"/>
      <c r="G298" s="75"/>
      <c r="H298" s="75"/>
      <c r="I298" s="75"/>
      <c r="J298" s="73"/>
      <c r="K298" s="73"/>
      <c r="L298" s="73"/>
      <c r="M298" s="73"/>
      <c r="N298" s="73"/>
      <c r="O298" s="73"/>
      <c r="P298" s="73"/>
      <c r="Q298" s="158"/>
      <c r="R298" s="158"/>
      <c r="S298" s="159"/>
      <c r="T298" s="159"/>
      <c r="U298" s="159"/>
      <c r="V298" s="159"/>
      <c r="W298" s="159"/>
      <c r="X298" s="159"/>
      <c r="Y298" s="159"/>
      <c r="Z298" s="159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</row>
    <row r="299" spans="1:36" s="30" customFormat="1" ht="15">
      <c r="A299" s="110"/>
      <c r="B299" s="112"/>
      <c r="C299" s="112"/>
      <c r="D299" s="118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158"/>
      <c r="R299" s="158"/>
      <c r="S299" s="159"/>
      <c r="T299" s="159"/>
      <c r="U299" s="159"/>
      <c r="V299" s="159"/>
      <c r="W299" s="159"/>
      <c r="X299" s="159"/>
      <c r="Y299" s="159"/>
      <c r="Z299" s="159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</row>
    <row r="300" spans="1:36" s="30" customFormat="1" ht="15">
      <c r="A300" s="110"/>
      <c r="B300" s="112"/>
      <c r="C300" s="112"/>
      <c r="D300" s="118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158"/>
      <c r="R300" s="158"/>
      <c r="S300" s="159"/>
      <c r="T300" s="159"/>
      <c r="U300" s="159"/>
      <c r="V300" s="159"/>
      <c r="W300" s="159"/>
      <c r="X300" s="159"/>
      <c r="Y300" s="159"/>
      <c r="Z300" s="159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</row>
    <row r="301" spans="1:36" s="30" customFormat="1" ht="15">
      <c r="A301" s="110"/>
      <c r="B301" s="112"/>
      <c r="C301" s="112"/>
      <c r="D301" s="118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158"/>
      <c r="R301" s="158"/>
      <c r="S301" s="159"/>
      <c r="T301" s="159"/>
      <c r="U301" s="159"/>
      <c r="V301" s="159"/>
      <c r="W301" s="159"/>
      <c r="X301" s="159"/>
      <c r="Y301" s="159"/>
      <c r="Z301" s="159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</row>
    <row r="302" spans="1:36" s="30" customFormat="1" ht="15">
      <c r="A302" s="110"/>
      <c r="B302" s="112"/>
      <c r="C302" s="112"/>
      <c r="D302" s="118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158"/>
      <c r="R302" s="158"/>
      <c r="S302" s="159"/>
      <c r="T302" s="159"/>
      <c r="U302" s="159"/>
      <c r="V302" s="159"/>
      <c r="W302" s="159"/>
      <c r="X302" s="159"/>
      <c r="Y302" s="159"/>
      <c r="Z302" s="159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</row>
    <row r="303" spans="1:36" s="30" customFormat="1" ht="15">
      <c r="A303" s="110"/>
      <c r="B303" s="112"/>
      <c r="C303" s="112"/>
      <c r="D303" s="118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158"/>
      <c r="R303" s="158"/>
      <c r="S303" s="159"/>
      <c r="T303" s="159"/>
      <c r="U303" s="159"/>
      <c r="V303" s="159"/>
      <c r="W303" s="159"/>
      <c r="X303" s="159"/>
      <c r="Y303" s="159"/>
      <c r="Z303" s="159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</row>
    <row r="304" spans="1:36" s="30" customFormat="1" ht="15">
      <c r="A304" s="110"/>
      <c r="B304" s="112"/>
      <c r="C304" s="112"/>
      <c r="D304" s="118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158"/>
      <c r="R304" s="158"/>
      <c r="S304" s="159"/>
      <c r="T304" s="159"/>
      <c r="U304" s="159"/>
      <c r="V304" s="159"/>
      <c r="W304" s="159"/>
      <c r="X304" s="159"/>
      <c r="Y304" s="159"/>
      <c r="Z304" s="159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</row>
    <row r="305" spans="1:36" s="30" customFormat="1" ht="26.25" customHeight="1">
      <c r="A305" s="110"/>
      <c r="B305" s="112"/>
      <c r="C305" s="112"/>
      <c r="D305" s="118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158"/>
      <c r="R305" s="158"/>
      <c r="S305" s="159"/>
      <c r="T305" s="159"/>
      <c r="U305" s="159"/>
      <c r="V305" s="159"/>
      <c r="W305" s="159"/>
      <c r="X305" s="159"/>
      <c r="Y305" s="159"/>
      <c r="Z305" s="159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</row>
    <row r="306" spans="1:36" s="30" customFormat="1" ht="26.25" customHeight="1">
      <c r="A306" s="76"/>
      <c r="B306" s="77"/>
      <c r="C306" s="77"/>
      <c r="D306" s="120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158"/>
      <c r="R306" s="158"/>
      <c r="S306" s="159"/>
      <c r="T306" s="159"/>
      <c r="U306" s="159"/>
      <c r="V306" s="159"/>
      <c r="W306" s="159"/>
      <c r="X306" s="159"/>
      <c r="Y306" s="159"/>
      <c r="Z306" s="159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</row>
    <row r="307" spans="1:36" s="30" customFormat="1" ht="26.25" customHeight="1">
      <c r="A307" s="76"/>
      <c r="B307" s="77"/>
      <c r="C307" s="77"/>
      <c r="D307" s="120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158"/>
      <c r="R307" s="158"/>
      <c r="S307" s="159"/>
      <c r="T307" s="159"/>
      <c r="U307" s="159"/>
      <c r="V307" s="159"/>
      <c r="W307" s="159"/>
      <c r="X307" s="159"/>
      <c r="Y307" s="159"/>
      <c r="Z307" s="159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</row>
    <row r="308" spans="1:36" s="30" customFormat="1" ht="26.25" customHeight="1">
      <c r="A308" s="76"/>
      <c r="B308" s="77"/>
      <c r="C308" s="77"/>
      <c r="D308" s="120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158"/>
      <c r="R308" s="158"/>
      <c r="S308" s="159"/>
      <c r="T308" s="159"/>
      <c r="U308" s="159"/>
      <c r="V308" s="159"/>
      <c r="W308" s="159"/>
      <c r="X308" s="159"/>
      <c r="Y308" s="159"/>
      <c r="Z308" s="159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</row>
    <row r="309" spans="1:36" s="30" customFormat="1" ht="26.25" customHeight="1">
      <c r="A309" s="76"/>
      <c r="B309" s="77"/>
      <c r="C309" s="77"/>
      <c r="D309" s="120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158"/>
      <c r="R309" s="158"/>
      <c r="S309" s="159"/>
      <c r="T309" s="159"/>
      <c r="U309" s="159"/>
      <c r="V309" s="159"/>
      <c r="W309" s="159"/>
      <c r="X309" s="159"/>
      <c r="Y309" s="159"/>
      <c r="Z309" s="159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</row>
    <row r="310" spans="1:36" s="30" customFormat="1" ht="15">
      <c r="A310" s="76"/>
      <c r="B310" s="77"/>
      <c r="C310" s="77"/>
      <c r="D310" s="120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158"/>
      <c r="R310" s="158"/>
      <c r="S310" s="159"/>
      <c r="T310" s="159"/>
      <c r="U310" s="159"/>
      <c r="V310" s="159"/>
      <c r="W310" s="159"/>
      <c r="X310" s="159"/>
      <c r="Y310" s="159"/>
      <c r="Z310" s="159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</row>
    <row r="311" spans="1:36" s="30" customFormat="1" ht="15">
      <c r="A311" s="76"/>
      <c r="B311" s="77"/>
      <c r="C311" s="77"/>
      <c r="D311" s="120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158"/>
      <c r="R311" s="158"/>
      <c r="S311" s="159"/>
      <c r="T311" s="159"/>
      <c r="U311" s="159"/>
      <c r="V311" s="159"/>
      <c r="W311" s="159"/>
      <c r="X311" s="159"/>
      <c r="Y311" s="159"/>
      <c r="Z311" s="159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</row>
    <row r="312" spans="1:36" s="30" customFormat="1" ht="15">
      <c r="A312" s="76"/>
      <c r="B312" s="77"/>
      <c r="C312" s="77"/>
      <c r="D312" s="120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158"/>
      <c r="R312" s="158"/>
      <c r="S312" s="159"/>
      <c r="T312" s="159"/>
      <c r="U312" s="159"/>
      <c r="V312" s="159"/>
      <c r="W312" s="159"/>
      <c r="X312" s="159"/>
      <c r="Y312" s="159"/>
      <c r="Z312" s="159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</row>
    <row r="313" spans="1:36" s="30" customFormat="1" ht="15">
      <c r="A313" s="76"/>
      <c r="B313" s="77"/>
      <c r="C313" s="77"/>
      <c r="D313" s="120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158"/>
      <c r="R313" s="158"/>
      <c r="S313" s="159"/>
      <c r="T313" s="159"/>
      <c r="U313" s="159"/>
      <c r="V313" s="159"/>
      <c r="W313" s="159"/>
      <c r="X313" s="159"/>
      <c r="Y313" s="159"/>
      <c r="Z313" s="159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</row>
    <row r="314" spans="1:36" s="30" customFormat="1" ht="15">
      <c r="A314" s="76"/>
      <c r="B314" s="77"/>
      <c r="C314" s="77"/>
      <c r="D314" s="120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158"/>
      <c r="R314" s="158"/>
      <c r="S314" s="159"/>
      <c r="T314" s="159"/>
      <c r="U314" s="159"/>
      <c r="V314" s="159"/>
      <c r="W314" s="159"/>
      <c r="X314" s="159"/>
      <c r="Y314" s="159"/>
      <c r="Z314" s="159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</row>
    <row r="315" spans="1:36" s="30" customFormat="1" ht="15">
      <c r="A315" s="76"/>
      <c r="B315" s="77"/>
      <c r="C315" s="77"/>
      <c r="D315" s="120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158"/>
      <c r="R315" s="158"/>
      <c r="S315" s="159"/>
      <c r="T315" s="159"/>
      <c r="U315" s="159"/>
      <c r="V315" s="159"/>
      <c r="W315" s="159"/>
      <c r="X315" s="159"/>
      <c r="Y315" s="159"/>
      <c r="Z315" s="159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</row>
    <row r="316" spans="1:36" s="30" customFormat="1" ht="15">
      <c r="A316" s="76"/>
      <c r="B316" s="77"/>
      <c r="C316" s="77"/>
      <c r="D316" s="120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158"/>
      <c r="R316" s="158"/>
      <c r="S316" s="159"/>
      <c r="T316" s="159"/>
      <c r="U316" s="159"/>
      <c r="V316" s="159"/>
      <c r="W316" s="159"/>
      <c r="X316" s="159"/>
      <c r="Y316" s="159"/>
      <c r="Z316" s="159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</row>
    <row r="317" spans="1:36" s="30" customFormat="1" ht="15">
      <c r="A317" s="76"/>
      <c r="B317" s="77"/>
      <c r="C317" s="77"/>
      <c r="D317" s="120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158"/>
      <c r="R317" s="158"/>
      <c r="S317" s="159"/>
      <c r="T317" s="159"/>
      <c r="U317" s="159"/>
      <c r="V317" s="159"/>
      <c r="W317" s="159"/>
      <c r="X317" s="159"/>
      <c r="Y317" s="159"/>
      <c r="Z317" s="159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</row>
    <row r="318" spans="1:36" s="30" customFormat="1" ht="15">
      <c r="A318" s="76"/>
      <c r="B318" s="77"/>
      <c r="C318" s="77"/>
      <c r="D318" s="120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158"/>
      <c r="R318" s="158"/>
      <c r="S318" s="159"/>
      <c r="T318" s="159"/>
      <c r="U318" s="159"/>
      <c r="V318" s="159"/>
      <c r="W318" s="159"/>
      <c r="X318" s="159"/>
      <c r="Y318" s="159"/>
      <c r="Z318" s="159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</row>
    <row r="319" spans="1:36" s="30" customFormat="1" ht="15">
      <c r="A319" s="76"/>
      <c r="B319" s="77"/>
      <c r="C319" s="77"/>
      <c r="D319" s="120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158"/>
      <c r="R319" s="158"/>
      <c r="S319" s="159"/>
      <c r="T319" s="159"/>
      <c r="U319" s="159"/>
      <c r="V319" s="159"/>
      <c r="W319" s="159"/>
      <c r="X319" s="159"/>
      <c r="Y319" s="159"/>
      <c r="Z319" s="159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</row>
    <row r="320" spans="1:36" s="30" customFormat="1" ht="15">
      <c r="A320" s="76"/>
      <c r="B320" s="77"/>
      <c r="C320" s="77"/>
      <c r="D320" s="120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158"/>
      <c r="R320" s="158"/>
      <c r="S320" s="159"/>
      <c r="T320" s="159"/>
      <c r="U320" s="159"/>
      <c r="V320" s="159"/>
      <c r="W320" s="159"/>
      <c r="X320" s="159"/>
      <c r="Y320" s="159"/>
      <c r="Z320" s="159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</row>
    <row r="321" spans="1:36" s="30" customFormat="1" ht="15">
      <c r="A321" s="76"/>
      <c r="B321" s="77"/>
      <c r="C321" s="77"/>
      <c r="D321" s="120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158"/>
      <c r="R321" s="158"/>
      <c r="S321" s="159"/>
      <c r="T321" s="159"/>
      <c r="U321" s="159"/>
      <c r="V321" s="159"/>
      <c r="W321" s="159"/>
      <c r="X321" s="159"/>
      <c r="Y321" s="159"/>
      <c r="Z321" s="159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</row>
    <row r="322" spans="1:36" s="30" customFormat="1" ht="15">
      <c r="A322" s="76"/>
      <c r="B322" s="77"/>
      <c r="C322" s="77"/>
      <c r="D322" s="120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158"/>
      <c r="R322" s="158"/>
      <c r="S322" s="159"/>
      <c r="T322" s="159"/>
      <c r="U322" s="159"/>
      <c r="V322" s="159"/>
      <c r="W322" s="159"/>
      <c r="X322" s="159"/>
      <c r="Y322" s="159"/>
      <c r="Z322" s="159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</row>
    <row r="323" spans="1:36" s="30" customFormat="1" ht="15">
      <c r="A323" s="76"/>
      <c r="B323" s="77"/>
      <c r="C323" s="77"/>
      <c r="D323" s="120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158"/>
      <c r="R323" s="158"/>
      <c r="S323" s="159"/>
      <c r="T323" s="159"/>
      <c r="U323" s="159"/>
      <c r="V323" s="159"/>
      <c r="W323" s="159"/>
      <c r="X323" s="159"/>
      <c r="Y323" s="159"/>
      <c r="Z323" s="159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</row>
    <row r="324" spans="1:36" s="30" customFormat="1" ht="15">
      <c r="A324" s="76"/>
      <c r="B324" s="77"/>
      <c r="C324" s="77"/>
      <c r="D324" s="120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158"/>
      <c r="R324" s="158"/>
      <c r="S324" s="159"/>
      <c r="T324" s="159"/>
      <c r="U324" s="159"/>
      <c r="V324" s="159"/>
      <c r="W324" s="159"/>
      <c r="X324" s="159"/>
      <c r="Y324" s="159"/>
      <c r="Z324" s="159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</row>
    <row r="325" spans="1:36" s="30" customFormat="1" ht="15">
      <c r="A325" s="76"/>
      <c r="B325" s="77"/>
      <c r="C325" s="77"/>
      <c r="D325" s="120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158"/>
      <c r="R325" s="158"/>
      <c r="S325" s="159"/>
      <c r="T325" s="159"/>
      <c r="U325" s="159"/>
      <c r="V325" s="159"/>
      <c r="W325" s="159"/>
      <c r="X325" s="159"/>
      <c r="Y325" s="159"/>
      <c r="Z325" s="159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</row>
    <row r="326" spans="1:36" s="30" customFormat="1" ht="15">
      <c r="A326" s="76"/>
      <c r="B326" s="77"/>
      <c r="C326" s="77"/>
      <c r="D326" s="120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181"/>
      <c r="Q326" s="158"/>
      <c r="R326" s="158"/>
      <c r="S326" s="159"/>
      <c r="T326" s="159"/>
      <c r="U326" s="159"/>
      <c r="V326" s="159"/>
      <c r="W326" s="159"/>
      <c r="X326" s="159"/>
      <c r="Y326" s="159"/>
      <c r="Z326" s="159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</row>
    <row r="327" spans="1:36" s="30" customFormat="1" ht="15">
      <c r="A327" s="76"/>
      <c r="B327" s="77"/>
      <c r="C327" s="77"/>
      <c r="D327" s="120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162"/>
      <c r="Q327" s="158"/>
      <c r="R327" s="158"/>
      <c r="S327" s="159"/>
      <c r="T327" s="159"/>
      <c r="U327" s="159"/>
      <c r="V327" s="159"/>
      <c r="W327" s="159"/>
      <c r="X327" s="159"/>
      <c r="Y327" s="159"/>
      <c r="Z327" s="159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</row>
    <row r="328" spans="1:36" s="30" customFormat="1" ht="15">
      <c r="A328" s="76"/>
      <c r="B328" s="77"/>
      <c r="C328" s="77"/>
      <c r="D328" s="120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162"/>
      <c r="Q328" s="158"/>
      <c r="R328" s="158"/>
      <c r="S328" s="159"/>
      <c r="T328" s="159"/>
      <c r="U328" s="159"/>
      <c r="V328" s="159"/>
      <c r="W328" s="159"/>
      <c r="X328" s="159"/>
      <c r="Y328" s="159"/>
      <c r="Z328" s="159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</row>
    <row r="329" spans="1:36" s="30" customFormat="1" ht="15">
      <c r="A329" s="76"/>
      <c r="B329" s="77"/>
      <c r="C329" s="77"/>
      <c r="D329" s="120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162"/>
      <c r="Q329" s="158"/>
      <c r="R329" s="158"/>
      <c r="S329" s="159"/>
      <c r="T329" s="159"/>
      <c r="U329" s="159"/>
      <c r="V329" s="159"/>
      <c r="W329" s="159"/>
      <c r="X329" s="159"/>
      <c r="Y329" s="159"/>
      <c r="Z329" s="159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</row>
    <row r="330" spans="1:36" s="30" customFormat="1" ht="15">
      <c r="A330" s="76"/>
      <c r="B330" s="77"/>
      <c r="C330" s="77"/>
      <c r="D330" s="120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162"/>
      <c r="Q330" s="158"/>
      <c r="R330" s="158"/>
      <c r="S330" s="159"/>
      <c r="T330" s="159"/>
      <c r="U330" s="159"/>
      <c r="V330" s="159"/>
      <c r="W330" s="159"/>
      <c r="X330" s="159"/>
      <c r="Y330" s="159"/>
      <c r="Z330" s="159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</row>
    <row r="331" spans="1:36" s="30" customFormat="1" ht="15">
      <c r="A331" s="76"/>
      <c r="B331" s="77"/>
      <c r="C331" s="77"/>
      <c r="D331" s="120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162"/>
      <c r="Q331" s="158"/>
      <c r="R331" s="158"/>
      <c r="S331" s="159"/>
      <c r="T331" s="159"/>
      <c r="U331" s="159"/>
      <c r="V331" s="159"/>
      <c r="W331" s="159"/>
      <c r="X331" s="159"/>
      <c r="Y331" s="159"/>
      <c r="Z331" s="159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</row>
    <row r="332" spans="1:36" s="30" customFormat="1" ht="15">
      <c r="A332" s="76"/>
      <c r="B332" s="77"/>
      <c r="C332" s="77"/>
      <c r="D332" s="120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162"/>
      <c r="Q332" s="158"/>
      <c r="R332" s="158"/>
      <c r="S332" s="159"/>
      <c r="T332" s="159"/>
      <c r="U332" s="159"/>
      <c r="V332" s="159"/>
      <c r="W332" s="159"/>
      <c r="X332" s="159"/>
      <c r="Y332" s="159"/>
      <c r="Z332" s="159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</row>
    <row r="333" ht="15">
      <c r="B333" s="77"/>
    </row>
    <row r="334" ht="15">
      <c r="B334" s="77"/>
    </row>
    <row r="335" ht="15">
      <c r="B335" s="77"/>
    </row>
    <row r="336" ht="15">
      <c r="B336" s="77"/>
    </row>
    <row r="337" ht="15">
      <c r="B337" s="77"/>
    </row>
    <row r="338" ht="15">
      <c r="B338" s="77"/>
    </row>
    <row r="339" ht="15">
      <c r="B339" s="77"/>
    </row>
    <row r="340" ht="15">
      <c r="B340" s="77"/>
    </row>
    <row r="341" ht="15">
      <c r="B341" s="77"/>
    </row>
    <row r="342" ht="15">
      <c r="B342" s="77"/>
    </row>
    <row r="343" ht="15">
      <c r="B343" s="77"/>
    </row>
    <row r="344" ht="15">
      <c r="B344" s="77"/>
    </row>
    <row r="345" ht="15">
      <c r="B345" s="77"/>
    </row>
    <row r="346" ht="15">
      <c r="B346" s="77"/>
    </row>
    <row r="347" ht="15">
      <c r="B347" s="77"/>
    </row>
    <row r="348" ht="15">
      <c r="B348" s="77"/>
    </row>
    <row r="349" ht="15">
      <c r="B349" s="77"/>
    </row>
    <row r="350" ht="15">
      <c r="B350" s="77"/>
    </row>
    <row r="351" ht="15">
      <c r="B351" s="77"/>
    </row>
    <row r="352" ht="15">
      <c r="B352" s="77"/>
    </row>
    <row r="353" ht="15">
      <c r="B353" s="77"/>
    </row>
    <row r="354" ht="15">
      <c r="B354" s="77"/>
    </row>
    <row r="355" ht="15">
      <c r="B355" s="77"/>
    </row>
    <row r="356" ht="15">
      <c r="B356" s="77"/>
    </row>
    <row r="357" ht="15">
      <c r="B357" s="77"/>
    </row>
    <row r="358" ht="15">
      <c r="B358" s="77"/>
    </row>
    <row r="359" ht="15">
      <c r="B359" s="77"/>
    </row>
    <row r="360" ht="15">
      <c r="B360" s="77"/>
    </row>
    <row r="361" ht="15">
      <c r="B361" s="77"/>
    </row>
    <row r="362" ht="15">
      <c r="B362" s="77"/>
    </row>
    <row r="363" ht="15">
      <c r="B363" s="77"/>
    </row>
    <row r="364" ht="15">
      <c r="B364" s="77"/>
    </row>
    <row r="365" ht="15">
      <c r="B365" s="77"/>
    </row>
    <row r="366" ht="15">
      <c r="B366" s="77"/>
    </row>
    <row r="367" ht="15">
      <c r="B367" s="77"/>
    </row>
    <row r="368" ht="15">
      <c r="B368" s="77"/>
    </row>
    <row r="369" ht="15">
      <c r="B369" s="77"/>
    </row>
    <row r="370" ht="15">
      <c r="B370" s="77"/>
    </row>
    <row r="371" ht="15">
      <c r="B371" s="77"/>
    </row>
    <row r="372" ht="15">
      <c r="B372" s="77"/>
    </row>
    <row r="373" ht="15">
      <c r="B373" s="77"/>
    </row>
    <row r="374" ht="15">
      <c r="B374" s="77"/>
    </row>
    <row r="375" ht="15">
      <c r="B375" s="77"/>
    </row>
    <row r="376" ht="15">
      <c r="B376" s="77"/>
    </row>
    <row r="377" ht="15">
      <c r="B377" s="77"/>
    </row>
    <row r="378" ht="15">
      <c r="B378" s="77"/>
    </row>
    <row r="379" ht="15">
      <c r="B379" s="77"/>
    </row>
    <row r="380" ht="15">
      <c r="B380" s="77"/>
    </row>
    <row r="381" ht="15">
      <c r="B381" s="77"/>
    </row>
    <row r="382" ht="15">
      <c r="B382" s="77"/>
    </row>
    <row r="383" ht="15">
      <c r="B383" s="77"/>
    </row>
    <row r="384" ht="15">
      <c r="B384" s="77"/>
    </row>
    <row r="385" ht="15">
      <c r="B385" s="77"/>
    </row>
    <row r="386" ht="15">
      <c r="B386" s="77"/>
    </row>
    <row r="387" ht="15">
      <c r="B387" s="77"/>
    </row>
    <row r="388" ht="15">
      <c r="B388" s="77"/>
    </row>
    <row r="389" ht="15">
      <c r="B389" s="77"/>
    </row>
    <row r="390" ht="15">
      <c r="B390" s="77"/>
    </row>
    <row r="391" ht="15">
      <c r="B391" s="77"/>
    </row>
    <row r="392" ht="15">
      <c r="B392" s="77"/>
    </row>
    <row r="393" ht="15">
      <c r="B393" s="77"/>
    </row>
    <row r="394" ht="15">
      <c r="B394" s="77"/>
    </row>
    <row r="395" ht="15">
      <c r="B395" s="77"/>
    </row>
    <row r="396" ht="15">
      <c r="B396" s="77"/>
    </row>
    <row r="397" ht="15">
      <c r="B397" s="77"/>
    </row>
    <row r="398" ht="15">
      <c r="B398" s="77"/>
    </row>
    <row r="399" ht="15">
      <c r="B399" s="77"/>
    </row>
    <row r="400" ht="15">
      <c r="B400" s="77"/>
    </row>
    <row r="401" ht="15">
      <c r="B401" s="77"/>
    </row>
    <row r="402" ht="15">
      <c r="B402" s="77"/>
    </row>
    <row r="403" ht="15">
      <c r="B403" s="77"/>
    </row>
    <row r="404" ht="15">
      <c r="B404" s="77"/>
    </row>
    <row r="405" ht="15">
      <c r="B405" s="77"/>
    </row>
    <row r="406" ht="15">
      <c r="B406" s="77"/>
    </row>
    <row r="407" ht="15">
      <c r="B407" s="77"/>
    </row>
    <row r="408" ht="15">
      <c r="B408" s="77"/>
    </row>
    <row r="409" ht="15">
      <c r="B409" s="77"/>
    </row>
    <row r="410" ht="15">
      <c r="B410" s="77"/>
    </row>
    <row r="411" ht="15">
      <c r="B411" s="77"/>
    </row>
    <row r="412" ht="15">
      <c r="B412" s="77"/>
    </row>
    <row r="413" ht="15">
      <c r="B413" s="77"/>
    </row>
    <row r="414" ht="15">
      <c r="B414" s="77"/>
    </row>
    <row r="415" ht="15">
      <c r="B415" s="77"/>
    </row>
    <row r="416" ht="15">
      <c r="B416" s="77"/>
    </row>
    <row r="417" ht="15">
      <c r="B417" s="77"/>
    </row>
    <row r="418" ht="15">
      <c r="B418" s="77"/>
    </row>
    <row r="419" ht="15">
      <c r="B419" s="77"/>
    </row>
    <row r="420" ht="15">
      <c r="B420" s="77"/>
    </row>
    <row r="421" ht="15">
      <c r="B421" s="77"/>
    </row>
    <row r="422" ht="15">
      <c r="B422" s="77"/>
    </row>
    <row r="423" ht="15">
      <c r="B423" s="77"/>
    </row>
    <row r="424" ht="15">
      <c r="B424" s="77"/>
    </row>
    <row r="425" ht="15">
      <c r="B425" s="77"/>
    </row>
    <row r="426" ht="15">
      <c r="B426" s="77"/>
    </row>
    <row r="427" ht="15">
      <c r="B427" s="77"/>
    </row>
    <row r="428" ht="15">
      <c r="B428" s="77"/>
    </row>
    <row r="429" ht="15">
      <c r="B429" s="77"/>
    </row>
    <row r="430" ht="15">
      <c r="B430" s="77"/>
    </row>
    <row r="431" ht="15">
      <c r="B431" s="77"/>
    </row>
    <row r="432" ht="15">
      <c r="B432" s="77"/>
    </row>
    <row r="433" ht="15">
      <c r="B433" s="77"/>
    </row>
    <row r="434" ht="15">
      <c r="B434" s="77"/>
    </row>
    <row r="435" ht="15">
      <c r="B435" s="77"/>
    </row>
    <row r="436" ht="15">
      <c r="B436" s="77"/>
    </row>
    <row r="437" ht="15">
      <c r="B437" s="77"/>
    </row>
    <row r="438" ht="15">
      <c r="B438" s="77"/>
    </row>
    <row r="439" ht="15">
      <c r="B439" s="77"/>
    </row>
    <row r="440" ht="15">
      <c r="B440" s="77"/>
    </row>
    <row r="441" ht="15">
      <c r="B441" s="77"/>
    </row>
    <row r="442" ht="15">
      <c r="B442" s="77"/>
    </row>
    <row r="443" ht="15">
      <c r="B443" s="77"/>
    </row>
  </sheetData>
  <sheetProtection/>
  <mergeCells count="41">
    <mergeCell ref="B291:D291"/>
    <mergeCell ref="G9:H9"/>
    <mergeCell ref="A272:F272"/>
    <mergeCell ref="B271:D271"/>
    <mergeCell ref="A8:A11"/>
    <mergeCell ref="B8:B11"/>
    <mergeCell ref="D8:D11"/>
    <mergeCell ref="C8:C11"/>
    <mergeCell ref="M1:P1"/>
    <mergeCell ref="M10:M11"/>
    <mergeCell ref="O10:O11"/>
    <mergeCell ref="J8:O8"/>
    <mergeCell ref="J9:J11"/>
    <mergeCell ref="D6:O6"/>
    <mergeCell ref="G10:G11"/>
    <mergeCell ref="L10:L11"/>
    <mergeCell ref="M3:Q3"/>
    <mergeCell ref="M4:Q4"/>
    <mergeCell ref="AG8:AJ8"/>
    <mergeCell ref="V9:V11"/>
    <mergeCell ref="P8:P11"/>
    <mergeCell ref="W9:W11"/>
    <mergeCell ref="AG9:AG11"/>
    <mergeCell ref="K272:N272"/>
    <mergeCell ref="Q7:Z7"/>
    <mergeCell ref="AA7:AJ7"/>
    <mergeCell ref="Q8:T9"/>
    <mergeCell ref="U8:U11"/>
    <mergeCell ref="V8:Z8"/>
    <mergeCell ref="AA8:AD9"/>
    <mergeCell ref="AE8:AE11"/>
    <mergeCell ref="AF8:AF11"/>
    <mergeCell ref="K271:M271"/>
    <mergeCell ref="K9:K11"/>
    <mergeCell ref="L9:M9"/>
    <mergeCell ref="N9:N11"/>
    <mergeCell ref="E8:I8"/>
    <mergeCell ref="F9:F11"/>
    <mergeCell ref="I9:I11"/>
    <mergeCell ref="E9:E11"/>
    <mergeCell ref="H10:H11"/>
  </mergeCells>
  <printOptions horizontalCentered="1"/>
  <pageMargins left="0.1968503937007874" right="0.1968503937007874" top="0.44" bottom="0.41" header="0.2" footer="0.2362204724409449"/>
  <pageSetup fitToHeight="100" fitToWidth="1" horizontalDpi="600" verticalDpi="600" orientation="landscape" paperSize="9" scale="46" r:id="rId1"/>
  <headerFooter alignWithMargins="0">
    <oddFooter xml:space="preserve">&amp;R&amp;22Сторінка  &amp;P </oddFooter>
  </headerFooter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5"/>
  <sheetViews>
    <sheetView showGridLines="0" showZeros="0" view="pageBreakPreview" zoomScale="85" zoomScaleNormal="70" zoomScaleSheetLayoutView="85" zoomScalePageLayoutView="0" workbookViewId="0" topLeftCell="A145">
      <selection activeCell="B150" sqref="B150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5.33203125" style="43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20.5" style="157" customWidth="1"/>
    <col min="17" max="17" width="21.5" style="157" customWidth="1"/>
    <col min="18" max="18" width="23" style="157" customWidth="1"/>
    <col min="19" max="26" width="17.5" style="157" customWidth="1"/>
    <col min="27" max="27" width="20.83203125" style="157" customWidth="1"/>
    <col min="28" max="28" width="21.5" style="157" customWidth="1"/>
    <col min="29" max="29" width="17.5" style="157" customWidth="1"/>
    <col min="30" max="30" width="19.66015625" style="157" customWidth="1"/>
    <col min="31" max="34" width="17.5" style="157" customWidth="1"/>
    <col min="35" max="35" width="17.5" style="159" customWidth="1"/>
    <col min="36" max="16384" width="9.16015625" style="2" customWidth="1"/>
  </cols>
  <sheetData>
    <row r="1" spans="1:15" ht="26.25" customHeight="1">
      <c r="A1" s="17"/>
      <c r="K1" s="288" t="s">
        <v>497</v>
      </c>
      <c r="L1" s="288"/>
      <c r="M1" s="288"/>
      <c r="N1" s="288"/>
      <c r="O1" s="199"/>
    </row>
    <row r="2" spans="1:15" ht="26.25" customHeight="1">
      <c r="A2" s="17"/>
      <c r="K2" s="199" t="s">
        <v>587</v>
      </c>
      <c r="L2" s="199"/>
      <c r="M2" s="199"/>
      <c r="N2" s="199"/>
      <c r="O2" s="199"/>
    </row>
    <row r="3" spans="1:15" ht="26.25">
      <c r="A3" s="17"/>
      <c r="K3" s="290" t="s">
        <v>588</v>
      </c>
      <c r="L3" s="290"/>
      <c r="M3" s="290"/>
      <c r="N3" s="290"/>
      <c r="O3" s="290"/>
    </row>
    <row r="4" spans="1:15" ht="26.25">
      <c r="A4" s="17"/>
      <c r="K4" s="290" t="s">
        <v>589</v>
      </c>
      <c r="L4" s="290"/>
      <c r="M4" s="290"/>
      <c r="N4" s="290"/>
      <c r="O4" s="290"/>
    </row>
    <row r="5" ht="15.75">
      <c r="A5" s="17"/>
    </row>
    <row r="6" spans="1:3" ht="12.75" customHeight="1">
      <c r="A6" s="17"/>
      <c r="B6" s="6"/>
      <c r="C6" s="44"/>
    </row>
    <row r="7" spans="1:13" ht="77.25" customHeight="1">
      <c r="A7" s="289" t="s">
        <v>361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35" s="16" customFormat="1" ht="24" customHeight="1">
      <c r="A8" s="17"/>
      <c r="B8" s="24"/>
      <c r="C8" s="45"/>
      <c r="O8" s="16" t="s">
        <v>373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6"/>
      <c r="AA8" s="296"/>
      <c r="AB8" s="296"/>
      <c r="AC8" s="296"/>
      <c r="AD8" s="296"/>
      <c r="AE8" s="296"/>
      <c r="AF8" s="296"/>
      <c r="AG8" s="296"/>
      <c r="AH8" s="296"/>
      <c r="AI8" s="296"/>
    </row>
    <row r="9" spans="1:35" ht="21.75" customHeight="1">
      <c r="A9" s="298" t="s">
        <v>165</v>
      </c>
      <c r="B9" s="298" t="s">
        <v>80</v>
      </c>
      <c r="C9" s="298" t="s">
        <v>178</v>
      </c>
      <c r="D9" s="280" t="s">
        <v>362</v>
      </c>
      <c r="E9" s="280"/>
      <c r="F9" s="280"/>
      <c r="G9" s="280"/>
      <c r="H9" s="280"/>
      <c r="I9" s="280" t="s">
        <v>363</v>
      </c>
      <c r="J9" s="280"/>
      <c r="K9" s="280"/>
      <c r="L9" s="280"/>
      <c r="M9" s="280"/>
      <c r="N9" s="280"/>
      <c r="O9" s="280" t="s">
        <v>364</v>
      </c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5"/>
      <c r="AA9" s="295"/>
      <c r="AB9" s="295"/>
      <c r="AC9" s="295"/>
      <c r="AD9" s="295"/>
      <c r="AE9" s="295"/>
      <c r="AF9" s="295"/>
      <c r="AG9" s="295"/>
      <c r="AH9" s="295"/>
      <c r="AI9" s="295"/>
    </row>
    <row r="10" spans="1:35" ht="29.25" customHeight="1">
      <c r="A10" s="298"/>
      <c r="B10" s="298"/>
      <c r="C10" s="298"/>
      <c r="D10" s="280" t="s">
        <v>365</v>
      </c>
      <c r="E10" s="280" t="s">
        <v>366</v>
      </c>
      <c r="F10" s="280"/>
      <c r="G10" s="280"/>
      <c r="H10" s="280" t="s">
        <v>368</v>
      </c>
      <c r="I10" s="280" t="s">
        <v>365</v>
      </c>
      <c r="J10" s="280" t="s">
        <v>366</v>
      </c>
      <c r="K10" s="280" t="s">
        <v>367</v>
      </c>
      <c r="L10" s="280"/>
      <c r="M10" s="280" t="s">
        <v>368</v>
      </c>
      <c r="N10" s="39" t="s">
        <v>367</v>
      </c>
      <c r="O10" s="280"/>
      <c r="P10" s="297"/>
      <c r="Q10" s="297"/>
      <c r="R10" s="297"/>
      <c r="S10" s="297"/>
      <c r="T10" s="297"/>
      <c r="U10" s="297"/>
      <c r="V10" s="297"/>
      <c r="W10" s="256"/>
      <c r="X10" s="256"/>
      <c r="Y10" s="254"/>
      <c r="Z10" s="295"/>
      <c r="AA10" s="295"/>
      <c r="AB10" s="295"/>
      <c r="AC10" s="295"/>
      <c r="AD10" s="295"/>
      <c r="AE10" s="295"/>
      <c r="AF10" s="295"/>
      <c r="AG10" s="255"/>
      <c r="AH10" s="255"/>
      <c r="AI10" s="257"/>
    </row>
    <row r="11" spans="1:35" ht="20.25" customHeight="1">
      <c r="A11" s="298"/>
      <c r="B11" s="298"/>
      <c r="C11" s="298"/>
      <c r="D11" s="280"/>
      <c r="E11" s="280"/>
      <c r="F11" s="280" t="s">
        <v>369</v>
      </c>
      <c r="G11" s="280" t="s">
        <v>370</v>
      </c>
      <c r="H11" s="280"/>
      <c r="I11" s="280"/>
      <c r="J11" s="280"/>
      <c r="K11" s="280" t="s">
        <v>369</v>
      </c>
      <c r="L11" s="280" t="s">
        <v>370</v>
      </c>
      <c r="M11" s="280"/>
      <c r="N11" s="280" t="s">
        <v>371</v>
      </c>
      <c r="O11" s="280"/>
      <c r="P11" s="258"/>
      <c r="Q11" s="259"/>
      <c r="R11" s="260"/>
      <c r="S11" s="260"/>
      <c r="T11" s="297"/>
      <c r="U11" s="297"/>
      <c r="V11" s="297"/>
      <c r="W11" s="260"/>
      <c r="X11" s="260"/>
      <c r="Y11" s="260"/>
      <c r="Z11" s="261"/>
      <c r="AA11" s="262"/>
      <c r="AB11" s="263"/>
      <c r="AC11" s="263"/>
      <c r="AD11" s="295"/>
      <c r="AE11" s="295"/>
      <c r="AF11" s="295"/>
      <c r="AG11" s="263"/>
      <c r="AH11" s="263"/>
      <c r="AI11" s="264"/>
    </row>
    <row r="12" spans="1:35" ht="71.25" customHeight="1">
      <c r="A12" s="298"/>
      <c r="B12" s="298"/>
      <c r="C12" s="298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58"/>
      <c r="Q12" s="254"/>
      <c r="R12" s="254"/>
      <c r="S12" s="258"/>
      <c r="T12" s="297"/>
      <c r="U12" s="297"/>
      <c r="V12" s="297"/>
      <c r="W12" s="256"/>
      <c r="X12" s="256"/>
      <c r="Y12" s="258"/>
      <c r="Z12" s="261"/>
      <c r="AA12" s="255"/>
      <c r="AB12" s="255"/>
      <c r="AC12" s="261"/>
      <c r="AD12" s="295"/>
      <c r="AE12" s="295"/>
      <c r="AF12" s="295"/>
      <c r="AG12" s="255"/>
      <c r="AH12" s="255"/>
      <c r="AI12" s="265"/>
    </row>
    <row r="13" spans="1:35" s="22" customFormat="1" ht="27.75" customHeight="1">
      <c r="A13" s="23" t="s">
        <v>76</v>
      </c>
      <c r="B13" s="35"/>
      <c r="C13" s="40" t="s">
        <v>77</v>
      </c>
      <c r="D13" s="56">
        <f>D14+D15</f>
        <v>177634200</v>
      </c>
      <c r="E13" s="56">
        <f aca="true" t="shared" si="0" ref="E13:N13">E14+E15</f>
        <v>177634200</v>
      </c>
      <c r="F13" s="56">
        <f t="shared" si="0"/>
        <v>134907298</v>
      </c>
      <c r="G13" s="56">
        <f t="shared" si="0"/>
        <v>3676960</v>
      </c>
      <c r="H13" s="56">
        <f t="shared" si="0"/>
        <v>0</v>
      </c>
      <c r="I13" s="56">
        <f t="shared" si="0"/>
        <v>6096000</v>
      </c>
      <c r="J13" s="56">
        <f t="shared" si="0"/>
        <v>2250000</v>
      </c>
      <c r="K13" s="56">
        <f t="shared" si="0"/>
        <v>1725540</v>
      </c>
      <c r="L13" s="56">
        <f t="shared" si="0"/>
        <v>46200</v>
      </c>
      <c r="M13" s="56">
        <f t="shared" si="0"/>
        <v>3846000</v>
      </c>
      <c r="N13" s="56">
        <f t="shared" si="0"/>
        <v>3496000</v>
      </c>
      <c r="O13" s="56">
        <f>O14+O15</f>
        <v>183730200</v>
      </c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</row>
    <row r="14" spans="1:35" ht="57.75" customHeight="1">
      <c r="A14" s="5" t="s">
        <v>180</v>
      </c>
      <c r="B14" s="5" t="s">
        <v>79</v>
      </c>
      <c r="C14" s="18" t="s">
        <v>181</v>
      </c>
      <c r="D14" s="52">
        <f>'дод. 3'!E14+'дод. 3'!E61+'дод. 3'!E86+'дод. 3'!E117+'дод. 3'!E186+'дод. 3'!E191+'дод. 3'!E200+'дод. 3'!E221+'дод. 3'!E225+'дод. 3'!E240+'дод. 3'!E246+'дод. 3'!E249+'дод. 3'!E258+'дод. 3'!E261</f>
        <v>177534200</v>
      </c>
      <c r="E14" s="52">
        <f>'дод. 3'!F14+'дод. 3'!F61+'дод. 3'!F86+'дод. 3'!F117+'дод. 3'!F186+'дод. 3'!F191+'дод. 3'!F200+'дод. 3'!F221+'дод. 3'!F225+'дод. 3'!F240+'дод. 3'!F246+'дод. 3'!F249+'дод. 3'!F258+'дод. 3'!F261</f>
        <v>177534200</v>
      </c>
      <c r="F14" s="52">
        <f>'дод. 3'!G14+'дод. 3'!G61+'дод. 3'!G86+'дод. 3'!G117+'дод. 3'!G186+'дод. 3'!G191+'дод. 3'!G200+'дод. 3'!G221+'дод. 3'!G225+'дод. 3'!G240+'дод. 3'!G246+'дод. 3'!G249+'дод. 3'!G258+'дод. 3'!G261</f>
        <v>134907298</v>
      </c>
      <c r="G14" s="52">
        <f>'дод. 3'!H14+'дод. 3'!H61+'дод. 3'!H86+'дод. 3'!H117+'дод. 3'!H186+'дод. 3'!H191+'дод. 3'!H200+'дод. 3'!H221+'дод. 3'!H225+'дод. 3'!H240+'дод. 3'!H246+'дод. 3'!H249+'дод. 3'!H258+'дод. 3'!H261</f>
        <v>3676960</v>
      </c>
      <c r="H14" s="52">
        <f>'дод. 3'!I14+'дод. 3'!I61+'дод. 3'!I86+'дод. 3'!I117+'дод. 3'!I186+'дод. 3'!I191+'дод. 3'!I200+'дод. 3'!I221+'дод. 3'!I225+'дод. 3'!I240+'дод. 3'!I246+'дод. 3'!I249+'дод. 3'!I258+'дод. 3'!I261</f>
        <v>0</v>
      </c>
      <c r="I14" s="52">
        <f>'дод. 3'!J14+'дод. 3'!J61+'дод. 3'!J86+'дод. 3'!J117+'дод. 3'!J186+'дод. 3'!J191+'дод. 3'!J200+'дод. 3'!J221+'дод. 3'!J225+'дод. 3'!J240+'дод. 3'!J246+'дод. 3'!J249+'дод. 3'!J258+'дод. 3'!J261</f>
        <v>6096000</v>
      </c>
      <c r="J14" s="52">
        <f>'дод. 3'!K14+'дод. 3'!K61+'дод. 3'!K86+'дод. 3'!K117+'дод. 3'!K186+'дод. 3'!K191+'дод. 3'!K200+'дод. 3'!K221+'дод. 3'!K225+'дод. 3'!K240+'дод. 3'!K246+'дод. 3'!K249+'дод. 3'!K258+'дод. 3'!K261</f>
        <v>2250000</v>
      </c>
      <c r="K14" s="52">
        <f>'дод. 3'!L14+'дод. 3'!L61+'дод. 3'!L86+'дод. 3'!L117+'дод. 3'!L186+'дод. 3'!L191+'дод. 3'!L200+'дод. 3'!L221+'дод. 3'!L225+'дод. 3'!L240+'дод. 3'!L246+'дод. 3'!L249+'дод. 3'!L258+'дод. 3'!L261</f>
        <v>1725540</v>
      </c>
      <c r="L14" s="52">
        <f>'дод. 3'!M14+'дод. 3'!M61+'дод. 3'!M86+'дод. 3'!M117+'дод. 3'!M186+'дод. 3'!M191+'дод. 3'!M200+'дод. 3'!M221+'дод. 3'!M225+'дод. 3'!M240+'дод. 3'!M246+'дод. 3'!M249+'дод. 3'!M258+'дод. 3'!M261</f>
        <v>46200</v>
      </c>
      <c r="M14" s="52">
        <f>'дод. 3'!N14+'дод. 3'!N61+'дод. 3'!N86+'дод. 3'!N117+'дод. 3'!N186+'дод. 3'!N191+'дод. 3'!N200+'дод. 3'!N221+'дод. 3'!N225+'дод. 3'!N240+'дод. 3'!N246+'дод. 3'!N249+'дод. 3'!N258+'дод. 3'!N261</f>
        <v>3846000</v>
      </c>
      <c r="N14" s="52">
        <f>'дод. 3'!O14+'дод. 3'!O61+'дод. 3'!O86+'дод. 3'!O117+'дод. 3'!O186+'дод. 3'!O191+'дод. 3'!O200+'дод. 3'!O221+'дод. 3'!O225+'дод. 3'!O240+'дод. 3'!O246+'дод. 3'!O249+'дод. 3'!O258+'дод. 3'!O261</f>
        <v>3496000</v>
      </c>
      <c r="O14" s="52">
        <f>'дод. 3'!P14+'дод. 3'!P61+'дод. 3'!P86+'дод. 3'!P117+'дод. 3'!P186+'дод. 3'!P191+'дод. 3'!P200+'дод. 3'!P221+'дод. 3'!P225+'дод. 3'!P240+'дод. 3'!P246+'дод. 3'!P249+'дод. 3'!P258+'дод. 3'!P261</f>
        <v>183630200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</row>
    <row r="15" spans="1:35" ht="27" customHeight="1">
      <c r="A15" s="5" t="s">
        <v>78</v>
      </c>
      <c r="B15" s="5" t="s">
        <v>140</v>
      </c>
      <c r="C15" s="18" t="s">
        <v>386</v>
      </c>
      <c r="D15" s="52">
        <f>'дод. 3'!E15</f>
        <v>100000</v>
      </c>
      <c r="E15" s="52">
        <f>'дод. 3'!F15</f>
        <v>100000</v>
      </c>
      <c r="F15" s="52">
        <f>'дод. 3'!G15</f>
        <v>0</v>
      </c>
      <c r="G15" s="52">
        <f>'дод. 3'!H15</f>
        <v>0</v>
      </c>
      <c r="H15" s="52">
        <f>'дод. 3'!I15</f>
        <v>0</v>
      </c>
      <c r="I15" s="52">
        <f>'дод. 3'!J15</f>
        <v>0</v>
      </c>
      <c r="J15" s="52">
        <f>'дод. 3'!K15</f>
        <v>0</v>
      </c>
      <c r="K15" s="52">
        <f>'дод. 3'!L15</f>
        <v>0</v>
      </c>
      <c r="L15" s="52">
        <f>'дод. 3'!M15</f>
        <v>0</v>
      </c>
      <c r="M15" s="52">
        <f>'дод. 3'!N15</f>
        <v>0</v>
      </c>
      <c r="N15" s="52">
        <f>'дод. 3'!O15</f>
        <v>0</v>
      </c>
      <c r="O15" s="52">
        <f>'дод. 3'!P15</f>
        <v>100000</v>
      </c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</row>
    <row r="16" spans="1:35" s="22" customFormat="1" ht="24" customHeight="1">
      <c r="A16" s="23" t="s">
        <v>81</v>
      </c>
      <c r="B16" s="35"/>
      <c r="C16" s="40" t="s">
        <v>82</v>
      </c>
      <c r="D16" s="56">
        <f aca="true" t="shared" si="1" ref="D16:O16">D18+D19+D21+D23+D25+D26+D27+D29+D30</f>
        <v>751428160</v>
      </c>
      <c r="E16" s="56">
        <f t="shared" si="1"/>
        <v>751428160</v>
      </c>
      <c r="F16" s="56">
        <f t="shared" si="1"/>
        <v>490630374</v>
      </c>
      <c r="G16" s="56">
        <f t="shared" si="1"/>
        <v>70210860</v>
      </c>
      <c r="H16" s="56">
        <f t="shared" si="1"/>
        <v>0</v>
      </c>
      <c r="I16" s="56">
        <f t="shared" si="1"/>
        <v>62045798</v>
      </c>
      <c r="J16" s="56">
        <f t="shared" si="1"/>
        <v>50066378</v>
      </c>
      <c r="K16" s="56">
        <f t="shared" si="1"/>
        <v>4398944</v>
      </c>
      <c r="L16" s="56">
        <f t="shared" si="1"/>
        <v>2371330</v>
      </c>
      <c r="M16" s="56">
        <f t="shared" si="1"/>
        <v>11979420</v>
      </c>
      <c r="N16" s="56">
        <f t="shared" si="1"/>
        <v>11780000</v>
      </c>
      <c r="O16" s="56">
        <f t="shared" si="1"/>
        <v>813473958</v>
      </c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</row>
    <row r="17" spans="1:35" s="29" customFormat="1" ht="24" customHeight="1">
      <c r="A17" s="23"/>
      <c r="B17" s="35"/>
      <c r="C17" s="11" t="s">
        <v>416</v>
      </c>
      <c r="D17" s="56">
        <f>D20+D22+D24+D28</f>
        <v>259300600</v>
      </c>
      <c r="E17" s="56">
        <f aca="true" t="shared" si="2" ref="E17:O17">E20+E22+E24+E28</f>
        <v>259300600</v>
      </c>
      <c r="F17" s="56">
        <f t="shared" si="2"/>
        <v>212872900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56">
        <f t="shared" si="2"/>
        <v>0</v>
      </c>
      <c r="O17" s="56">
        <f t="shared" si="2"/>
        <v>259300600</v>
      </c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</row>
    <row r="18" spans="1:35" ht="27" customHeight="1">
      <c r="A18" s="5" t="s">
        <v>83</v>
      </c>
      <c r="B18" s="5" t="s">
        <v>84</v>
      </c>
      <c r="C18" s="18" t="s">
        <v>222</v>
      </c>
      <c r="D18" s="52">
        <f>'дод. 3'!E62</f>
        <v>190467470</v>
      </c>
      <c r="E18" s="52">
        <f>'дод. 3'!F62</f>
        <v>190467470</v>
      </c>
      <c r="F18" s="52">
        <f>'дод. 3'!G62</f>
        <v>119291300</v>
      </c>
      <c r="G18" s="52">
        <f>'дод. 3'!H62</f>
        <v>22031690</v>
      </c>
      <c r="H18" s="52">
        <f>'дод. 3'!I62</f>
        <v>0</v>
      </c>
      <c r="I18" s="52">
        <f>'дод. 3'!J62</f>
        <v>19565511</v>
      </c>
      <c r="J18" s="52">
        <f>'дод. 3'!K62</f>
        <v>16065511</v>
      </c>
      <c r="K18" s="52">
        <f>'дод. 3'!L62</f>
        <v>0</v>
      </c>
      <c r="L18" s="52">
        <f>'дод. 3'!M62</f>
        <v>0</v>
      </c>
      <c r="M18" s="52">
        <f>'дод. 3'!N62</f>
        <v>3500000</v>
      </c>
      <c r="N18" s="52">
        <f>'дод. 3'!O62</f>
        <v>3500000</v>
      </c>
      <c r="O18" s="52">
        <f>'дод. 3'!P62</f>
        <v>210032981</v>
      </c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</row>
    <row r="19" spans="1:35" ht="71.25" customHeight="1">
      <c r="A19" s="5" t="s">
        <v>85</v>
      </c>
      <c r="B19" s="5" t="s">
        <v>86</v>
      </c>
      <c r="C19" s="18" t="s">
        <v>592</v>
      </c>
      <c r="D19" s="52">
        <f>'дод. 3'!E63</f>
        <v>397808220</v>
      </c>
      <c r="E19" s="52">
        <f>'дод. 3'!F63</f>
        <v>397808220</v>
      </c>
      <c r="F19" s="52">
        <f>'дод. 3'!G63</f>
        <v>266335300</v>
      </c>
      <c r="G19" s="52">
        <f>'дод. 3'!H63</f>
        <v>34867640</v>
      </c>
      <c r="H19" s="52">
        <f>'дод. 3'!I63</f>
        <v>0</v>
      </c>
      <c r="I19" s="52">
        <f>'дод. 3'!J63</f>
        <v>32777767</v>
      </c>
      <c r="J19" s="52">
        <f>'дод. 3'!K63</f>
        <v>25377767</v>
      </c>
      <c r="K19" s="52">
        <f>'дод. 3'!L63</f>
        <v>624000</v>
      </c>
      <c r="L19" s="52">
        <f>'дод. 3'!M63</f>
        <v>36920</v>
      </c>
      <c r="M19" s="52">
        <f>'дод. 3'!N63</f>
        <v>7400000</v>
      </c>
      <c r="N19" s="52">
        <f>'дод. 3'!O63</f>
        <v>7400000</v>
      </c>
      <c r="O19" s="52">
        <f>'дод. 3'!P63</f>
        <v>430585987</v>
      </c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</row>
    <row r="20" spans="2:35" ht="28.5" customHeight="1">
      <c r="B20" s="5"/>
      <c r="C20" s="13" t="s">
        <v>416</v>
      </c>
      <c r="D20" s="52">
        <f>'дод. 3'!E64</f>
        <v>244384200</v>
      </c>
      <c r="E20" s="52">
        <f>'дод. 3'!F64</f>
        <v>244384200</v>
      </c>
      <c r="F20" s="52">
        <f>'дод. 3'!G64</f>
        <v>200639900</v>
      </c>
      <c r="G20" s="52">
        <f>'дод. 3'!H64</f>
        <v>0</v>
      </c>
      <c r="H20" s="52">
        <f>'дод. 3'!I64</f>
        <v>0</v>
      </c>
      <c r="I20" s="52">
        <f>'дод. 3'!J64</f>
        <v>0</v>
      </c>
      <c r="J20" s="52">
        <f>'дод. 3'!K64</f>
        <v>0</v>
      </c>
      <c r="K20" s="52">
        <f>'дод. 3'!L64</f>
        <v>0</v>
      </c>
      <c r="L20" s="52">
        <f>'дод. 3'!M64</f>
        <v>0</v>
      </c>
      <c r="M20" s="52">
        <f>'дод. 3'!N64</f>
        <v>0</v>
      </c>
      <c r="N20" s="52">
        <f>'дод. 3'!O64</f>
        <v>0</v>
      </c>
      <c r="O20" s="52">
        <f>'дод. 3'!P64</f>
        <v>244384200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</row>
    <row r="21" spans="1:35" ht="42.75" customHeight="1">
      <c r="A21" s="5" t="s">
        <v>87</v>
      </c>
      <c r="B21" s="5" t="s">
        <v>86</v>
      </c>
      <c r="C21" s="18" t="s">
        <v>49</v>
      </c>
      <c r="D21" s="52">
        <f>'дод. 3'!E65</f>
        <v>778340</v>
      </c>
      <c r="E21" s="52">
        <f>'дод. 3'!F65</f>
        <v>778340</v>
      </c>
      <c r="F21" s="52">
        <f>'дод. 3'!G65</f>
        <v>637000</v>
      </c>
      <c r="G21" s="52">
        <f>'дод. 3'!H65</f>
        <v>0</v>
      </c>
      <c r="H21" s="52">
        <f>'дод. 3'!I65</f>
        <v>0</v>
      </c>
      <c r="I21" s="52">
        <f>'дод. 3'!J65</f>
        <v>0</v>
      </c>
      <c r="J21" s="52">
        <f>'дод. 3'!K65</f>
        <v>0</v>
      </c>
      <c r="K21" s="52">
        <f>'дод. 3'!L65</f>
        <v>0</v>
      </c>
      <c r="L21" s="52">
        <f>'дод. 3'!M65</f>
        <v>0</v>
      </c>
      <c r="M21" s="52">
        <f>'дод. 3'!N65</f>
        <v>0</v>
      </c>
      <c r="N21" s="52">
        <f>'дод. 3'!O65</f>
        <v>0</v>
      </c>
      <c r="O21" s="52">
        <f>'дод. 3'!P65</f>
        <v>778340</v>
      </c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</row>
    <row r="22" spans="2:35" ht="24.75" customHeight="1">
      <c r="B22" s="5"/>
      <c r="C22" s="13" t="s">
        <v>416</v>
      </c>
      <c r="D22" s="52">
        <f>'дод. 3'!E66</f>
        <v>777140</v>
      </c>
      <c r="E22" s="52">
        <f>'дод. 3'!F66</f>
        <v>777140</v>
      </c>
      <c r="F22" s="52">
        <f>'дод. 3'!G66</f>
        <v>637000</v>
      </c>
      <c r="G22" s="52">
        <f>'дод. 3'!H66</f>
        <v>0</v>
      </c>
      <c r="H22" s="52">
        <f>'дод. 3'!I66</f>
        <v>0</v>
      </c>
      <c r="I22" s="52">
        <f>'дод. 3'!J66</f>
        <v>0</v>
      </c>
      <c r="J22" s="52">
        <f>'дод. 3'!K66</f>
        <v>0</v>
      </c>
      <c r="K22" s="52">
        <f>'дод. 3'!L66</f>
        <v>0</v>
      </c>
      <c r="L22" s="52">
        <f>'дод. 3'!M66</f>
        <v>0</v>
      </c>
      <c r="M22" s="52">
        <f>'дод. 3'!N66</f>
        <v>0</v>
      </c>
      <c r="N22" s="52">
        <f>'дод. 3'!O66</f>
        <v>0</v>
      </c>
      <c r="O22" s="52">
        <f>'дод. 3'!P66</f>
        <v>777140</v>
      </c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</row>
    <row r="23" spans="1:35" ht="87" customHeight="1">
      <c r="A23" s="5" t="s">
        <v>89</v>
      </c>
      <c r="B23" s="5" t="s">
        <v>90</v>
      </c>
      <c r="C23" s="18" t="s">
        <v>182</v>
      </c>
      <c r="D23" s="52">
        <f>'дод. 3'!E67</f>
        <v>7458330</v>
      </c>
      <c r="E23" s="52">
        <f>'дод. 3'!F67</f>
        <v>7458330</v>
      </c>
      <c r="F23" s="52">
        <f>'дод. 3'!G67</f>
        <v>5205700</v>
      </c>
      <c r="G23" s="52">
        <f>'дод. 3'!H67</f>
        <v>615230</v>
      </c>
      <c r="H23" s="52">
        <f>'дод. 3'!I67</f>
        <v>0</v>
      </c>
      <c r="I23" s="52">
        <f>'дод. 3'!J67</f>
        <v>100000</v>
      </c>
      <c r="J23" s="52">
        <f>'дод. 3'!K67</f>
        <v>0</v>
      </c>
      <c r="K23" s="52">
        <f>'дод. 3'!L67</f>
        <v>0</v>
      </c>
      <c r="L23" s="52">
        <f>'дод. 3'!M67</f>
        <v>0</v>
      </c>
      <c r="M23" s="52">
        <f>'дод. 3'!N67</f>
        <v>100000</v>
      </c>
      <c r="N23" s="52">
        <f>'дод. 3'!O67</f>
        <v>100000</v>
      </c>
      <c r="O23" s="52">
        <f>'дод. 3'!P67</f>
        <v>7558330</v>
      </c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</row>
    <row r="24" spans="2:35" ht="21.75" customHeight="1">
      <c r="B24" s="5"/>
      <c r="C24" s="13" t="s">
        <v>416</v>
      </c>
      <c r="D24" s="52">
        <f>'дод. 3'!E68</f>
        <v>4957260</v>
      </c>
      <c r="E24" s="52">
        <f>'дод. 3'!F68</f>
        <v>4957260</v>
      </c>
      <c r="F24" s="52">
        <f>'дод. 3'!G68</f>
        <v>4070000</v>
      </c>
      <c r="G24" s="52">
        <f>'дод. 3'!H68</f>
        <v>0</v>
      </c>
      <c r="H24" s="52">
        <f>'дод. 3'!I68</f>
        <v>0</v>
      </c>
      <c r="I24" s="52">
        <f>'дод. 3'!J68</f>
        <v>0</v>
      </c>
      <c r="J24" s="52">
        <f>'дод. 3'!K68</f>
        <v>0</v>
      </c>
      <c r="K24" s="52">
        <f>'дод. 3'!L68</f>
        <v>0</v>
      </c>
      <c r="L24" s="52">
        <f>'дод. 3'!M68</f>
        <v>0</v>
      </c>
      <c r="M24" s="52">
        <f>'дод. 3'!N68</f>
        <v>0</v>
      </c>
      <c r="N24" s="52">
        <f>'дод. 3'!O68</f>
        <v>0</v>
      </c>
      <c r="O24" s="52">
        <f>'дод. 3'!P68</f>
        <v>4957260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</row>
    <row r="25" spans="1:35" ht="33" customHeight="1">
      <c r="A25" s="5" t="s">
        <v>91</v>
      </c>
      <c r="B25" s="5" t="s">
        <v>92</v>
      </c>
      <c r="C25" s="18" t="s">
        <v>223</v>
      </c>
      <c r="D25" s="52">
        <f>'дод. 3'!E69</f>
        <v>21531690</v>
      </c>
      <c r="E25" s="52">
        <f>'дод. 3'!F69</f>
        <v>21531690</v>
      </c>
      <c r="F25" s="52">
        <f>'дод. 3'!G69</f>
        <v>15425500</v>
      </c>
      <c r="G25" s="52">
        <f>'дод. 3'!H69</f>
        <v>2331620</v>
      </c>
      <c r="H25" s="52">
        <f>'дод. 3'!I69</f>
        <v>0</v>
      </c>
      <c r="I25" s="52">
        <f>'дод. 3'!J69</f>
        <v>400000</v>
      </c>
      <c r="J25" s="52">
        <f>'дод. 3'!K69</f>
        <v>0</v>
      </c>
      <c r="K25" s="52">
        <f>'дод. 3'!L69</f>
        <v>0</v>
      </c>
      <c r="L25" s="52">
        <f>'дод. 3'!M69</f>
        <v>0</v>
      </c>
      <c r="M25" s="52">
        <f>'дод. 3'!N69</f>
        <v>400000</v>
      </c>
      <c r="N25" s="52">
        <f>'дод. 3'!O69</f>
        <v>400000</v>
      </c>
      <c r="O25" s="52">
        <f>'дод. 3'!P69</f>
        <v>21931690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5" ht="57.75" customHeight="1">
      <c r="A26" s="5" t="s">
        <v>93</v>
      </c>
      <c r="B26" s="5" t="s">
        <v>92</v>
      </c>
      <c r="C26" s="18" t="s">
        <v>30</v>
      </c>
      <c r="D26" s="52">
        <f>'дод. 3'!E192</f>
        <v>29741300</v>
      </c>
      <c r="E26" s="52">
        <f>'дод. 3'!F192</f>
        <v>29741300</v>
      </c>
      <c r="F26" s="52">
        <f>'дод. 3'!G192</f>
        <v>23498774</v>
      </c>
      <c r="G26" s="52">
        <f>'дод. 3'!H192</f>
        <v>711900</v>
      </c>
      <c r="H26" s="52">
        <f>'дод. 3'!I192</f>
        <v>0</v>
      </c>
      <c r="I26" s="52">
        <f>'дод. 3'!J192</f>
        <v>2313550</v>
      </c>
      <c r="J26" s="52">
        <f>'дод. 3'!K192</f>
        <v>2108830</v>
      </c>
      <c r="K26" s="52">
        <f>'дод. 3'!L192</f>
        <v>1721450</v>
      </c>
      <c r="L26" s="52">
        <f>'дод. 3'!M192</f>
        <v>0</v>
      </c>
      <c r="M26" s="52">
        <f>'дод. 3'!N192</f>
        <v>204720</v>
      </c>
      <c r="N26" s="52">
        <f>'дод. 3'!O192</f>
        <v>200000</v>
      </c>
      <c r="O26" s="52">
        <f>'дод. 3'!P192</f>
        <v>32054850</v>
      </c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</row>
    <row r="27" spans="1:35" ht="39.75" customHeight="1">
      <c r="A27" s="5" t="s">
        <v>352</v>
      </c>
      <c r="B27" s="5" t="s">
        <v>94</v>
      </c>
      <c r="C27" s="18" t="s">
        <v>183</v>
      </c>
      <c r="D27" s="52">
        <f>'дод. 3'!E70</f>
        <v>93735900</v>
      </c>
      <c r="E27" s="52">
        <f>'дод. 3'!F70</f>
        <v>93735900</v>
      </c>
      <c r="F27" s="52">
        <f>'дод. 3'!G70</f>
        <v>52999200</v>
      </c>
      <c r="G27" s="52">
        <f>'дод. 3'!H70</f>
        <v>9089100</v>
      </c>
      <c r="H27" s="52">
        <f>'дод. 3'!I70</f>
        <v>0</v>
      </c>
      <c r="I27" s="52">
        <f>'дод. 3'!J70</f>
        <v>6708970</v>
      </c>
      <c r="J27" s="52">
        <f>'дод. 3'!K70</f>
        <v>6514270</v>
      </c>
      <c r="K27" s="52">
        <f>'дод. 3'!L70</f>
        <v>2053494</v>
      </c>
      <c r="L27" s="52">
        <f>'дод. 3'!M70</f>
        <v>2334410</v>
      </c>
      <c r="M27" s="52">
        <f>'дод. 3'!N70</f>
        <v>194700</v>
      </c>
      <c r="N27" s="52">
        <f>'дод. 3'!O70</f>
        <v>0</v>
      </c>
      <c r="O27" s="52">
        <f>'дод. 3'!P70</f>
        <v>100444870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</row>
    <row r="28" spans="2:35" ht="21" customHeight="1">
      <c r="B28" s="5"/>
      <c r="C28" s="13" t="s">
        <v>416</v>
      </c>
      <c r="D28" s="52">
        <f>'дод. 3'!E71</f>
        <v>9182000</v>
      </c>
      <c r="E28" s="52">
        <f>'дод. 3'!F71</f>
        <v>9182000</v>
      </c>
      <c r="F28" s="52">
        <f>'дод. 3'!G71</f>
        <v>7526000</v>
      </c>
      <c r="G28" s="52">
        <f>'дод. 3'!H71</f>
        <v>0</v>
      </c>
      <c r="H28" s="52">
        <f>'дод. 3'!I71</f>
        <v>0</v>
      </c>
      <c r="I28" s="52">
        <f>'дод. 3'!J71</f>
        <v>0</v>
      </c>
      <c r="J28" s="52">
        <f>'дод. 3'!K71</f>
        <v>0</v>
      </c>
      <c r="K28" s="52">
        <f>'дод. 3'!L71</f>
        <v>0</v>
      </c>
      <c r="L28" s="52">
        <f>'дод. 3'!M71</f>
        <v>0</v>
      </c>
      <c r="M28" s="52">
        <f>'дод. 3'!N71</f>
        <v>0</v>
      </c>
      <c r="N28" s="52">
        <f>'дод. 3'!O71</f>
        <v>0</v>
      </c>
      <c r="O28" s="52">
        <f>'дод. 3'!P71</f>
        <v>9182000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</row>
    <row r="29" spans="1:35" ht="33" customHeight="1">
      <c r="A29" s="5" t="s">
        <v>184</v>
      </c>
      <c r="B29" s="5" t="s">
        <v>95</v>
      </c>
      <c r="C29" s="18" t="s">
        <v>593</v>
      </c>
      <c r="D29" s="52">
        <f>'дод. 3'!E72</f>
        <v>3118910</v>
      </c>
      <c r="E29" s="52">
        <f>'дод. 3'!F72</f>
        <v>3118910</v>
      </c>
      <c r="F29" s="52">
        <f>'дод. 3'!G72</f>
        <v>2440000</v>
      </c>
      <c r="G29" s="52">
        <f>'дод. 3'!H72</f>
        <v>103210</v>
      </c>
      <c r="H29" s="52">
        <f>'дод. 3'!I72</f>
        <v>0</v>
      </c>
      <c r="I29" s="52">
        <f>'дод. 3'!J72</f>
        <v>0</v>
      </c>
      <c r="J29" s="52">
        <f>'дод. 3'!K72</f>
        <v>0</v>
      </c>
      <c r="K29" s="52">
        <f>'дод. 3'!L72</f>
        <v>0</v>
      </c>
      <c r="L29" s="52">
        <f>'дод. 3'!M72</f>
        <v>0</v>
      </c>
      <c r="M29" s="52">
        <f>'дод. 3'!N72</f>
        <v>0</v>
      </c>
      <c r="N29" s="52">
        <f>'дод. 3'!O72</f>
        <v>0</v>
      </c>
      <c r="O29" s="52">
        <f>'дод. 3'!P72</f>
        <v>3118910</v>
      </c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</row>
    <row r="30" spans="1:35" ht="25.5" customHeight="1">
      <c r="A30" s="5" t="s">
        <v>358</v>
      </c>
      <c r="B30" s="5"/>
      <c r="C30" s="18" t="s">
        <v>356</v>
      </c>
      <c r="D30" s="52">
        <f>D31+D32</f>
        <v>6788000</v>
      </c>
      <c r="E30" s="52">
        <f aca="true" t="shared" si="3" ref="E30:O30">E31+E32</f>
        <v>6788000</v>
      </c>
      <c r="F30" s="52">
        <f t="shared" si="3"/>
        <v>4797600</v>
      </c>
      <c r="G30" s="52">
        <f t="shared" si="3"/>
        <v>460470</v>
      </c>
      <c r="H30" s="52">
        <f t="shared" si="3"/>
        <v>0</v>
      </c>
      <c r="I30" s="52">
        <f t="shared" si="3"/>
        <v>180000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180000</v>
      </c>
      <c r="N30" s="52">
        <f t="shared" si="3"/>
        <v>180000</v>
      </c>
      <c r="O30" s="52">
        <f t="shared" si="3"/>
        <v>6968000</v>
      </c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</row>
    <row r="31" spans="1:35" s="8" customFormat="1" ht="36" customHeight="1">
      <c r="A31" s="7" t="s">
        <v>444</v>
      </c>
      <c r="B31" s="7" t="s">
        <v>95</v>
      </c>
      <c r="C31" s="41" t="s">
        <v>446</v>
      </c>
      <c r="D31" s="53">
        <f>'дод. 3'!E74</f>
        <v>6712200</v>
      </c>
      <c r="E31" s="53">
        <f>'дод. 3'!F74</f>
        <v>6712200</v>
      </c>
      <c r="F31" s="53">
        <f>'дод. 3'!G74</f>
        <v>4797600</v>
      </c>
      <c r="G31" s="53">
        <f>'дод. 3'!H74</f>
        <v>460470</v>
      </c>
      <c r="H31" s="53">
        <f>'дод. 3'!I74</f>
        <v>0</v>
      </c>
      <c r="I31" s="53">
        <f>'дод. 3'!J74</f>
        <v>180000</v>
      </c>
      <c r="J31" s="53">
        <f>'дод. 3'!K74</f>
        <v>0</v>
      </c>
      <c r="K31" s="53">
        <f>'дод. 3'!L74</f>
        <v>0</v>
      </c>
      <c r="L31" s="53">
        <f>'дод. 3'!M74</f>
        <v>0</v>
      </c>
      <c r="M31" s="53">
        <f>'дод. 3'!N74</f>
        <v>180000</v>
      </c>
      <c r="N31" s="53">
        <f>'дод. 3'!O74</f>
        <v>180000</v>
      </c>
      <c r="O31" s="53">
        <f>'дод. 3'!P74</f>
        <v>6892200</v>
      </c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</row>
    <row r="32" spans="1:35" s="8" customFormat="1" ht="25.5" customHeight="1">
      <c r="A32" s="7" t="s">
        <v>445</v>
      </c>
      <c r="B32" s="7" t="s">
        <v>95</v>
      </c>
      <c r="C32" s="41" t="s">
        <v>447</v>
      </c>
      <c r="D32" s="53">
        <f>'дод. 3'!E75</f>
        <v>75800</v>
      </c>
      <c r="E32" s="53">
        <f>'дод. 3'!F75</f>
        <v>75800</v>
      </c>
      <c r="F32" s="53">
        <f>'дод. 3'!G75</f>
        <v>0</v>
      </c>
      <c r="G32" s="53">
        <f>'дод. 3'!H75</f>
        <v>0</v>
      </c>
      <c r="H32" s="53">
        <f>'дод. 3'!I75</f>
        <v>0</v>
      </c>
      <c r="I32" s="53">
        <f>'дод. 3'!J75</f>
        <v>0</v>
      </c>
      <c r="J32" s="53">
        <f>'дод. 3'!K75</f>
        <v>0</v>
      </c>
      <c r="K32" s="53">
        <f>'дод. 3'!L75</f>
        <v>0</v>
      </c>
      <c r="L32" s="53">
        <f>'дод. 3'!M75</f>
        <v>0</v>
      </c>
      <c r="M32" s="53">
        <f>'дод. 3'!N75</f>
        <v>0</v>
      </c>
      <c r="N32" s="53">
        <f>'дод. 3'!O75</f>
        <v>0</v>
      </c>
      <c r="O32" s="53">
        <f>'дод. 3'!P75</f>
        <v>75800</v>
      </c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</row>
    <row r="33" spans="1:35" s="22" customFormat="1" ht="23.25" customHeight="1">
      <c r="A33" s="23" t="s">
        <v>96</v>
      </c>
      <c r="B33" s="35"/>
      <c r="C33" s="40" t="s">
        <v>97</v>
      </c>
      <c r="D33" s="56">
        <f>D35+D37+D39+D41+D43+D49+D55</f>
        <v>323002700</v>
      </c>
      <c r="E33" s="56">
        <f aca="true" t="shared" si="4" ref="E33:O33">E35+E37+E39+E41+E43+E49+E55</f>
        <v>323002700</v>
      </c>
      <c r="F33" s="56">
        <f t="shared" si="4"/>
        <v>0</v>
      </c>
      <c r="G33" s="56">
        <f t="shared" si="4"/>
        <v>0</v>
      </c>
      <c r="H33" s="56">
        <f t="shared" si="4"/>
        <v>0</v>
      </c>
      <c r="I33" s="56">
        <f t="shared" si="4"/>
        <v>37333749</v>
      </c>
      <c r="J33" s="56">
        <f t="shared" si="4"/>
        <v>16983749</v>
      </c>
      <c r="K33" s="56">
        <f t="shared" si="4"/>
        <v>0</v>
      </c>
      <c r="L33" s="56">
        <f t="shared" si="4"/>
        <v>0</v>
      </c>
      <c r="M33" s="56">
        <f t="shared" si="4"/>
        <v>20350000</v>
      </c>
      <c r="N33" s="56">
        <f t="shared" si="4"/>
        <v>20350000</v>
      </c>
      <c r="O33" s="56">
        <f t="shared" si="4"/>
        <v>360336449</v>
      </c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</row>
    <row r="34" spans="1:35" s="22" customFormat="1" ht="23.25" customHeight="1">
      <c r="A34" s="23"/>
      <c r="B34" s="35"/>
      <c r="C34" s="11" t="s">
        <v>416</v>
      </c>
      <c r="D34" s="56">
        <f aca="true" t="shared" si="5" ref="D34:O34">D36+D38+D40+D42+D44+D56+D50</f>
        <v>239920600</v>
      </c>
      <c r="E34" s="56">
        <f t="shared" si="5"/>
        <v>239920600</v>
      </c>
      <c r="F34" s="56">
        <f t="shared" si="5"/>
        <v>0</v>
      </c>
      <c r="G34" s="56">
        <f t="shared" si="5"/>
        <v>0</v>
      </c>
      <c r="H34" s="56">
        <f t="shared" si="5"/>
        <v>0</v>
      </c>
      <c r="I34" s="56">
        <f t="shared" si="5"/>
        <v>0</v>
      </c>
      <c r="J34" s="56">
        <f t="shared" si="5"/>
        <v>0</v>
      </c>
      <c r="K34" s="56">
        <f t="shared" si="5"/>
        <v>0</v>
      </c>
      <c r="L34" s="56">
        <f t="shared" si="5"/>
        <v>0</v>
      </c>
      <c r="M34" s="56">
        <f t="shared" si="5"/>
        <v>0</v>
      </c>
      <c r="N34" s="56">
        <f t="shared" si="5"/>
        <v>0</v>
      </c>
      <c r="O34" s="56">
        <f t="shared" si="5"/>
        <v>239920600</v>
      </c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</row>
    <row r="35" spans="1:35" ht="31.5">
      <c r="A35" s="5" t="s">
        <v>98</v>
      </c>
      <c r="B35" s="5" t="s">
        <v>99</v>
      </c>
      <c r="C35" s="18" t="s">
        <v>53</v>
      </c>
      <c r="D35" s="52">
        <f>'дод. 3'!E87</f>
        <v>227372854</v>
      </c>
      <c r="E35" s="52">
        <f>'дод. 3'!F87</f>
        <v>227372854</v>
      </c>
      <c r="F35" s="52">
        <f>'дод. 3'!G87</f>
        <v>0</v>
      </c>
      <c r="G35" s="52">
        <f>'дод. 3'!H87</f>
        <v>0</v>
      </c>
      <c r="H35" s="52">
        <f>'дод. 3'!I87</f>
        <v>0</v>
      </c>
      <c r="I35" s="52">
        <f>'дод. 3'!J87</f>
        <v>31668360</v>
      </c>
      <c r="J35" s="52">
        <f>'дод. 3'!K87</f>
        <v>11318360</v>
      </c>
      <c r="K35" s="52">
        <f>'дод. 3'!L87</f>
        <v>0</v>
      </c>
      <c r="L35" s="52">
        <f>'дод. 3'!M87</f>
        <v>0</v>
      </c>
      <c r="M35" s="52">
        <f>'дод. 3'!N87</f>
        <v>20350000</v>
      </c>
      <c r="N35" s="52">
        <f>'дод. 3'!O87</f>
        <v>20350000</v>
      </c>
      <c r="O35" s="52">
        <f>'дод. 3'!P87</f>
        <v>259041214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</row>
    <row r="36" spans="2:35" ht="15.75" customHeight="1">
      <c r="B36" s="5"/>
      <c r="C36" s="13" t="s">
        <v>416</v>
      </c>
      <c r="D36" s="52">
        <f>'дод. 3'!E88</f>
        <v>156832009</v>
      </c>
      <c r="E36" s="52">
        <f>'дод. 3'!F88</f>
        <v>156832009</v>
      </c>
      <c r="F36" s="52">
        <f>'дод. 3'!G88</f>
        <v>0</v>
      </c>
      <c r="G36" s="52">
        <f>'дод. 3'!H88</f>
        <v>0</v>
      </c>
      <c r="H36" s="52">
        <f>'дод. 3'!I88</f>
        <v>0</v>
      </c>
      <c r="I36" s="52">
        <f>'дод. 3'!J88</f>
        <v>0</v>
      </c>
      <c r="J36" s="52">
        <f>'дод. 3'!K88</f>
        <v>0</v>
      </c>
      <c r="K36" s="52">
        <f>'дод. 3'!L88</f>
        <v>0</v>
      </c>
      <c r="L36" s="52">
        <f>'дод. 3'!M88</f>
        <v>0</v>
      </c>
      <c r="M36" s="52">
        <f>'дод. 3'!N88</f>
        <v>0</v>
      </c>
      <c r="N36" s="52">
        <f>'дод. 3'!O88</f>
        <v>0</v>
      </c>
      <c r="O36" s="52">
        <f>'дод. 3'!P88</f>
        <v>156832009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</row>
    <row r="37" spans="1:35" ht="42.75" customHeight="1">
      <c r="A37" s="5" t="s">
        <v>185</v>
      </c>
      <c r="B37" s="5" t="s">
        <v>100</v>
      </c>
      <c r="C37" s="18" t="s">
        <v>186</v>
      </c>
      <c r="D37" s="52">
        <f>'дод. 3'!E89</f>
        <v>34579826</v>
      </c>
      <c r="E37" s="52">
        <f>'дод. 3'!F89</f>
        <v>34579826</v>
      </c>
      <c r="F37" s="52">
        <f>'дод. 3'!G89</f>
        <v>0</v>
      </c>
      <c r="G37" s="52">
        <f>'дод. 3'!H89</f>
        <v>0</v>
      </c>
      <c r="H37" s="52">
        <f>'дод. 3'!I89</f>
        <v>0</v>
      </c>
      <c r="I37" s="52">
        <f>'дод. 3'!J89</f>
        <v>27300</v>
      </c>
      <c r="J37" s="52">
        <f>'дод. 3'!K89</f>
        <v>27300</v>
      </c>
      <c r="K37" s="52">
        <f>'дод. 3'!L89</f>
        <v>0</v>
      </c>
      <c r="L37" s="52">
        <f>'дод. 3'!M89</f>
        <v>0</v>
      </c>
      <c r="M37" s="52">
        <f>'дод. 3'!N89</f>
        <v>0</v>
      </c>
      <c r="N37" s="52">
        <f>'дод. 3'!O89</f>
        <v>0</v>
      </c>
      <c r="O37" s="52">
        <f>'дод. 3'!P89</f>
        <v>34607126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</row>
    <row r="38" spans="2:35" ht="24" customHeight="1">
      <c r="B38" s="5"/>
      <c r="C38" s="13" t="s">
        <v>416</v>
      </c>
      <c r="D38" s="52">
        <f>'дод. 3'!E90</f>
        <v>24119993</v>
      </c>
      <c r="E38" s="52">
        <f>'дод. 3'!F90</f>
        <v>24119993</v>
      </c>
      <c r="F38" s="52">
        <f>'дод. 3'!G90</f>
        <v>0</v>
      </c>
      <c r="G38" s="52">
        <f>'дод. 3'!H90</f>
        <v>0</v>
      </c>
      <c r="H38" s="52">
        <f>'дод. 3'!I90</f>
        <v>0</v>
      </c>
      <c r="I38" s="52">
        <f>'дод. 3'!J90</f>
        <v>0</v>
      </c>
      <c r="J38" s="52">
        <f>'дод. 3'!K90</f>
        <v>0</v>
      </c>
      <c r="K38" s="52">
        <f>'дод. 3'!L90</f>
        <v>0</v>
      </c>
      <c r="L38" s="52">
        <f>'дод. 3'!M90</f>
        <v>0</v>
      </c>
      <c r="M38" s="52">
        <f>'дод. 3'!N90</f>
        <v>0</v>
      </c>
      <c r="N38" s="52">
        <f>'дод. 3'!O90</f>
        <v>0</v>
      </c>
      <c r="O38" s="52">
        <f>'дод. 3'!P90</f>
        <v>24119993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</row>
    <row r="39" spans="1:35" ht="33" customHeight="1">
      <c r="A39" s="5" t="s">
        <v>187</v>
      </c>
      <c r="B39" s="5" t="s">
        <v>101</v>
      </c>
      <c r="C39" s="18" t="s">
        <v>498</v>
      </c>
      <c r="D39" s="52">
        <f>'дод. 3'!E91</f>
        <v>1039928</v>
      </c>
      <c r="E39" s="52">
        <f>'дод. 3'!F91</f>
        <v>1039928</v>
      </c>
      <c r="F39" s="52">
        <f>'дод. 3'!G91</f>
        <v>0</v>
      </c>
      <c r="G39" s="52">
        <f>'дод. 3'!H91</f>
        <v>0</v>
      </c>
      <c r="H39" s="52">
        <f>'дод. 3'!I91</f>
        <v>0</v>
      </c>
      <c r="I39" s="52">
        <f>'дод. 3'!J91</f>
        <v>412100</v>
      </c>
      <c r="J39" s="52">
        <f>'дод. 3'!K91</f>
        <v>412100</v>
      </c>
      <c r="K39" s="52">
        <f>'дод. 3'!L91</f>
        <v>0</v>
      </c>
      <c r="L39" s="52">
        <f>'дод. 3'!M91</f>
        <v>0</v>
      </c>
      <c r="M39" s="52">
        <f>'дод. 3'!N91</f>
        <v>0</v>
      </c>
      <c r="N39" s="52">
        <f>'дод. 3'!O91</f>
        <v>0</v>
      </c>
      <c r="O39" s="52">
        <f>'дод. 3'!P91</f>
        <v>1452028</v>
      </c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</row>
    <row r="40" spans="2:35" ht="27" customHeight="1">
      <c r="B40" s="5"/>
      <c r="C40" s="13" t="s">
        <v>416</v>
      </c>
      <c r="D40" s="52">
        <f>'дод. 3'!E92</f>
        <v>925907</v>
      </c>
      <c r="E40" s="52">
        <f>'дод. 3'!F92</f>
        <v>925907</v>
      </c>
      <c r="F40" s="52">
        <f>'дод. 3'!G92</f>
        <v>0</v>
      </c>
      <c r="G40" s="52">
        <f>'дод. 3'!H92</f>
        <v>0</v>
      </c>
      <c r="H40" s="52">
        <f>'дод. 3'!I92</f>
        <v>0</v>
      </c>
      <c r="I40" s="52">
        <f>'дод. 3'!J92</f>
        <v>0</v>
      </c>
      <c r="J40" s="52">
        <f>'дод. 3'!K92</f>
        <v>0</v>
      </c>
      <c r="K40" s="52">
        <f>'дод. 3'!L92</f>
        <v>0</v>
      </c>
      <c r="L40" s="52">
        <f>'дод. 3'!M92</f>
        <v>0</v>
      </c>
      <c r="M40" s="52">
        <f>'дод. 3'!N92</f>
        <v>0</v>
      </c>
      <c r="N40" s="52">
        <f>'дод. 3'!O92</f>
        <v>0</v>
      </c>
      <c r="O40" s="52">
        <f>'дод. 3'!P92</f>
        <v>925907</v>
      </c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</row>
    <row r="41" spans="1:35" ht="25.5" customHeight="1">
      <c r="A41" s="5" t="s">
        <v>188</v>
      </c>
      <c r="B41" s="5" t="s">
        <v>102</v>
      </c>
      <c r="C41" s="18" t="s">
        <v>189</v>
      </c>
      <c r="D41" s="52">
        <f>'дод. 3'!E93</f>
        <v>5454842</v>
      </c>
      <c r="E41" s="52">
        <f>'дод. 3'!F93</f>
        <v>5454842</v>
      </c>
      <c r="F41" s="52">
        <f>'дод. 3'!G93</f>
        <v>0</v>
      </c>
      <c r="G41" s="52">
        <f>'дод. 3'!H93</f>
        <v>0</v>
      </c>
      <c r="H41" s="52">
        <f>'дод. 3'!I93</f>
        <v>0</v>
      </c>
      <c r="I41" s="52">
        <f>'дод. 3'!J93</f>
        <v>5058989</v>
      </c>
      <c r="J41" s="52">
        <f>'дод. 3'!K93</f>
        <v>5058989</v>
      </c>
      <c r="K41" s="52">
        <f>'дод. 3'!L93</f>
        <v>0</v>
      </c>
      <c r="L41" s="52">
        <f>'дод. 3'!M93</f>
        <v>0</v>
      </c>
      <c r="M41" s="52">
        <f>'дод. 3'!N93</f>
        <v>0</v>
      </c>
      <c r="N41" s="52">
        <f>'дод. 3'!O93</f>
        <v>0</v>
      </c>
      <c r="O41" s="52">
        <f>'дод. 3'!P93</f>
        <v>10513831</v>
      </c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</row>
    <row r="42" spans="2:35" ht="25.5" customHeight="1">
      <c r="B42" s="5"/>
      <c r="C42" s="13" t="s">
        <v>416</v>
      </c>
      <c r="D42" s="52">
        <f>'дод. 3'!E94</f>
        <v>4325025</v>
      </c>
      <c r="E42" s="52">
        <f>'дод. 3'!F94</f>
        <v>4325025</v>
      </c>
      <c r="F42" s="52">
        <f>'дод. 3'!G94</f>
        <v>0</v>
      </c>
      <c r="G42" s="52">
        <f>'дод. 3'!H94</f>
        <v>0</v>
      </c>
      <c r="H42" s="52">
        <f>'дод. 3'!I94</f>
        <v>0</v>
      </c>
      <c r="I42" s="52">
        <f>'дод. 3'!J94</f>
        <v>0</v>
      </c>
      <c r="J42" s="52">
        <f>'дод. 3'!K94</f>
        <v>0</v>
      </c>
      <c r="K42" s="52">
        <f>'дод. 3'!L94</f>
        <v>0</v>
      </c>
      <c r="L42" s="52">
        <f>'дод. 3'!M94</f>
        <v>0</v>
      </c>
      <c r="M42" s="52">
        <f>'дод. 3'!N94</f>
        <v>0</v>
      </c>
      <c r="N42" s="52">
        <f>'дод. 3'!O94</f>
        <v>0</v>
      </c>
      <c r="O42" s="52">
        <f>'дод. 3'!P94</f>
        <v>4325025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</row>
    <row r="43" spans="1:35" ht="22.5" customHeight="1">
      <c r="A43" s="5" t="s">
        <v>190</v>
      </c>
      <c r="B43" s="5"/>
      <c r="C43" s="42" t="s">
        <v>499</v>
      </c>
      <c r="D43" s="52">
        <f>D45+D47</f>
        <v>36578306</v>
      </c>
      <c r="E43" s="52">
        <f aca="true" t="shared" si="6" ref="E43:O43">E45+E47</f>
        <v>36578306</v>
      </c>
      <c r="F43" s="52">
        <f t="shared" si="6"/>
        <v>0</v>
      </c>
      <c r="G43" s="52">
        <f t="shared" si="6"/>
        <v>0</v>
      </c>
      <c r="H43" s="52">
        <f t="shared" si="6"/>
        <v>0</v>
      </c>
      <c r="I43" s="52">
        <f t="shared" si="6"/>
        <v>167000</v>
      </c>
      <c r="J43" s="52">
        <f t="shared" si="6"/>
        <v>167000</v>
      </c>
      <c r="K43" s="52">
        <f t="shared" si="6"/>
        <v>0</v>
      </c>
      <c r="L43" s="52">
        <f t="shared" si="6"/>
        <v>0</v>
      </c>
      <c r="M43" s="52">
        <f t="shared" si="6"/>
        <v>0</v>
      </c>
      <c r="N43" s="52">
        <f t="shared" si="6"/>
        <v>0</v>
      </c>
      <c r="O43" s="52">
        <f t="shared" si="6"/>
        <v>36745306</v>
      </c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</row>
    <row r="44" spans="2:35" ht="22.5" customHeight="1">
      <c r="B44" s="5"/>
      <c r="C44" s="13" t="s">
        <v>416</v>
      </c>
      <c r="D44" s="52">
        <f>D46+D48</f>
        <v>35777500</v>
      </c>
      <c r="E44" s="52">
        <f aca="true" t="shared" si="7" ref="E44:O44">E46+E48</f>
        <v>35777500</v>
      </c>
      <c r="F44" s="52">
        <f t="shared" si="7"/>
        <v>0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  <c r="K44" s="52">
        <f t="shared" si="7"/>
        <v>0</v>
      </c>
      <c r="L44" s="52">
        <f t="shared" si="7"/>
        <v>0</v>
      </c>
      <c r="M44" s="52">
        <f t="shared" si="7"/>
        <v>0</v>
      </c>
      <c r="N44" s="52">
        <f t="shared" si="7"/>
        <v>0</v>
      </c>
      <c r="O44" s="52">
        <f t="shared" si="7"/>
        <v>35777500</v>
      </c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</row>
    <row r="45" spans="1:35" s="8" customFormat="1" ht="54" customHeight="1">
      <c r="A45" s="7" t="s">
        <v>191</v>
      </c>
      <c r="B45" s="7" t="s">
        <v>500</v>
      </c>
      <c r="C45" s="41" t="s">
        <v>192</v>
      </c>
      <c r="D45" s="53">
        <f>'дод. 3'!E97</f>
        <v>8672485</v>
      </c>
      <c r="E45" s="53">
        <f>'дод. 3'!F97</f>
        <v>8672485</v>
      </c>
      <c r="F45" s="53">
        <f>'дод. 3'!G97</f>
        <v>0</v>
      </c>
      <c r="G45" s="53">
        <f>'дод. 3'!H97</f>
        <v>0</v>
      </c>
      <c r="H45" s="53">
        <f>'дод. 3'!I97</f>
        <v>0</v>
      </c>
      <c r="I45" s="53">
        <f>'дод. 3'!J97</f>
        <v>167000</v>
      </c>
      <c r="J45" s="53">
        <f>'дод. 3'!K97</f>
        <v>167000</v>
      </c>
      <c r="K45" s="53">
        <f>'дод. 3'!L97</f>
        <v>0</v>
      </c>
      <c r="L45" s="53">
        <f>'дод. 3'!M97</f>
        <v>0</v>
      </c>
      <c r="M45" s="53">
        <f>'дод. 3'!N97</f>
        <v>0</v>
      </c>
      <c r="N45" s="53">
        <f>'дод. 3'!O97</f>
        <v>0</v>
      </c>
      <c r="O45" s="53">
        <f>'дод. 3'!P97</f>
        <v>8839485</v>
      </c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</row>
    <row r="46" spans="1:35" s="8" customFormat="1" ht="21.75" customHeight="1">
      <c r="A46" s="7"/>
      <c r="B46" s="7"/>
      <c r="C46" s="14" t="s">
        <v>416</v>
      </c>
      <c r="D46" s="53">
        <f>'дод. 3'!E98</f>
        <v>7871679</v>
      </c>
      <c r="E46" s="53">
        <f>'дод. 3'!F98</f>
        <v>7871679</v>
      </c>
      <c r="F46" s="53">
        <f>'дод. 3'!G98</f>
        <v>0</v>
      </c>
      <c r="G46" s="53">
        <f>'дод. 3'!H98</f>
        <v>0</v>
      </c>
      <c r="H46" s="53">
        <f>'дод. 3'!I98</f>
        <v>0</v>
      </c>
      <c r="I46" s="53">
        <f>'дод. 3'!J98</f>
        <v>0</v>
      </c>
      <c r="J46" s="53">
        <f>'дод. 3'!K98</f>
        <v>0</v>
      </c>
      <c r="K46" s="53">
        <f>'дод. 3'!L98</f>
        <v>0</v>
      </c>
      <c r="L46" s="53">
        <f>'дод. 3'!M98</f>
        <v>0</v>
      </c>
      <c r="M46" s="53">
        <f>'дод. 3'!N98</f>
        <v>0</v>
      </c>
      <c r="N46" s="53">
        <f>'дод. 3'!O98</f>
        <v>0</v>
      </c>
      <c r="O46" s="53">
        <f>'дод. 3'!P98</f>
        <v>7871679</v>
      </c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s="8" customFormat="1" ht="33.75" customHeight="1">
      <c r="A47" s="7" t="s">
        <v>596</v>
      </c>
      <c r="B47" s="7" t="s">
        <v>101</v>
      </c>
      <c r="C47" s="92" t="s">
        <v>594</v>
      </c>
      <c r="D47" s="53">
        <f>'дод. 3'!E99</f>
        <v>27905821</v>
      </c>
      <c r="E47" s="53">
        <f>'дод. 3'!F99</f>
        <v>27905821</v>
      </c>
      <c r="F47" s="53">
        <f>'дод. 3'!G99</f>
        <v>0</v>
      </c>
      <c r="G47" s="53">
        <f>'дод. 3'!H99</f>
        <v>0</v>
      </c>
      <c r="H47" s="53">
        <f>'дод. 3'!I99</f>
        <v>0</v>
      </c>
      <c r="I47" s="53">
        <f>'дод. 3'!J99</f>
        <v>0</v>
      </c>
      <c r="J47" s="53">
        <f>'дод. 3'!K99</f>
        <v>0</v>
      </c>
      <c r="K47" s="53">
        <f>'дод. 3'!L99</f>
        <v>0</v>
      </c>
      <c r="L47" s="53">
        <f>'дод. 3'!M99</f>
        <v>0</v>
      </c>
      <c r="M47" s="53">
        <f>'дод. 3'!N99</f>
        <v>0</v>
      </c>
      <c r="N47" s="53">
        <f>'дод. 3'!O99</f>
        <v>0</v>
      </c>
      <c r="O47" s="53">
        <f>'дод. 3'!P99</f>
        <v>27905821</v>
      </c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</row>
    <row r="48" spans="1:35" s="8" customFormat="1" ht="21.75" customHeight="1">
      <c r="A48" s="7"/>
      <c r="B48" s="7"/>
      <c r="C48" s="14" t="s">
        <v>416</v>
      </c>
      <c r="D48" s="53">
        <f>'дод. 3'!E100</f>
        <v>27905821</v>
      </c>
      <c r="E48" s="53">
        <f>'дод. 3'!F100</f>
        <v>27905821</v>
      </c>
      <c r="F48" s="53">
        <f>'дод. 3'!G100</f>
        <v>0</v>
      </c>
      <c r="G48" s="53">
        <f>'дод. 3'!H100</f>
        <v>0</v>
      </c>
      <c r="H48" s="53">
        <f>'дод. 3'!I100</f>
        <v>0</v>
      </c>
      <c r="I48" s="53">
        <f>'дод. 3'!J100</f>
        <v>0</v>
      </c>
      <c r="J48" s="53">
        <f>'дод. 3'!K100</f>
        <v>0</v>
      </c>
      <c r="K48" s="53">
        <f>'дод. 3'!L100</f>
        <v>0</v>
      </c>
      <c r="L48" s="53">
        <f>'дод. 3'!M100</f>
        <v>0</v>
      </c>
      <c r="M48" s="53">
        <f>'дод. 3'!N100</f>
        <v>0</v>
      </c>
      <c r="N48" s="53">
        <f>'дод. 3'!O100</f>
        <v>0</v>
      </c>
      <c r="O48" s="53">
        <f>'дод. 3'!P100</f>
        <v>27905821</v>
      </c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40.5" customHeight="1">
      <c r="A49" s="25">
        <v>2140</v>
      </c>
      <c r="B49" s="25"/>
      <c r="C49" s="42" t="s">
        <v>167</v>
      </c>
      <c r="D49" s="52">
        <f aca="true" t="shared" si="8" ref="D49:O49">D51+D53</f>
        <v>14043000</v>
      </c>
      <c r="E49" s="52">
        <f t="shared" si="8"/>
        <v>14043000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  <c r="J49" s="52">
        <f t="shared" si="8"/>
        <v>0</v>
      </c>
      <c r="K49" s="52">
        <f t="shared" si="8"/>
        <v>0</v>
      </c>
      <c r="L49" s="52">
        <f t="shared" si="8"/>
        <v>0</v>
      </c>
      <c r="M49" s="52">
        <f t="shared" si="8"/>
        <v>0</v>
      </c>
      <c r="N49" s="52">
        <f t="shared" si="8"/>
        <v>0</v>
      </c>
      <c r="O49" s="52">
        <f t="shared" si="8"/>
        <v>14043000</v>
      </c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</row>
    <row r="50" spans="1:35" ht="22.5" customHeight="1">
      <c r="A50" s="25"/>
      <c r="B50" s="25"/>
      <c r="C50" s="13" t="s">
        <v>416</v>
      </c>
      <c r="D50" s="52">
        <f aca="true" t="shared" si="9" ref="D50:O50">D51+D54</f>
        <v>14043000</v>
      </c>
      <c r="E50" s="52">
        <f t="shared" si="9"/>
        <v>14043000</v>
      </c>
      <c r="F50" s="52">
        <f t="shared" si="9"/>
        <v>0</v>
      </c>
      <c r="G50" s="52">
        <f t="shared" si="9"/>
        <v>0</v>
      </c>
      <c r="H50" s="52">
        <f t="shared" si="9"/>
        <v>0</v>
      </c>
      <c r="I50" s="52">
        <f t="shared" si="9"/>
        <v>0</v>
      </c>
      <c r="J50" s="52">
        <f t="shared" si="9"/>
        <v>0</v>
      </c>
      <c r="K50" s="52">
        <f t="shared" si="9"/>
        <v>0</v>
      </c>
      <c r="L50" s="52">
        <f t="shared" si="9"/>
        <v>0</v>
      </c>
      <c r="M50" s="52">
        <f t="shared" si="9"/>
        <v>0</v>
      </c>
      <c r="N50" s="52">
        <f t="shared" si="9"/>
        <v>0</v>
      </c>
      <c r="O50" s="52">
        <f t="shared" si="9"/>
        <v>14043000</v>
      </c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</row>
    <row r="51" spans="1:35" s="8" customFormat="1" ht="36.75" customHeight="1">
      <c r="A51" s="26">
        <v>2144</v>
      </c>
      <c r="B51" s="7" t="s">
        <v>103</v>
      </c>
      <c r="C51" s="46" t="s">
        <v>193</v>
      </c>
      <c r="D51" s="53">
        <f>'дод. 3'!E103</f>
        <v>7131500</v>
      </c>
      <c r="E51" s="53">
        <f>'дод. 3'!F103</f>
        <v>7131500</v>
      </c>
      <c r="F51" s="53">
        <f>'дод. 3'!G103</f>
        <v>0</v>
      </c>
      <c r="G51" s="53">
        <f>'дод. 3'!H103</f>
        <v>0</v>
      </c>
      <c r="H51" s="53">
        <f>'дод. 3'!I103</f>
        <v>0</v>
      </c>
      <c r="I51" s="53">
        <f>'дод. 3'!J103</f>
        <v>0</v>
      </c>
      <c r="J51" s="53">
        <f>'дод. 3'!K103</f>
        <v>0</v>
      </c>
      <c r="K51" s="53">
        <f>'дод. 3'!L103</f>
        <v>0</v>
      </c>
      <c r="L51" s="53">
        <f>'дод. 3'!M103</f>
        <v>0</v>
      </c>
      <c r="M51" s="53">
        <f>'дод. 3'!N103</f>
        <v>0</v>
      </c>
      <c r="N51" s="53">
        <f>'дод. 3'!O103</f>
        <v>0</v>
      </c>
      <c r="O51" s="53">
        <f>'дод. 3'!P103</f>
        <v>7131500</v>
      </c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</row>
    <row r="52" spans="1:35" s="8" customFormat="1" ht="24.75" customHeight="1">
      <c r="A52" s="26"/>
      <c r="B52" s="7"/>
      <c r="C52" s="14" t="s">
        <v>416</v>
      </c>
      <c r="D52" s="53">
        <f>'дод. 3'!E104</f>
        <v>7131500</v>
      </c>
      <c r="E52" s="53">
        <f>'дод. 3'!F104</f>
        <v>7131500</v>
      </c>
      <c r="F52" s="53">
        <f>'дод. 3'!G104</f>
        <v>0</v>
      </c>
      <c r="G52" s="53">
        <f>'дод. 3'!H104</f>
        <v>0</v>
      </c>
      <c r="H52" s="53">
        <f>'дод. 3'!I104</f>
        <v>0</v>
      </c>
      <c r="I52" s="53">
        <f>'дод. 3'!J104</f>
        <v>0</v>
      </c>
      <c r="J52" s="53">
        <f>'дод. 3'!K104</f>
        <v>0</v>
      </c>
      <c r="K52" s="53">
        <f>'дод. 3'!L104</f>
        <v>0</v>
      </c>
      <c r="L52" s="53">
        <f>'дод. 3'!M104</f>
        <v>0</v>
      </c>
      <c r="M52" s="53">
        <f>'дод. 3'!N104</f>
        <v>0</v>
      </c>
      <c r="N52" s="53">
        <f>'дод. 3'!O104</f>
        <v>0</v>
      </c>
      <c r="O52" s="53">
        <f>'дод. 3'!P104</f>
        <v>7131500</v>
      </c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</row>
    <row r="53" spans="1:35" s="8" customFormat="1" ht="32.25" customHeight="1">
      <c r="A53" s="26">
        <v>2146</v>
      </c>
      <c r="B53" s="7" t="s">
        <v>103</v>
      </c>
      <c r="C53" s="46" t="s">
        <v>516</v>
      </c>
      <c r="D53" s="53">
        <f>'дод. 3'!E105</f>
        <v>6911500</v>
      </c>
      <c r="E53" s="53">
        <f>'дод. 3'!F105</f>
        <v>6911500</v>
      </c>
      <c r="F53" s="53">
        <f>'дод. 3'!G105</f>
        <v>0</v>
      </c>
      <c r="G53" s="53">
        <f>'дод. 3'!H105</f>
        <v>0</v>
      </c>
      <c r="H53" s="53">
        <f>'дод. 3'!I105</f>
        <v>0</v>
      </c>
      <c r="I53" s="53">
        <f>'дод. 3'!J105</f>
        <v>0</v>
      </c>
      <c r="J53" s="53">
        <f>'дод. 3'!K105</f>
        <v>0</v>
      </c>
      <c r="K53" s="53">
        <f>'дод. 3'!L105</f>
        <v>0</v>
      </c>
      <c r="L53" s="53">
        <f>'дод. 3'!M105</f>
        <v>0</v>
      </c>
      <c r="M53" s="53">
        <f>'дод. 3'!N105</f>
        <v>0</v>
      </c>
      <c r="N53" s="53">
        <f>'дод. 3'!O105</f>
        <v>0</v>
      </c>
      <c r="O53" s="53">
        <f>'дод. 3'!P105</f>
        <v>6911500</v>
      </c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</row>
    <row r="54" spans="1:35" s="8" customFormat="1" ht="24.75" customHeight="1">
      <c r="A54" s="26"/>
      <c r="B54" s="7"/>
      <c r="C54" s="14" t="s">
        <v>416</v>
      </c>
      <c r="D54" s="53">
        <f>'дод. 3'!E106</f>
        <v>6911500</v>
      </c>
      <c r="E54" s="53">
        <f>'дод. 3'!F106</f>
        <v>6911500</v>
      </c>
      <c r="F54" s="53">
        <f>'дод. 3'!G106</f>
        <v>0</v>
      </c>
      <c r="G54" s="53">
        <f>'дод. 3'!H106</f>
        <v>0</v>
      </c>
      <c r="H54" s="53">
        <f>'дод. 3'!I106</f>
        <v>0</v>
      </c>
      <c r="I54" s="53">
        <f>'дод. 3'!J106</f>
        <v>0</v>
      </c>
      <c r="J54" s="53">
        <f>'дод. 3'!K106</f>
        <v>0</v>
      </c>
      <c r="K54" s="53">
        <f>'дод. 3'!L106</f>
        <v>0</v>
      </c>
      <c r="L54" s="53">
        <f>'дод. 3'!M106</f>
        <v>0</v>
      </c>
      <c r="M54" s="53">
        <f>'дод. 3'!N106</f>
        <v>0</v>
      </c>
      <c r="N54" s="53">
        <f>'дод. 3'!O106</f>
        <v>0</v>
      </c>
      <c r="O54" s="53">
        <f>'дод. 3'!P106</f>
        <v>6911500</v>
      </c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</row>
    <row r="55" spans="1:35" ht="35.25" customHeight="1">
      <c r="A55" s="5" t="s">
        <v>194</v>
      </c>
      <c r="B55" s="5"/>
      <c r="C55" s="18" t="s">
        <v>359</v>
      </c>
      <c r="D55" s="52">
        <f>D57+D59</f>
        <v>3933944</v>
      </c>
      <c r="E55" s="52">
        <f aca="true" t="shared" si="10" ref="E55:O55">E57+E59</f>
        <v>3933944</v>
      </c>
      <c r="F55" s="52">
        <f t="shared" si="10"/>
        <v>0</v>
      </c>
      <c r="G55" s="52">
        <f t="shared" si="10"/>
        <v>0</v>
      </c>
      <c r="H55" s="52">
        <f t="shared" si="10"/>
        <v>0</v>
      </c>
      <c r="I55" s="52">
        <f t="shared" si="10"/>
        <v>0</v>
      </c>
      <c r="J55" s="52">
        <f t="shared" si="10"/>
        <v>0</v>
      </c>
      <c r="K55" s="52">
        <f t="shared" si="10"/>
        <v>0</v>
      </c>
      <c r="L55" s="52">
        <f t="shared" si="10"/>
        <v>0</v>
      </c>
      <c r="M55" s="52">
        <f t="shared" si="10"/>
        <v>0</v>
      </c>
      <c r="N55" s="52">
        <f t="shared" si="10"/>
        <v>0</v>
      </c>
      <c r="O55" s="52">
        <f t="shared" si="10"/>
        <v>3933944</v>
      </c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</row>
    <row r="56" spans="2:35" ht="21.75" customHeight="1">
      <c r="B56" s="5"/>
      <c r="C56" s="13" t="s">
        <v>416</v>
      </c>
      <c r="D56" s="52">
        <f>D58+D60</f>
        <v>3897166</v>
      </c>
      <c r="E56" s="52">
        <f aca="true" t="shared" si="11" ref="E56:O56">E58+E60</f>
        <v>3897166</v>
      </c>
      <c r="F56" s="52">
        <f t="shared" si="11"/>
        <v>0</v>
      </c>
      <c r="G56" s="52">
        <f t="shared" si="11"/>
        <v>0</v>
      </c>
      <c r="H56" s="52">
        <f t="shared" si="11"/>
        <v>0</v>
      </c>
      <c r="I56" s="52">
        <f t="shared" si="11"/>
        <v>0</v>
      </c>
      <c r="J56" s="52">
        <f t="shared" si="11"/>
        <v>0</v>
      </c>
      <c r="K56" s="52">
        <f t="shared" si="11"/>
        <v>0</v>
      </c>
      <c r="L56" s="52">
        <f t="shared" si="11"/>
        <v>0</v>
      </c>
      <c r="M56" s="52">
        <f t="shared" si="11"/>
        <v>0</v>
      </c>
      <c r="N56" s="52">
        <f t="shared" si="11"/>
        <v>0</v>
      </c>
      <c r="O56" s="52">
        <f t="shared" si="11"/>
        <v>3897166</v>
      </c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</row>
    <row r="57" spans="1:35" s="8" customFormat="1" ht="37.5" customHeight="1">
      <c r="A57" s="7" t="s">
        <v>448</v>
      </c>
      <c r="B57" s="7" t="s">
        <v>103</v>
      </c>
      <c r="C57" s="14" t="s">
        <v>450</v>
      </c>
      <c r="D57" s="53">
        <f>'дод. 3'!E109</f>
        <v>1975455</v>
      </c>
      <c r="E57" s="53">
        <f>'дод. 3'!F109</f>
        <v>1975455</v>
      </c>
      <c r="F57" s="53">
        <f>'дод. 3'!G109</f>
        <v>0</v>
      </c>
      <c r="G57" s="53">
        <f>'дод. 3'!H109</f>
        <v>0</v>
      </c>
      <c r="H57" s="53">
        <f>'дод. 3'!I109</f>
        <v>0</v>
      </c>
      <c r="I57" s="53">
        <f>'дод. 3'!J109</f>
        <v>0</v>
      </c>
      <c r="J57" s="53">
        <f>'дод. 3'!K109</f>
        <v>0</v>
      </c>
      <c r="K57" s="53">
        <f>'дод. 3'!L109</f>
        <v>0</v>
      </c>
      <c r="L57" s="53">
        <f>'дод. 3'!M109</f>
        <v>0</v>
      </c>
      <c r="M57" s="53">
        <f>'дод. 3'!N109</f>
        <v>0</v>
      </c>
      <c r="N57" s="53">
        <f>'дод. 3'!O109</f>
        <v>0</v>
      </c>
      <c r="O57" s="53">
        <f>'дод. 3'!P109</f>
        <v>1975455</v>
      </c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</row>
    <row r="58" spans="1:35" s="8" customFormat="1" ht="21.75" customHeight="1">
      <c r="A58" s="7"/>
      <c r="B58" s="7"/>
      <c r="C58" s="14" t="s">
        <v>416</v>
      </c>
      <c r="D58" s="53">
        <f>'дод. 3'!E110</f>
        <v>1938677</v>
      </c>
      <c r="E58" s="53">
        <f>'дод. 3'!F110</f>
        <v>1938677</v>
      </c>
      <c r="F58" s="53">
        <f>'дод. 3'!G110</f>
        <v>0</v>
      </c>
      <c r="G58" s="53">
        <f>'дод. 3'!H110</f>
        <v>0</v>
      </c>
      <c r="H58" s="53">
        <f>'дод. 3'!I110</f>
        <v>0</v>
      </c>
      <c r="I58" s="53">
        <f>'дод. 3'!J110</f>
        <v>0</v>
      </c>
      <c r="J58" s="53">
        <f>'дод. 3'!K110</f>
        <v>0</v>
      </c>
      <c r="K58" s="53">
        <f>'дод. 3'!L110</f>
        <v>0</v>
      </c>
      <c r="L58" s="53">
        <f>'дод. 3'!M110</f>
        <v>0</v>
      </c>
      <c r="M58" s="53">
        <f>'дод. 3'!N110</f>
        <v>0</v>
      </c>
      <c r="N58" s="53">
        <f>'дод. 3'!O110</f>
        <v>0</v>
      </c>
      <c r="O58" s="53">
        <f>'дод. 3'!P110</f>
        <v>1938677</v>
      </c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</row>
    <row r="59" spans="1:35" s="8" customFormat="1" ht="21.75" customHeight="1">
      <c r="A59" s="7" t="s">
        <v>449</v>
      </c>
      <c r="B59" s="7" t="s">
        <v>103</v>
      </c>
      <c r="C59" s="14" t="s">
        <v>451</v>
      </c>
      <c r="D59" s="53">
        <f>'дод. 3'!E111</f>
        <v>1958489</v>
      </c>
      <c r="E59" s="53">
        <f>'дод. 3'!F111</f>
        <v>1958489</v>
      </c>
      <c r="F59" s="53">
        <f>'дод. 3'!G111</f>
        <v>0</v>
      </c>
      <c r="G59" s="53">
        <f>'дод. 3'!H111</f>
        <v>0</v>
      </c>
      <c r="H59" s="53">
        <f>'дод. 3'!I111</f>
        <v>0</v>
      </c>
      <c r="I59" s="53">
        <f>'дод. 3'!J111</f>
        <v>0</v>
      </c>
      <c r="J59" s="53">
        <f>'дод. 3'!K111</f>
        <v>0</v>
      </c>
      <c r="K59" s="53">
        <f>'дод. 3'!L111</f>
        <v>0</v>
      </c>
      <c r="L59" s="53">
        <f>'дод. 3'!M111</f>
        <v>0</v>
      </c>
      <c r="M59" s="53">
        <f>'дод. 3'!N111</f>
        <v>0</v>
      </c>
      <c r="N59" s="53">
        <f>'дод. 3'!O111</f>
        <v>0</v>
      </c>
      <c r="O59" s="53">
        <f>'дод. 3'!P111</f>
        <v>1958489</v>
      </c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</row>
    <row r="60" spans="1:35" s="8" customFormat="1" ht="21.75" customHeight="1">
      <c r="A60" s="7"/>
      <c r="B60" s="7"/>
      <c r="C60" s="14" t="s">
        <v>416</v>
      </c>
      <c r="D60" s="53">
        <f>'дод. 3'!E112</f>
        <v>1958489</v>
      </c>
      <c r="E60" s="53">
        <f>'дод. 3'!F112</f>
        <v>1958489</v>
      </c>
      <c r="F60" s="53">
        <f>'дод. 3'!G112</f>
        <v>0</v>
      </c>
      <c r="G60" s="53">
        <f>'дод. 3'!H112</f>
        <v>0</v>
      </c>
      <c r="H60" s="53">
        <f>'дод. 3'!I112</f>
        <v>0</v>
      </c>
      <c r="I60" s="53">
        <f>'дод. 3'!J112</f>
        <v>0</v>
      </c>
      <c r="J60" s="53">
        <f>'дод. 3'!K112</f>
        <v>0</v>
      </c>
      <c r="K60" s="53">
        <f>'дод. 3'!L112</f>
        <v>0</v>
      </c>
      <c r="L60" s="53">
        <f>'дод. 3'!M112</f>
        <v>0</v>
      </c>
      <c r="M60" s="53">
        <f>'дод. 3'!N112</f>
        <v>0</v>
      </c>
      <c r="N60" s="53">
        <f>'дод. 3'!O112</f>
        <v>0</v>
      </c>
      <c r="O60" s="53">
        <f>'дод. 3'!P112</f>
        <v>1958489</v>
      </c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</row>
    <row r="61" spans="1:35" s="22" customFormat="1" ht="34.5" customHeight="1">
      <c r="A61" s="23" t="s">
        <v>104</v>
      </c>
      <c r="B61" s="11"/>
      <c r="C61" s="11" t="s">
        <v>105</v>
      </c>
      <c r="D61" s="56">
        <f aca="true" t="shared" si="12" ref="D61:O61">D75+D96+D110+D112+D114+D116+D118+D119+D123+D124+D127+D128+D131+D109+D120+D63+D69+D80+D97+D129</f>
        <v>1229652722</v>
      </c>
      <c r="E61" s="56">
        <f t="shared" si="12"/>
        <v>1229652722</v>
      </c>
      <c r="F61" s="56">
        <f t="shared" si="12"/>
        <v>11340882.1</v>
      </c>
      <c r="G61" s="56">
        <f t="shared" si="12"/>
        <v>1020453</v>
      </c>
      <c r="H61" s="56">
        <f t="shared" si="12"/>
        <v>0</v>
      </c>
      <c r="I61" s="56">
        <f t="shared" si="12"/>
        <v>685900</v>
      </c>
      <c r="J61" s="56">
        <f t="shared" si="12"/>
        <v>57900</v>
      </c>
      <c r="K61" s="56">
        <f t="shared" si="12"/>
        <v>44700</v>
      </c>
      <c r="L61" s="56">
        <f t="shared" si="12"/>
        <v>0</v>
      </c>
      <c r="M61" s="56">
        <f t="shared" si="12"/>
        <v>628000</v>
      </c>
      <c r="N61" s="56">
        <f t="shared" si="12"/>
        <v>628000</v>
      </c>
      <c r="O61" s="56">
        <f t="shared" si="12"/>
        <v>1230338622</v>
      </c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</row>
    <row r="62" spans="1:35" s="22" customFormat="1" ht="21.75" customHeight="1">
      <c r="A62" s="23"/>
      <c r="B62" s="11"/>
      <c r="C62" s="11" t="s">
        <v>416</v>
      </c>
      <c r="D62" s="56">
        <f aca="true" t="shared" si="13" ref="D62:O62">D63+D69+D81+D98+D130</f>
        <v>1129786900</v>
      </c>
      <c r="E62" s="56">
        <f t="shared" si="13"/>
        <v>1129786900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1129786900</v>
      </c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</row>
    <row r="63" spans="1:35" ht="67.5" customHeight="1">
      <c r="A63" s="5" t="s">
        <v>518</v>
      </c>
      <c r="B63" s="13"/>
      <c r="C63" s="13" t="s">
        <v>524</v>
      </c>
      <c r="D63" s="52">
        <f aca="true" t="shared" si="14" ref="D63:O63">D65+D67</f>
        <v>772232100</v>
      </c>
      <c r="E63" s="52">
        <f t="shared" si="14"/>
        <v>772232100</v>
      </c>
      <c r="F63" s="52">
        <f t="shared" si="14"/>
        <v>0</v>
      </c>
      <c r="G63" s="52">
        <f t="shared" si="14"/>
        <v>0</v>
      </c>
      <c r="H63" s="52">
        <f t="shared" si="14"/>
        <v>0</v>
      </c>
      <c r="I63" s="52">
        <f t="shared" si="14"/>
        <v>0</v>
      </c>
      <c r="J63" s="52">
        <f t="shared" si="14"/>
        <v>0</v>
      </c>
      <c r="K63" s="52">
        <f t="shared" si="14"/>
        <v>0</v>
      </c>
      <c r="L63" s="52">
        <f t="shared" si="14"/>
        <v>0</v>
      </c>
      <c r="M63" s="52">
        <f t="shared" si="14"/>
        <v>0</v>
      </c>
      <c r="N63" s="52">
        <f t="shared" si="14"/>
        <v>0</v>
      </c>
      <c r="O63" s="52">
        <f t="shared" si="14"/>
        <v>772232100</v>
      </c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</row>
    <row r="64" spans="2:35" ht="21.75" customHeight="1">
      <c r="B64" s="13"/>
      <c r="C64" s="13" t="s">
        <v>416</v>
      </c>
      <c r="D64" s="52">
        <f aca="true" t="shared" si="15" ref="D64:O64">D66+D68</f>
        <v>772232100</v>
      </c>
      <c r="E64" s="52">
        <f t="shared" si="15"/>
        <v>772232100</v>
      </c>
      <c r="F64" s="52">
        <f t="shared" si="15"/>
        <v>0</v>
      </c>
      <c r="G64" s="52">
        <f t="shared" si="15"/>
        <v>0</v>
      </c>
      <c r="H64" s="52">
        <f t="shared" si="15"/>
        <v>0</v>
      </c>
      <c r="I64" s="52">
        <f t="shared" si="15"/>
        <v>0</v>
      </c>
      <c r="J64" s="52">
        <f t="shared" si="15"/>
        <v>0</v>
      </c>
      <c r="K64" s="52">
        <f t="shared" si="15"/>
        <v>0</v>
      </c>
      <c r="L64" s="52">
        <f t="shared" si="15"/>
        <v>0</v>
      </c>
      <c r="M64" s="52">
        <f t="shared" si="15"/>
        <v>0</v>
      </c>
      <c r="N64" s="52">
        <f t="shared" si="15"/>
        <v>0</v>
      </c>
      <c r="O64" s="52">
        <f t="shared" si="15"/>
        <v>772232100</v>
      </c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</row>
    <row r="65" spans="1:35" s="8" customFormat="1" ht="49.5" customHeight="1">
      <c r="A65" s="7" t="s">
        <v>519</v>
      </c>
      <c r="B65" s="190">
        <v>1030</v>
      </c>
      <c r="C65" s="14" t="s">
        <v>525</v>
      </c>
      <c r="D65" s="53">
        <f>'дод. 3'!E120</f>
        <v>66261200</v>
      </c>
      <c r="E65" s="53">
        <f>'дод. 3'!F120</f>
        <v>66261200</v>
      </c>
      <c r="F65" s="53">
        <f>'дод. 3'!G120</f>
        <v>0</v>
      </c>
      <c r="G65" s="53">
        <f>'дод. 3'!H120</f>
        <v>0</v>
      </c>
      <c r="H65" s="53">
        <f>'дод. 3'!I120</f>
        <v>0</v>
      </c>
      <c r="I65" s="53">
        <f>'дод. 3'!J120</f>
        <v>0</v>
      </c>
      <c r="J65" s="53">
        <f>'дод. 3'!K120</f>
        <v>0</v>
      </c>
      <c r="K65" s="53">
        <f>'дод. 3'!L120</f>
        <v>0</v>
      </c>
      <c r="L65" s="53">
        <f>'дод. 3'!M120</f>
        <v>0</v>
      </c>
      <c r="M65" s="53">
        <f>'дод. 3'!N120</f>
        <v>0</v>
      </c>
      <c r="N65" s="53">
        <f>'дод. 3'!O120</f>
        <v>0</v>
      </c>
      <c r="O65" s="53">
        <f>'дод. 3'!P120</f>
        <v>66261200</v>
      </c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</row>
    <row r="66" spans="1:35" s="8" customFormat="1" ht="21.75" customHeight="1">
      <c r="A66" s="7"/>
      <c r="B66" s="190"/>
      <c r="C66" s="14" t="s">
        <v>416</v>
      </c>
      <c r="D66" s="53">
        <f>'дод. 3'!E121</f>
        <v>66261200</v>
      </c>
      <c r="E66" s="53">
        <f>'дод. 3'!F121</f>
        <v>66261200</v>
      </c>
      <c r="F66" s="53">
        <f>'дод. 3'!G121</f>
        <v>0</v>
      </c>
      <c r="G66" s="53">
        <f>'дод. 3'!H121</f>
        <v>0</v>
      </c>
      <c r="H66" s="53">
        <f>'дод. 3'!I121</f>
        <v>0</v>
      </c>
      <c r="I66" s="53">
        <f>'дод. 3'!J121</f>
        <v>0</v>
      </c>
      <c r="J66" s="53">
        <f>'дод. 3'!K121</f>
        <v>0</v>
      </c>
      <c r="K66" s="53">
        <f>'дод. 3'!L121</f>
        <v>0</v>
      </c>
      <c r="L66" s="53">
        <f>'дод. 3'!M121</f>
        <v>0</v>
      </c>
      <c r="M66" s="53">
        <f>'дод. 3'!N121</f>
        <v>0</v>
      </c>
      <c r="N66" s="53">
        <f>'дод. 3'!O121</f>
        <v>0</v>
      </c>
      <c r="O66" s="53">
        <f>'дод. 3'!P121</f>
        <v>66261200</v>
      </c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</row>
    <row r="67" spans="1:35" s="8" customFormat="1" ht="33" customHeight="1">
      <c r="A67" s="7" t="s">
        <v>520</v>
      </c>
      <c r="B67" s="190">
        <v>1060</v>
      </c>
      <c r="C67" s="14" t="s">
        <v>526</v>
      </c>
      <c r="D67" s="53">
        <f>'дод. 3'!E122</f>
        <v>705970900</v>
      </c>
      <c r="E67" s="53">
        <f>'дод. 3'!F122</f>
        <v>705970900</v>
      </c>
      <c r="F67" s="53">
        <f>'дод. 3'!G122</f>
        <v>0</v>
      </c>
      <c r="G67" s="53">
        <f>'дод. 3'!H122</f>
        <v>0</v>
      </c>
      <c r="H67" s="53">
        <f>'дод. 3'!I122</f>
        <v>0</v>
      </c>
      <c r="I67" s="53">
        <f>'дод. 3'!J122</f>
        <v>0</v>
      </c>
      <c r="J67" s="53">
        <f>'дод. 3'!K122</f>
        <v>0</v>
      </c>
      <c r="K67" s="53">
        <f>'дод. 3'!L122</f>
        <v>0</v>
      </c>
      <c r="L67" s="53">
        <f>'дод. 3'!M122</f>
        <v>0</v>
      </c>
      <c r="M67" s="53">
        <f>'дод. 3'!N122</f>
        <v>0</v>
      </c>
      <c r="N67" s="53">
        <f>'дод. 3'!O122</f>
        <v>0</v>
      </c>
      <c r="O67" s="53">
        <f>'дод. 3'!P122</f>
        <v>705970900</v>
      </c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</row>
    <row r="68" spans="1:35" s="8" customFormat="1" ht="21.75" customHeight="1">
      <c r="A68" s="7"/>
      <c r="B68" s="14"/>
      <c r="C68" s="14" t="s">
        <v>416</v>
      </c>
      <c r="D68" s="53">
        <f>'дод. 3'!E123</f>
        <v>705970900</v>
      </c>
      <c r="E68" s="53">
        <f>'дод. 3'!F123</f>
        <v>705970900</v>
      </c>
      <c r="F68" s="53">
        <f>'дод. 3'!G123</f>
        <v>0</v>
      </c>
      <c r="G68" s="53">
        <f>'дод. 3'!H123</f>
        <v>0</v>
      </c>
      <c r="H68" s="53">
        <f>'дод. 3'!I123</f>
        <v>0</v>
      </c>
      <c r="I68" s="53">
        <f>'дод. 3'!J123</f>
        <v>0</v>
      </c>
      <c r="J68" s="53">
        <f>'дод. 3'!K123</f>
        <v>0</v>
      </c>
      <c r="K68" s="53">
        <f>'дод. 3'!L123</f>
        <v>0</v>
      </c>
      <c r="L68" s="53">
        <f>'дод. 3'!M123</f>
        <v>0</v>
      </c>
      <c r="M68" s="53">
        <f>'дод. 3'!N123</f>
        <v>0</v>
      </c>
      <c r="N68" s="53">
        <f>'дод. 3'!O123</f>
        <v>0</v>
      </c>
      <c r="O68" s="53">
        <f>'дод. 3'!P123</f>
        <v>705970900</v>
      </c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</row>
    <row r="69" spans="1:35" ht="52.5" customHeight="1">
      <c r="A69" s="5" t="s">
        <v>521</v>
      </c>
      <c r="B69" s="13"/>
      <c r="C69" s="13" t="s">
        <v>527</v>
      </c>
      <c r="D69" s="52">
        <f aca="true" t="shared" si="16" ref="D69:O69">D71+D73</f>
        <v>375400</v>
      </c>
      <c r="E69" s="52">
        <f t="shared" si="16"/>
        <v>375400</v>
      </c>
      <c r="F69" s="52">
        <f t="shared" si="16"/>
        <v>0</v>
      </c>
      <c r="G69" s="52">
        <f t="shared" si="16"/>
        <v>0</v>
      </c>
      <c r="H69" s="52">
        <f t="shared" si="16"/>
        <v>0</v>
      </c>
      <c r="I69" s="52">
        <f t="shared" si="16"/>
        <v>0</v>
      </c>
      <c r="J69" s="52">
        <f t="shared" si="16"/>
        <v>0</v>
      </c>
      <c r="K69" s="52">
        <f t="shared" si="16"/>
        <v>0</v>
      </c>
      <c r="L69" s="52">
        <f t="shared" si="16"/>
        <v>0</v>
      </c>
      <c r="M69" s="52">
        <f t="shared" si="16"/>
        <v>0</v>
      </c>
      <c r="N69" s="52">
        <f t="shared" si="16"/>
        <v>0</v>
      </c>
      <c r="O69" s="52">
        <f t="shared" si="16"/>
        <v>375400</v>
      </c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</row>
    <row r="70" spans="2:35" ht="21.75" customHeight="1">
      <c r="B70" s="13"/>
      <c r="C70" s="13" t="s">
        <v>416</v>
      </c>
      <c r="D70" s="52">
        <f aca="true" t="shared" si="17" ref="D70:O70">D72+D74</f>
        <v>375400</v>
      </c>
      <c r="E70" s="52">
        <f t="shared" si="17"/>
        <v>375400</v>
      </c>
      <c r="F70" s="52">
        <f t="shared" si="17"/>
        <v>0</v>
      </c>
      <c r="G70" s="52">
        <f t="shared" si="17"/>
        <v>0</v>
      </c>
      <c r="H70" s="52">
        <f t="shared" si="17"/>
        <v>0</v>
      </c>
      <c r="I70" s="52">
        <f t="shared" si="17"/>
        <v>0</v>
      </c>
      <c r="J70" s="52">
        <f t="shared" si="17"/>
        <v>0</v>
      </c>
      <c r="K70" s="52">
        <f t="shared" si="17"/>
        <v>0</v>
      </c>
      <c r="L70" s="52">
        <f t="shared" si="17"/>
        <v>0</v>
      </c>
      <c r="M70" s="52">
        <f t="shared" si="17"/>
        <v>0</v>
      </c>
      <c r="N70" s="52">
        <f t="shared" si="17"/>
        <v>0</v>
      </c>
      <c r="O70" s="52">
        <f t="shared" si="17"/>
        <v>375400</v>
      </c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</row>
    <row r="71" spans="1:35" s="8" customFormat="1" ht="64.5" customHeight="1">
      <c r="A71" s="7" t="s">
        <v>522</v>
      </c>
      <c r="B71" s="190">
        <v>1030</v>
      </c>
      <c r="C71" s="14" t="s">
        <v>528</v>
      </c>
      <c r="D71" s="53">
        <f>'дод. 3'!E126</f>
        <v>57630</v>
      </c>
      <c r="E71" s="53">
        <f>'дод. 3'!F126</f>
        <v>57630</v>
      </c>
      <c r="F71" s="53">
        <f>'дод. 3'!G126</f>
        <v>0</v>
      </c>
      <c r="G71" s="53">
        <f>'дод. 3'!H126</f>
        <v>0</v>
      </c>
      <c r="H71" s="53">
        <f>'дод. 3'!I126</f>
        <v>0</v>
      </c>
      <c r="I71" s="53">
        <f>'дод. 3'!J126</f>
        <v>0</v>
      </c>
      <c r="J71" s="53">
        <f>'дод. 3'!K126</f>
        <v>0</v>
      </c>
      <c r="K71" s="53">
        <f>'дод. 3'!L126</f>
        <v>0</v>
      </c>
      <c r="L71" s="53">
        <f>'дод. 3'!M126</f>
        <v>0</v>
      </c>
      <c r="M71" s="53">
        <f>'дод. 3'!N126</f>
        <v>0</v>
      </c>
      <c r="N71" s="53">
        <f>'дод. 3'!O126</f>
        <v>0</v>
      </c>
      <c r="O71" s="53">
        <f>'дод. 3'!P126</f>
        <v>57630</v>
      </c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</row>
    <row r="72" spans="1:35" s="8" customFormat="1" ht="21.75" customHeight="1">
      <c r="A72" s="7"/>
      <c r="B72" s="14"/>
      <c r="C72" s="14" t="s">
        <v>416</v>
      </c>
      <c r="D72" s="53">
        <f>'дод. 3'!E127</f>
        <v>57630</v>
      </c>
      <c r="E72" s="53">
        <f>'дод. 3'!F127</f>
        <v>57630</v>
      </c>
      <c r="F72" s="53">
        <f>'дод. 3'!G127</f>
        <v>0</v>
      </c>
      <c r="G72" s="53">
        <f>'дод. 3'!H127</f>
        <v>0</v>
      </c>
      <c r="H72" s="53">
        <f>'дод. 3'!I127</f>
        <v>0</v>
      </c>
      <c r="I72" s="53">
        <f>'дод. 3'!J127</f>
        <v>0</v>
      </c>
      <c r="J72" s="53">
        <f>'дод. 3'!K127</f>
        <v>0</v>
      </c>
      <c r="K72" s="53">
        <f>'дод. 3'!L127</f>
        <v>0</v>
      </c>
      <c r="L72" s="53">
        <f>'дод. 3'!M127</f>
        <v>0</v>
      </c>
      <c r="M72" s="53">
        <f>'дод. 3'!N127</f>
        <v>0</v>
      </c>
      <c r="N72" s="53">
        <f>'дод. 3'!O127</f>
        <v>0</v>
      </c>
      <c r="O72" s="53">
        <f>'дод. 3'!P127</f>
        <v>57630</v>
      </c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</row>
    <row r="73" spans="1:35" s="8" customFormat="1" ht="55.5" customHeight="1">
      <c r="A73" s="7" t="s">
        <v>523</v>
      </c>
      <c r="B73" s="190">
        <v>1060</v>
      </c>
      <c r="C73" s="14" t="s">
        <v>529</v>
      </c>
      <c r="D73" s="53">
        <f>'дод. 3'!E128</f>
        <v>317770</v>
      </c>
      <c r="E73" s="53">
        <f>'дод. 3'!F128</f>
        <v>317770</v>
      </c>
      <c r="F73" s="53">
        <f>'дод. 3'!G128</f>
        <v>0</v>
      </c>
      <c r="G73" s="53">
        <f>'дод. 3'!H128</f>
        <v>0</v>
      </c>
      <c r="H73" s="53">
        <f>'дод. 3'!I128</f>
        <v>0</v>
      </c>
      <c r="I73" s="53">
        <f>'дод. 3'!J128</f>
        <v>0</v>
      </c>
      <c r="J73" s="53">
        <f>'дод. 3'!K128</f>
        <v>0</v>
      </c>
      <c r="K73" s="53">
        <f>'дод. 3'!L128</f>
        <v>0</v>
      </c>
      <c r="L73" s="53">
        <f>'дод. 3'!M128</f>
        <v>0</v>
      </c>
      <c r="M73" s="53">
        <f>'дод. 3'!N128</f>
        <v>0</v>
      </c>
      <c r="N73" s="53">
        <f>'дод. 3'!O128</f>
        <v>0</v>
      </c>
      <c r="O73" s="53">
        <f>'дод. 3'!P128</f>
        <v>317770</v>
      </c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</row>
    <row r="74" spans="1:35" s="8" customFormat="1" ht="21.75" customHeight="1">
      <c r="A74" s="7"/>
      <c r="B74" s="14"/>
      <c r="C74" s="14" t="s">
        <v>416</v>
      </c>
      <c r="D74" s="53">
        <f>'дод. 3'!E129</f>
        <v>317770</v>
      </c>
      <c r="E74" s="53">
        <f>'дод. 3'!F129</f>
        <v>317770</v>
      </c>
      <c r="F74" s="53">
        <f>'дод. 3'!G129</f>
        <v>0</v>
      </c>
      <c r="G74" s="53">
        <f>'дод. 3'!H129</f>
        <v>0</v>
      </c>
      <c r="H74" s="53">
        <f>'дод. 3'!I129</f>
        <v>0</v>
      </c>
      <c r="I74" s="53">
        <f>'дод. 3'!J129</f>
        <v>0</v>
      </c>
      <c r="J74" s="53">
        <f>'дод. 3'!K129</f>
        <v>0</v>
      </c>
      <c r="K74" s="53">
        <f>'дод. 3'!L129</f>
        <v>0</v>
      </c>
      <c r="L74" s="53">
        <f>'дод. 3'!M129</f>
        <v>0</v>
      </c>
      <c r="M74" s="53">
        <f>'дод. 3'!N129</f>
        <v>0</v>
      </c>
      <c r="N74" s="53">
        <f>'дод. 3'!O129</f>
        <v>0</v>
      </c>
      <c r="O74" s="53">
        <f>'дод. 3'!P129</f>
        <v>317770</v>
      </c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</row>
    <row r="75" spans="1:35" ht="63">
      <c r="A75" s="5" t="s">
        <v>145</v>
      </c>
      <c r="B75" s="32"/>
      <c r="C75" s="13" t="s">
        <v>195</v>
      </c>
      <c r="D75" s="52">
        <f>D76+D77+D78+D79</f>
        <v>38764126</v>
      </c>
      <c r="E75" s="52">
        <f aca="true" t="shared" si="18" ref="E75:O75">E76+E77+E78+E79</f>
        <v>38764126</v>
      </c>
      <c r="F75" s="52">
        <f t="shared" si="18"/>
        <v>0</v>
      </c>
      <c r="G75" s="52">
        <f t="shared" si="18"/>
        <v>0</v>
      </c>
      <c r="H75" s="52">
        <f t="shared" si="18"/>
        <v>0</v>
      </c>
      <c r="I75" s="52">
        <f t="shared" si="18"/>
        <v>214000</v>
      </c>
      <c r="J75" s="52">
        <f t="shared" si="18"/>
        <v>0</v>
      </c>
      <c r="K75" s="52">
        <f t="shared" si="18"/>
        <v>0</v>
      </c>
      <c r="L75" s="52">
        <f t="shared" si="18"/>
        <v>0</v>
      </c>
      <c r="M75" s="52">
        <f t="shared" si="18"/>
        <v>214000</v>
      </c>
      <c r="N75" s="52">
        <f t="shared" si="18"/>
        <v>214000</v>
      </c>
      <c r="O75" s="52">
        <f t="shared" si="18"/>
        <v>38978126</v>
      </c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</row>
    <row r="76" spans="1:35" s="8" customFormat="1" ht="45" customHeight="1">
      <c r="A76" s="7" t="s">
        <v>146</v>
      </c>
      <c r="B76" s="7" t="s">
        <v>87</v>
      </c>
      <c r="C76" s="14" t="s">
        <v>196</v>
      </c>
      <c r="D76" s="53">
        <f>'дод. 3'!E131</f>
        <v>371502</v>
      </c>
      <c r="E76" s="53">
        <f>'дод. 3'!F131</f>
        <v>371502</v>
      </c>
      <c r="F76" s="53">
        <f>'дод. 3'!G131</f>
        <v>0</v>
      </c>
      <c r="G76" s="53">
        <f>'дод. 3'!H131</f>
        <v>0</v>
      </c>
      <c r="H76" s="53">
        <f>'дод. 3'!I131</f>
        <v>0</v>
      </c>
      <c r="I76" s="53">
        <f>'дод. 3'!J131</f>
        <v>214000</v>
      </c>
      <c r="J76" s="53">
        <f>'дод. 3'!K131</f>
        <v>0</v>
      </c>
      <c r="K76" s="53">
        <f>'дод. 3'!L131</f>
        <v>0</v>
      </c>
      <c r="L76" s="53">
        <f>'дод. 3'!M131</f>
        <v>0</v>
      </c>
      <c r="M76" s="53">
        <f>'дод. 3'!N131</f>
        <v>214000</v>
      </c>
      <c r="N76" s="53">
        <f>'дод. 3'!O131</f>
        <v>214000</v>
      </c>
      <c r="O76" s="53">
        <f>'дод. 3'!P131</f>
        <v>585502</v>
      </c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</row>
    <row r="77" spans="1:35" s="8" customFormat="1" ht="32.25" customHeight="1">
      <c r="A77" s="7" t="s">
        <v>198</v>
      </c>
      <c r="B77" s="7" t="s">
        <v>89</v>
      </c>
      <c r="C77" s="14" t="s">
        <v>197</v>
      </c>
      <c r="D77" s="53">
        <f>'дод. 3'!E132</f>
        <v>1541402</v>
      </c>
      <c r="E77" s="53">
        <f>'дод. 3'!F132</f>
        <v>1541402</v>
      </c>
      <c r="F77" s="53">
        <f>'дод. 3'!G132</f>
        <v>0</v>
      </c>
      <c r="G77" s="53">
        <f>'дод. 3'!H132</f>
        <v>0</v>
      </c>
      <c r="H77" s="53">
        <f>'дод. 3'!I132</f>
        <v>0</v>
      </c>
      <c r="I77" s="53">
        <f>'дод. 3'!J132</f>
        <v>0</v>
      </c>
      <c r="J77" s="53">
        <f>'дод. 3'!K132</f>
        <v>0</v>
      </c>
      <c r="K77" s="53">
        <f>'дод. 3'!L132</f>
        <v>0</v>
      </c>
      <c r="L77" s="53">
        <f>'дод. 3'!M132</f>
        <v>0</v>
      </c>
      <c r="M77" s="53">
        <f>'дод. 3'!N132</f>
        <v>0</v>
      </c>
      <c r="N77" s="53">
        <f>'дод. 3'!O132</f>
        <v>0</v>
      </c>
      <c r="O77" s="53">
        <f>'дод. 3'!P132</f>
        <v>1541402</v>
      </c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</row>
    <row r="78" spans="1:35" s="8" customFormat="1" ht="54.75" customHeight="1">
      <c r="A78" s="7" t="s">
        <v>147</v>
      </c>
      <c r="B78" s="7" t="s">
        <v>89</v>
      </c>
      <c r="C78" s="14" t="s">
        <v>74</v>
      </c>
      <c r="D78" s="53">
        <f>'дод. 3'!E133+'дод. 3'!E17</f>
        <v>9592796</v>
      </c>
      <c r="E78" s="53">
        <f>'дод. 3'!F133+'дод. 3'!F17</f>
        <v>9592796</v>
      </c>
      <c r="F78" s="53">
        <f>'дод. 3'!G133+'дод. 3'!G17</f>
        <v>0</v>
      </c>
      <c r="G78" s="53">
        <f>'дод. 3'!H133+'дод. 3'!H17</f>
        <v>0</v>
      </c>
      <c r="H78" s="53">
        <f>'дод. 3'!I133+'дод. 3'!I17</f>
        <v>0</v>
      </c>
      <c r="I78" s="53">
        <f>'дод. 3'!J133+'дод. 3'!J17</f>
        <v>0</v>
      </c>
      <c r="J78" s="53">
        <f>'дод. 3'!K133+'дод. 3'!K17</f>
        <v>0</v>
      </c>
      <c r="K78" s="53">
        <f>'дод. 3'!L133+'дод. 3'!L17</f>
        <v>0</v>
      </c>
      <c r="L78" s="53">
        <f>'дод. 3'!M133+'дод. 3'!M17</f>
        <v>0</v>
      </c>
      <c r="M78" s="53">
        <f>'дод. 3'!N133+'дод. 3'!N17</f>
        <v>0</v>
      </c>
      <c r="N78" s="53">
        <f>'дод. 3'!O133+'дод. 3'!O17</f>
        <v>0</v>
      </c>
      <c r="O78" s="53">
        <f>'дод. 3'!P133+'дод. 3'!P17</f>
        <v>9592796</v>
      </c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</row>
    <row r="79" spans="1:35" s="8" customFormat="1" ht="43.5" customHeight="1">
      <c r="A79" s="7" t="s">
        <v>199</v>
      </c>
      <c r="B79" s="7" t="s">
        <v>89</v>
      </c>
      <c r="C79" s="14" t="s">
        <v>37</v>
      </c>
      <c r="D79" s="53">
        <f>'дод. 3'!E134+'дод. 3'!E18</f>
        <v>27258426</v>
      </c>
      <c r="E79" s="53">
        <f>'дод. 3'!F134+'дод. 3'!F18</f>
        <v>27258426</v>
      </c>
      <c r="F79" s="53">
        <f>'дод. 3'!G134+'дод. 3'!G18</f>
        <v>0</v>
      </c>
      <c r="G79" s="53">
        <f>'дод. 3'!H134+'дод. 3'!H18</f>
        <v>0</v>
      </c>
      <c r="H79" s="53">
        <f>'дод. 3'!I134+'дод. 3'!I18</f>
        <v>0</v>
      </c>
      <c r="I79" s="53">
        <f>'дод. 3'!J134+'дод. 3'!J18</f>
        <v>0</v>
      </c>
      <c r="J79" s="53">
        <f>'дод. 3'!K134+'дод. 3'!K18</f>
        <v>0</v>
      </c>
      <c r="K79" s="53">
        <f>'дод. 3'!L134+'дод. 3'!L18</f>
        <v>0</v>
      </c>
      <c r="L79" s="53">
        <f>'дод. 3'!M134+'дод. 3'!M18</f>
        <v>0</v>
      </c>
      <c r="M79" s="53">
        <f>'дод. 3'!N134+'дод. 3'!N18</f>
        <v>0</v>
      </c>
      <c r="N79" s="53">
        <f>'дод. 3'!O134+'дод. 3'!O18</f>
        <v>0</v>
      </c>
      <c r="O79" s="53">
        <f>'дод. 3'!P134+'дод. 3'!P18</f>
        <v>27258426</v>
      </c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</row>
    <row r="80" spans="1:35" ht="39" customHeight="1">
      <c r="A80" s="5" t="s">
        <v>536</v>
      </c>
      <c r="B80" s="5"/>
      <c r="C80" s="13" t="s">
        <v>544</v>
      </c>
      <c r="D80" s="52">
        <f aca="true" t="shared" si="19" ref="D80:O80">D82+D84+D86+D88+D90+D92+D94</f>
        <v>257256180</v>
      </c>
      <c r="E80" s="52">
        <f t="shared" si="19"/>
        <v>257256180</v>
      </c>
      <c r="F80" s="52">
        <f t="shared" si="19"/>
        <v>0</v>
      </c>
      <c r="G80" s="52">
        <f t="shared" si="19"/>
        <v>0</v>
      </c>
      <c r="H80" s="52">
        <f t="shared" si="19"/>
        <v>0</v>
      </c>
      <c r="I80" s="52">
        <f t="shared" si="19"/>
        <v>0</v>
      </c>
      <c r="J80" s="52">
        <f t="shared" si="19"/>
        <v>0</v>
      </c>
      <c r="K80" s="52">
        <f t="shared" si="19"/>
        <v>0</v>
      </c>
      <c r="L80" s="52">
        <f t="shared" si="19"/>
        <v>0</v>
      </c>
      <c r="M80" s="52">
        <f t="shared" si="19"/>
        <v>0</v>
      </c>
      <c r="N80" s="52">
        <f t="shared" si="19"/>
        <v>0</v>
      </c>
      <c r="O80" s="52">
        <f t="shared" si="19"/>
        <v>257256180</v>
      </c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</row>
    <row r="81" spans="2:35" ht="24" customHeight="1">
      <c r="B81" s="5"/>
      <c r="C81" s="13" t="s">
        <v>416</v>
      </c>
      <c r="D81" s="52">
        <f aca="true" t="shared" si="20" ref="D81:O81">D83+D85+D87+D89+D91+D93+D95</f>
        <v>257256180</v>
      </c>
      <c r="E81" s="52">
        <f t="shared" si="20"/>
        <v>257256180</v>
      </c>
      <c r="F81" s="52">
        <f t="shared" si="20"/>
        <v>0</v>
      </c>
      <c r="G81" s="52">
        <f t="shared" si="20"/>
        <v>0</v>
      </c>
      <c r="H81" s="52">
        <f t="shared" si="20"/>
        <v>0</v>
      </c>
      <c r="I81" s="52">
        <f t="shared" si="20"/>
        <v>0</v>
      </c>
      <c r="J81" s="52">
        <f t="shared" si="20"/>
        <v>0</v>
      </c>
      <c r="K81" s="52">
        <f t="shared" si="20"/>
        <v>0</v>
      </c>
      <c r="L81" s="52">
        <f t="shared" si="20"/>
        <v>0</v>
      </c>
      <c r="M81" s="52">
        <f t="shared" si="20"/>
        <v>0</v>
      </c>
      <c r="N81" s="52">
        <f t="shared" si="20"/>
        <v>0</v>
      </c>
      <c r="O81" s="52">
        <f t="shared" si="20"/>
        <v>257256180</v>
      </c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</row>
    <row r="82" spans="1:35" s="8" customFormat="1" ht="27" customHeight="1">
      <c r="A82" s="7" t="s">
        <v>537</v>
      </c>
      <c r="B82" s="7" t="s">
        <v>148</v>
      </c>
      <c r="C82" s="14" t="s">
        <v>545</v>
      </c>
      <c r="D82" s="53">
        <f>'дод. 3'!E137</f>
        <v>3598320</v>
      </c>
      <c r="E82" s="53">
        <f>'дод. 3'!F137</f>
        <v>3598320</v>
      </c>
      <c r="F82" s="53">
        <f>'дод. 3'!G137</f>
        <v>0</v>
      </c>
      <c r="G82" s="53">
        <f>'дод. 3'!H137</f>
        <v>0</v>
      </c>
      <c r="H82" s="53">
        <f>'дод. 3'!I137</f>
        <v>0</v>
      </c>
      <c r="I82" s="53">
        <f>'дод. 3'!J137</f>
        <v>0</v>
      </c>
      <c r="J82" s="53">
        <f>'дод. 3'!K137</f>
        <v>0</v>
      </c>
      <c r="K82" s="53">
        <f>'дод. 3'!L137</f>
        <v>0</v>
      </c>
      <c r="L82" s="53">
        <f>'дод. 3'!M137</f>
        <v>0</v>
      </c>
      <c r="M82" s="53">
        <f>'дод. 3'!N137</f>
        <v>0</v>
      </c>
      <c r="N82" s="53">
        <f>'дод. 3'!O137</f>
        <v>0</v>
      </c>
      <c r="O82" s="53">
        <f>'дод. 3'!P137</f>
        <v>3598320</v>
      </c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</row>
    <row r="83" spans="1:35" s="8" customFormat="1" ht="16.5" customHeight="1">
      <c r="A83" s="7"/>
      <c r="B83" s="7"/>
      <c r="C83" s="14" t="s">
        <v>416</v>
      </c>
      <c r="D83" s="53">
        <f>'дод. 3'!E138</f>
        <v>3598320</v>
      </c>
      <c r="E83" s="53">
        <f>'дод. 3'!F138</f>
        <v>3598320</v>
      </c>
      <c r="F83" s="53">
        <f>'дод. 3'!G138</f>
        <v>0</v>
      </c>
      <c r="G83" s="53">
        <f>'дод. 3'!H138</f>
        <v>0</v>
      </c>
      <c r="H83" s="53">
        <f>'дод. 3'!I138</f>
        <v>0</v>
      </c>
      <c r="I83" s="53">
        <f>'дод. 3'!J138</f>
        <v>0</v>
      </c>
      <c r="J83" s="53">
        <f>'дод. 3'!K138</f>
        <v>0</v>
      </c>
      <c r="K83" s="53">
        <f>'дод. 3'!L138</f>
        <v>0</v>
      </c>
      <c r="L83" s="53">
        <f>'дод. 3'!M138</f>
        <v>0</v>
      </c>
      <c r="M83" s="53">
        <f>'дод. 3'!N138</f>
        <v>0</v>
      </c>
      <c r="N83" s="53">
        <f>'дод. 3'!O138</f>
        <v>0</v>
      </c>
      <c r="O83" s="53">
        <f>'дод. 3'!P138</f>
        <v>3598320</v>
      </c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</row>
    <row r="84" spans="1:35" s="8" customFormat="1" ht="27" customHeight="1">
      <c r="A84" s="7" t="s">
        <v>538</v>
      </c>
      <c r="B84" s="7" t="s">
        <v>148</v>
      </c>
      <c r="C84" s="14" t="s">
        <v>546</v>
      </c>
      <c r="D84" s="53">
        <f>'дод. 3'!E139</f>
        <v>392160</v>
      </c>
      <c r="E84" s="53">
        <f>'дод. 3'!F139</f>
        <v>392160</v>
      </c>
      <c r="F84" s="53">
        <f>'дод. 3'!G139</f>
        <v>0</v>
      </c>
      <c r="G84" s="53">
        <f>'дод. 3'!H139</f>
        <v>0</v>
      </c>
      <c r="H84" s="53">
        <f>'дод. 3'!I139</f>
        <v>0</v>
      </c>
      <c r="I84" s="53">
        <f>'дод. 3'!J139</f>
        <v>0</v>
      </c>
      <c r="J84" s="53">
        <f>'дод. 3'!K139</f>
        <v>0</v>
      </c>
      <c r="K84" s="53">
        <f>'дод. 3'!L139</f>
        <v>0</v>
      </c>
      <c r="L84" s="53">
        <f>'дод. 3'!M139</f>
        <v>0</v>
      </c>
      <c r="M84" s="53">
        <f>'дод. 3'!N139</f>
        <v>0</v>
      </c>
      <c r="N84" s="53">
        <f>'дод. 3'!O139</f>
        <v>0</v>
      </c>
      <c r="O84" s="53">
        <f>'дод. 3'!P139</f>
        <v>392160</v>
      </c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</row>
    <row r="85" spans="1:35" s="8" customFormat="1" ht="15.75" customHeight="1">
      <c r="A85" s="7"/>
      <c r="B85" s="7"/>
      <c r="C85" s="14" t="s">
        <v>416</v>
      </c>
      <c r="D85" s="53">
        <f>'дод. 3'!E140</f>
        <v>392160</v>
      </c>
      <c r="E85" s="53">
        <f>'дод. 3'!F140</f>
        <v>392160</v>
      </c>
      <c r="F85" s="53">
        <f>'дод. 3'!G140</f>
        <v>0</v>
      </c>
      <c r="G85" s="53">
        <f>'дод. 3'!H140</f>
        <v>0</v>
      </c>
      <c r="H85" s="53">
        <f>'дод. 3'!I140</f>
        <v>0</v>
      </c>
      <c r="I85" s="53">
        <f>'дод. 3'!J140</f>
        <v>0</v>
      </c>
      <c r="J85" s="53">
        <f>'дод. 3'!K140</f>
        <v>0</v>
      </c>
      <c r="K85" s="53">
        <f>'дод. 3'!L140</f>
        <v>0</v>
      </c>
      <c r="L85" s="53">
        <f>'дод. 3'!M140</f>
        <v>0</v>
      </c>
      <c r="M85" s="53">
        <f>'дод. 3'!N140</f>
        <v>0</v>
      </c>
      <c r="N85" s="53">
        <f>'дод. 3'!O140</f>
        <v>0</v>
      </c>
      <c r="O85" s="53">
        <f>'дод. 3'!P140</f>
        <v>392160</v>
      </c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</row>
    <row r="86" spans="1:35" s="8" customFormat="1" ht="27" customHeight="1">
      <c r="A86" s="7" t="s">
        <v>539</v>
      </c>
      <c r="B86" s="7" t="s">
        <v>148</v>
      </c>
      <c r="C86" s="14" t="s">
        <v>547</v>
      </c>
      <c r="D86" s="53">
        <f>'дод. 3'!E141</f>
        <v>134165700</v>
      </c>
      <c r="E86" s="53">
        <f>'дод. 3'!F141</f>
        <v>134165700</v>
      </c>
      <c r="F86" s="53">
        <f>'дод. 3'!G141</f>
        <v>0</v>
      </c>
      <c r="G86" s="53">
        <f>'дод. 3'!H141</f>
        <v>0</v>
      </c>
      <c r="H86" s="53">
        <f>'дод. 3'!I141</f>
        <v>0</v>
      </c>
      <c r="I86" s="53">
        <f>'дод. 3'!J141</f>
        <v>0</v>
      </c>
      <c r="J86" s="53">
        <f>'дод. 3'!K141</f>
        <v>0</v>
      </c>
      <c r="K86" s="53">
        <f>'дод. 3'!L141</f>
        <v>0</v>
      </c>
      <c r="L86" s="53">
        <f>'дод. 3'!M141</f>
        <v>0</v>
      </c>
      <c r="M86" s="53">
        <f>'дод. 3'!N141</f>
        <v>0</v>
      </c>
      <c r="N86" s="53">
        <f>'дод. 3'!O141</f>
        <v>0</v>
      </c>
      <c r="O86" s="53">
        <f>'дод. 3'!P141</f>
        <v>134165700</v>
      </c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</row>
    <row r="87" spans="1:35" s="8" customFormat="1" ht="16.5" customHeight="1">
      <c r="A87" s="7"/>
      <c r="B87" s="7"/>
      <c r="C87" s="14" t="s">
        <v>416</v>
      </c>
      <c r="D87" s="53">
        <f>'дод. 3'!E142</f>
        <v>134165700</v>
      </c>
      <c r="E87" s="53">
        <f>'дод. 3'!F142</f>
        <v>134165700</v>
      </c>
      <c r="F87" s="53">
        <f>'дод. 3'!G142</f>
        <v>0</v>
      </c>
      <c r="G87" s="53">
        <f>'дод. 3'!H142</f>
        <v>0</v>
      </c>
      <c r="H87" s="53">
        <f>'дод. 3'!I142</f>
        <v>0</v>
      </c>
      <c r="I87" s="53">
        <f>'дод. 3'!J142</f>
        <v>0</v>
      </c>
      <c r="J87" s="53">
        <f>'дод. 3'!K142</f>
        <v>0</v>
      </c>
      <c r="K87" s="53">
        <f>'дод. 3'!L142</f>
        <v>0</v>
      </c>
      <c r="L87" s="53">
        <f>'дод. 3'!M142</f>
        <v>0</v>
      </c>
      <c r="M87" s="53">
        <f>'дод. 3'!N142</f>
        <v>0</v>
      </c>
      <c r="N87" s="53">
        <f>'дод. 3'!O142</f>
        <v>0</v>
      </c>
      <c r="O87" s="53">
        <f>'дод. 3'!P142</f>
        <v>134165700</v>
      </c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</row>
    <row r="88" spans="1:35" s="8" customFormat="1" ht="36" customHeight="1">
      <c r="A88" s="7" t="s">
        <v>540</v>
      </c>
      <c r="B88" s="7" t="s">
        <v>148</v>
      </c>
      <c r="C88" s="14" t="s">
        <v>548</v>
      </c>
      <c r="D88" s="53">
        <f>'дод. 3'!E143</f>
        <v>10265200</v>
      </c>
      <c r="E88" s="53">
        <f>'дод. 3'!F143</f>
        <v>10265200</v>
      </c>
      <c r="F88" s="53">
        <f>'дод. 3'!G143</f>
        <v>0</v>
      </c>
      <c r="G88" s="53">
        <f>'дод. 3'!H143</f>
        <v>0</v>
      </c>
      <c r="H88" s="53">
        <f>'дод. 3'!I143</f>
        <v>0</v>
      </c>
      <c r="I88" s="53">
        <f>'дод. 3'!J143</f>
        <v>0</v>
      </c>
      <c r="J88" s="53">
        <f>'дод. 3'!K143</f>
        <v>0</v>
      </c>
      <c r="K88" s="53">
        <f>'дод. 3'!L143</f>
        <v>0</v>
      </c>
      <c r="L88" s="53">
        <f>'дод. 3'!M143</f>
        <v>0</v>
      </c>
      <c r="M88" s="53">
        <f>'дод. 3'!N143</f>
        <v>0</v>
      </c>
      <c r="N88" s="53">
        <f>'дод. 3'!O143</f>
        <v>0</v>
      </c>
      <c r="O88" s="53">
        <f>'дод. 3'!P143</f>
        <v>10265200</v>
      </c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</row>
    <row r="89" spans="1:35" s="8" customFormat="1" ht="15" customHeight="1">
      <c r="A89" s="7"/>
      <c r="B89" s="7"/>
      <c r="C89" s="14" t="s">
        <v>416</v>
      </c>
      <c r="D89" s="53">
        <f>'дод. 3'!E144</f>
        <v>10265200</v>
      </c>
      <c r="E89" s="53">
        <f>'дод. 3'!F144</f>
        <v>10265200</v>
      </c>
      <c r="F89" s="53">
        <f>'дод. 3'!G144</f>
        <v>0</v>
      </c>
      <c r="G89" s="53">
        <f>'дод. 3'!H144</f>
        <v>0</v>
      </c>
      <c r="H89" s="53">
        <f>'дод. 3'!I144</f>
        <v>0</v>
      </c>
      <c r="I89" s="53">
        <f>'дод. 3'!J144</f>
        <v>0</v>
      </c>
      <c r="J89" s="53">
        <f>'дод. 3'!K144</f>
        <v>0</v>
      </c>
      <c r="K89" s="53">
        <f>'дод. 3'!L144</f>
        <v>0</v>
      </c>
      <c r="L89" s="53">
        <f>'дод. 3'!M144</f>
        <v>0</v>
      </c>
      <c r="M89" s="53">
        <f>'дод. 3'!N144</f>
        <v>0</v>
      </c>
      <c r="N89" s="53">
        <f>'дод. 3'!O144</f>
        <v>0</v>
      </c>
      <c r="O89" s="53">
        <f>'дод. 3'!P144</f>
        <v>10265200</v>
      </c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</row>
    <row r="90" spans="1:35" s="8" customFormat="1" ht="27" customHeight="1">
      <c r="A90" s="7" t="s">
        <v>541</v>
      </c>
      <c r="B90" s="7" t="s">
        <v>148</v>
      </c>
      <c r="C90" s="14" t="s">
        <v>549</v>
      </c>
      <c r="D90" s="53">
        <f>'дод. 3'!E145</f>
        <v>50558840</v>
      </c>
      <c r="E90" s="53">
        <f>'дод. 3'!F145</f>
        <v>50558840</v>
      </c>
      <c r="F90" s="53">
        <f>'дод. 3'!G145</f>
        <v>0</v>
      </c>
      <c r="G90" s="53">
        <f>'дод. 3'!H145</f>
        <v>0</v>
      </c>
      <c r="H90" s="53">
        <f>'дод. 3'!I145</f>
        <v>0</v>
      </c>
      <c r="I90" s="53">
        <f>'дод. 3'!J145</f>
        <v>0</v>
      </c>
      <c r="J90" s="53">
        <f>'дод. 3'!K145</f>
        <v>0</v>
      </c>
      <c r="K90" s="53">
        <f>'дод. 3'!L145</f>
        <v>0</v>
      </c>
      <c r="L90" s="53">
        <f>'дод. 3'!M145</f>
        <v>0</v>
      </c>
      <c r="M90" s="53">
        <f>'дод. 3'!N145</f>
        <v>0</v>
      </c>
      <c r="N90" s="53">
        <f>'дод. 3'!O145</f>
        <v>0</v>
      </c>
      <c r="O90" s="53">
        <f>'дод. 3'!P145</f>
        <v>50558840</v>
      </c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</row>
    <row r="91" spans="1:35" s="8" customFormat="1" ht="17.25" customHeight="1">
      <c r="A91" s="7"/>
      <c r="B91" s="7"/>
      <c r="C91" s="14" t="s">
        <v>416</v>
      </c>
      <c r="D91" s="53">
        <f>'дод. 3'!E146</f>
        <v>50558840</v>
      </c>
      <c r="E91" s="53">
        <f>'дод. 3'!F146</f>
        <v>50558840</v>
      </c>
      <c r="F91" s="53">
        <f>'дод. 3'!G146</f>
        <v>0</v>
      </c>
      <c r="G91" s="53">
        <f>'дод. 3'!H146</f>
        <v>0</v>
      </c>
      <c r="H91" s="53">
        <f>'дод. 3'!I146</f>
        <v>0</v>
      </c>
      <c r="I91" s="53">
        <f>'дод. 3'!J146</f>
        <v>0</v>
      </c>
      <c r="J91" s="53">
        <f>'дод. 3'!K146</f>
        <v>0</v>
      </c>
      <c r="K91" s="53">
        <f>'дод. 3'!L146</f>
        <v>0</v>
      </c>
      <c r="L91" s="53">
        <f>'дод. 3'!M146</f>
        <v>0</v>
      </c>
      <c r="M91" s="53">
        <f>'дод. 3'!N146</f>
        <v>0</v>
      </c>
      <c r="N91" s="53">
        <f>'дод. 3'!O146</f>
        <v>0</v>
      </c>
      <c r="O91" s="53">
        <f>'дод. 3'!P146</f>
        <v>50558840</v>
      </c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</row>
    <row r="92" spans="1:35" s="8" customFormat="1" ht="27" customHeight="1">
      <c r="A92" s="7" t="s">
        <v>542</v>
      </c>
      <c r="B92" s="7" t="s">
        <v>148</v>
      </c>
      <c r="C92" s="14" t="s">
        <v>550</v>
      </c>
      <c r="D92" s="53">
        <f>'дод. 3'!E147</f>
        <v>2245360</v>
      </c>
      <c r="E92" s="53">
        <f>'дод. 3'!F147</f>
        <v>2245360</v>
      </c>
      <c r="F92" s="53">
        <f>'дод. 3'!G147</f>
        <v>0</v>
      </c>
      <c r="G92" s="53">
        <f>'дод. 3'!H147</f>
        <v>0</v>
      </c>
      <c r="H92" s="53">
        <f>'дод. 3'!I147</f>
        <v>0</v>
      </c>
      <c r="I92" s="53">
        <f>'дод. 3'!J147</f>
        <v>0</v>
      </c>
      <c r="J92" s="53">
        <f>'дод. 3'!K147</f>
        <v>0</v>
      </c>
      <c r="K92" s="53">
        <f>'дод. 3'!L147</f>
        <v>0</v>
      </c>
      <c r="L92" s="53">
        <f>'дод. 3'!M147</f>
        <v>0</v>
      </c>
      <c r="M92" s="53">
        <f>'дод. 3'!N147</f>
        <v>0</v>
      </c>
      <c r="N92" s="53">
        <f>'дод. 3'!O147</f>
        <v>0</v>
      </c>
      <c r="O92" s="53">
        <f>'дод. 3'!P147</f>
        <v>2245360</v>
      </c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</row>
    <row r="93" spans="1:35" s="8" customFormat="1" ht="16.5" customHeight="1">
      <c r="A93" s="7"/>
      <c r="B93" s="7"/>
      <c r="C93" s="14" t="s">
        <v>416</v>
      </c>
      <c r="D93" s="53">
        <f>'дод. 3'!E148</f>
        <v>2245360</v>
      </c>
      <c r="E93" s="53">
        <f>'дод. 3'!F148</f>
        <v>2245360</v>
      </c>
      <c r="F93" s="53">
        <f>'дод. 3'!G148</f>
        <v>0</v>
      </c>
      <c r="G93" s="53">
        <f>'дод. 3'!H148</f>
        <v>0</v>
      </c>
      <c r="H93" s="53">
        <f>'дод. 3'!I148</f>
        <v>0</v>
      </c>
      <c r="I93" s="53">
        <f>'дод. 3'!J148</f>
        <v>0</v>
      </c>
      <c r="J93" s="53">
        <f>'дод. 3'!K148</f>
        <v>0</v>
      </c>
      <c r="K93" s="53">
        <f>'дод. 3'!L148</f>
        <v>0</v>
      </c>
      <c r="L93" s="53">
        <f>'дод. 3'!M148</f>
        <v>0</v>
      </c>
      <c r="M93" s="53">
        <f>'дод. 3'!N148</f>
        <v>0</v>
      </c>
      <c r="N93" s="53">
        <f>'дод. 3'!O148</f>
        <v>0</v>
      </c>
      <c r="O93" s="53">
        <f>'дод. 3'!P148</f>
        <v>2245360</v>
      </c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</row>
    <row r="94" spans="1:35" s="8" customFormat="1" ht="32.25" customHeight="1">
      <c r="A94" s="7" t="s">
        <v>543</v>
      </c>
      <c r="B94" s="7" t="s">
        <v>148</v>
      </c>
      <c r="C94" s="14" t="s">
        <v>551</v>
      </c>
      <c r="D94" s="53">
        <f>'дод. 3'!E149</f>
        <v>56030600</v>
      </c>
      <c r="E94" s="53">
        <f>'дод. 3'!F149</f>
        <v>56030600</v>
      </c>
      <c r="F94" s="53">
        <f>'дод. 3'!G149</f>
        <v>0</v>
      </c>
      <c r="G94" s="53">
        <f>'дод. 3'!H149</f>
        <v>0</v>
      </c>
      <c r="H94" s="53">
        <f>'дод. 3'!I149</f>
        <v>0</v>
      </c>
      <c r="I94" s="53">
        <f>'дод. 3'!J149</f>
        <v>0</v>
      </c>
      <c r="J94" s="53">
        <f>'дод. 3'!K149</f>
        <v>0</v>
      </c>
      <c r="K94" s="53">
        <f>'дод. 3'!L149</f>
        <v>0</v>
      </c>
      <c r="L94" s="53">
        <f>'дод. 3'!M149</f>
        <v>0</v>
      </c>
      <c r="M94" s="53">
        <f>'дод. 3'!N149</f>
        <v>0</v>
      </c>
      <c r="N94" s="53">
        <f>'дод. 3'!O149</f>
        <v>0</v>
      </c>
      <c r="O94" s="53">
        <f>'дод. 3'!P149</f>
        <v>56030600</v>
      </c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</row>
    <row r="95" spans="1:35" s="8" customFormat="1" ht="22.5" customHeight="1">
      <c r="A95" s="7"/>
      <c r="B95" s="7"/>
      <c r="C95" s="14" t="s">
        <v>416</v>
      </c>
      <c r="D95" s="53">
        <f>'дод. 3'!E150</f>
        <v>56030600</v>
      </c>
      <c r="E95" s="53">
        <f>'дод. 3'!F150</f>
        <v>56030600</v>
      </c>
      <c r="F95" s="53">
        <f>'дод. 3'!G150</f>
        <v>0</v>
      </c>
      <c r="G95" s="53">
        <f>'дод. 3'!H150</f>
        <v>0</v>
      </c>
      <c r="H95" s="53">
        <f>'дод. 3'!I150</f>
        <v>0</v>
      </c>
      <c r="I95" s="53">
        <f>'дод. 3'!J150</f>
        <v>0</v>
      </c>
      <c r="J95" s="53">
        <f>'дод. 3'!K150</f>
        <v>0</v>
      </c>
      <c r="K95" s="53">
        <f>'дод. 3'!L150</f>
        <v>0</v>
      </c>
      <c r="L95" s="53">
        <f>'дод. 3'!M150</f>
        <v>0</v>
      </c>
      <c r="M95" s="53">
        <f>'дод. 3'!N150</f>
        <v>0</v>
      </c>
      <c r="N95" s="53">
        <f>'дод. 3'!O150</f>
        <v>0</v>
      </c>
      <c r="O95" s="53">
        <f>'дод. 3'!P150</f>
        <v>56030600</v>
      </c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</row>
    <row r="96" spans="1:35" ht="40.5" customHeight="1">
      <c r="A96" s="5" t="s">
        <v>149</v>
      </c>
      <c r="B96" s="5" t="s">
        <v>89</v>
      </c>
      <c r="C96" s="13" t="s">
        <v>56</v>
      </c>
      <c r="D96" s="52">
        <f>'дод. 3'!E151</f>
        <v>1203435</v>
      </c>
      <c r="E96" s="52">
        <f>'дод. 3'!F151</f>
        <v>1203435</v>
      </c>
      <c r="F96" s="52">
        <f>'дод. 3'!G151</f>
        <v>0</v>
      </c>
      <c r="G96" s="52">
        <f>'дод. 3'!H151</f>
        <v>0</v>
      </c>
      <c r="H96" s="52">
        <f>'дод. 3'!I151</f>
        <v>0</v>
      </c>
      <c r="I96" s="52">
        <f>'дод. 3'!J151</f>
        <v>0</v>
      </c>
      <c r="J96" s="52">
        <f>'дод. 3'!K151</f>
        <v>0</v>
      </c>
      <c r="K96" s="52">
        <f>'дод. 3'!L151</f>
        <v>0</v>
      </c>
      <c r="L96" s="52">
        <f>'дод. 3'!M151</f>
        <v>0</v>
      </c>
      <c r="M96" s="52">
        <f>'дод. 3'!N151</f>
        <v>0</v>
      </c>
      <c r="N96" s="52">
        <f>'дод. 3'!O151</f>
        <v>0</v>
      </c>
      <c r="O96" s="52">
        <f>'дод. 3'!P151</f>
        <v>1203435</v>
      </c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</row>
    <row r="97" spans="1:35" ht="151.5" customHeight="1">
      <c r="A97" s="5" t="s">
        <v>560</v>
      </c>
      <c r="B97" s="5"/>
      <c r="C97" s="13" t="s">
        <v>566</v>
      </c>
      <c r="D97" s="52">
        <f aca="true" t="shared" si="21" ref="D97:O97">D99+D101+D103+D105+D107</f>
        <v>97227520</v>
      </c>
      <c r="E97" s="52">
        <f t="shared" si="21"/>
        <v>97227520</v>
      </c>
      <c r="F97" s="52">
        <f t="shared" si="21"/>
        <v>0</v>
      </c>
      <c r="G97" s="52">
        <f t="shared" si="21"/>
        <v>0</v>
      </c>
      <c r="H97" s="52">
        <f t="shared" si="21"/>
        <v>0</v>
      </c>
      <c r="I97" s="52">
        <f t="shared" si="21"/>
        <v>0</v>
      </c>
      <c r="J97" s="52">
        <f t="shared" si="21"/>
        <v>0</v>
      </c>
      <c r="K97" s="52">
        <f t="shared" si="21"/>
        <v>0</v>
      </c>
      <c r="L97" s="52">
        <f t="shared" si="21"/>
        <v>0</v>
      </c>
      <c r="M97" s="52">
        <f t="shared" si="21"/>
        <v>0</v>
      </c>
      <c r="N97" s="52">
        <f t="shared" si="21"/>
        <v>0</v>
      </c>
      <c r="O97" s="52">
        <f t="shared" si="21"/>
        <v>97227520</v>
      </c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</row>
    <row r="98" spans="2:35" ht="27" customHeight="1">
      <c r="B98" s="5"/>
      <c r="C98" s="13" t="s">
        <v>416</v>
      </c>
      <c r="D98" s="52">
        <f aca="true" t="shared" si="22" ref="D98:O98">D100+D102+D104+D106+D108</f>
        <v>97227520</v>
      </c>
      <c r="E98" s="52">
        <f t="shared" si="22"/>
        <v>97227520</v>
      </c>
      <c r="F98" s="52">
        <f t="shared" si="22"/>
        <v>0</v>
      </c>
      <c r="G98" s="52">
        <f t="shared" si="22"/>
        <v>0</v>
      </c>
      <c r="H98" s="52">
        <f t="shared" si="22"/>
        <v>0</v>
      </c>
      <c r="I98" s="52">
        <f t="shared" si="22"/>
        <v>0</v>
      </c>
      <c r="J98" s="52">
        <f t="shared" si="22"/>
        <v>0</v>
      </c>
      <c r="K98" s="52">
        <f t="shared" si="22"/>
        <v>0</v>
      </c>
      <c r="L98" s="52">
        <f t="shared" si="22"/>
        <v>0</v>
      </c>
      <c r="M98" s="52">
        <f t="shared" si="22"/>
        <v>0</v>
      </c>
      <c r="N98" s="52">
        <f t="shared" si="22"/>
        <v>0</v>
      </c>
      <c r="O98" s="52">
        <f t="shared" si="22"/>
        <v>97227520</v>
      </c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</row>
    <row r="99" spans="1:35" s="8" customFormat="1" ht="40.5" customHeight="1">
      <c r="A99" s="7" t="s">
        <v>561</v>
      </c>
      <c r="B99" s="7" t="s">
        <v>83</v>
      </c>
      <c r="C99" s="14" t="s">
        <v>569</v>
      </c>
      <c r="D99" s="53">
        <f>'дод. 3'!E154</f>
        <v>62044050</v>
      </c>
      <c r="E99" s="53">
        <f>'дод. 3'!F154</f>
        <v>62044050</v>
      </c>
      <c r="F99" s="53">
        <f>'дод. 3'!G154</f>
        <v>0</v>
      </c>
      <c r="G99" s="53">
        <f>'дод. 3'!H154</f>
        <v>0</v>
      </c>
      <c r="H99" s="53">
        <f>'дод. 3'!I154</f>
        <v>0</v>
      </c>
      <c r="I99" s="53">
        <f>'дод. 3'!J154</f>
        <v>0</v>
      </c>
      <c r="J99" s="53">
        <f>'дод. 3'!K154</f>
        <v>0</v>
      </c>
      <c r="K99" s="53">
        <f>'дод. 3'!L154</f>
        <v>0</v>
      </c>
      <c r="L99" s="53">
        <f>'дод. 3'!M154</f>
        <v>0</v>
      </c>
      <c r="M99" s="53">
        <f>'дод. 3'!N154</f>
        <v>0</v>
      </c>
      <c r="N99" s="53">
        <f>'дод. 3'!O154</f>
        <v>0</v>
      </c>
      <c r="O99" s="53">
        <f>'дод. 3'!P154</f>
        <v>62044050</v>
      </c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</row>
    <row r="100" spans="1:35" s="8" customFormat="1" ht="27" customHeight="1">
      <c r="A100" s="7"/>
      <c r="B100" s="7"/>
      <c r="C100" s="14" t="s">
        <v>416</v>
      </c>
      <c r="D100" s="53">
        <f>'дод. 3'!E155</f>
        <v>62044050</v>
      </c>
      <c r="E100" s="53">
        <f>'дод. 3'!F155</f>
        <v>62044050</v>
      </c>
      <c r="F100" s="53">
        <f>'дод. 3'!G155</f>
        <v>0</v>
      </c>
      <c r="G100" s="53">
        <f>'дод. 3'!H155</f>
        <v>0</v>
      </c>
      <c r="H100" s="53">
        <f>'дод. 3'!I155</f>
        <v>0</v>
      </c>
      <c r="I100" s="53">
        <f>'дод. 3'!J155</f>
        <v>0</v>
      </c>
      <c r="J100" s="53">
        <f>'дод. 3'!K155</f>
        <v>0</v>
      </c>
      <c r="K100" s="53">
        <f>'дод. 3'!L155</f>
        <v>0</v>
      </c>
      <c r="L100" s="53">
        <f>'дод. 3'!M155</f>
        <v>0</v>
      </c>
      <c r="M100" s="53">
        <f>'дод. 3'!N155</f>
        <v>0</v>
      </c>
      <c r="N100" s="53">
        <f>'дод. 3'!O155</f>
        <v>0</v>
      </c>
      <c r="O100" s="53">
        <f>'дод. 3'!P155</f>
        <v>62044050</v>
      </c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</row>
    <row r="101" spans="1:35" s="8" customFormat="1" ht="66" customHeight="1">
      <c r="A101" s="7" t="s">
        <v>562</v>
      </c>
      <c r="B101" s="7" t="s">
        <v>83</v>
      </c>
      <c r="C101" s="14" t="s">
        <v>570</v>
      </c>
      <c r="D101" s="53">
        <f>'дод. 3'!E156</f>
        <v>12251650</v>
      </c>
      <c r="E101" s="53">
        <f>'дод. 3'!F156</f>
        <v>12251650</v>
      </c>
      <c r="F101" s="53">
        <f>'дод. 3'!G156</f>
        <v>0</v>
      </c>
      <c r="G101" s="53">
        <f>'дод. 3'!H156</f>
        <v>0</v>
      </c>
      <c r="H101" s="53">
        <f>'дод. 3'!I156</f>
        <v>0</v>
      </c>
      <c r="I101" s="53">
        <f>'дод. 3'!J156</f>
        <v>0</v>
      </c>
      <c r="J101" s="53">
        <f>'дод. 3'!K156</f>
        <v>0</v>
      </c>
      <c r="K101" s="53">
        <f>'дод. 3'!L156</f>
        <v>0</v>
      </c>
      <c r="L101" s="53">
        <f>'дод. 3'!M156</f>
        <v>0</v>
      </c>
      <c r="M101" s="53">
        <f>'дод. 3'!N156</f>
        <v>0</v>
      </c>
      <c r="N101" s="53">
        <f>'дод. 3'!O156</f>
        <v>0</v>
      </c>
      <c r="O101" s="53">
        <f>'дод. 3'!P156</f>
        <v>12251650</v>
      </c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</row>
    <row r="102" spans="1:35" s="8" customFormat="1" ht="27" customHeight="1">
      <c r="A102" s="7"/>
      <c r="B102" s="7"/>
      <c r="C102" s="14" t="s">
        <v>416</v>
      </c>
      <c r="D102" s="53">
        <f>'дод. 3'!E157</f>
        <v>12251650</v>
      </c>
      <c r="E102" s="53">
        <f>'дод. 3'!F157</f>
        <v>12251650</v>
      </c>
      <c r="F102" s="53">
        <f>'дод. 3'!G157</f>
        <v>0</v>
      </c>
      <c r="G102" s="53">
        <f>'дод. 3'!H157</f>
        <v>0</v>
      </c>
      <c r="H102" s="53">
        <f>'дод. 3'!I157</f>
        <v>0</v>
      </c>
      <c r="I102" s="53">
        <f>'дод. 3'!J157</f>
        <v>0</v>
      </c>
      <c r="J102" s="53">
        <f>'дод. 3'!K157</f>
        <v>0</v>
      </c>
      <c r="K102" s="53">
        <f>'дод. 3'!L157</f>
        <v>0</v>
      </c>
      <c r="L102" s="53">
        <f>'дод. 3'!M157</f>
        <v>0</v>
      </c>
      <c r="M102" s="53">
        <f>'дод. 3'!N157</f>
        <v>0</v>
      </c>
      <c r="N102" s="53">
        <f>'дод. 3'!O157</f>
        <v>0</v>
      </c>
      <c r="O102" s="53">
        <f>'дод. 3'!P157</f>
        <v>12251650</v>
      </c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</row>
    <row r="103" spans="1:35" s="8" customFormat="1" ht="53.25" customHeight="1">
      <c r="A103" s="7" t="s">
        <v>563</v>
      </c>
      <c r="B103" s="7" t="s">
        <v>83</v>
      </c>
      <c r="C103" s="14" t="s">
        <v>571</v>
      </c>
      <c r="D103" s="53">
        <f>'дод. 3'!E158</f>
        <v>11516480</v>
      </c>
      <c r="E103" s="53">
        <f>'дод. 3'!F158</f>
        <v>11516480</v>
      </c>
      <c r="F103" s="53">
        <f>'дод. 3'!G158</f>
        <v>0</v>
      </c>
      <c r="G103" s="53">
        <f>'дод. 3'!H158</f>
        <v>0</v>
      </c>
      <c r="H103" s="53">
        <f>'дод. 3'!I158</f>
        <v>0</v>
      </c>
      <c r="I103" s="53">
        <f>'дод. 3'!J158</f>
        <v>0</v>
      </c>
      <c r="J103" s="53">
        <f>'дод. 3'!K158</f>
        <v>0</v>
      </c>
      <c r="K103" s="53">
        <f>'дод. 3'!L158</f>
        <v>0</v>
      </c>
      <c r="L103" s="53">
        <f>'дод. 3'!M158</f>
        <v>0</v>
      </c>
      <c r="M103" s="53">
        <f>'дод. 3'!N158</f>
        <v>0</v>
      </c>
      <c r="N103" s="53">
        <f>'дод. 3'!O158</f>
        <v>0</v>
      </c>
      <c r="O103" s="53">
        <f>'дод. 3'!P158</f>
        <v>11516480</v>
      </c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</row>
    <row r="104" spans="1:35" s="8" customFormat="1" ht="27" customHeight="1">
      <c r="A104" s="7"/>
      <c r="B104" s="7"/>
      <c r="C104" s="14" t="s">
        <v>416</v>
      </c>
      <c r="D104" s="53">
        <f>'дод. 3'!E159</f>
        <v>11516480</v>
      </c>
      <c r="E104" s="53">
        <f>'дод. 3'!F159</f>
        <v>11516480</v>
      </c>
      <c r="F104" s="53">
        <f>'дод. 3'!G159</f>
        <v>0</v>
      </c>
      <c r="G104" s="53">
        <f>'дод. 3'!H159</f>
        <v>0</v>
      </c>
      <c r="H104" s="53">
        <f>'дод. 3'!I159</f>
        <v>0</v>
      </c>
      <c r="I104" s="53">
        <f>'дод. 3'!J159</f>
        <v>0</v>
      </c>
      <c r="J104" s="53">
        <f>'дод. 3'!K159</f>
        <v>0</v>
      </c>
      <c r="K104" s="53">
        <f>'дод. 3'!L159</f>
        <v>0</v>
      </c>
      <c r="L104" s="53">
        <f>'дод. 3'!M159</f>
        <v>0</v>
      </c>
      <c r="M104" s="53">
        <f>'дод. 3'!N159</f>
        <v>0</v>
      </c>
      <c r="N104" s="53">
        <f>'дод. 3'!O159</f>
        <v>0</v>
      </c>
      <c r="O104" s="53">
        <f>'дод. 3'!P159</f>
        <v>11516480</v>
      </c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</row>
    <row r="105" spans="1:35" s="8" customFormat="1" ht="72" customHeight="1">
      <c r="A105" s="7" t="s">
        <v>564</v>
      </c>
      <c r="B105" s="7" t="s">
        <v>148</v>
      </c>
      <c r="C105" s="14" t="s">
        <v>572</v>
      </c>
      <c r="D105" s="53">
        <f>'дод. 3'!E160</f>
        <v>11267070</v>
      </c>
      <c r="E105" s="53">
        <f>'дод. 3'!F160</f>
        <v>11267070</v>
      </c>
      <c r="F105" s="53">
        <f>'дод. 3'!G160</f>
        <v>0</v>
      </c>
      <c r="G105" s="53">
        <f>'дод. 3'!H160</f>
        <v>0</v>
      </c>
      <c r="H105" s="53">
        <f>'дод. 3'!I160</f>
        <v>0</v>
      </c>
      <c r="I105" s="53">
        <f>'дод. 3'!J160</f>
        <v>0</v>
      </c>
      <c r="J105" s="53">
        <f>'дод. 3'!K160</f>
        <v>0</v>
      </c>
      <c r="K105" s="53">
        <f>'дод. 3'!L160</f>
        <v>0</v>
      </c>
      <c r="L105" s="53">
        <f>'дод. 3'!M160</f>
        <v>0</v>
      </c>
      <c r="M105" s="53">
        <f>'дод. 3'!N160</f>
        <v>0</v>
      </c>
      <c r="N105" s="53">
        <f>'дод. 3'!O160</f>
        <v>0</v>
      </c>
      <c r="O105" s="53">
        <f>'дод. 3'!P160</f>
        <v>11267070</v>
      </c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</row>
    <row r="106" spans="1:35" s="8" customFormat="1" ht="27" customHeight="1">
      <c r="A106" s="7"/>
      <c r="B106" s="7"/>
      <c r="C106" s="14" t="s">
        <v>416</v>
      </c>
      <c r="D106" s="53">
        <f>'дод. 3'!E161</f>
        <v>11267070</v>
      </c>
      <c r="E106" s="53">
        <f>'дод. 3'!F161</f>
        <v>11267070</v>
      </c>
      <c r="F106" s="53">
        <f>'дод. 3'!G161</f>
        <v>0</v>
      </c>
      <c r="G106" s="53">
        <f>'дод. 3'!H161</f>
        <v>0</v>
      </c>
      <c r="H106" s="53">
        <f>'дод. 3'!I161</f>
        <v>0</v>
      </c>
      <c r="I106" s="53">
        <f>'дод. 3'!J161</f>
        <v>0</v>
      </c>
      <c r="J106" s="53">
        <f>'дод. 3'!K161</f>
        <v>0</v>
      </c>
      <c r="K106" s="53">
        <f>'дод. 3'!L161</f>
        <v>0</v>
      </c>
      <c r="L106" s="53">
        <f>'дод. 3'!M161</f>
        <v>0</v>
      </c>
      <c r="M106" s="53">
        <f>'дод. 3'!N161</f>
        <v>0</v>
      </c>
      <c r="N106" s="53">
        <f>'дод. 3'!O161</f>
        <v>0</v>
      </c>
      <c r="O106" s="53">
        <f>'дод. 3'!P161</f>
        <v>11267070</v>
      </c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</row>
    <row r="107" spans="1:35" s="8" customFormat="1" ht="64.5" customHeight="1">
      <c r="A107" s="7" t="s">
        <v>565</v>
      </c>
      <c r="B107" s="7" t="s">
        <v>83</v>
      </c>
      <c r="C107" s="14" t="s">
        <v>573</v>
      </c>
      <c r="D107" s="53">
        <f>'дод. 3'!E162</f>
        <v>148270</v>
      </c>
      <c r="E107" s="53">
        <f>'дод. 3'!F162</f>
        <v>148270</v>
      </c>
      <c r="F107" s="53">
        <f>'дод. 3'!G162</f>
        <v>0</v>
      </c>
      <c r="G107" s="53">
        <f>'дод. 3'!H162</f>
        <v>0</v>
      </c>
      <c r="H107" s="53">
        <f>'дод. 3'!I162</f>
        <v>0</v>
      </c>
      <c r="I107" s="53">
        <f>'дод. 3'!J162</f>
        <v>0</v>
      </c>
      <c r="J107" s="53">
        <f>'дод. 3'!K162</f>
        <v>0</v>
      </c>
      <c r="K107" s="53">
        <f>'дод. 3'!L162</f>
        <v>0</v>
      </c>
      <c r="L107" s="53">
        <f>'дод. 3'!M162</f>
        <v>0</v>
      </c>
      <c r="M107" s="53">
        <f>'дод. 3'!N162</f>
        <v>0</v>
      </c>
      <c r="N107" s="53">
        <f>'дод. 3'!O162</f>
        <v>0</v>
      </c>
      <c r="O107" s="53">
        <f>'дод. 3'!P162</f>
        <v>148270</v>
      </c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</row>
    <row r="108" spans="1:35" s="8" customFormat="1" ht="27" customHeight="1">
      <c r="A108" s="7"/>
      <c r="B108" s="7"/>
      <c r="C108" s="14" t="s">
        <v>416</v>
      </c>
      <c r="D108" s="53">
        <f>'дод. 3'!E163</f>
        <v>148270</v>
      </c>
      <c r="E108" s="53">
        <f>'дод. 3'!F163</f>
        <v>148270</v>
      </c>
      <c r="F108" s="53">
        <f>'дод. 3'!G163</f>
        <v>0</v>
      </c>
      <c r="G108" s="53">
        <f>'дод. 3'!H163</f>
        <v>0</v>
      </c>
      <c r="H108" s="53">
        <f>'дод. 3'!I163</f>
        <v>0</v>
      </c>
      <c r="I108" s="53">
        <f>'дод. 3'!J163</f>
        <v>0</v>
      </c>
      <c r="J108" s="53">
        <f>'дод. 3'!K163</f>
        <v>0</v>
      </c>
      <c r="K108" s="53">
        <f>'дод. 3'!L163</f>
        <v>0</v>
      </c>
      <c r="L108" s="53">
        <f>'дод. 3'!M163</f>
        <v>0</v>
      </c>
      <c r="M108" s="53">
        <f>'дод. 3'!N163</f>
        <v>0</v>
      </c>
      <c r="N108" s="53">
        <f>'дод. 3'!O163</f>
        <v>0</v>
      </c>
      <c r="O108" s="53">
        <f>'дод. 3'!P163</f>
        <v>148270</v>
      </c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</row>
    <row r="109" spans="1:35" ht="40.5" customHeight="1">
      <c r="A109" s="5" t="s">
        <v>505</v>
      </c>
      <c r="B109" s="5" t="s">
        <v>87</v>
      </c>
      <c r="C109" s="13" t="s">
        <v>506</v>
      </c>
      <c r="D109" s="52">
        <f>'дод. 3'!E164</f>
        <v>200700</v>
      </c>
      <c r="E109" s="52">
        <f>'дод. 3'!F164</f>
        <v>200700</v>
      </c>
      <c r="F109" s="52">
        <f>'дод. 3'!G164</f>
        <v>0</v>
      </c>
      <c r="G109" s="52">
        <f>'дод. 3'!H164</f>
        <v>0</v>
      </c>
      <c r="H109" s="52">
        <f>'дод. 3'!I164</f>
        <v>0</v>
      </c>
      <c r="I109" s="52">
        <f>'дод. 3'!J164</f>
        <v>0</v>
      </c>
      <c r="J109" s="52">
        <f>'дод. 3'!K164</f>
        <v>0</v>
      </c>
      <c r="K109" s="52">
        <f>'дод. 3'!L164</f>
        <v>0</v>
      </c>
      <c r="L109" s="52">
        <f>'дод. 3'!M164</f>
        <v>0</v>
      </c>
      <c r="M109" s="52">
        <f>'дод. 3'!N164</f>
        <v>0</v>
      </c>
      <c r="N109" s="52">
        <f>'дод. 3'!O164</f>
        <v>0</v>
      </c>
      <c r="O109" s="52">
        <f>'дод. 3'!P164</f>
        <v>200700</v>
      </c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</row>
    <row r="110" spans="1:35" ht="62.25" customHeight="1">
      <c r="A110" s="5" t="s">
        <v>150</v>
      </c>
      <c r="B110" s="15"/>
      <c r="C110" s="13" t="s">
        <v>452</v>
      </c>
      <c r="D110" s="52">
        <f aca="true" t="shared" si="23" ref="D110:O110">D111</f>
        <v>9191915</v>
      </c>
      <c r="E110" s="52">
        <f t="shared" si="23"/>
        <v>9191915</v>
      </c>
      <c r="F110" s="52">
        <f t="shared" si="23"/>
        <v>6946900</v>
      </c>
      <c r="G110" s="52">
        <f t="shared" si="23"/>
        <v>193245</v>
      </c>
      <c r="H110" s="52">
        <f t="shared" si="23"/>
        <v>0</v>
      </c>
      <c r="I110" s="52">
        <f t="shared" si="23"/>
        <v>76400</v>
      </c>
      <c r="J110" s="52">
        <f t="shared" si="23"/>
        <v>57900</v>
      </c>
      <c r="K110" s="52">
        <f t="shared" si="23"/>
        <v>44700</v>
      </c>
      <c r="L110" s="52">
        <f t="shared" si="23"/>
        <v>0</v>
      </c>
      <c r="M110" s="52">
        <f t="shared" si="23"/>
        <v>18500</v>
      </c>
      <c r="N110" s="52">
        <f t="shared" si="23"/>
        <v>18500</v>
      </c>
      <c r="O110" s="52">
        <f t="shared" si="23"/>
        <v>9268315</v>
      </c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</row>
    <row r="111" spans="1:35" s="8" customFormat="1" ht="74.25" customHeight="1">
      <c r="A111" s="7" t="s">
        <v>151</v>
      </c>
      <c r="B111" s="7" t="s">
        <v>85</v>
      </c>
      <c r="C111" s="14" t="s">
        <v>57</v>
      </c>
      <c r="D111" s="53">
        <f>'дод. 3'!E166</f>
        <v>9191915</v>
      </c>
      <c r="E111" s="53">
        <f>'дод. 3'!F166</f>
        <v>9191915</v>
      </c>
      <c r="F111" s="53">
        <f>'дод. 3'!G166</f>
        <v>6946900</v>
      </c>
      <c r="G111" s="53">
        <f>'дод. 3'!H166</f>
        <v>193245</v>
      </c>
      <c r="H111" s="53">
        <f>'дод. 3'!I166</f>
        <v>0</v>
      </c>
      <c r="I111" s="53">
        <f>'дод. 3'!J166</f>
        <v>76400</v>
      </c>
      <c r="J111" s="53">
        <f>'дод. 3'!K166</f>
        <v>57900</v>
      </c>
      <c r="K111" s="53">
        <f>'дод. 3'!L166</f>
        <v>44700</v>
      </c>
      <c r="L111" s="53">
        <f>'дод. 3'!M166</f>
        <v>0</v>
      </c>
      <c r="M111" s="53">
        <f>'дод. 3'!N166</f>
        <v>18500</v>
      </c>
      <c r="N111" s="53">
        <f>'дод. 3'!O166</f>
        <v>18500</v>
      </c>
      <c r="O111" s="53">
        <f>'дод. 3'!P166</f>
        <v>9268315</v>
      </c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</row>
    <row r="112" spans="1:35" ht="36.75" customHeight="1">
      <c r="A112" s="5" t="s">
        <v>161</v>
      </c>
      <c r="B112" s="5"/>
      <c r="C112" s="13" t="s">
        <v>62</v>
      </c>
      <c r="D112" s="49">
        <f aca="true" t="shared" si="24" ref="D112:O112">D113</f>
        <v>80000</v>
      </c>
      <c r="E112" s="49">
        <f t="shared" si="24"/>
        <v>80000</v>
      </c>
      <c r="F112" s="49">
        <f t="shared" si="24"/>
        <v>0</v>
      </c>
      <c r="G112" s="49">
        <f t="shared" si="24"/>
        <v>0</v>
      </c>
      <c r="H112" s="49">
        <f t="shared" si="24"/>
        <v>0</v>
      </c>
      <c r="I112" s="49">
        <f t="shared" si="24"/>
        <v>0</v>
      </c>
      <c r="J112" s="49">
        <f t="shared" si="24"/>
        <v>0</v>
      </c>
      <c r="K112" s="49">
        <f t="shared" si="24"/>
        <v>0</v>
      </c>
      <c r="L112" s="49">
        <f t="shared" si="24"/>
        <v>0</v>
      </c>
      <c r="M112" s="49">
        <f t="shared" si="24"/>
        <v>0</v>
      </c>
      <c r="N112" s="49">
        <f t="shared" si="24"/>
        <v>0</v>
      </c>
      <c r="O112" s="49">
        <f t="shared" si="24"/>
        <v>80000</v>
      </c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</row>
    <row r="113" spans="1:35" s="8" customFormat="1" ht="43.5" customHeight="1">
      <c r="A113" s="7" t="s">
        <v>152</v>
      </c>
      <c r="B113" s="7" t="s">
        <v>148</v>
      </c>
      <c r="C113" s="14" t="s">
        <v>60</v>
      </c>
      <c r="D113" s="51">
        <f>'дод. 3'!E188</f>
        <v>80000</v>
      </c>
      <c r="E113" s="51">
        <f>'дод. 3'!F188</f>
        <v>80000</v>
      </c>
      <c r="F113" s="51">
        <f>'дод. 3'!G188</f>
        <v>0</v>
      </c>
      <c r="G113" s="51">
        <f>'дод. 3'!H188</f>
        <v>0</v>
      </c>
      <c r="H113" s="51">
        <f>'дод. 3'!I188</f>
        <v>0</v>
      </c>
      <c r="I113" s="51">
        <f>'дод. 3'!J188</f>
        <v>0</v>
      </c>
      <c r="J113" s="51">
        <f>'дод. 3'!K188</f>
        <v>0</v>
      </c>
      <c r="K113" s="51">
        <f>'дод. 3'!L188</f>
        <v>0</v>
      </c>
      <c r="L113" s="51">
        <f>'дод. 3'!M188</f>
        <v>0</v>
      </c>
      <c r="M113" s="51">
        <f>'дод. 3'!N188</f>
        <v>0</v>
      </c>
      <c r="N113" s="51">
        <f>'дод. 3'!O188</f>
        <v>0</v>
      </c>
      <c r="O113" s="51">
        <f>'дод. 3'!P188</f>
        <v>80000</v>
      </c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</row>
    <row r="114" spans="1:35" ht="37.5" customHeight="1">
      <c r="A114" s="5" t="s">
        <v>200</v>
      </c>
      <c r="B114" s="5"/>
      <c r="C114" s="13" t="s">
        <v>40</v>
      </c>
      <c r="D114" s="49">
        <f aca="true" t="shared" si="25" ref="D114:O114">D115</f>
        <v>1661740</v>
      </c>
      <c r="E114" s="49">
        <f t="shared" si="25"/>
        <v>1661740</v>
      </c>
      <c r="F114" s="49">
        <f t="shared" si="25"/>
        <v>1247850</v>
      </c>
      <c r="G114" s="49">
        <f t="shared" si="25"/>
        <v>56450</v>
      </c>
      <c r="H114" s="49">
        <f t="shared" si="25"/>
        <v>0</v>
      </c>
      <c r="I114" s="49">
        <f t="shared" si="25"/>
        <v>20500</v>
      </c>
      <c r="J114" s="49">
        <f t="shared" si="25"/>
        <v>0</v>
      </c>
      <c r="K114" s="49">
        <f t="shared" si="25"/>
        <v>0</v>
      </c>
      <c r="L114" s="49">
        <f t="shared" si="25"/>
        <v>0</v>
      </c>
      <c r="M114" s="49">
        <f t="shared" si="25"/>
        <v>20500</v>
      </c>
      <c r="N114" s="49">
        <f t="shared" si="25"/>
        <v>20500</v>
      </c>
      <c r="O114" s="49">
        <f t="shared" si="25"/>
        <v>1682240</v>
      </c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</row>
    <row r="115" spans="1:35" s="8" customFormat="1" ht="42.75" customHeight="1">
      <c r="A115" s="7" t="s">
        <v>201</v>
      </c>
      <c r="B115" s="7" t="s">
        <v>148</v>
      </c>
      <c r="C115" s="14" t="s">
        <v>202</v>
      </c>
      <c r="D115" s="51">
        <f>'дод. 3'!E20</f>
        <v>1661740</v>
      </c>
      <c r="E115" s="51">
        <f>'дод. 3'!F20</f>
        <v>1661740</v>
      </c>
      <c r="F115" s="51">
        <f>'дод. 3'!G20</f>
        <v>1247850</v>
      </c>
      <c r="G115" s="51">
        <f>'дод. 3'!H20</f>
        <v>56450</v>
      </c>
      <c r="H115" s="51">
        <f>'дод. 3'!I20</f>
        <v>0</v>
      </c>
      <c r="I115" s="51">
        <f>'дод. 3'!J20</f>
        <v>20500</v>
      </c>
      <c r="J115" s="51">
        <f>'дод. 3'!K20</f>
        <v>0</v>
      </c>
      <c r="K115" s="51">
        <f>'дод. 3'!L20</f>
        <v>0</v>
      </c>
      <c r="L115" s="51">
        <f>'дод. 3'!M20</f>
        <v>0</v>
      </c>
      <c r="M115" s="51">
        <f>'дод. 3'!N20</f>
        <v>20500</v>
      </c>
      <c r="N115" s="51">
        <f>'дод. 3'!O20</f>
        <v>20500</v>
      </c>
      <c r="O115" s="51">
        <f>'дод. 3'!P20</f>
        <v>1682240</v>
      </c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</row>
    <row r="116" spans="1:35" ht="24.75" customHeight="1">
      <c r="A116" s="5" t="s">
        <v>157</v>
      </c>
      <c r="B116" s="5"/>
      <c r="C116" s="13" t="s">
        <v>168</v>
      </c>
      <c r="D116" s="49">
        <f aca="true" t="shared" si="26" ref="D116:O116">D117</f>
        <v>750000</v>
      </c>
      <c r="E116" s="49">
        <f t="shared" si="26"/>
        <v>750000</v>
      </c>
      <c r="F116" s="49">
        <f t="shared" si="26"/>
        <v>0</v>
      </c>
      <c r="G116" s="49">
        <f t="shared" si="26"/>
        <v>0</v>
      </c>
      <c r="H116" s="49">
        <f t="shared" si="26"/>
        <v>0</v>
      </c>
      <c r="I116" s="49">
        <f t="shared" si="26"/>
        <v>0</v>
      </c>
      <c r="J116" s="49">
        <f t="shared" si="26"/>
        <v>0</v>
      </c>
      <c r="K116" s="49">
        <f t="shared" si="26"/>
        <v>0</v>
      </c>
      <c r="L116" s="49">
        <f t="shared" si="26"/>
        <v>0</v>
      </c>
      <c r="M116" s="49">
        <f t="shared" si="26"/>
        <v>0</v>
      </c>
      <c r="N116" s="49">
        <f t="shared" si="26"/>
        <v>0</v>
      </c>
      <c r="O116" s="49">
        <f t="shared" si="26"/>
        <v>750000</v>
      </c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</row>
    <row r="117" spans="1:35" s="8" customFormat="1" ht="58.5" customHeight="1">
      <c r="A117" s="28" t="s">
        <v>158</v>
      </c>
      <c r="B117" s="28" t="s">
        <v>148</v>
      </c>
      <c r="C117" s="14" t="s">
        <v>224</v>
      </c>
      <c r="D117" s="51">
        <f>'дод. 3'!E22</f>
        <v>750000</v>
      </c>
      <c r="E117" s="51">
        <f>'дод. 3'!F22</f>
        <v>750000</v>
      </c>
      <c r="F117" s="51">
        <f>'дод. 3'!G22</f>
        <v>0</v>
      </c>
      <c r="G117" s="51">
        <f>'дод. 3'!H22</f>
        <v>0</v>
      </c>
      <c r="H117" s="51">
        <f>'дод. 3'!I22</f>
        <v>0</v>
      </c>
      <c r="I117" s="51">
        <f>'дод. 3'!J22</f>
        <v>0</v>
      </c>
      <c r="J117" s="51">
        <f>'дод. 3'!K22</f>
        <v>0</v>
      </c>
      <c r="K117" s="51">
        <f>'дод. 3'!L22</f>
        <v>0</v>
      </c>
      <c r="L117" s="51">
        <f>'дод. 3'!M22</f>
        <v>0</v>
      </c>
      <c r="M117" s="51">
        <f>'дод. 3'!N22</f>
        <v>0</v>
      </c>
      <c r="N117" s="51">
        <f>'дод. 3'!O22</f>
        <v>0</v>
      </c>
      <c r="O117" s="51">
        <f>'дод. 3'!P22</f>
        <v>750000</v>
      </c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</row>
    <row r="118" spans="1:35" ht="75" customHeight="1">
      <c r="A118" s="5" t="s">
        <v>159</v>
      </c>
      <c r="B118" s="5" t="s">
        <v>148</v>
      </c>
      <c r="C118" s="18" t="s">
        <v>41</v>
      </c>
      <c r="D118" s="49">
        <f>'дод. 3'!E23+'дод. 3'!E76</f>
        <v>7430000</v>
      </c>
      <c r="E118" s="49">
        <f>'дод. 3'!F23+'дод. 3'!F76</f>
        <v>7430000</v>
      </c>
      <c r="F118" s="49">
        <f>'дод. 3'!G23+'дод. 3'!G76</f>
        <v>0</v>
      </c>
      <c r="G118" s="49">
        <f>'дод. 3'!H23+'дод. 3'!H76</f>
        <v>0</v>
      </c>
      <c r="H118" s="49">
        <f>'дод. 3'!I23+'дод. 3'!I76</f>
        <v>0</v>
      </c>
      <c r="I118" s="49">
        <f>'дод. 3'!J23+'дод. 3'!J76</f>
        <v>0</v>
      </c>
      <c r="J118" s="49">
        <f>'дод. 3'!K23+'дод. 3'!K76</f>
        <v>0</v>
      </c>
      <c r="K118" s="49">
        <f>'дод. 3'!L23+'дод. 3'!L76</f>
        <v>0</v>
      </c>
      <c r="L118" s="49">
        <f>'дод. 3'!M23+'дод. 3'!M76</f>
        <v>0</v>
      </c>
      <c r="M118" s="49">
        <f>'дод. 3'!N23+'дод. 3'!N76</f>
        <v>0</v>
      </c>
      <c r="N118" s="49">
        <f>'дод. 3'!O23+'дод. 3'!O76</f>
        <v>0</v>
      </c>
      <c r="O118" s="49">
        <f>'дод. 3'!P23+'дод. 3'!P76</f>
        <v>7430000</v>
      </c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</row>
    <row r="119" spans="1:35" ht="92.25" customHeight="1">
      <c r="A119" s="5" t="s">
        <v>160</v>
      </c>
      <c r="B119" s="32">
        <v>1010</v>
      </c>
      <c r="C119" s="13" t="s">
        <v>453</v>
      </c>
      <c r="D119" s="49">
        <f>'дод. 3'!E167</f>
        <v>1673920</v>
      </c>
      <c r="E119" s="49">
        <f>'дод. 3'!F167</f>
        <v>1673920</v>
      </c>
      <c r="F119" s="49">
        <f>'дод. 3'!G167</f>
        <v>0</v>
      </c>
      <c r="G119" s="49">
        <f>'дод. 3'!H167</f>
        <v>0</v>
      </c>
      <c r="H119" s="49">
        <f>'дод. 3'!I167</f>
        <v>0</v>
      </c>
      <c r="I119" s="49">
        <f>'дод. 3'!J167</f>
        <v>0</v>
      </c>
      <c r="J119" s="49">
        <f>'дод. 3'!K167</f>
        <v>0</v>
      </c>
      <c r="K119" s="49">
        <f>'дод. 3'!L167</f>
        <v>0</v>
      </c>
      <c r="L119" s="49">
        <f>'дод. 3'!M167</f>
        <v>0</v>
      </c>
      <c r="M119" s="49">
        <f>'дод. 3'!N167</f>
        <v>0</v>
      </c>
      <c r="N119" s="49">
        <f>'дод. 3'!O167</f>
        <v>0</v>
      </c>
      <c r="O119" s="49">
        <f>'дод. 3'!P167</f>
        <v>1673920</v>
      </c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</row>
    <row r="120" spans="1:35" ht="32.25" customHeight="1">
      <c r="A120" s="5" t="s">
        <v>507</v>
      </c>
      <c r="B120" s="32"/>
      <c r="C120" s="13" t="s">
        <v>510</v>
      </c>
      <c r="D120" s="49">
        <f aca="true" t="shared" si="27" ref="D120:O120">D121+D122</f>
        <v>188864</v>
      </c>
      <c r="E120" s="49">
        <f t="shared" si="27"/>
        <v>188864</v>
      </c>
      <c r="F120" s="49">
        <f t="shared" si="27"/>
        <v>0</v>
      </c>
      <c r="G120" s="49">
        <f t="shared" si="27"/>
        <v>0</v>
      </c>
      <c r="H120" s="49">
        <f t="shared" si="27"/>
        <v>0</v>
      </c>
      <c r="I120" s="49">
        <f t="shared" si="27"/>
        <v>0</v>
      </c>
      <c r="J120" s="49">
        <f t="shared" si="27"/>
        <v>0</v>
      </c>
      <c r="K120" s="49">
        <f t="shared" si="27"/>
        <v>0</v>
      </c>
      <c r="L120" s="49">
        <f t="shared" si="27"/>
        <v>0</v>
      </c>
      <c r="M120" s="49">
        <f t="shared" si="27"/>
        <v>0</v>
      </c>
      <c r="N120" s="49">
        <f t="shared" si="27"/>
        <v>0</v>
      </c>
      <c r="O120" s="49">
        <f t="shared" si="27"/>
        <v>188864</v>
      </c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</row>
    <row r="121" spans="1:35" s="8" customFormat="1" ht="67.5" customHeight="1">
      <c r="A121" s="7" t="s">
        <v>508</v>
      </c>
      <c r="B121" s="186">
        <v>1010</v>
      </c>
      <c r="C121" s="14" t="s">
        <v>511</v>
      </c>
      <c r="D121" s="51">
        <f>'дод. 3'!E169</f>
        <v>188024</v>
      </c>
      <c r="E121" s="51">
        <f>'дод. 3'!F169</f>
        <v>188024</v>
      </c>
      <c r="F121" s="51">
        <f>'дод. 3'!G169</f>
        <v>0</v>
      </c>
      <c r="G121" s="51">
        <f>'дод. 3'!H169</f>
        <v>0</v>
      </c>
      <c r="H121" s="51">
        <f>'дод. 3'!I169</f>
        <v>0</v>
      </c>
      <c r="I121" s="51">
        <f>'дод. 3'!J169</f>
        <v>0</v>
      </c>
      <c r="J121" s="51">
        <f>'дод. 3'!K169</f>
        <v>0</v>
      </c>
      <c r="K121" s="51">
        <f>'дод. 3'!L169</f>
        <v>0</v>
      </c>
      <c r="L121" s="51">
        <f>'дод. 3'!M169</f>
        <v>0</v>
      </c>
      <c r="M121" s="51">
        <f>'дод. 3'!N169</f>
        <v>0</v>
      </c>
      <c r="N121" s="51">
        <f>'дод. 3'!O169</f>
        <v>0</v>
      </c>
      <c r="O121" s="51">
        <f>'дод. 3'!P169</f>
        <v>188024</v>
      </c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</row>
    <row r="122" spans="1:35" s="8" customFormat="1" ht="32.25" customHeight="1">
      <c r="A122" s="7" t="s">
        <v>509</v>
      </c>
      <c r="B122" s="186">
        <v>1010</v>
      </c>
      <c r="C122" s="14" t="s">
        <v>512</v>
      </c>
      <c r="D122" s="51">
        <f>'дод. 3'!E170</f>
        <v>840</v>
      </c>
      <c r="E122" s="51">
        <f>'дод. 3'!F170</f>
        <v>840</v>
      </c>
      <c r="F122" s="51">
        <f>'дод. 3'!G170</f>
        <v>0</v>
      </c>
      <c r="G122" s="51">
        <f>'дод. 3'!H170</f>
        <v>0</v>
      </c>
      <c r="H122" s="51">
        <f>'дод. 3'!I170</f>
        <v>0</v>
      </c>
      <c r="I122" s="51">
        <f>'дод. 3'!J170</f>
        <v>0</v>
      </c>
      <c r="J122" s="51">
        <f>'дод. 3'!K170</f>
        <v>0</v>
      </c>
      <c r="K122" s="51">
        <f>'дод. 3'!L170</f>
        <v>0</v>
      </c>
      <c r="L122" s="51">
        <f>'дод. 3'!M170</f>
        <v>0</v>
      </c>
      <c r="M122" s="51">
        <f>'дод. 3'!N170</f>
        <v>0</v>
      </c>
      <c r="N122" s="51">
        <f>'дод. 3'!O170</f>
        <v>0</v>
      </c>
      <c r="O122" s="51">
        <f>'дод. 3'!P170</f>
        <v>840</v>
      </c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1:35" ht="85.5" customHeight="1">
      <c r="A123" s="5" t="s">
        <v>153</v>
      </c>
      <c r="B123" s="5" t="s">
        <v>88</v>
      </c>
      <c r="C123" s="13" t="s">
        <v>203</v>
      </c>
      <c r="D123" s="49">
        <f>'дод. 3'!E171</f>
        <v>1242491</v>
      </c>
      <c r="E123" s="49">
        <f>'дод. 3'!F171</f>
        <v>1242491</v>
      </c>
      <c r="F123" s="49">
        <f>'дод. 3'!G171</f>
        <v>0</v>
      </c>
      <c r="G123" s="49">
        <f>'дод. 3'!H171</f>
        <v>0</v>
      </c>
      <c r="H123" s="49">
        <f>'дод. 3'!I171</f>
        <v>0</v>
      </c>
      <c r="I123" s="49">
        <f>'дод. 3'!J171</f>
        <v>0</v>
      </c>
      <c r="J123" s="49">
        <f>'дод. 3'!K171</f>
        <v>0</v>
      </c>
      <c r="K123" s="49">
        <f>'дод. 3'!L171</f>
        <v>0</v>
      </c>
      <c r="L123" s="49">
        <f>'дод. 3'!M171</f>
        <v>0</v>
      </c>
      <c r="M123" s="49">
        <f>'дод. 3'!N171</f>
        <v>0</v>
      </c>
      <c r="N123" s="49">
        <f>'дод. 3'!O171</f>
        <v>0</v>
      </c>
      <c r="O123" s="49">
        <f>'дод. 3'!P171</f>
        <v>1242491</v>
      </c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</row>
    <row r="124" spans="1:35" ht="19.5" customHeight="1">
      <c r="A124" s="5" t="s">
        <v>154</v>
      </c>
      <c r="B124" s="32"/>
      <c r="C124" s="13" t="s">
        <v>58</v>
      </c>
      <c r="D124" s="49">
        <f>D125+D126</f>
        <v>2940434</v>
      </c>
      <c r="E124" s="49">
        <f aca="true" t="shared" si="28" ref="E124:O124">E125+E126</f>
        <v>2940434</v>
      </c>
      <c r="F124" s="49">
        <f t="shared" si="28"/>
        <v>0</v>
      </c>
      <c r="G124" s="49">
        <f t="shared" si="28"/>
        <v>0</v>
      </c>
      <c r="H124" s="49">
        <f t="shared" si="28"/>
        <v>0</v>
      </c>
      <c r="I124" s="49">
        <f t="shared" si="28"/>
        <v>0</v>
      </c>
      <c r="J124" s="49">
        <f t="shared" si="28"/>
        <v>0</v>
      </c>
      <c r="K124" s="49">
        <f t="shared" si="28"/>
        <v>0</v>
      </c>
      <c r="L124" s="49">
        <f t="shared" si="28"/>
        <v>0</v>
      </c>
      <c r="M124" s="49">
        <f t="shared" si="28"/>
        <v>0</v>
      </c>
      <c r="N124" s="49">
        <f t="shared" si="28"/>
        <v>0</v>
      </c>
      <c r="O124" s="49">
        <f t="shared" si="28"/>
        <v>2940434</v>
      </c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</row>
    <row r="125" spans="1:35" s="8" customFormat="1" ht="42.75" customHeight="1">
      <c r="A125" s="7" t="s">
        <v>454</v>
      </c>
      <c r="B125" s="7" t="s">
        <v>87</v>
      </c>
      <c r="C125" s="14" t="s">
        <v>36</v>
      </c>
      <c r="D125" s="51">
        <f>'дод. 3'!E173</f>
        <v>1748334</v>
      </c>
      <c r="E125" s="51">
        <f>'дод. 3'!F173</f>
        <v>1748334</v>
      </c>
      <c r="F125" s="51">
        <f>'дод. 3'!G173</f>
        <v>0</v>
      </c>
      <c r="G125" s="51">
        <f>'дод. 3'!H173</f>
        <v>0</v>
      </c>
      <c r="H125" s="51">
        <f>'дод. 3'!I173</f>
        <v>0</v>
      </c>
      <c r="I125" s="51">
        <f>'дод. 3'!J173</f>
        <v>0</v>
      </c>
      <c r="J125" s="51">
        <f>'дод. 3'!K173</f>
        <v>0</v>
      </c>
      <c r="K125" s="51">
        <f>'дод. 3'!L173</f>
        <v>0</v>
      </c>
      <c r="L125" s="51">
        <f>'дод. 3'!M173</f>
        <v>0</v>
      </c>
      <c r="M125" s="51">
        <f>'дод. 3'!N173</f>
        <v>0</v>
      </c>
      <c r="N125" s="51">
        <f>'дод. 3'!O173</f>
        <v>0</v>
      </c>
      <c r="O125" s="51">
        <f>'дод. 3'!P173</f>
        <v>1748334</v>
      </c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</row>
    <row r="126" spans="1:35" s="8" customFormat="1" ht="55.5" customHeight="1">
      <c r="A126" s="7" t="s">
        <v>455</v>
      </c>
      <c r="B126" s="7" t="s">
        <v>87</v>
      </c>
      <c r="C126" s="14" t="s">
        <v>501</v>
      </c>
      <c r="D126" s="51">
        <f>'дод. 3'!E174</f>
        <v>1192100</v>
      </c>
      <c r="E126" s="51">
        <f>'дод. 3'!F174</f>
        <v>1192100</v>
      </c>
      <c r="F126" s="51">
        <f>'дод. 3'!G174</f>
        <v>0</v>
      </c>
      <c r="G126" s="51">
        <f>'дод. 3'!H174</f>
        <v>0</v>
      </c>
      <c r="H126" s="51">
        <f>'дод. 3'!I174</f>
        <v>0</v>
      </c>
      <c r="I126" s="51">
        <f>'дод. 3'!J174</f>
        <v>0</v>
      </c>
      <c r="J126" s="51">
        <f>'дод. 3'!K174</f>
        <v>0</v>
      </c>
      <c r="K126" s="51">
        <f>'дод. 3'!L174</f>
        <v>0</v>
      </c>
      <c r="L126" s="51">
        <f>'дод. 3'!M174</f>
        <v>0</v>
      </c>
      <c r="M126" s="51">
        <f>'дод. 3'!N174</f>
        <v>0</v>
      </c>
      <c r="N126" s="51">
        <f>'дод. 3'!O174</f>
        <v>0</v>
      </c>
      <c r="O126" s="51">
        <f>'дод. 3'!P174</f>
        <v>1192100</v>
      </c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</row>
    <row r="127" spans="1:35" ht="43.5" customHeight="1">
      <c r="A127" s="5" t="s">
        <v>155</v>
      </c>
      <c r="B127" s="5" t="s">
        <v>91</v>
      </c>
      <c r="C127" s="13" t="s">
        <v>225</v>
      </c>
      <c r="D127" s="49">
        <f>'дод. 3'!E175</f>
        <v>75000</v>
      </c>
      <c r="E127" s="49">
        <f>'дод. 3'!F175</f>
        <v>75000</v>
      </c>
      <c r="F127" s="49">
        <f>'дод. 3'!G175</f>
        <v>0</v>
      </c>
      <c r="G127" s="49">
        <f>'дод. 3'!H175</f>
        <v>0</v>
      </c>
      <c r="H127" s="49">
        <f>'дод. 3'!I175</f>
        <v>0</v>
      </c>
      <c r="I127" s="49">
        <f>'дод. 3'!J175</f>
        <v>0</v>
      </c>
      <c r="J127" s="49">
        <f>'дод. 3'!K175</f>
        <v>0</v>
      </c>
      <c r="K127" s="49">
        <f>'дод. 3'!L175</f>
        <v>0</v>
      </c>
      <c r="L127" s="49">
        <f>'дод. 3'!M175</f>
        <v>0</v>
      </c>
      <c r="M127" s="49">
        <f>'дод. 3'!N175</f>
        <v>0</v>
      </c>
      <c r="N127" s="49">
        <f>'дод. 3'!O175</f>
        <v>0</v>
      </c>
      <c r="O127" s="49">
        <f>'дод. 3'!P175</f>
        <v>75000</v>
      </c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</row>
    <row r="128" spans="1:35" ht="27.75" customHeight="1">
      <c r="A128" s="5" t="s">
        <v>456</v>
      </c>
      <c r="B128" s="5" t="s">
        <v>156</v>
      </c>
      <c r="C128" s="13" t="s">
        <v>69</v>
      </c>
      <c r="D128" s="49">
        <f>'дод. 3'!E176+'дод. 3'!E201</f>
        <v>865000</v>
      </c>
      <c r="E128" s="49">
        <f>'дод. 3'!F176+'дод. 3'!F201</f>
        <v>865000</v>
      </c>
      <c r="F128" s="49">
        <f>'дод. 3'!G176+'дод. 3'!G201</f>
        <v>258197.1</v>
      </c>
      <c r="G128" s="49">
        <f>'дод. 3'!H176+'дод. 3'!H201</f>
        <v>0</v>
      </c>
      <c r="H128" s="49">
        <f>'дод. 3'!I176+'дод. 3'!I201</f>
        <v>0</v>
      </c>
      <c r="I128" s="49">
        <f>'дод. 3'!J176+'дод. 3'!J201</f>
        <v>0</v>
      </c>
      <c r="J128" s="49">
        <f>'дод. 3'!K176+'дод. 3'!K201</f>
        <v>0</v>
      </c>
      <c r="K128" s="49">
        <f>'дод. 3'!L176+'дод. 3'!L201</f>
        <v>0</v>
      </c>
      <c r="L128" s="49">
        <f>'дод. 3'!M176+'дод. 3'!M201</f>
        <v>0</v>
      </c>
      <c r="M128" s="49">
        <f>'дод. 3'!N176+'дод. 3'!N201</f>
        <v>0</v>
      </c>
      <c r="N128" s="49">
        <f>'дод. 3'!O176+'дод. 3'!O201</f>
        <v>0</v>
      </c>
      <c r="O128" s="49">
        <f>'дод. 3'!P176+'дод. 3'!P201</f>
        <v>865000</v>
      </c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</row>
    <row r="129" spans="1:35" ht="161.25" customHeight="1">
      <c r="A129" s="5" t="s">
        <v>567</v>
      </c>
      <c r="B129" s="5" t="s">
        <v>148</v>
      </c>
      <c r="C129" s="13" t="s">
        <v>568</v>
      </c>
      <c r="D129" s="49">
        <f>'дод. 3'!E177</f>
        <v>2695700</v>
      </c>
      <c r="E129" s="49">
        <f>'дод. 3'!F177</f>
        <v>2695700</v>
      </c>
      <c r="F129" s="49">
        <f>'дод. 3'!G177</f>
        <v>0</v>
      </c>
      <c r="G129" s="49">
        <f>'дод. 3'!H177</f>
        <v>0</v>
      </c>
      <c r="H129" s="49">
        <f>'дод. 3'!I177</f>
        <v>0</v>
      </c>
      <c r="I129" s="49">
        <f>'дод. 3'!J177</f>
        <v>0</v>
      </c>
      <c r="J129" s="49">
        <f>'дод. 3'!K177</f>
        <v>0</v>
      </c>
      <c r="K129" s="49">
        <f>'дод. 3'!L177</f>
        <v>0</v>
      </c>
      <c r="L129" s="49">
        <f>'дод. 3'!M177</f>
        <v>0</v>
      </c>
      <c r="M129" s="49">
        <f>'дод. 3'!N177</f>
        <v>0</v>
      </c>
      <c r="N129" s="49">
        <f>'дод. 3'!O177</f>
        <v>0</v>
      </c>
      <c r="O129" s="49">
        <f>'дод. 3'!P177</f>
        <v>2695700</v>
      </c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</row>
    <row r="130" spans="2:35" ht="27.75" customHeight="1">
      <c r="B130" s="5"/>
      <c r="C130" s="13" t="s">
        <v>416</v>
      </c>
      <c r="D130" s="49">
        <f>'дод. 3'!E178</f>
        <v>2695700</v>
      </c>
      <c r="E130" s="49">
        <f>'дод. 3'!F178</f>
        <v>2695700</v>
      </c>
      <c r="F130" s="49">
        <f>'дод. 3'!G178</f>
        <v>0</v>
      </c>
      <c r="G130" s="49">
        <f>'дод. 3'!H178</f>
        <v>0</v>
      </c>
      <c r="H130" s="49">
        <f>'дод. 3'!I178</f>
        <v>0</v>
      </c>
      <c r="I130" s="49">
        <f>'дод. 3'!J178</f>
        <v>0</v>
      </c>
      <c r="J130" s="49">
        <f>'дод. 3'!K178</f>
        <v>0</v>
      </c>
      <c r="K130" s="49">
        <f>'дод. 3'!L178</f>
        <v>0</v>
      </c>
      <c r="L130" s="49">
        <f>'дод. 3'!M178</f>
        <v>0</v>
      </c>
      <c r="M130" s="49">
        <f>'дод. 3'!N178</f>
        <v>0</v>
      </c>
      <c r="N130" s="49">
        <f>'дод. 3'!O178</f>
        <v>0</v>
      </c>
      <c r="O130" s="49">
        <f>'дод. 3'!P178</f>
        <v>2695700</v>
      </c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</row>
    <row r="131" spans="1:35" ht="29.25" customHeight="1">
      <c r="A131" s="5" t="s">
        <v>457</v>
      </c>
      <c r="B131" s="5"/>
      <c r="C131" s="13" t="s">
        <v>458</v>
      </c>
      <c r="D131" s="49">
        <f>D132+D133</f>
        <v>33598197</v>
      </c>
      <c r="E131" s="49">
        <f aca="true" t="shared" si="29" ref="E131:O131">E132+E133</f>
        <v>33598197</v>
      </c>
      <c r="F131" s="49">
        <f t="shared" si="29"/>
        <v>2887935</v>
      </c>
      <c r="G131" s="49">
        <f t="shared" si="29"/>
        <v>770758</v>
      </c>
      <c r="H131" s="49">
        <f t="shared" si="29"/>
        <v>0</v>
      </c>
      <c r="I131" s="49">
        <f t="shared" si="29"/>
        <v>375000</v>
      </c>
      <c r="J131" s="49">
        <f t="shared" si="29"/>
        <v>0</v>
      </c>
      <c r="K131" s="49">
        <f t="shared" si="29"/>
        <v>0</v>
      </c>
      <c r="L131" s="49">
        <f t="shared" si="29"/>
        <v>0</v>
      </c>
      <c r="M131" s="49">
        <f t="shared" si="29"/>
        <v>375000</v>
      </c>
      <c r="N131" s="49">
        <f t="shared" si="29"/>
        <v>375000</v>
      </c>
      <c r="O131" s="49">
        <f t="shared" si="29"/>
        <v>33973197</v>
      </c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</row>
    <row r="132" spans="1:35" s="8" customFormat="1" ht="32.25" customHeight="1">
      <c r="A132" s="7" t="s">
        <v>459</v>
      </c>
      <c r="B132" s="7" t="s">
        <v>91</v>
      </c>
      <c r="C132" s="14" t="s">
        <v>461</v>
      </c>
      <c r="D132" s="51">
        <f>'дод. 3'!E25+'дод. 3'!E180</f>
        <v>5059216</v>
      </c>
      <c r="E132" s="51">
        <f>'дод. 3'!F25+'дод. 3'!F180</f>
        <v>5059216</v>
      </c>
      <c r="F132" s="51">
        <f>'дод. 3'!G25+'дод. 3'!G180</f>
        <v>2887935</v>
      </c>
      <c r="G132" s="51">
        <f>'дод. 3'!H25+'дод. 3'!H180</f>
        <v>770758</v>
      </c>
      <c r="H132" s="51">
        <f>'дод. 3'!I25+'дод. 3'!I180</f>
        <v>0</v>
      </c>
      <c r="I132" s="51">
        <f>'дод. 3'!J25+'дод. 3'!J180</f>
        <v>300000</v>
      </c>
      <c r="J132" s="51">
        <f>'дод. 3'!K25+'дод. 3'!K180</f>
        <v>0</v>
      </c>
      <c r="K132" s="51">
        <f>'дод. 3'!L25+'дод. 3'!L180</f>
        <v>0</v>
      </c>
      <c r="L132" s="51">
        <f>'дод. 3'!M25+'дод. 3'!M180</f>
        <v>0</v>
      </c>
      <c r="M132" s="51">
        <f>'дод. 3'!N25+'дод. 3'!N180</f>
        <v>300000</v>
      </c>
      <c r="N132" s="51">
        <f>'дод. 3'!O25+'дод. 3'!O180</f>
        <v>300000</v>
      </c>
      <c r="O132" s="51">
        <f>'дод. 3'!P25+'дод. 3'!P180</f>
        <v>5359216</v>
      </c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</row>
    <row r="133" spans="1:35" s="8" customFormat="1" ht="41.25" customHeight="1">
      <c r="A133" s="7" t="s">
        <v>460</v>
      </c>
      <c r="B133" s="7" t="s">
        <v>91</v>
      </c>
      <c r="C133" s="14" t="s">
        <v>462</v>
      </c>
      <c r="D133" s="51">
        <f>'дод. 3'!E26+'дод. 3'!E181+'дод. 3'!E78</f>
        <v>28538981</v>
      </c>
      <c r="E133" s="51">
        <f>'дод. 3'!F26+'дод. 3'!F181+'дод. 3'!F78</f>
        <v>28538981</v>
      </c>
      <c r="F133" s="51">
        <f>'дод. 3'!G26+'дод. 3'!G181+'дод. 3'!G78</f>
        <v>0</v>
      </c>
      <c r="G133" s="51">
        <f>'дод. 3'!H26+'дод. 3'!H181+'дод. 3'!H78</f>
        <v>0</v>
      </c>
      <c r="H133" s="51">
        <f>'дод. 3'!I26+'дод. 3'!I181+'дод. 3'!I78</f>
        <v>0</v>
      </c>
      <c r="I133" s="51">
        <f>'дод. 3'!J26+'дод. 3'!J181+'дод. 3'!J78</f>
        <v>75000</v>
      </c>
      <c r="J133" s="51">
        <f>'дод. 3'!K26+'дод. 3'!K181+'дод. 3'!K78</f>
        <v>0</v>
      </c>
      <c r="K133" s="51">
        <f>'дод. 3'!L26+'дод. 3'!L181+'дод. 3'!L78</f>
        <v>0</v>
      </c>
      <c r="L133" s="51">
        <f>'дод. 3'!M26+'дод. 3'!M181+'дод. 3'!M78</f>
        <v>0</v>
      </c>
      <c r="M133" s="51">
        <f>'дод. 3'!N26+'дод. 3'!N181+'дод. 3'!N78</f>
        <v>75000</v>
      </c>
      <c r="N133" s="51">
        <f>'дод. 3'!O26+'дод. 3'!O181+'дод. 3'!O78</f>
        <v>75000</v>
      </c>
      <c r="O133" s="51">
        <f>'дод. 3'!P26+'дод. 3'!P181+'дод. 3'!P78</f>
        <v>28613981</v>
      </c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</row>
    <row r="134" spans="1:35" s="22" customFormat="1" ht="19.5" customHeight="1">
      <c r="A134" s="23" t="s">
        <v>112</v>
      </c>
      <c r="B134" s="11"/>
      <c r="C134" s="11" t="s">
        <v>113</v>
      </c>
      <c r="D134" s="50">
        <f>D135+D136</f>
        <v>23314400</v>
      </c>
      <c r="E134" s="50">
        <f aca="true" t="shared" si="30" ref="E134:O134">E135+E136</f>
        <v>23314400</v>
      </c>
      <c r="F134" s="50">
        <f t="shared" si="30"/>
        <v>14067674</v>
      </c>
      <c r="G134" s="50">
        <f t="shared" si="30"/>
        <v>1251536</v>
      </c>
      <c r="H134" s="50">
        <f t="shared" si="30"/>
        <v>0</v>
      </c>
      <c r="I134" s="50">
        <f t="shared" si="30"/>
        <v>426000</v>
      </c>
      <c r="J134" s="50">
        <f t="shared" si="30"/>
        <v>27000</v>
      </c>
      <c r="K134" s="50">
        <f t="shared" si="30"/>
        <v>5000</v>
      </c>
      <c r="L134" s="50">
        <f t="shared" si="30"/>
        <v>0</v>
      </c>
      <c r="M134" s="50">
        <f t="shared" si="30"/>
        <v>399000</v>
      </c>
      <c r="N134" s="50">
        <f t="shared" si="30"/>
        <v>399000</v>
      </c>
      <c r="O134" s="50">
        <f t="shared" si="30"/>
        <v>23740400</v>
      </c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</row>
    <row r="135" spans="1:35" ht="22.5" customHeight="1">
      <c r="A135" s="5" t="s">
        <v>114</v>
      </c>
      <c r="B135" s="5" t="s">
        <v>115</v>
      </c>
      <c r="C135" s="13" t="s">
        <v>29</v>
      </c>
      <c r="D135" s="49">
        <f>'дод. 3'!E193</f>
        <v>16071720</v>
      </c>
      <c r="E135" s="49">
        <f>'дод. 3'!F193</f>
        <v>16071720</v>
      </c>
      <c r="F135" s="49">
        <f>'дод. 3'!G193</f>
        <v>11407051</v>
      </c>
      <c r="G135" s="49">
        <f>'дод. 3'!H193</f>
        <v>1115260</v>
      </c>
      <c r="H135" s="49">
        <f>'дод. 3'!I193</f>
        <v>0</v>
      </c>
      <c r="I135" s="49">
        <f>'дод. 3'!J193</f>
        <v>327000</v>
      </c>
      <c r="J135" s="49">
        <f>'дод. 3'!K193</f>
        <v>27000</v>
      </c>
      <c r="K135" s="49">
        <f>'дод. 3'!L193</f>
        <v>5000</v>
      </c>
      <c r="L135" s="49">
        <f>'дод. 3'!M193</f>
        <v>0</v>
      </c>
      <c r="M135" s="49">
        <f>'дод. 3'!N193</f>
        <v>300000</v>
      </c>
      <c r="N135" s="49">
        <f>'дод. 3'!O193</f>
        <v>300000</v>
      </c>
      <c r="O135" s="49">
        <f>'дод. 3'!P193</f>
        <v>16398720</v>
      </c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</row>
    <row r="136" spans="1:35" ht="27.75" customHeight="1">
      <c r="A136" s="5" t="s">
        <v>31</v>
      </c>
      <c r="B136" s="5"/>
      <c r="C136" s="13" t="s">
        <v>463</v>
      </c>
      <c r="D136" s="49">
        <f>'дод. 3'!E27+'дод. 3'!E194</f>
        <v>7242680</v>
      </c>
      <c r="E136" s="49">
        <f>'дод. 3'!F27+'дод. 3'!F194</f>
        <v>7242680</v>
      </c>
      <c r="F136" s="49">
        <f>'дод. 3'!G27+'дод. 3'!G194</f>
        <v>2660623</v>
      </c>
      <c r="G136" s="49">
        <f>'дод. 3'!H27+'дод. 3'!H194</f>
        <v>136276</v>
      </c>
      <c r="H136" s="49">
        <f>'дод. 3'!I27+'дод. 3'!I194</f>
        <v>0</v>
      </c>
      <c r="I136" s="49">
        <f>'дод. 3'!J27+'дод. 3'!J194</f>
        <v>99000</v>
      </c>
      <c r="J136" s="49">
        <f>'дод. 3'!K27+'дод. 3'!K194</f>
        <v>0</v>
      </c>
      <c r="K136" s="49">
        <f>'дод. 3'!L27+'дод. 3'!L194</f>
        <v>0</v>
      </c>
      <c r="L136" s="49">
        <f>'дод. 3'!M27+'дод. 3'!M194</f>
        <v>0</v>
      </c>
      <c r="M136" s="49">
        <f>'дод. 3'!N27+'дод. 3'!N194</f>
        <v>99000</v>
      </c>
      <c r="N136" s="49">
        <f>'дод. 3'!O27+'дод. 3'!O194</f>
        <v>99000</v>
      </c>
      <c r="O136" s="49">
        <f>'дод. 3'!P27+'дод. 3'!P194</f>
        <v>7341680</v>
      </c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</row>
    <row r="137" spans="1:35" s="8" customFormat="1" ht="39.75" customHeight="1">
      <c r="A137" s="7" t="s">
        <v>464</v>
      </c>
      <c r="B137" s="7" t="s">
        <v>116</v>
      </c>
      <c r="C137" s="14" t="s">
        <v>466</v>
      </c>
      <c r="D137" s="51">
        <f>'дод. 3'!E28+'дод. 3'!E195</f>
        <v>4922480</v>
      </c>
      <c r="E137" s="51">
        <f>'дод. 3'!F28+'дод. 3'!F195</f>
        <v>4922480</v>
      </c>
      <c r="F137" s="51">
        <f>'дод. 3'!G28+'дод. 3'!G195</f>
        <v>2660623</v>
      </c>
      <c r="G137" s="51">
        <f>'дод. 3'!H28+'дод. 3'!H195</f>
        <v>136276</v>
      </c>
      <c r="H137" s="51">
        <f>'дод. 3'!I28+'дод. 3'!I195</f>
        <v>0</v>
      </c>
      <c r="I137" s="51">
        <f>'дод. 3'!J28+'дод. 3'!J195</f>
        <v>99000</v>
      </c>
      <c r="J137" s="51">
        <f>'дод. 3'!K28+'дод. 3'!K195</f>
        <v>0</v>
      </c>
      <c r="K137" s="51">
        <f>'дод. 3'!L28+'дод. 3'!L195</f>
        <v>0</v>
      </c>
      <c r="L137" s="51">
        <f>'дод. 3'!M28+'дод. 3'!M195</f>
        <v>0</v>
      </c>
      <c r="M137" s="51">
        <f>'дод. 3'!N28+'дод. 3'!N195</f>
        <v>99000</v>
      </c>
      <c r="N137" s="51">
        <f>'дод. 3'!O28+'дод. 3'!O195</f>
        <v>99000</v>
      </c>
      <c r="O137" s="51">
        <f>'дод. 3'!P28+'дод. 3'!P195</f>
        <v>5021480</v>
      </c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</row>
    <row r="138" spans="1:35" s="8" customFormat="1" ht="30" customHeight="1">
      <c r="A138" s="7" t="s">
        <v>465</v>
      </c>
      <c r="B138" s="7" t="s">
        <v>116</v>
      </c>
      <c r="C138" s="14" t="s">
        <v>467</v>
      </c>
      <c r="D138" s="51">
        <f>'дод. 3'!E29+'дод. 3'!E196</f>
        <v>2320200</v>
      </c>
      <c r="E138" s="51">
        <f>'дод. 3'!F29+'дод. 3'!F196</f>
        <v>2320200</v>
      </c>
      <c r="F138" s="51">
        <f>'дод. 3'!G29+'дод. 3'!G196</f>
        <v>0</v>
      </c>
      <c r="G138" s="51">
        <f>'дод. 3'!H29+'дод. 3'!H196</f>
        <v>0</v>
      </c>
      <c r="H138" s="51">
        <f>'дод. 3'!I29+'дод. 3'!I196</f>
        <v>0</v>
      </c>
      <c r="I138" s="51">
        <f>'дод. 3'!J29+'дод. 3'!J196</f>
        <v>0</v>
      </c>
      <c r="J138" s="51">
        <f>'дод. 3'!K29+'дод. 3'!K196</f>
        <v>0</v>
      </c>
      <c r="K138" s="51">
        <f>'дод. 3'!L29+'дод. 3'!L196</f>
        <v>0</v>
      </c>
      <c r="L138" s="51">
        <f>'дод. 3'!M29+'дод. 3'!M196</f>
        <v>0</v>
      </c>
      <c r="M138" s="51">
        <f>'дод. 3'!N29+'дод. 3'!N196</f>
        <v>0</v>
      </c>
      <c r="N138" s="51">
        <f>'дод. 3'!O29+'дод. 3'!O196</f>
        <v>0</v>
      </c>
      <c r="O138" s="51">
        <f>'дод. 3'!P29+'дод. 3'!P196</f>
        <v>2320200</v>
      </c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</row>
    <row r="139" spans="1:35" s="22" customFormat="1" ht="21.75" customHeight="1">
      <c r="A139" s="23" t="s">
        <v>119</v>
      </c>
      <c r="B139" s="11"/>
      <c r="C139" s="11" t="s">
        <v>120</v>
      </c>
      <c r="D139" s="50">
        <f>D140+D143+D146</f>
        <v>31412790</v>
      </c>
      <c r="E139" s="50">
        <f aca="true" t="shared" si="31" ref="E139:O139">E140+E143+E146</f>
        <v>31412790</v>
      </c>
      <c r="F139" s="50">
        <f t="shared" si="31"/>
        <v>11362400</v>
      </c>
      <c r="G139" s="50">
        <f t="shared" si="31"/>
        <v>1192100</v>
      </c>
      <c r="H139" s="50">
        <f t="shared" si="31"/>
        <v>0</v>
      </c>
      <c r="I139" s="50">
        <f t="shared" si="31"/>
        <v>546687</v>
      </c>
      <c r="J139" s="50">
        <f t="shared" si="31"/>
        <v>226687</v>
      </c>
      <c r="K139" s="50">
        <f t="shared" si="31"/>
        <v>141022</v>
      </c>
      <c r="L139" s="50">
        <f t="shared" si="31"/>
        <v>53404</v>
      </c>
      <c r="M139" s="50">
        <f t="shared" si="31"/>
        <v>320000</v>
      </c>
      <c r="N139" s="50">
        <f t="shared" si="31"/>
        <v>320000</v>
      </c>
      <c r="O139" s="50">
        <f t="shared" si="31"/>
        <v>31959477</v>
      </c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</row>
    <row r="140" spans="1:35" ht="29.25" customHeight="1">
      <c r="A140" s="5" t="s">
        <v>121</v>
      </c>
      <c r="B140" s="13"/>
      <c r="C140" s="13" t="s">
        <v>42</v>
      </c>
      <c r="D140" s="49">
        <f>D141+D142</f>
        <v>1400000</v>
      </c>
      <c r="E140" s="49">
        <f aca="true" t="shared" si="32" ref="E140:O140">E141+E142</f>
        <v>1400000</v>
      </c>
      <c r="F140" s="49">
        <f t="shared" si="32"/>
        <v>0</v>
      </c>
      <c r="G140" s="49">
        <f t="shared" si="32"/>
        <v>0</v>
      </c>
      <c r="H140" s="49">
        <f t="shared" si="32"/>
        <v>0</v>
      </c>
      <c r="I140" s="49">
        <f t="shared" si="32"/>
        <v>0</v>
      </c>
      <c r="J140" s="49">
        <f t="shared" si="32"/>
        <v>0</v>
      </c>
      <c r="K140" s="49">
        <f t="shared" si="32"/>
        <v>0</v>
      </c>
      <c r="L140" s="49">
        <f t="shared" si="32"/>
        <v>0</v>
      </c>
      <c r="M140" s="49">
        <f t="shared" si="32"/>
        <v>0</v>
      </c>
      <c r="N140" s="49">
        <f t="shared" si="32"/>
        <v>0</v>
      </c>
      <c r="O140" s="49">
        <f t="shared" si="32"/>
        <v>1400000</v>
      </c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</row>
    <row r="141" spans="1:35" s="8" customFormat="1" ht="43.5" customHeight="1">
      <c r="A141" s="7" t="s">
        <v>122</v>
      </c>
      <c r="B141" s="7" t="s">
        <v>123</v>
      </c>
      <c r="C141" s="14" t="s">
        <v>43</v>
      </c>
      <c r="D141" s="51">
        <f>'дод. 3'!E31</f>
        <v>700000</v>
      </c>
      <c r="E141" s="51">
        <f>'дод. 3'!F31</f>
        <v>700000</v>
      </c>
      <c r="F141" s="51">
        <f>'дод. 3'!G31</f>
        <v>0</v>
      </c>
      <c r="G141" s="51">
        <f>'дод. 3'!H31</f>
        <v>0</v>
      </c>
      <c r="H141" s="51">
        <f>'дод. 3'!I31</f>
        <v>0</v>
      </c>
      <c r="I141" s="51">
        <f>'дод. 3'!J31</f>
        <v>0</v>
      </c>
      <c r="J141" s="51">
        <f>'дод. 3'!K31</f>
        <v>0</v>
      </c>
      <c r="K141" s="51">
        <f>'дод. 3'!L31</f>
        <v>0</v>
      </c>
      <c r="L141" s="51">
        <f>'дод. 3'!M31</f>
        <v>0</v>
      </c>
      <c r="M141" s="51">
        <f>'дод. 3'!N31</f>
        <v>0</v>
      </c>
      <c r="N141" s="51">
        <f>'дод. 3'!O31</f>
        <v>0</v>
      </c>
      <c r="O141" s="51">
        <f>'дод. 3'!P31</f>
        <v>700000</v>
      </c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</row>
    <row r="142" spans="1:35" s="8" customFormat="1" ht="39.75" customHeight="1">
      <c r="A142" s="7" t="s">
        <v>124</v>
      </c>
      <c r="B142" s="7" t="s">
        <v>123</v>
      </c>
      <c r="C142" s="14" t="s">
        <v>32</v>
      </c>
      <c r="D142" s="51">
        <f>'дод. 3'!E32</f>
        <v>700000</v>
      </c>
      <c r="E142" s="51">
        <f>'дод. 3'!F32</f>
        <v>700000</v>
      </c>
      <c r="F142" s="51">
        <f>'дод. 3'!G32</f>
        <v>0</v>
      </c>
      <c r="G142" s="51">
        <f>'дод. 3'!H32</f>
        <v>0</v>
      </c>
      <c r="H142" s="51">
        <f>'дод. 3'!I32</f>
        <v>0</v>
      </c>
      <c r="I142" s="51">
        <f>'дод. 3'!J32</f>
        <v>0</v>
      </c>
      <c r="J142" s="51">
        <f>'дод. 3'!K32</f>
        <v>0</v>
      </c>
      <c r="K142" s="51">
        <f>'дод. 3'!L32</f>
        <v>0</v>
      </c>
      <c r="L142" s="51">
        <f>'дод. 3'!M32</f>
        <v>0</v>
      </c>
      <c r="M142" s="51">
        <f>'дод. 3'!N32</f>
        <v>0</v>
      </c>
      <c r="N142" s="51">
        <f>'дод. 3'!O32</f>
        <v>0</v>
      </c>
      <c r="O142" s="51">
        <f>'дод. 3'!P32</f>
        <v>700000</v>
      </c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</row>
    <row r="143" spans="1:35" ht="30.75" customHeight="1">
      <c r="A143" s="5" t="s">
        <v>174</v>
      </c>
      <c r="B143" s="5"/>
      <c r="C143" s="13" t="s">
        <v>177</v>
      </c>
      <c r="D143" s="49">
        <f>D144+D145</f>
        <v>21522790</v>
      </c>
      <c r="E143" s="49">
        <f aca="true" t="shared" si="33" ref="E143:O143">E144+E145</f>
        <v>21522790</v>
      </c>
      <c r="F143" s="49">
        <f t="shared" si="33"/>
        <v>9677400</v>
      </c>
      <c r="G143" s="49">
        <f t="shared" si="33"/>
        <v>784890</v>
      </c>
      <c r="H143" s="49">
        <f t="shared" si="33"/>
        <v>0</v>
      </c>
      <c r="I143" s="49">
        <f t="shared" si="33"/>
        <v>300000</v>
      </c>
      <c r="J143" s="49">
        <f t="shared" si="33"/>
        <v>0</v>
      </c>
      <c r="K143" s="49">
        <f t="shared" si="33"/>
        <v>0</v>
      </c>
      <c r="L143" s="49">
        <f t="shared" si="33"/>
        <v>0</v>
      </c>
      <c r="M143" s="49">
        <f t="shared" si="33"/>
        <v>300000</v>
      </c>
      <c r="N143" s="49">
        <f t="shared" si="33"/>
        <v>300000</v>
      </c>
      <c r="O143" s="49">
        <f t="shared" si="33"/>
        <v>21822790</v>
      </c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</row>
    <row r="144" spans="1:35" s="8" customFormat="1" ht="36.75" customHeight="1">
      <c r="A144" s="7" t="s">
        <v>175</v>
      </c>
      <c r="B144" s="7" t="s">
        <v>123</v>
      </c>
      <c r="C144" s="14" t="s">
        <v>44</v>
      </c>
      <c r="D144" s="51">
        <f>'дод. 3'!E34+'дод. 3'!E80</f>
        <v>13900990</v>
      </c>
      <c r="E144" s="51">
        <f>'дод. 3'!F34+'дод. 3'!F80</f>
        <v>13900990</v>
      </c>
      <c r="F144" s="51">
        <f>'дод. 3'!G34+'дод. 3'!G80</f>
        <v>9677400</v>
      </c>
      <c r="G144" s="51">
        <f>'дод. 3'!H34+'дод. 3'!H80</f>
        <v>784890</v>
      </c>
      <c r="H144" s="51">
        <f>'дод. 3'!I34+'дод. 3'!I80</f>
        <v>0</v>
      </c>
      <c r="I144" s="51">
        <f>'дод. 3'!J34+'дод. 3'!J80</f>
        <v>300000</v>
      </c>
      <c r="J144" s="51">
        <f>'дод. 3'!K34+'дод. 3'!K80</f>
        <v>0</v>
      </c>
      <c r="K144" s="51">
        <f>'дод. 3'!L34+'дод. 3'!L80</f>
        <v>0</v>
      </c>
      <c r="L144" s="51">
        <f>'дод. 3'!M34+'дод. 3'!M80</f>
        <v>0</v>
      </c>
      <c r="M144" s="51">
        <f>'дод. 3'!N34+'дод. 3'!N80</f>
        <v>300000</v>
      </c>
      <c r="N144" s="51">
        <f>'дод. 3'!O34+'дод. 3'!O80</f>
        <v>300000</v>
      </c>
      <c r="O144" s="51">
        <f>'дод. 3'!P34+'дод. 3'!P80</f>
        <v>14200990</v>
      </c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</row>
    <row r="145" spans="1:35" s="8" customFormat="1" ht="31.5" customHeight="1">
      <c r="A145" s="7" t="s">
        <v>176</v>
      </c>
      <c r="B145" s="7" t="s">
        <v>123</v>
      </c>
      <c r="C145" s="14" t="s">
        <v>45</v>
      </c>
      <c r="D145" s="51">
        <f>'дод. 3'!E35</f>
        <v>7621800</v>
      </c>
      <c r="E145" s="51">
        <f>'дод. 3'!F35</f>
        <v>7621800</v>
      </c>
      <c r="F145" s="51">
        <f>'дод. 3'!G35</f>
        <v>0</v>
      </c>
      <c r="G145" s="51">
        <f>'дод. 3'!H35</f>
        <v>0</v>
      </c>
      <c r="H145" s="51">
        <f>'дод. 3'!I35</f>
        <v>0</v>
      </c>
      <c r="I145" s="51">
        <f>'дод. 3'!J35</f>
        <v>0</v>
      </c>
      <c r="J145" s="51">
        <f>'дод. 3'!K35</f>
        <v>0</v>
      </c>
      <c r="K145" s="51">
        <f>'дод. 3'!L35</f>
        <v>0</v>
      </c>
      <c r="L145" s="51">
        <f>'дод. 3'!M35</f>
        <v>0</v>
      </c>
      <c r="M145" s="51">
        <f>'дод. 3'!N35</f>
        <v>0</v>
      </c>
      <c r="N145" s="51">
        <f>'дод. 3'!O35</f>
        <v>0</v>
      </c>
      <c r="O145" s="51">
        <f>'дод. 3'!P35</f>
        <v>7621800</v>
      </c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</row>
    <row r="146" spans="1:35" ht="29.25" customHeight="1">
      <c r="A146" s="5" t="s">
        <v>125</v>
      </c>
      <c r="B146" s="5"/>
      <c r="C146" s="13" t="s">
        <v>169</v>
      </c>
      <c r="D146" s="49">
        <f>D147+D148</f>
        <v>8490000</v>
      </c>
      <c r="E146" s="49">
        <f aca="true" t="shared" si="34" ref="E146:O146">E147+E148</f>
        <v>8490000</v>
      </c>
      <c r="F146" s="49">
        <f t="shared" si="34"/>
        <v>1685000</v>
      </c>
      <c r="G146" s="49">
        <f t="shared" si="34"/>
        <v>407210</v>
      </c>
      <c r="H146" s="49">
        <f t="shared" si="34"/>
        <v>0</v>
      </c>
      <c r="I146" s="49">
        <f t="shared" si="34"/>
        <v>246687</v>
      </c>
      <c r="J146" s="49">
        <f t="shared" si="34"/>
        <v>226687</v>
      </c>
      <c r="K146" s="49">
        <f t="shared" si="34"/>
        <v>141022</v>
      </c>
      <c r="L146" s="49">
        <f t="shared" si="34"/>
        <v>53404</v>
      </c>
      <c r="M146" s="49">
        <f t="shared" si="34"/>
        <v>20000</v>
      </c>
      <c r="N146" s="49">
        <f t="shared" si="34"/>
        <v>20000</v>
      </c>
      <c r="O146" s="49">
        <f t="shared" si="34"/>
        <v>8736687</v>
      </c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</row>
    <row r="147" spans="1:35" s="8" customFormat="1" ht="75" customHeight="1">
      <c r="A147" s="7" t="s">
        <v>170</v>
      </c>
      <c r="B147" s="7" t="s">
        <v>123</v>
      </c>
      <c r="C147" s="14" t="s">
        <v>171</v>
      </c>
      <c r="D147" s="51">
        <f>'дод. 3'!E37</f>
        <v>3246540</v>
      </c>
      <c r="E147" s="51">
        <f>'дод. 3'!F37</f>
        <v>3246540</v>
      </c>
      <c r="F147" s="51">
        <f>'дод. 3'!G37</f>
        <v>1685000</v>
      </c>
      <c r="G147" s="51">
        <f>'дод. 3'!H37</f>
        <v>407210</v>
      </c>
      <c r="H147" s="51">
        <f>'дод. 3'!I37</f>
        <v>0</v>
      </c>
      <c r="I147" s="51">
        <f>'дод. 3'!J37</f>
        <v>246687</v>
      </c>
      <c r="J147" s="51">
        <f>'дод. 3'!K37</f>
        <v>226687</v>
      </c>
      <c r="K147" s="51">
        <f>'дод. 3'!L37</f>
        <v>141022</v>
      </c>
      <c r="L147" s="51">
        <f>'дод. 3'!M37</f>
        <v>53404</v>
      </c>
      <c r="M147" s="51">
        <f>'дод. 3'!N37</f>
        <v>20000</v>
      </c>
      <c r="N147" s="51">
        <f>'дод. 3'!O37</f>
        <v>20000</v>
      </c>
      <c r="O147" s="51">
        <f>'дод. 3'!P37</f>
        <v>3493227</v>
      </c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</row>
    <row r="148" spans="1:35" s="8" customFormat="1" ht="54" customHeight="1">
      <c r="A148" s="7" t="s">
        <v>173</v>
      </c>
      <c r="B148" s="7" t="s">
        <v>123</v>
      </c>
      <c r="C148" s="14" t="s">
        <v>172</v>
      </c>
      <c r="D148" s="51">
        <f>'дод. 3'!E38</f>
        <v>5243460</v>
      </c>
      <c r="E148" s="51">
        <f>'дод. 3'!F38</f>
        <v>5243460</v>
      </c>
      <c r="F148" s="51">
        <f>'дод. 3'!G38</f>
        <v>0</v>
      </c>
      <c r="G148" s="51">
        <f>'дод. 3'!H38</f>
        <v>0</v>
      </c>
      <c r="H148" s="51">
        <f>'дод. 3'!I38</f>
        <v>0</v>
      </c>
      <c r="I148" s="51">
        <f>'дод. 3'!J38</f>
        <v>0</v>
      </c>
      <c r="J148" s="51">
        <f>'дод. 3'!K38</f>
        <v>0</v>
      </c>
      <c r="K148" s="51">
        <f>'дод. 3'!L38</f>
        <v>0</v>
      </c>
      <c r="L148" s="51">
        <f>'дод. 3'!M38</f>
        <v>0</v>
      </c>
      <c r="M148" s="51">
        <f>'дод. 3'!N38</f>
        <v>0</v>
      </c>
      <c r="N148" s="51">
        <f>'дод. 3'!O38</f>
        <v>0</v>
      </c>
      <c r="O148" s="51">
        <f>'дод. 3'!P38</f>
        <v>5243460</v>
      </c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</row>
    <row r="149" spans="1:35" s="22" customFormat="1" ht="27" customHeight="1">
      <c r="A149" s="23" t="s">
        <v>106</v>
      </c>
      <c r="B149" s="11"/>
      <c r="C149" s="11" t="s">
        <v>107</v>
      </c>
      <c r="D149" s="50">
        <f>D150+D155+D156+D157+D159</f>
        <v>126902286</v>
      </c>
      <c r="E149" s="50">
        <f aca="true" t="shared" si="35" ref="E149:O149">E150+E155+E156+E157+E159</f>
        <v>123165411</v>
      </c>
      <c r="F149" s="50">
        <f t="shared" si="35"/>
        <v>0</v>
      </c>
      <c r="G149" s="50">
        <f t="shared" si="35"/>
        <v>17506320</v>
      </c>
      <c r="H149" s="50">
        <f t="shared" si="35"/>
        <v>3736875</v>
      </c>
      <c r="I149" s="50">
        <f t="shared" si="35"/>
        <v>204879152</v>
      </c>
      <c r="J149" s="50">
        <f t="shared" si="35"/>
        <v>39048</v>
      </c>
      <c r="K149" s="50">
        <f t="shared" si="35"/>
        <v>0</v>
      </c>
      <c r="L149" s="50">
        <f t="shared" si="35"/>
        <v>0</v>
      </c>
      <c r="M149" s="50">
        <f t="shared" si="35"/>
        <v>204840104</v>
      </c>
      <c r="N149" s="50">
        <f t="shared" si="35"/>
        <v>204840104</v>
      </c>
      <c r="O149" s="50">
        <f t="shared" si="35"/>
        <v>331781438</v>
      </c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ht="34.5" customHeight="1">
      <c r="A150" s="5" t="s">
        <v>108</v>
      </c>
      <c r="B150" s="5"/>
      <c r="C150" s="13" t="s">
        <v>204</v>
      </c>
      <c r="D150" s="49">
        <f>D151+D152+D154+D153</f>
        <v>4799000</v>
      </c>
      <c r="E150" s="49">
        <f aca="true" t="shared" si="36" ref="E150:O150">E151+E152+E154+E153</f>
        <v>1703000</v>
      </c>
      <c r="F150" s="49">
        <f t="shared" si="36"/>
        <v>0</v>
      </c>
      <c r="G150" s="49">
        <f t="shared" si="36"/>
        <v>0</v>
      </c>
      <c r="H150" s="49">
        <f t="shared" si="36"/>
        <v>3096000</v>
      </c>
      <c r="I150" s="49">
        <f t="shared" si="36"/>
        <v>60750000</v>
      </c>
      <c r="J150" s="49">
        <f t="shared" si="36"/>
        <v>0</v>
      </c>
      <c r="K150" s="49">
        <f t="shared" si="36"/>
        <v>0</v>
      </c>
      <c r="L150" s="49">
        <f t="shared" si="36"/>
        <v>0</v>
      </c>
      <c r="M150" s="49">
        <f t="shared" si="36"/>
        <v>60750000</v>
      </c>
      <c r="N150" s="49">
        <f t="shared" si="36"/>
        <v>60750000</v>
      </c>
      <c r="O150" s="49">
        <f t="shared" si="36"/>
        <v>65549000</v>
      </c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</row>
    <row r="151" spans="1:35" s="8" customFormat="1" ht="33.75" customHeight="1">
      <c r="A151" s="7" t="s">
        <v>205</v>
      </c>
      <c r="B151" s="7" t="s">
        <v>111</v>
      </c>
      <c r="C151" s="14" t="s">
        <v>206</v>
      </c>
      <c r="D151" s="51">
        <f>'дод. 3'!E203</f>
        <v>0</v>
      </c>
      <c r="E151" s="51">
        <f>'дод. 3'!F203</f>
        <v>0</v>
      </c>
      <c r="F151" s="51">
        <f>'дод. 3'!G203</f>
        <v>0</v>
      </c>
      <c r="G151" s="51">
        <f>'дод. 3'!H203</f>
        <v>0</v>
      </c>
      <c r="H151" s="51">
        <f>'дод. 3'!I203</f>
        <v>0</v>
      </c>
      <c r="I151" s="51">
        <f>'дод. 3'!J203</f>
        <v>30750000</v>
      </c>
      <c r="J151" s="51">
        <f>'дод. 3'!K203</f>
        <v>0</v>
      </c>
      <c r="K151" s="51">
        <f>'дод. 3'!L203</f>
        <v>0</v>
      </c>
      <c r="L151" s="51">
        <f>'дод. 3'!M203</f>
        <v>0</v>
      </c>
      <c r="M151" s="51">
        <f>'дод. 3'!N203</f>
        <v>30750000</v>
      </c>
      <c r="N151" s="51">
        <f>'дод. 3'!O203</f>
        <v>30750000</v>
      </c>
      <c r="O151" s="51">
        <f>'дод. 3'!P203</f>
        <v>30750000</v>
      </c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</row>
    <row r="152" spans="1:35" s="8" customFormat="1" ht="36.75" customHeight="1">
      <c r="A152" s="7" t="s">
        <v>207</v>
      </c>
      <c r="B152" s="7" t="s">
        <v>111</v>
      </c>
      <c r="C152" s="14" t="s">
        <v>235</v>
      </c>
      <c r="D152" s="51">
        <f>'дод. 3'!E204</f>
        <v>3296000</v>
      </c>
      <c r="E152" s="51">
        <f>'дод. 3'!F204</f>
        <v>200000</v>
      </c>
      <c r="F152" s="51">
        <f>'дод. 3'!G204</f>
        <v>0</v>
      </c>
      <c r="G152" s="51">
        <f>'дод. 3'!H204</f>
        <v>0</v>
      </c>
      <c r="H152" s="51">
        <f>'дод. 3'!I204</f>
        <v>3096000</v>
      </c>
      <c r="I152" s="51">
        <f>'дод. 3'!J204</f>
        <v>0</v>
      </c>
      <c r="J152" s="51">
        <f>'дод. 3'!K204</f>
        <v>0</v>
      </c>
      <c r="K152" s="51">
        <f>'дод. 3'!L204</f>
        <v>0</v>
      </c>
      <c r="L152" s="51">
        <f>'дод. 3'!M204</f>
        <v>0</v>
      </c>
      <c r="M152" s="51">
        <f>'дод. 3'!N204</f>
        <v>0</v>
      </c>
      <c r="N152" s="51">
        <f>'дод. 3'!O204</f>
        <v>0</v>
      </c>
      <c r="O152" s="51">
        <f>'дод. 3'!P204</f>
        <v>3296000</v>
      </c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</row>
    <row r="153" spans="1:35" s="8" customFormat="1" ht="36.75" customHeight="1">
      <c r="A153" s="28" t="s">
        <v>406</v>
      </c>
      <c r="B153" s="28" t="s">
        <v>111</v>
      </c>
      <c r="C153" s="14" t="s">
        <v>407</v>
      </c>
      <c r="D153" s="51">
        <f>'дод. 3'!E205</f>
        <v>503000</v>
      </c>
      <c r="E153" s="51">
        <f>'дод. 3'!F205</f>
        <v>503000</v>
      </c>
      <c r="F153" s="51">
        <f>'дод. 3'!G205</f>
        <v>0</v>
      </c>
      <c r="G153" s="51">
        <f>'дод. 3'!H205</f>
        <v>0</v>
      </c>
      <c r="H153" s="51">
        <f>'дод. 3'!I205</f>
        <v>0</v>
      </c>
      <c r="I153" s="51">
        <f>'дод. 3'!J205</f>
        <v>30000000</v>
      </c>
      <c r="J153" s="51">
        <f>'дод. 3'!K205</f>
        <v>0</v>
      </c>
      <c r="K153" s="51">
        <f>'дод. 3'!L205</f>
        <v>0</v>
      </c>
      <c r="L153" s="51">
        <f>'дод. 3'!M205</f>
        <v>0</v>
      </c>
      <c r="M153" s="51">
        <f>'дод. 3'!N205</f>
        <v>30000000</v>
      </c>
      <c r="N153" s="51">
        <f>'дод. 3'!O205</f>
        <v>30000000</v>
      </c>
      <c r="O153" s="51">
        <f>'дод. 3'!P205</f>
        <v>30503000</v>
      </c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</row>
    <row r="154" spans="1:35" s="8" customFormat="1" ht="33" customHeight="1">
      <c r="A154" s="7" t="s">
        <v>409</v>
      </c>
      <c r="B154" s="7" t="s">
        <v>111</v>
      </c>
      <c r="C154" s="14" t="s">
        <v>410</v>
      </c>
      <c r="D154" s="51">
        <f>'дод. 3'!E206</f>
        <v>1000000</v>
      </c>
      <c r="E154" s="51">
        <f>'дод. 3'!F206</f>
        <v>1000000</v>
      </c>
      <c r="F154" s="51">
        <f>'дод. 3'!G206</f>
        <v>0</v>
      </c>
      <c r="G154" s="51">
        <f>'дод. 3'!H206</f>
        <v>0</v>
      </c>
      <c r="H154" s="51">
        <f>'дод. 3'!I206</f>
        <v>0</v>
      </c>
      <c r="I154" s="51">
        <f>'дод. 3'!J206</f>
        <v>0</v>
      </c>
      <c r="J154" s="51">
        <f>'дод. 3'!K206</f>
        <v>0</v>
      </c>
      <c r="K154" s="51">
        <f>'дод. 3'!L206</f>
        <v>0</v>
      </c>
      <c r="L154" s="51">
        <f>'дод. 3'!M206</f>
        <v>0</v>
      </c>
      <c r="M154" s="51">
        <f>'дод. 3'!N206</f>
        <v>0</v>
      </c>
      <c r="N154" s="51">
        <f>'дод. 3'!O206</f>
        <v>0</v>
      </c>
      <c r="O154" s="51">
        <f>'дод. 3'!P206</f>
        <v>1000000</v>
      </c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</row>
    <row r="155" spans="1:35" s="8" customFormat="1" ht="52.5" customHeight="1">
      <c r="A155" s="5" t="s">
        <v>110</v>
      </c>
      <c r="B155" s="5" t="s">
        <v>111</v>
      </c>
      <c r="C155" s="13" t="s">
        <v>210</v>
      </c>
      <c r="D155" s="49">
        <f>'дод. 3'!E207</f>
        <v>300000</v>
      </c>
      <c r="E155" s="49">
        <f>'дод. 3'!F207</f>
        <v>0</v>
      </c>
      <c r="F155" s="49">
        <f>'дод. 3'!G207</f>
        <v>0</v>
      </c>
      <c r="G155" s="49">
        <f>'дод. 3'!H207</f>
        <v>0</v>
      </c>
      <c r="H155" s="49">
        <f>'дод. 3'!I207</f>
        <v>300000</v>
      </c>
      <c r="I155" s="49">
        <f>'дод. 3'!J207</f>
        <v>0</v>
      </c>
      <c r="J155" s="49">
        <f>'дод. 3'!K207</f>
        <v>0</v>
      </c>
      <c r="K155" s="49">
        <f>'дод. 3'!L207</f>
        <v>0</v>
      </c>
      <c r="L155" s="49">
        <f>'дод. 3'!M207</f>
        <v>0</v>
      </c>
      <c r="M155" s="49">
        <f>'дод. 3'!N207</f>
        <v>0</v>
      </c>
      <c r="N155" s="49">
        <f>'дод. 3'!O207</f>
        <v>0</v>
      </c>
      <c r="O155" s="49">
        <f>'дод. 3'!P207</f>
        <v>300000</v>
      </c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</row>
    <row r="156" spans="1:35" ht="30" customHeight="1">
      <c r="A156" s="5" t="s">
        <v>208</v>
      </c>
      <c r="B156" s="5" t="s">
        <v>111</v>
      </c>
      <c r="C156" s="13" t="s">
        <v>209</v>
      </c>
      <c r="D156" s="49">
        <f>'дод. 3'!E226+'дод. 3'!E208</f>
        <v>118516210</v>
      </c>
      <c r="E156" s="49">
        <f>'дод. 3'!F226+'дод. 3'!F208</f>
        <v>118336210</v>
      </c>
      <c r="F156" s="49">
        <f>'дод. 3'!G226+'дод. 3'!G208</f>
        <v>0</v>
      </c>
      <c r="G156" s="49">
        <f>'дод. 3'!H226+'дод. 3'!H208</f>
        <v>17466320</v>
      </c>
      <c r="H156" s="49">
        <f>'дод. 3'!I226+'дод. 3'!I208</f>
        <v>180000</v>
      </c>
      <c r="I156" s="49">
        <f>'дод. 3'!J226+'дод. 3'!J208</f>
        <v>144090104</v>
      </c>
      <c r="J156" s="49">
        <f>'дод. 3'!K226+'дод. 3'!K208</f>
        <v>0</v>
      </c>
      <c r="K156" s="49">
        <f>'дод. 3'!L226+'дод. 3'!L208</f>
        <v>0</v>
      </c>
      <c r="L156" s="49">
        <f>'дод. 3'!M226+'дод. 3'!M208</f>
        <v>0</v>
      </c>
      <c r="M156" s="49">
        <f>'дод. 3'!N226+'дод. 3'!N208</f>
        <v>144090104</v>
      </c>
      <c r="N156" s="49">
        <f>'дод. 3'!O226+'дод. 3'!O208</f>
        <v>144090104</v>
      </c>
      <c r="O156" s="49">
        <f>'дод. 3'!P226+'дод. 3'!P208</f>
        <v>262606314</v>
      </c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</row>
    <row r="157" spans="1:35" ht="24" customHeight="1">
      <c r="A157" s="5" t="s">
        <v>226</v>
      </c>
      <c r="B157" s="5"/>
      <c r="C157" s="13" t="s">
        <v>227</v>
      </c>
      <c r="D157" s="49">
        <f aca="true" t="shared" si="37" ref="D157:O157">D158</f>
        <v>84906</v>
      </c>
      <c r="E157" s="49">
        <f t="shared" si="37"/>
        <v>84906</v>
      </c>
      <c r="F157" s="49">
        <f t="shared" si="37"/>
        <v>0</v>
      </c>
      <c r="G157" s="49">
        <f t="shared" si="37"/>
        <v>0</v>
      </c>
      <c r="H157" s="49">
        <f t="shared" si="37"/>
        <v>0</v>
      </c>
      <c r="I157" s="49">
        <f t="shared" si="37"/>
        <v>39048</v>
      </c>
      <c r="J157" s="49">
        <f t="shared" si="37"/>
        <v>39048</v>
      </c>
      <c r="K157" s="49">
        <f t="shared" si="37"/>
        <v>0</v>
      </c>
      <c r="L157" s="49">
        <f t="shared" si="37"/>
        <v>0</v>
      </c>
      <c r="M157" s="49">
        <f t="shared" si="37"/>
        <v>0</v>
      </c>
      <c r="N157" s="49">
        <f t="shared" si="37"/>
        <v>0</v>
      </c>
      <c r="O157" s="49">
        <f t="shared" si="37"/>
        <v>123954</v>
      </c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</row>
    <row r="158" spans="1:35" s="8" customFormat="1" ht="67.5" customHeight="1">
      <c r="A158" s="7" t="s">
        <v>212</v>
      </c>
      <c r="B158" s="9" t="s">
        <v>109</v>
      </c>
      <c r="C158" s="14" t="s">
        <v>213</v>
      </c>
      <c r="D158" s="51">
        <f>'дод. 3'!E228</f>
        <v>84906</v>
      </c>
      <c r="E158" s="51">
        <f>'дод. 3'!F228</f>
        <v>84906</v>
      </c>
      <c r="F158" s="51">
        <f>'дод. 3'!G228</f>
        <v>0</v>
      </c>
      <c r="G158" s="51">
        <f>'дод. 3'!H228</f>
        <v>0</v>
      </c>
      <c r="H158" s="51">
        <f>'дод. 3'!I228</f>
        <v>0</v>
      </c>
      <c r="I158" s="51">
        <f>'дод. 3'!J228</f>
        <v>39048</v>
      </c>
      <c r="J158" s="51">
        <f>'дод. 3'!K228</f>
        <v>39048</v>
      </c>
      <c r="K158" s="51">
        <f>'дод. 3'!L228</f>
        <v>0</v>
      </c>
      <c r="L158" s="51">
        <f>'дод. 3'!M228</f>
        <v>0</v>
      </c>
      <c r="M158" s="51">
        <f>'дод. 3'!N228</f>
        <v>0</v>
      </c>
      <c r="N158" s="51">
        <f>'дод. 3'!O228</f>
        <v>0</v>
      </c>
      <c r="O158" s="51">
        <f>'дод. 3'!P228</f>
        <v>123954</v>
      </c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</row>
    <row r="159" spans="1:35" ht="39.75" customHeight="1">
      <c r="A159" s="5" t="s">
        <v>228</v>
      </c>
      <c r="B159" s="12" t="s">
        <v>492</v>
      </c>
      <c r="C159" s="13" t="s">
        <v>229</v>
      </c>
      <c r="D159" s="49">
        <f>'дод. 3'!E209+'дод. 3'!E222+'дод. 3'!E241</f>
        <v>3202170</v>
      </c>
      <c r="E159" s="49">
        <f>'дод. 3'!F209+'дод. 3'!F222+'дод. 3'!F241</f>
        <v>3041295</v>
      </c>
      <c r="F159" s="49">
        <f>'дод. 3'!G209+'дод. 3'!G222+'дод. 3'!G241</f>
        <v>0</v>
      </c>
      <c r="G159" s="49">
        <f>'дод. 3'!H209+'дод. 3'!H222+'дод. 3'!H241</f>
        <v>40000</v>
      </c>
      <c r="H159" s="49">
        <f>'дод. 3'!I209+'дод. 3'!I222+'дод. 3'!I241</f>
        <v>160875</v>
      </c>
      <c r="I159" s="49">
        <f>'дод. 3'!J209+'дод. 3'!J222+'дод. 3'!J241</f>
        <v>0</v>
      </c>
      <c r="J159" s="49">
        <f>'дод. 3'!K209+'дод. 3'!K222+'дод. 3'!K241</f>
        <v>0</v>
      </c>
      <c r="K159" s="49">
        <f>'дод. 3'!L209+'дод. 3'!L222+'дод. 3'!L241</f>
        <v>0</v>
      </c>
      <c r="L159" s="49">
        <f>'дод. 3'!M209+'дод. 3'!M222+'дод. 3'!M241</f>
        <v>0</v>
      </c>
      <c r="M159" s="49">
        <f>'дод. 3'!N209+'дод. 3'!N222+'дод. 3'!N241</f>
        <v>0</v>
      </c>
      <c r="N159" s="49">
        <f>'дод. 3'!O209+'дод. 3'!O222+'дод. 3'!O241</f>
        <v>0</v>
      </c>
      <c r="O159" s="49">
        <f>'дод. 3'!P209+'дод. 3'!P222+'дод. 3'!P241</f>
        <v>3202170</v>
      </c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</row>
    <row r="160" spans="1:35" s="22" customFormat="1" ht="29.25" customHeight="1">
      <c r="A160" s="23" t="s">
        <v>214</v>
      </c>
      <c r="B160" s="11"/>
      <c r="C160" s="11" t="s">
        <v>215</v>
      </c>
      <c r="D160" s="50">
        <f aca="true" t="shared" si="38" ref="D160:O160">D161+D163+D171+D178+D180</f>
        <v>36695193</v>
      </c>
      <c r="E160" s="50">
        <f t="shared" si="38"/>
        <v>14050557</v>
      </c>
      <c r="F160" s="50">
        <f t="shared" si="38"/>
        <v>0</v>
      </c>
      <c r="G160" s="50">
        <f t="shared" si="38"/>
        <v>0</v>
      </c>
      <c r="H160" s="50">
        <f t="shared" si="38"/>
        <v>22644636</v>
      </c>
      <c r="I160" s="50">
        <f t="shared" si="38"/>
        <v>157121946</v>
      </c>
      <c r="J160" s="50">
        <f t="shared" si="38"/>
        <v>484946</v>
      </c>
      <c r="K160" s="50">
        <f t="shared" si="38"/>
        <v>0</v>
      </c>
      <c r="L160" s="50">
        <f t="shared" si="38"/>
        <v>0</v>
      </c>
      <c r="M160" s="50">
        <f t="shared" si="38"/>
        <v>156637000</v>
      </c>
      <c r="N160" s="50">
        <f t="shared" si="38"/>
        <v>155837000</v>
      </c>
      <c r="O160" s="50">
        <f t="shared" si="38"/>
        <v>193817139</v>
      </c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</row>
    <row r="161" spans="1:35" s="22" customFormat="1" ht="31.5">
      <c r="A161" s="23" t="s">
        <v>230</v>
      </c>
      <c r="B161" s="11"/>
      <c r="C161" s="11" t="s">
        <v>231</v>
      </c>
      <c r="D161" s="50">
        <f aca="true" t="shared" si="39" ref="D161:O161">D162</f>
        <v>550000</v>
      </c>
      <c r="E161" s="50">
        <f t="shared" si="39"/>
        <v>550000</v>
      </c>
      <c r="F161" s="50">
        <f t="shared" si="39"/>
        <v>0</v>
      </c>
      <c r="G161" s="50">
        <f t="shared" si="39"/>
        <v>0</v>
      </c>
      <c r="H161" s="50">
        <f t="shared" si="39"/>
        <v>0</v>
      </c>
      <c r="I161" s="50">
        <f t="shared" si="39"/>
        <v>0</v>
      </c>
      <c r="J161" s="50">
        <f t="shared" si="39"/>
        <v>0</v>
      </c>
      <c r="K161" s="50">
        <f t="shared" si="39"/>
        <v>0</v>
      </c>
      <c r="L161" s="50">
        <f t="shared" si="39"/>
        <v>0</v>
      </c>
      <c r="M161" s="50">
        <f t="shared" si="39"/>
        <v>0</v>
      </c>
      <c r="N161" s="50">
        <f t="shared" si="39"/>
        <v>0</v>
      </c>
      <c r="O161" s="50">
        <f t="shared" si="39"/>
        <v>550000</v>
      </c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276"/>
      <c r="AI161" s="276"/>
    </row>
    <row r="162" spans="1:35" ht="24" customHeight="1">
      <c r="A162" s="5" t="s">
        <v>216</v>
      </c>
      <c r="B162" s="5" t="s">
        <v>127</v>
      </c>
      <c r="C162" s="13" t="s">
        <v>217</v>
      </c>
      <c r="D162" s="49">
        <f>'дод. 3'!E250</f>
        <v>550000</v>
      </c>
      <c r="E162" s="49">
        <f>'дод. 3'!F250</f>
        <v>550000</v>
      </c>
      <c r="F162" s="49">
        <f>'дод. 3'!G250</f>
        <v>0</v>
      </c>
      <c r="G162" s="49">
        <f>'дод. 3'!H250</f>
        <v>0</v>
      </c>
      <c r="H162" s="49">
        <f>'дод. 3'!I250</f>
        <v>0</v>
      </c>
      <c r="I162" s="49">
        <f>'дод. 3'!J250</f>
        <v>0</v>
      </c>
      <c r="J162" s="49">
        <f>'дод. 3'!K250</f>
        <v>0</v>
      </c>
      <c r="K162" s="49">
        <f>'дод. 3'!L250</f>
        <v>0</v>
      </c>
      <c r="L162" s="49">
        <f>'дод. 3'!M250</f>
        <v>0</v>
      </c>
      <c r="M162" s="49">
        <f>'дод. 3'!N250</f>
        <v>0</v>
      </c>
      <c r="N162" s="49">
        <f>'дод. 3'!O250</f>
        <v>0</v>
      </c>
      <c r="O162" s="49">
        <f>'дод. 3'!P250</f>
        <v>550000</v>
      </c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</row>
    <row r="163" spans="1:35" s="22" customFormat="1" ht="27.75" customHeight="1">
      <c r="A163" s="23" t="s">
        <v>144</v>
      </c>
      <c r="B163" s="23"/>
      <c r="C163" s="82" t="s">
        <v>218</v>
      </c>
      <c r="D163" s="50">
        <f>D164+D165+D169+D170</f>
        <v>0</v>
      </c>
      <c r="E163" s="50">
        <f aca="true" t="shared" si="40" ref="E163:O163">E164+E165+E169+E170</f>
        <v>0</v>
      </c>
      <c r="F163" s="50">
        <f t="shared" si="40"/>
        <v>0</v>
      </c>
      <c r="G163" s="50">
        <f t="shared" si="40"/>
        <v>0</v>
      </c>
      <c r="H163" s="50">
        <f t="shared" si="40"/>
        <v>0</v>
      </c>
      <c r="I163" s="50">
        <f t="shared" si="40"/>
        <v>76920000</v>
      </c>
      <c r="J163" s="50">
        <f t="shared" si="40"/>
        <v>0</v>
      </c>
      <c r="K163" s="50">
        <f t="shared" si="40"/>
        <v>0</v>
      </c>
      <c r="L163" s="50">
        <f t="shared" si="40"/>
        <v>0</v>
      </c>
      <c r="M163" s="50">
        <f t="shared" si="40"/>
        <v>76920000</v>
      </c>
      <c r="N163" s="50">
        <f t="shared" si="40"/>
        <v>76920000</v>
      </c>
      <c r="O163" s="50">
        <f t="shared" si="40"/>
        <v>76920000</v>
      </c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</row>
    <row r="164" spans="1:35" ht="32.25" customHeight="1">
      <c r="A164" s="27" t="s">
        <v>425</v>
      </c>
      <c r="B164" s="27" t="s">
        <v>166</v>
      </c>
      <c r="C164" s="13" t="s">
        <v>438</v>
      </c>
      <c r="D164" s="49">
        <f>'дод. 3'!E210+'дод. 3'!E229</f>
        <v>0</v>
      </c>
      <c r="E164" s="49">
        <f>'дод. 3'!F210+'дод. 3'!F229</f>
        <v>0</v>
      </c>
      <c r="F164" s="49">
        <f>'дод. 3'!G210+'дод. 3'!G229</f>
        <v>0</v>
      </c>
      <c r="G164" s="49">
        <f>'дод. 3'!H210+'дод. 3'!H229</f>
        <v>0</v>
      </c>
      <c r="H164" s="49">
        <f>'дод. 3'!I210+'дод. 3'!I229</f>
        <v>0</v>
      </c>
      <c r="I164" s="49">
        <f>'дод. 3'!J210+'дод. 3'!J229</f>
        <v>12400000</v>
      </c>
      <c r="J164" s="49">
        <f>'дод. 3'!K210+'дод. 3'!K229</f>
        <v>0</v>
      </c>
      <c r="K164" s="49">
        <f>'дод. 3'!L210+'дод. 3'!L229</f>
        <v>0</v>
      </c>
      <c r="L164" s="49">
        <f>'дод. 3'!M210+'дод. 3'!M229</f>
        <v>0</v>
      </c>
      <c r="M164" s="49">
        <f>'дод. 3'!N210+'дод. 3'!N229</f>
        <v>12400000</v>
      </c>
      <c r="N164" s="49">
        <f>'дод. 3'!O210+'дод. 3'!O229</f>
        <v>12400000</v>
      </c>
      <c r="O164" s="49">
        <f>'дод. 3'!P210+'дод. 3'!P229</f>
        <v>12400000</v>
      </c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</row>
    <row r="165" spans="1:35" ht="32.25" customHeight="1">
      <c r="A165" s="27" t="s">
        <v>430</v>
      </c>
      <c r="B165" s="27" t="s">
        <v>166</v>
      </c>
      <c r="C165" s="13" t="s">
        <v>440</v>
      </c>
      <c r="D165" s="49">
        <f>D166+D167+D168</f>
        <v>0</v>
      </c>
      <c r="E165" s="49">
        <f aca="true" t="shared" si="41" ref="E165:O165">E166+E167+E168</f>
        <v>0</v>
      </c>
      <c r="F165" s="49">
        <f t="shared" si="41"/>
        <v>0</v>
      </c>
      <c r="G165" s="49">
        <f t="shared" si="41"/>
        <v>0</v>
      </c>
      <c r="H165" s="49">
        <f t="shared" si="41"/>
        <v>0</v>
      </c>
      <c r="I165" s="49">
        <f t="shared" si="41"/>
        <v>24741000</v>
      </c>
      <c r="J165" s="49">
        <f t="shared" si="41"/>
        <v>0</v>
      </c>
      <c r="K165" s="49">
        <f t="shared" si="41"/>
        <v>0</v>
      </c>
      <c r="L165" s="49">
        <f t="shared" si="41"/>
        <v>0</v>
      </c>
      <c r="M165" s="49">
        <f t="shared" si="41"/>
        <v>24741000</v>
      </c>
      <c r="N165" s="49">
        <f t="shared" si="41"/>
        <v>24741000</v>
      </c>
      <c r="O165" s="49">
        <f t="shared" si="41"/>
        <v>24741000</v>
      </c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</row>
    <row r="166" spans="1:35" s="8" customFormat="1" ht="32.25" customHeight="1">
      <c r="A166" s="28" t="s">
        <v>432</v>
      </c>
      <c r="B166" s="28" t="s">
        <v>166</v>
      </c>
      <c r="C166" s="14" t="s">
        <v>441</v>
      </c>
      <c r="D166" s="51">
        <f>'дод. 3'!E231</f>
        <v>0</v>
      </c>
      <c r="E166" s="51">
        <f>'дод. 3'!F231</f>
        <v>0</v>
      </c>
      <c r="F166" s="51">
        <f>'дод. 3'!G231</f>
        <v>0</v>
      </c>
      <c r="G166" s="51">
        <f>'дод. 3'!H231</f>
        <v>0</v>
      </c>
      <c r="H166" s="51">
        <f>'дод. 3'!I231</f>
        <v>0</v>
      </c>
      <c r="I166" s="51">
        <f>'дод. 3'!J231</f>
        <v>10741000</v>
      </c>
      <c r="J166" s="51">
        <f>'дод. 3'!K231</f>
        <v>0</v>
      </c>
      <c r="K166" s="51">
        <f>'дод. 3'!L231</f>
        <v>0</v>
      </c>
      <c r="L166" s="51">
        <f>'дод. 3'!M231</f>
        <v>0</v>
      </c>
      <c r="M166" s="51">
        <f>'дод. 3'!N231</f>
        <v>10741000</v>
      </c>
      <c r="N166" s="51">
        <f>'дод. 3'!O231</f>
        <v>10741000</v>
      </c>
      <c r="O166" s="51">
        <f>'дод. 3'!P231</f>
        <v>10741000</v>
      </c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</row>
    <row r="167" spans="1:35" s="8" customFormat="1" ht="32.25" customHeight="1">
      <c r="A167" s="28" t="s">
        <v>434</v>
      </c>
      <c r="B167" s="28" t="s">
        <v>166</v>
      </c>
      <c r="C167" s="14" t="s">
        <v>443</v>
      </c>
      <c r="D167" s="51">
        <f>'дод. 3'!E232</f>
        <v>0</v>
      </c>
      <c r="E167" s="51">
        <f>'дод. 3'!F232</f>
        <v>0</v>
      </c>
      <c r="F167" s="51">
        <f>'дод. 3'!G232</f>
        <v>0</v>
      </c>
      <c r="G167" s="51">
        <f>'дод. 3'!H232</f>
        <v>0</v>
      </c>
      <c r="H167" s="51">
        <f>'дод. 3'!I232</f>
        <v>0</v>
      </c>
      <c r="I167" s="51">
        <f>'дод. 3'!J232</f>
        <v>5500000</v>
      </c>
      <c r="J167" s="51">
        <f>'дод. 3'!K232</f>
        <v>0</v>
      </c>
      <c r="K167" s="51">
        <f>'дод. 3'!L232</f>
        <v>0</v>
      </c>
      <c r="L167" s="51">
        <f>'дод. 3'!M232</f>
        <v>0</v>
      </c>
      <c r="M167" s="51">
        <f>'дод. 3'!N232</f>
        <v>5500000</v>
      </c>
      <c r="N167" s="51">
        <f>'дод. 3'!O232</f>
        <v>5500000</v>
      </c>
      <c r="O167" s="51">
        <f>'дод. 3'!P232</f>
        <v>5500000</v>
      </c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</row>
    <row r="168" spans="1:35" s="8" customFormat="1" ht="32.25" customHeight="1">
      <c r="A168" s="28" t="s">
        <v>436</v>
      </c>
      <c r="B168" s="28" t="s">
        <v>166</v>
      </c>
      <c r="C168" s="14" t="s">
        <v>442</v>
      </c>
      <c r="D168" s="51">
        <f>'дод. 3'!E233</f>
        <v>0</v>
      </c>
      <c r="E168" s="51">
        <f>'дод. 3'!F233</f>
        <v>0</v>
      </c>
      <c r="F168" s="51">
        <f>'дод. 3'!G233</f>
        <v>0</v>
      </c>
      <c r="G168" s="51">
        <f>'дод. 3'!H233</f>
        <v>0</v>
      </c>
      <c r="H168" s="51">
        <f>'дод. 3'!I233</f>
        <v>0</v>
      </c>
      <c r="I168" s="51">
        <f>'дод. 3'!J233</f>
        <v>8500000</v>
      </c>
      <c r="J168" s="51">
        <f>'дод. 3'!K233</f>
        <v>0</v>
      </c>
      <c r="K168" s="51">
        <f>'дод. 3'!L233</f>
        <v>0</v>
      </c>
      <c r="L168" s="51">
        <f>'дод. 3'!M233</f>
        <v>0</v>
      </c>
      <c r="M168" s="51">
        <f>'дод. 3'!N233</f>
        <v>8500000</v>
      </c>
      <c r="N168" s="51">
        <f>'дод. 3'!O233</f>
        <v>8500000</v>
      </c>
      <c r="O168" s="51">
        <f>'дод. 3'!P233</f>
        <v>8500000</v>
      </c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</row>
    <row r="169" spans="1:35" ht="32.25" customHeight="1">
      <c r="A169" s="27" t="s">
        <v>427</v>
      </c>
      <c r="B169" s="27" t="s">
        <v>166</v>
      </c>
      <c r="C169" s="13" t="s">
        <v>439</v>
      </c>
      <c r="D169" s="49">
        <f>'дод. 3'!E211+'дод. 3'!E234</f>
        <v>0</v>
      </c>
      <c r="E169" s="49">
        <f>'дод. 3'!F211+'дод. 3'!F234</f>
        <v>0</v>
      </c>
      <c r="F169" s="49">
        <f>'дод. 3'!G211+'дод. 3'!G234</f>
        <v>0</v>
      </c>
      <c r="G169" s="49">
        <f>'дод. 3'!H211+'дод. 3'!H234</f>
        <v>0</v>
      </c>
      <c r="H169" s="49">
        <f>'дод. 3'!I211+'дод. 3'!I234</f>
        <v>0</v>
      </c>
      <c r="I169" s="49">
        <f>'дод. 3'!J211+'дод. 3'!J234</f>
        <v>36579000</v>
      </c>
      <c r="J169" s="49">
        <f>'дод. 3'!K211+'дод. 3'!K234</f>
        <v>0</v>
      </c>
      <c r="K169" s="49">
        <f>'дод. 3'!L211+'дод. 3'!L234</f>
        <v>0</v>
      </c>
      <c r="L169" s="49">
        <f>'дод. 3'!M211+'дод. 3'!M234</f>
        <v>0</v>
      </c>
      <c r="M169" s="49">
        <f>'дод. 3'!N211+'дод. 3'!N234</f>
        <v>36579000</v>
      </c>
      <c r="N169" s="49">
        <f>'дод. 3'!O211+'дод. 3'!O234</f>
        <v>36579000</v>
      </c>
      <c r="O169" s="49">
        <f>'дод. 3'!P211+'дод. 3'!P234</f>
        <v>36579000</v>
      </c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</row>
    <row r="170" spans="1:35" ht="35.25" customHeight="1">
      <c r="A170" s="5" t="s">
        <v>219</v>
      </c>
      <c r="B170" s="5" t="s">
        <v>166</v>
      </c>
      <c r="C170" s="13" t="s">
        <v>1</v>
      </c>
      <c r="D170" s="49">
        <f>'дод. 3'!E212</f>
        <v>0</v>
      </c>
      <c r="E170" s="49">
        <f>'дод. 3'!F212</f>
        <v>0</v>
      </c>
      <c r="F170" s="49">
        <f>'дод. 3'!G212</f>
        <v>0</v>
      </c>
      <c r="G170" s="49">
        <f>'дод. 3'!H212</f>
        <v>0</v>
      </c>
      <c r="H170" s="49">
        <f>'дод. 3'!I212</f>
        <v>0</v>
      </c>
      <c r="I170" s="49">
        <f>'дод. 3'!J212</f>
        <v>3200000</v>
      </c>
      <c r="J170" s="49">
        <f>'дод. 3'!K212</f>
        <v>0</v>
      </c>
      <c r="K170" s="49">
        <f>'дод. 3'!L212</f>
        <v>0</v>
      </c>
      <c r="L170" s="49">
        <f>'дод. 3'!M212</f>
        <v>0</v>
      </c>
      <c r="M170" s="49">
        <f>'дод. 3'!N212</f>
        <v>3200000</v>
      </c>
      <c r="N170" s="49">
        <f>'дод. 3'!O212</f>
        <v>3200000</v>
      </c>
      <c r="O170" s="49">
        <f>'дод. 3'!P212</f>
        <v>3200000</v>
      </c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</row>
    <row r="171" spans="1:35" s="22" customFormat="1" ht="39.75" customHeight="1">
      <c r="A171" s="23" t="s">
        <v>130</v>
      </c>
      <c r="B171" s="11"/>
      <c r="C171" s="11" t="s">
        <v>2</v>
      </c>
      <c r="D171" s="50">
        <f>D172+D174+D177</f>
        <v>21994636</v>
      </c>
      <c r="E171" s="50">
        <f aca="true" t="shared" si="42" ref="E171:O171">E172+E174+E177</f>
        <v>450000</v>
      </c>
      <c r="F171" s="50">
        <f t="shared" si="42"/>
        <v>0</v>
      </c>
      <c r="G171" s="50">
        <f t="shared" si="42"/>
        <v>0</v>
      </c>
      <c r="H171" s="50">
        <f t="shared" si="42"/>
        <v>21544636</v>
      </c>
      <c r="I171" s="50">
        <f t="shared" si="42"/>
        <v>2810000</v>
      </c>
      <c r="J171" s="50">
        <f t="shared" si="42"/>
        <v>0</v>
      </c>
      <c r="K171" s="50">
        <f t="shared" si="42"/>
        <v>0</v>
      </c>
      <c r="L171" s="50">
        <f t="shared" si="42"/>
        <v>0</v>
      </c>
      <c r="M171" s="50">
        <f t="shared" si="42"/>
        <v>2810000</v>
      </c>
      <c r="N171" s="50">
        <f t="shared" si="42"/>
        <v>2810000</v>
      </c>
      <c r="O171" s="50">
        <f t="shared" si="42"/>
        <v>24804636</v>
      </c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</row>
    <row r="172" spans="1:35" ht="39.75" customHeight="1">
      <c r="A172" s="5" t="s">
        <v>131</v>
      </c>
      <c r="B172" s="13"/>
      <c r="C172" s="13" t="s">
        <v>4</v>
      </c>
      <c r="D172" s="49">
        <f aca="true" t="shared" si="43" ref="D172:O172">D173</f>
        <v>3000000</v>
      </c>
      <c r="E172" s="49">
        <f t="shared" si="43"/>
        <v>0</v>
      </c>
      <c r="F172" s="49">
        <f t="shared" si="43"/>
        <v>0</v>
      </c>
      <c r="G172" s="49">
        <f t="shared" si="43"/>
        <v>0</v>
      </c>
      <c r="H172" s="49">
        <f t="shared" si="43"/>
        <v>3000000</v>
      </c>
      <c r="I172" s="49">
        <f t="shared" si="43"/>
        <v>0</v>
      </c>
      <c r="J172" s="49">
        <f t="shared" si="43"/>
        <v>0</v>
      </c>
      <c r="K172" s="49">
        <f t="shared" si="43"/>
        <v>0</v>
      </c>
      <c r="L172" s="49">
        <f t="shared" si="43"/>
        <v>0</v>
      </c>
      <c r="M172" s="49">
        <f t="shared" si="43"/>
        <v>0</v>
      </c>
      <c r="N172" s="49">
        <f t="shared" si="43"/>
        <v>0</v>
      </c>
      <c r="O172" s="49">
        <f t="shared" si="43"/>
        <v>3000000</v>
      </c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</row>
    <row r="173" spans="1:35" s="8" customFormat="1" ht="39.75" customHeight="1">
      <c r="A173" s="7" t="s">
        <v>5</v>
      </c>
      <c r="B173" s="7" t="s">
        <v>128</v>
      </c>
      <c r="C173" s="14" t="s">
        <v>68</v>
      </c>
      <c r="D173" s="51">
        <f>'дод. 3'!E40</f>
        <v>3000000</v>
      </c>
      <c r="E173" s="51">
        <f>'дод. 3'!F40</f>
        <v>0</v>
      </c>
      <c r="F173" s="51">
        <f>'дод. 3'!G40</f>
        <v>0</v>
      </c>
      <c r="G173" s="51">
        <f>'дод. 3'!H40</f>
        <v>0</v>
      </c>
      <c r="H173" s="51">
        <f>'дод. 3'!I40</f>
        <v>3000000</v>
      </c>
      <c r="I173" s="51">
        <f>'дод. 3'!J40</f>
        <v>0</v>
      </c>
      <c r="J173" s="51">
        <f>'дод. 3'!K40</f>
        <v>0</v>
      </c>
      <c r="K173" s="51">
        <f>'дод. 3'!L40</f>
        <v>0</v>
      </c>
      <c r="L173" s="51">
        <f>'дод. 3'!M40</f>
        <v>0</v>
      </c>
      <c r="M173" s="51">
        <f>'дод. 3'!N40</f>
        <v>0</v>
      </c>
      <c r="N173" s="51">
        <f>'дод. 3'!O40</f>
        <v>0</v>
      </c>
      <c r="O173" s="51">
        <f>'дод. 3'!P40</f>
        <v>3000000</v>
      </c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</row>
    <row r="174" spans="1:35" ht="36" customHeight="1">
      <c r="A174" s="5" t="s">
        <v>7</v>
      </c>
      <c r="B174" s="5"/>
      <c r="C174" s="13" t="s">
        <v>8</v>
      </c>
      <c r="D174" s="49">
        <f>D175+D176</f>
        <v>18544636</v>
      </c>
      <c r="E174" s="49">
        <f aca="true" t="shared" si="44" ref="E174:O174">E175+E176</f>
        <v>0</v>
      </c>
      <c r="F174" s="49">
        <f t="shared" si="44"/>
        <v>0</v>
      </c>
      <c r="G174" s="49">
        <f t="shared" si="44"/>
        <v>0</v>
      </c>
      <c r="H174" s="49">
        <f t="shared" si="44"/>
        <v>18544636</v>
      </c>
      <c r="I174" s="49">
        <f t="shared" si="44"/>
        <v>2810000</v>
      </c>
      <c r="J174" s="49">
        <f t="shared" si="44"/>
        <v>0</v>
      </c>
      <c r="K174" s="49">
        <f t="shared" si="44"/>
        <v>0</v>
      </c>
      <c r="L174" s="49">
        <f t="shared" si="44"/>
        <v>0</v>
      </c>
      <c r="M174" s="49">
        <f t="shared" si="44"/>
        <v>2810000</v>
      </c>
      <c r="N174" s="49">
        <f t="shared" si="44"/>
        <v>2810000</v>
      </c>
      <c r="O174" s="49">
        <f t="shared" si="44"/>
        <v>21354636</v>
      </c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</row>
    <row r="175" spans="1:35" s="8" customFormat="1" ht="39.75" customHeight="1">
      <c r="A175" s="7" t="s">
        <v>6</v>
      </c>
      <c r="B175" s="7" t="s">
        <v>129</v>
      </c>
      <c r="C175" s="14" t="s">
        <v>232</v>
      </c>
      <c r="D175" s="51">
        <f>'дод. 3'!E42</f>
        <v>6000000</v>
      </c>
      <c r="E175" s="51">
        <f>'дод. 3'!F42</f>
        <v>0</v>
      </c>
      <c r="F175" s="51">
        <f>'дод. 3'!G42</f>
        <v>0</v>
      </c>
      <c r="G175" s="51">
        <f>'дод. 3'!H42</f>
        <v>0</v>
      </c>
      <c r="H175" s="51">
        <f>'дод. 3'!I42</f>
        <v>6000000</v>
      </c>
      <c r="I175" s="51">
        <f>'дод. 3'!J42</f>
        <v>0</v>
      </c>
      <c r="J175" s="51">
        <f>'дод. 3'!K42</f>
        <v>0</v>
      </c>
      <c r="K175" s="51">
        <f>'дод. 3'!L42</f>
        <v>0</v>
      </c>
      <c r="L175" s="51">
        <f>'дод. 3'!M42</f>
        <v>0</v>
      </c>
      <c r="M175" s="51">
        <f>'дод. 3'!N42</f>
        <v>0</v>
      </c>
      <c r="N175" s="51">
        <f>'дод. 3'!O42</f>
        <v>0</v>
      </c>
      <c r="O175" s="51">
        <f>'дод. 3'!P42</f>
        <v>6000000</v>
      </c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</row>
    <row r="176" spans="1:35" s="8" customFormat="1" ht="24" customHeight="1">
      <c r="A176" s="7" t="s">
        <v>9</v>
      </c>
      <c r="B176" s="7" t="s">
        <v>129</v>
      </c>
      <c r="C176" s="14" t="s">
        <v>33</v>
      </c>
      <c r="D176" s="51">
        <f>'дод. 3'!E43+'дод. 3'!E236</f>
        <v>12544636</v>
      </c>
      <c r="E176" s="51">
        <f>'дод. 3'!F43+'дод. 3'!F236</f>
        <v>0</v>
      </c>
      <c r="F176" s="51">
        <f>'дод. 3'!G43+'дод. 3'!G236</f>
        <v>0</v>
      </c>
      <c r="G176" s="51">
        <f>'дод. 3'!H43+'дод. 3'!H236</f>
        <v>0</v>
      </c>
      <c r="H176" s="51">
        <f>'дод. 3'!I43+'дод. 3'!I236</f>
        <v>12544636</v>
      </c>
      <c r="I176" s="51">
        <f>'дод. 3'!J43+'дод. 3'!J236</f>
        <v>2810000</v>
      </c>
      <c r="J176" s="51">
        <f>'дод. 3'!K43+'дод. 3'!K236</f>
        <v>0</v>
      </c>
      <c r="K176" s="51">
        <f>'дод. 3'!L43+'дод. 3'!L236</f>
        <v>0</v>
      </c>
      <c r="L176" s="51">
        <f>'дод. 3'!M43+'дод. 3'!M236</f>
        <v>0</v>
      </c>
      <c r="M176" s="51">
        <f>'дод. 3'!N43+'дод. 3'!N236</f>
        <v>2810000</v>
      </c>
      <c r="N176" s="51">
        <f>'дод. 3'!O43+'дод. 3'!O236</f>
        <v>2810000</v>
      </c>
      <c r="O176" s="51">
        <f>'дод. 3'!P43+'дод. 3'!P236</f>
        <v>15354636</v>
      </c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</row>
    <row r="177" spans="1:35" ht="24" customHeight="1">
      <c r="A177" s="5" t="s">
        <v>494</v>
      </c>
      <c r="B177" s="5" t="s">
        <v>495</v>
      </c>
      <c r="C177" s="13" t="s">
        <v>496</v>
      </c>
      <c r="D177" s="49">
        <f>'дод. 3'!E44</f>
        <v>450000</v>
      </c>
      <c r="E177" s="49">
        <f>'дод. 3'!F44</f>
        <v>450000</v>
      </c>
      <c r="F177" s="49">
        <f>'дод. 3'!G44</f>
        <v>0</v>
      </c>
      <c r="G177" s="49">
        <f>'дод. 3'!H44</f>
        <v>0</v>
      </c>
      <c r="H177" s="49">
        <f>'дод. 3'!I44</f>
        <v>0</v>
      </c>
      <c r="I177" s="49">
        <f>'дод. 3'!J44</f>
        <v>0</v>
      </c>
      <c r="J177" s="49">
        <f>'дод. 3'!K44</f>
        <v>0</v>
      </c>
      <c r="K177" s="49">
        <f>'дод. 3'!L44</f>
        <v>0</v>
      </c>
      <c r="L177" s="49">
        <f>'дод. 3'!M44</f>
        <v>0</v>
      </c>
      <c r="M177" s="49">
        <f>'дод. 3'!N44</f>
        <v>0</v>
      </c>
      <c r="N177" s="49">
        <f>'дод. 3'!O44</f>
        <v>0</v>
      </c>
      <c r="O177" s="49">
        <f>'дод. 3'!P44</f>
        <v>450000</v>
      </c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</row>
    <row r="178" spans="1:35" s="22" customFormat="1" ht="28.5" customHeight="1">
      <c r="A178" s="35" t="s">
        <v>381</v>
      </c>
      <c r="B178" s="11"/>
      <c r="C178" s="11" t="s">
        <v>382</v>
      </c>
      <c r="D178" s="50">
        <f aca="true" t="shared" si="45" ref="D178:O178">D179</f>
        <v>7276490</v>
      </c>
      <c r="E178" s="50">
        <f t="shared" si="45"/>
        <v>7276490</v>
      </c>
      <c r="F178" s="50">
        <f t="shared" si="45"/>
        <v>0</v>
      </c>
      <c r="G178" s="50">
        <f t="shared" si="45"/>
        <v>0</v>
      </c>
      <c r="H178" s="50">
        <f t="shared" si="45"/>
        <v>0</v>
      </c>
      <c r="I178" s="50">
        <f t="shared" si="45"/>
        <v>4897000</v>
      </c>
      <c r="J178" s="50">
        <f t="shared" si="45"/>
        <v>0</v>
      </c>
      <c r="K178" s="50">
        <f t="shared" si="45"/>
        <v>0</v>
      </c>
      <c r="L178" s="50">
        <f t="shared" si="45"/>
        <v>0</v>
      </c>
      <c r="M178" s="50">
        <f t="shared" si="45"/>
        <v>4897000</v>
      </c>
      <c r="N178" s="50">
        <f t="shared" si="45"/>
        <v>4897000</v>
      </c>
      <c r="O178" s="50">
        <f t="shared" si="45"/>
        <v>12173490</v>
      </c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</row>
    <row r="179" spans="1:35" ht="37.5" customHeight="1">
      <c r="A179" s="27" t="s">
        <v>379</v>
      </c>
      <c r="B179" s="27" t="s">
        <v>380</v>
      </c>
      <c r="C179" s="54" t="s">
        <v>378</v>
      </c>
      <c r="D179" s="49">
        <f>'дод. 3'!E45</f>
        <v>7276490</v>
      </c>
      <c r="E179" s="49">
        <f>'дод. 3'!F45</f>
        <v>7276490</v>
      </c>
      <c r="F179" s="49">
        <f>'дод. 3'!G45</f>
        <v>0</v>
      </c>
      <c r="G179" s="49">
        <f>'дод. 3'!H45</f>
        <v>0</v>
      </c>
      <c r="H179" s="49">
        <f>'дод. 3'!I45</f>
        <v>0</v>
      </c>
      <c r="I179" s="49">
        <f>'дод. 3'!J45</f>
        <v>4897000</v>
      </c>
      <c r="J179" s="49">
        <f>'дод. 3'!K45</f>
        <v>0</v>
      </c>
      <c r="K179" s="49">
        <f>'дод. 3'!L45</f>
        <v>0</v>
      </c>
      <c r="L179" s="49">
        <f>'дод. 3'!M45</f>
        <v>0</v>
      </c>
      <c r="M179" s="49">
        <f>'дод. 3'!N45</f>
        <v>4897000</v>
      </c>
      <c r="N179" s="49">
        <f>'дод. 3'!O45</f>
        <v>4897000</v>
      </c>
      <c r="O179" s="49">
        <f>'дод. 3'!P45</f>
        <v>12173490</v>
      </c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</row>
    <row r="180" spans="1:35" s="22" customFormat="1" ht="38.25" customHeight="1">
      <c r="A180" s="23" t="s">
        <v>134</v>
      </c>
      <c r="B180" s="11"/>
      <c r="C180" s="11" t="s">
        <v>10</v>
      </c>
      <c r="D180" s="50">
        <f>D181+D182+D185+D186+D187+D183+D184</f>
        <v>6874067</v>
      </c>
      <c r="E180" s="50">
        <f aca="true" t="shared" si="46" ref="E180:O180">E181+E182+E185+E186+E187+E183+E184</f>
        <v>5774067</v>
      </c>
      <c r="F180" s="50">
        <f t="shared" si="46"/>
        <v>0</v>
      </c>
      <c r="G180" s="50">
        <f t="shared" si="46"/>
        <v>0</v>
      </c>
      <c r="H180" s="50">
        <f t="shared" si="46"/>
        <v>1100000</v>
      </c>
      <c r="I180" s="50">
        <f t="shared" si="46"/>
        <v>72494946</v>
      </c>
      <c r="J180" s="50">
        <f t="shared" si="46"/>
        <v>484946</v>
      </c>
      <c r="K180" s="50">
        <f t="shared" si="46"/>
        <v>0</v>
      </c>
      <c r="L180" s="50">
        <f t="shared" si="46"/>
        <v>0</v>
      </c>
      <c r="M180" s="50">
        <f t="shared" si="46"/>
        <v>72010000</v>
      </c>
      <c r="N180" s="50">
        <f t="shared" si="46"/>
        <v>71210000</v>
      </c>
      <c r="O180" s="50">
        <f t="shared" si="46"/>
        <v>79369013</v>
      </c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</row>
    <row r="181" spans="1:35" ht="38.25" customHeight="1">
      <c r="A181" s="5" t="s">
        <v>11</v>
      </c>
      <c r="B181" s="5" t="s">
        <v>133</v>
      </c>
      <c r="C181" s="13" t="s">
        <v>46</v>
      </c>
      <c r="D181" s="49">
        <f>'дод. 3'!E46+'дод. 3'!E251</f>
        <v>1173000</v>
      </c>
      <c r="E181" s="49">
        <f>'дод. 3'!F46+'дод. 3'!F251</f>
        <v>273000</v>
      </c>
      <c r="F181" s="49">
        <f>'дод. 3'!G46+'дод. 3'!G251</f>
        <v>0</v>
      </c>
      <c r="G181" s="49">
        <f>'дод. 3'!H46+'дод. 3'!H251</f>
        <v>0</v>
      </c>
      <c r="H181" s="49">
        <f>'дод. 3'!I46+'дод. 3'!I251</f>
        <v>900000</v>
      </c>
      <c r="I181" s="49">
        <f>'дод. 3'!J46+'дод. 3'!J251</f>
        <v>0</v>
      </c>
      <c r="J181" s="49">
        <f>'дод. 3'!K46+'дод. 3'!K251</f>
        <v>0</v>
      </c>
      <c r="K181" s="49">
        <f>'дод. 3'!L46+'дод. 3'!L251</f>
        <v>0</v>
      </c>
      <c r="L181" s="49">
        <f>'дод. 3'!M46+'дод. 3'!M251</f>
        <v>0</v>
      </c>
      <c r="M181" s="49">
        <f>'дод. 3'!N46+'дод. 3'!N251</f>
        <v>0</v>
      </c>
      <c r="N181" s="49">
        <f>'дод. 3'!O46+'дод. 3'!O251</f>
        <v>0</v>
      </c>
      <c r="O181" s="49">
        <f>'дод. 3'!P46+'дод. 3'!P251</f>
        <v>1173000</v>
      </c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</row>
    <row r="182" spans="1:35" ht="24.75" customHeight="1">
      <c r="A182" s="5" t="s">
        <v>3</v>
      </c>
      <c r="B182" s="5" t="s">
        <v>132</v>
      </c>
      <c r="C182" s="13" t="s">
        <v>64</v>
      </c>
      <c r="D182" s="49">
        <f>'дод. 3'!E81+'дод. 3'!E113+'дод. 3'!E182+'дод. 3'!E197+'дод. 3'!E213+'дод. 3'!E237+'дод. 3'!E47+'дод. 3'!E262</f>
        <v>3047675</v>
      </c>
      <c r="E182" s="49">
        <f>'дод. 3'!F81+'дод. 3'!F113+'дод. 3'!F182+'дод. 3'!F197+'дод. 3'!F213+'дод. 3'!F237+'дод. 3'!F47+'дод. 3'!F262</f>
        <v>2847675</v>
      </c>
      <c r="F182" s="49">
        <f>'дод. 3'!G81+'дод. 3'!G113+'дод. 3'!G182+'дод. 3'!G197+'дод. 3'!G213+'дод. 3'!G237+'дод. 3'!G47+'дод. 3'!G262</f>
        <v>0</v>
      </c>
      <c r="G182" s="49">
        <f>'дод. 3'!H81+'дод. 3'!H113+'дод. 3'!H182+'дод. 3'!H197+'дод. 3'!H213+'дод. 3'!H237+'дод. 3'!H47+'дод. 3'!H262</f>
        <v>0</v>
      </c>
      <c r="H182" s="49">
        <f>'дод. 3'!I81+'дод. 3'!I113+'дод. 3'!I182+'дод. 3'!I197+'дод. 3'!I213+'дод. 3'!I237+'дод. 3'!I47+'дод. 3'!I262</f>
        <v>200000</v>
      </c>
      <c r="I182" s="49">
        <f>'дод. 3'!J81+'дод. 3'!J113+'дод. 3'!J182+'дод. 3'!J197+'дод. 3'!J213+'дод. 3'!J237+'дод. 3'!J47+'дод. 3'!J262</f>
        <v>42720000</v>
      </c>
      <c r="J182" s="49">
        <f>'дод. 3'!K81+'дод. 3'!K113+'дод. 3'!K182+'дод. 3'!K197+'дод. 3'!K213+'дод. 3'!K237+'дод. 3'!K47+'дод. 3'!K262</f>
        <v>0</v>
      </c>
      <c r="K182" s="49">
        <f>'дод. 3'!L81+'дод. 3'!L113+'дод. 3'!L182+'дод. 3'!L197+'дод. 3'!L213+'дод. 3'!L237+'дод. 3'!L47+'дод. 3'!L262</f>
        <v>0</v>
      </c>
      <c r="L182" s="49">
        <f>'дод. 3'!M81+'дод. 3'!M113+'дод. 3'!M182+'дод. 3'!M197+'дод. 3'!M213+'дод. 3'!M237+'дод. 3'!M47+'дод. 3'!M262</f>
        <v>0</v>
      </c>
      <c r="M182" s="49">
        <f>'дод. 3'!N81+'дод. 3'!N113+'дод. 3'!N182+'дод. 3'!N197+'дод. 3'!N213+'дод. 3'!N237+'дод. 3'!N47+'дод. 3'!N262</f>
        <v>42720000</v>
      </c>
      <c r="N182" s="49">
        <f>'дод. 3'!O81+'дод. 3'!O113+'дод. 3'!O182+'дод. 3'!O197+'дод. 3'!O213+'дод. 3'!O237+'дод. 3'!O47+'дод. 3'!O262</f>
        <v>42720000</v>
      </c>
      <c r="O182" s="49">
        <f>'дод. 3'!P81+'дод. 3'!P113+'дод. 3'!P182+'дод. 3'!P197+'дод. 3'!P213+'дод. 3'!P237+'дод. 3'!P47+'дод. 3'!P262</f>
        <v>45767675</v>
      </c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  <c r="AI182" s="272"/>
    </row>
    <row r="183" spans="1:35" ht="33.75" customHeight="1">
      <c r="A183" s="5" t="s">
        <v>418</v>
      </c>
      <c r="B183" s="5" t="s">
        <v>126</v>
      </c>
      <c r="C183" s="13" t="s">
        <v>421</v>
      </c>
      <c r="D183" s="49">
        <f>'дод. 3'!E252</f>
        <v>0</v>
      </c>
      <c r="E183" s="49">
        <f>'дод. 3'!F252</f>
        <v>0</v>
      </c>
      <c r="F183" s="49">
        <f>'дод. 3'!G252</f>
        <v>0</v>
      </c>
      <c r="G183" s="49">
        <f>'дод. 3'!H252</f>
        <v>0</v>
      </c>
      <c r="H183" s="49">
        <f>'дод. 3'!I252</f>
        <v>0</v>
      </c>
      <c r="I183" s="49">
        <f>'дод. 3'!J252</f>
        <v>25000</v>
      </c>
      <c r="J183" s="49">
        <f>'дод. 3'!K252</f>
        <v>0</v>
      </c>
      <c r="K183" s="49">
        <f>'дод. 3'!L252</f>
        <v>0</v>
      </c>
      <c r="L183" s="49">
        <f>'дод. 3'!M252</f>
        <v>0</v>
      </c>
      <c r="M183" s="49">
        <f>'дод. 3'!N252</f>
        <v>25000</v>
      </c>
      <c r="N183" s="49">
        <f>'дод. 3'!O252</f>
        <v>25000</v>
      </c>
      <c r="O183" s="49">
        <f>'дод. 3'!P252</f>
        <v>25000</v>
      </c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</row>
    <row r="184" spans="1:35" ht="66.75" customHeight="1">
      <c r="A184" s="5" t="s">
        <v>420</v>
      </c>
      <c r="B184" s="5" t="s">
        <v>126</v>
      </c>
      <c r="C184" s="13" t="s">
        <v>422</v>
      </c>
      <c r="D184" s="49">
        <f>'дод. 3'!E253</f>
        <v>0</v>
      </c>
      <c r="E184" s="49">
        <f>'дод. 3'!F253</f>
        <v>0</v>
      </c>
      <c r="F184" s="49">
        <f>'дод. 3'!G253</f>
        <v>0</v>
      </c>
      <c r="G184" s="49">
        <f>'дод. 3'!H253</f>
        <v>0</v>
      </c>
      <c r="H184" s="49">
        <f>'дод. 3'!I253</f>
        <v>0</v>
      </c>
      <c r="I184" s="49">
        <f>'дод. 3'!J253</f>
        <v>25000</v>
      </c>
      <c r="J184" s="49">
        <f>'дод. 3'!K253</f>
        <v>0</v>
      </c>
      <c r="K184" s="49">
        <f>'дод. 3'!L253</f>
        <v>0</v>
      </c>
      <c r="L184" s="49">
        <f>'дод. 3'!M253</f>
        <v>0</v>
      </c>
      <c r="M184" s="49">
        <f>'дод. 3'!N253</f>
        <v>25000</v>
      </c>
      <c r="N184" s="49">
        <f>'дод. 3'!O253</f>
        <v>25000</v>
      </c>
      <c r="O184" s="49">
        <f>'дод. 3'!P253</f>
        <v>25000</v>
      </c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</row>
    <row r="185" spans="1:35" ht="31.5">
      <c r="A185" s="5" t="s">
        <v>12</v>
      </c>
      <c r="B185" s="5" t="s">
        <v>126</v>
      </c>
      <c r="C185" s="13" t="s">
        <v>47</v>
      </c>
      <c r="D185" s="49">
        <f>'дод. 3'!E48</f>
        <v>0</v>
      </c>
      <c r="E185" s="49">
        <f>'дод. 3'!F48</f>
        <v>0</v>
      </c>
      <c r="F185" s="49">
        <f>'дод. 3'!G48</f>
        <v>0</v>
      </c>
      <c r="G185" s="49">
        <f>'дод. 3'!H48</f>
        <v>0</v>
      </c>
      <c r="H185" s="49">
        <f>'дод. 3'!I48</f>
        <v>0</v>
      </c>
      <c r="I185" s="49">
        <f>'дод. 3'!J48</f>
        <v>28440000</v>
      </c>
      <c r="J185" s="49">
        <f>'дод. 3'!K48</f>
        <v>0</v>
      </c>
      <c r="K185" s="49">
        <f>'дод. 3'!L48</f>
        <v>0</v>
      </c>
      <c r="L185" s="49">
        <f>'дод. 3'!M48</f>
        <v>0</v>
      </c>
      <c r="M185" s="49">
        <f>'дод. 3'!N48</f>
        <v>28440000</v>
      </c>
      <c r="N185" s="49">
        <f>'дод. 3'!O48</f>
        <v>28440000</v>
      </c>
      <c r="O185" s="49">
        <f>'дод. 3'!P48</f>
        <v>28440000</v>
      </c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</row>
    <row r="186" spans="1:35" ht="36.75" customHeight="1">
      <c r="A186" s="5" t="s">
        <v>392</v>
      </c>
      <c r="B186" s="5" t="s">
        <v>126</v>
      </c>
      <c r="C186" s="13" t="s">
        <v>393</v>
      </c>
      <c r="D186" s="49">
        <f>'дод. 3'!E49</f>
        <v>209333</v>
      </c>
      <c r="E186" s="49">
        <f>'дод. 3'!F49</f>
        <v>209333</v>
      </c>
      <c r="F186" s="49">
        <f>'дод. 3'!G49</f>
        <v>0</v>
      </c>
      <c r="G186" s="49">
        <f>'дод. 3'!H49</f>
        <v>0</v>
      </c>
      <c r="H186" s="49">
        <f>'дод. 3'!I49</f>
        <v>0</v>
      </c>
      <c r="I186" s="49">
        <f>'дод. 3'!J49</f>
        <v>0</v>
      </c>
      <c r="J186" s="49">
        <f>'дод. 3'!K49</f>
        <v>0</v>
      </c>
      <c r="K186" s="49">
        <f>'дод. 3'!L49</f>
        <v>0</v>
      </c>
      <c r="L186" s="49">
        <f>'дод. 3'!M49</f>
        <v>0</v>
      </c>
      <c r="M186" s="49">
        <f>'дод. 3'!N49</f>
        <v>0</v>
      </c>
      <c r="N186" s="49">
        <f>'дод. 3'!O49</f>
        <v>0</v>
      </c>
      <c r="O186" s="49">
        <f>'дод. 3'!P49</f>
        <v>209333</v>
      </c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</row>
    <row r="187" spans="1:35" ht="29.25" customHeight="1">
      <c r="A187" s="5" t="s">
        <v>13</v>
      </c>
      <c r="B187" s="5"/>
      <c r="C187" s="13" t="s">
        <v>413</v>
      </c>
      <c r="D187" s="49">
        <f>D188+D189</f>
        <v>2444059</v>
      </c>
      <c r="E187" s="49">
        <f aca="true" t="shared" si="47" ref="E187:O187">E188+E189</f>
        <v>2444059</v>
      </c>
      <c r="F187" s="49">
        <f t="shared" si="47"/>
        <v>0</v>
      </c>
      <c r="G187" s="49">
        <f t="shared" si="47"/>
        <v>0</v>
      </c>
      <c r="H187" s="49">
        <f t="shared" si="47"/>
        <v>0</v>
      </c>
      <c r="I187" s="49">
        <f t="shared" si="47"/>
        <v>1284946</v>
      </c>
      <c r="J187" s="49">
        <f t="shared" si="47"/>
        <v>484946</v>
      </c>
      <c r="K187" s="49">
        <f t="shared" si="47"/>
        <v>0</v>
      </c>
      <c r="L187" s="49">
        <f t="shared" si="47"/>
        <v>0</v>
      </c>
      <c r="M187" s="49">
        <f t="shared" si="47"/>
        <v>800000</v>
      </c>
      <c r="N187" s="49">
        <f t="shared" si="47"/>
        <v>0</v>
      </c>
      <c r="O187" s="49">
        <f t="shared" si="47"/>
        <v>3729005</v>
      </c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</row>
    <row r="188" spans="1:35" s="8" customFormat="1" ht="122.25" customHeight="1">
      <c r="A188" s="7" t="s">
        <v>468</v>
      </c>
      <c r="B188" s="7" t="s">
        <v>126</v>
      </c>
      <c r="C188" s="14" t="s">
        <v>502</v>
      </c>
      <c r="D188" s="51">
        <f>'дод. 3'!E51+'дод. 3'!E243+'дод. 3'!E215</f>
        <v>0</v>
      </c>
      <c r="E188" s="51">
        <f>'дод. 3'!F51+'дод. 3'!F243+'дод. 3'!F215</f>
        <v>0</v>
      </c>
      <c r="F188" s="51">
        <f>'дод. 3'!G51+'дод. 3'!G243+'дод. 3'!G215</f>
        <v>0</v>
      </c>
      <c r="G188" s="51">
        <f>'дод. 3'!H51+'дод. 3'!H243+'дод. 3'!H215</f>
        <v>0</v>
      </c>
      <c r="H188" s="51">
        <f>'дод. 3'!I51+'дод. 3'!I243+'дод. 3'!I215</f>
        <v>0</v>
      </c>
      <c r="I188" s="51">
        <f>'дод. 3'!J51+'дод. 3'!J243+'дод. 3'!J215</f>
        <v>1284946</v>
      </c>
      <c r="J188" s="51">
        <f>'дод. 3'!K51+'дод. 3'!K243+'дод. 3'!K215</f>
        <v>484946</v>
      </c>
      <c r="K188" s="51">
        <f>'дод. 3'!L51+'дод. 3'!L243+'дод. 3'!L215</f>
        <v>0</v>
      </c>
      <c r="L188" s="51">
        <f>'дод. 3'!M51+'дод. 3'!M243+'дод. 3'!M215</f>
        <v>0</v>
      </c>
      <c r="M188" s="51">
        <f>'дод. 3'!N51+'дод. 3'!N243+'дод. 3'!N215</f>
        <v>800000</v>
      </c>
      <c r="N188" s="51">
        <f>'дод. 3'!O51+'дод. 3'!O243+'дод. 3'!O215</f>
        <v>0</v>
      </c>
      <c r="O188" s="51">
        <f>'дод. 3'!P51+'дод. 3'!P243+'дод. 3'!P215</f>
        <v>1284946</v>
      </c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</row>
    <row r="189" spans="1:35" s="8" customFormat="1" ht="30.75" customHeight="1">
      <c r="A189" s="7" t="s">
        <v>383</v>
      </c>
      <c r="B189" s="7" t="s">
        <v>126</v>
      </c>
      <c r="C189" s="14" t="s">
        <v>34</v>
      </c>
      <c r="D189" s="51">
        <f>'дод. 3'!E52+'дод. 3'!E255</f>
        <v>2444059</v>
      </c>
      <c r="E189" s="51">
        <f>'дод. 3'!F52+'дод. 3'!F255</f>
        <v>2444059</v>
      </c>
      <c r="F189" s="51">
        <f>'дод. 3'!G52+'дод. 3'!G255</f>
        <v>0</v>
      </c>
      <c r="G189" s="51">
        <f>'дод. 3'!H52+'дод. 3'!H255</f>
        <v>0</v>
      </c>
      <c r="H189" s="51">
        <f>'дод. 3'!I52+'дод. 3'!I255</f>
        <v>0</v>
      </c>
      <c r="I189" s="51">
        <f>'дод. 3'!J52+'дод. 3'!J255</f>
        <v>0</v>
      </c>
      <c r="J189" s="51">
        <f>'дод. 3'!K52+'дод. 3'!K255</f>
        <v>0</v>
      </c>
      <c r="K189" s="51">
        <f>'дод. 3'!L52+'дод. 3'!L255</f>
        <v>0</v>
      </c>
      <c r="L189" s="51">
        <f>'дод. 3'!M52+'дод. 3'!M255</f>
        <v>0</v>
      </c>
      <c r="M189" s="51">
        <f>'дод. 3'!N52+'дод. 3'!N255</f>
        <v>0</v>
      </c>
      <c r="N189" s="51">
        <f>'дод. 3'!O52+'дод. 3'!O255</f>
        <v>0</v>
      </c>
      <c r="O189" s="51">
        <f>'дод. 3'!P52+'дод. 3'!P255</f>
        <v>2444059</v>
      </c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</row>
    <row r="190" spans="1:35" s="22" customFormat="1" ht="23.25" customHeight="1">
      <c r="A190" s="23" t="s">
        <v>141</v>
      </c>
      <c r="B190" s="10"/>
      <c r="C190" s="11" t="s">
        <v>15</v>
      </c>
      <c r="D190" s="50">
        <f>D191+D194+D196+D199+D201+D202</f>
        <v>16882725.67</v>
      </c>
      <c r="E190" s="50">
        <f aca="true" t="shared" si="48" ref="E190:O190">E191+E194+E196+E199+E201+E202</f>
        <v>2735892.41</v>
      </c>
      <c r="F190" s="50">
        <f t="shared" si="48"/>
        <v>1087750</v>
      </c>
      <c r="G190" s="50">
        <f t="shared" si="48"/>
        <v>303626</v>
      </c>
      <c r="H190" s="50">
        <f t="shared" si="48"/>
        <v>0</v>
      </c>
      <c r="I190" s="50">
        <f t="shared" si="48"/>
        <v>2785100</v>
      </c>
      <c r="J190" s="50">
        <f t="shared" si="48"/>
        <v>2198100</v>
      </c>
      <c r="K190" s="50">
        <f t="shared" si="48"/>
        <v>0</v>
      </c>
      <c r="L190" s="50">
        <f t="shared" si="48"/>
        <v>1200</v>
      </c>
      <c r="M190" s="50">
        <f t="shared" si="48"/>
        <v>587000</v>
      </c>
      <c r="N190" s="50">
        <f t="shared" si="48"/>
        <v>0</v>
      </c>
      <c r="O190" s="50">
        <f t="shared" si="48"/>
        <v>19667825.67</v>
      </c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</row>
    <row r="191" spans="1:35" s="22" customFormat="1" ht="49.5" customHeight="1">
      <c r="A191" s="23" t="s">
        <v>143</v>
      </c>
      <c r="B191" s="31"/>
      <c r="C191" s="11" t="s">
        <v>16</v>
      </c>
      <c r="D191" s="50">
        <f>D192+D193</f>
        <v>1926040</v>
      </c>
      <c r="E191" s="50">
        <f aca="true" t="shared" si="49" ref="E191:O191">E192+E193</f>
        <v>1926040</v>
      </c>
      <c r="F191" s="50">
        <f t="shared" si="49"/>
        <v>1087750</v>
      </c>
      <c r="G191" s="50">
        <f t="shared" si="49"/>
        <v>81385</v>
      </c>
      <c r="H191" s="50">
        <f t="shared" si="49"/>
        <v>0</v>
      </c>
      <c r="I191" s="50">
        <f t="shared" si="49"/>
        <v>5100</v>
      </c>
      <c r="J191" s="50">
        <f t="shared" si="49"/>
        <v>5100</v>
      </c>
      <c r="K191" s="50">
        <f t="shared" si="49"/>
        <v>0</v>
      </c>
      <c r="L191" s="50">
        <f t="shared" si="49"/>
        <v>1200</v>
      </c>
      <c r="M191" s="50">
        <f t="shared" si="49"/>
        <v>0</v>
      </c>
      <c r="N191" s="50">
        <f t="shared" si="49"/>
        <v>0</v>
      </c>
      <c r="O191" s="50">
        <f t="shared" si="49"/>
        <v>1931140</v>
      </c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</row>
    <row r="192" spans="1:35" s="22" customFormat="1" ht="36.75" customHeight="1">
      <c r="A192" s="27" t="s">
        <v>17</v>
      </c>
      <c r="B192" s="27" t="s">
        <v>136</v>
      </c>
      <c r="C192" s="13" t="s">
        <v>469</v>
      </c>
      <c r="D192" s="49">
        <f>'дод. 3'!E53</f>
        <v>408930</v>
      </c>
      <c r="E192" s="49">
        <f>'дод. 3'!F53</f>
        <v>408930</v>
      </c>
      <c r="F192" s="49">
        <f>'дод. 3'!G53</f>
        <v>0</v>
      </c>
      <c r="G192" s="49">
        <f>'дод. 3'!H53</f>
        <v>5070</v>
      </c>
      <c r="H192" s="49">
        <f>'дод. 3'!I53</f>
        <v>0</v>
      </c>
      <c r="I192" s="49">
        <f>'дод. 3'!J53</f>
        <v>0</v>
      </c>
      <c r="J192" s="49">
        <f>'дод. 3'!K53</f>
        <v>0</v>
      </c>
      <c r="K192" s="49">
        <f>'дод. 3'!L53</f>
        <v>0</v>
      </c>
      <c r="L192" s="49">
        <f>'дод. 3'!M53</f>
        <v>0</v>
      </c>
      <c r="M192" s="49">
        <f>'дод. 3'!N53</f>
        <v>0</v>
      </c>
      <c r="N192" s="49">
        <f>'дод. 3'!O53</f>
        <v>0</v>
      </c>
      <c r="O192" s="49">
        <f>'дод. 3'!P53</f>
        <v>408930</v>
      </c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  <c r="AI192" s="272"/>
    </row>
    <row r="193" spans="1:35" ht="24.75" customHeight="1">
      <c r="A193" s="5" t="s">
        <v>236</v>
      </c>
      <c r="B193" s="12" t="s">
        <v>136</v>
      </c>
      <c r="C193" s="13" t="s">
        <v>18</v>
      </c>
      <c r="D193" s="49">
        <f>'дод. 3'!E54</f>
        <v>1517110</v>
      </c>
      <c r="E193" s="49">
        <f>'дод. 3'!F54</f>
        <v>1517110</v>
      </c>
      <c r="F193" s="49">
        <f>'дод. 3'!G54</f>
        <v>1087750</v>
      </c>
      <c r="G193" s="49">
        <f>'дод. 3'!H54</f>
        <v>76315</v>
      </c>
      <c r="H193" s="49">
        <f>'дод. 3'!I54</f>
        <v>0</v>
      </c>
      <c r="I193" s="49">
        <f>'дод. 3'!J54</f>
        <v>5100</v>
      </c>
      <c r="J193" s="49">
        <f>'дод. 3'!K54</f>
        <v>5100</v>
      </c>
      <c r="K193" s="49">
        <f>'дод. 3'!L54</f>
        <v>0</v>
      </c>
      <c r="L193" s="49">
        <f>'дод. 3'!M54</f>
        <v>1200</v>
      </c>
      <c r="M193" s="49">
        <f>'дод. 3'!N54</f>
        <v>0</v>
      </c>
      <c r="N193" s="49">
        <f>'дод. 3'!O54</f>
        <v>0</v>
      </c>
      <c r="O193" s="49">
        <f>'дод. 3'!P54</f>
        <v>1522210</v>
      </c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</row>
    <row r="194" spans="1:35" s="22" customFormat="1" ht="30" customHeight="1">
      <c r="A194" s="23" t="s">
        <v>394</v>
      </c>
      <c r="B194" s="23"/>
      <c r="C194" s="55" t="s">
        <v>395</v>
      </c>
      <c r="D194" s="50">
        <f aca="true" t="shared" si="50" ref="D194:O194">D195</f>
        <v>391300</v>
      </c>
      <c r="E194" s="50">
        <f t="shared" si="50"/>
        <v>391300</v>
      </c>
      <c r="F194" s="50">
        <f t="shared" si="50"/>
        <v>0</v>
      </c>
      <c r="G194" s="50">
        <f t="shared" si="50"/>
        <v>222241</v>
      </c>
      <c r="H194" s="50">
        <f t="shared" si="50"/>
        <v>0</v>
      </c>
      <c r="I194" s="50">
        <f t="shared" si="50"/>
        <v>0</v>
      </c>
      <c r="J194" s="50">
        <f t="shared" si="50"/>
        <v>0</v>
      </c>
      <c r="K194" s="50">
        <f t="shared" si="50"/>
        <v>0</v>
      </c>
      <c r="L194" s="50">
        <f t="shared" si="50"/>
        <v>0</v>
      </c>
      <c r="M194" s="50">
        <f t="shared" si="50"/>
        <v>0</v>
      </c>
      <c r="N194" s="50">
        <f t="shared" si="50"/>
        <v>0</v>
      </c>
      <c r="O194" s="50">
        <f t="shared" si="50"/>
        <v>391300</v>
      </c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6"/>
      <c r="AE194" s="276"/>
      <c r="AF194" s="276"/>
      <c r="AG194" s="276"/>
      <c r="AH194" s="276"/>
      <c r="AI194" s="276"/>
    </row>
    <row r="195" spans="1:35" ht="30" customHeight="1">
      <c r="A195" s="5" t="s">
        <v>388</v>
      </c>
      <c r="B195" s="12" t="s">
        <v>389</v>
      </c>
      <c r="C195" s="13" t="s">
        <v>390</v>
      </c>
      <c r="D195" s="49">
        <f>'дод. 3'!E55</f>
        <v>391300</v>
      </c>
      <c r="E195" s="49">
        <f>'дод. 3'!F55</f>
        <v>391300</v>
      </c>
      <c r="F195" s="49">
        <f>'дод. 3'!G55</f>
        <v>0</v>
      </c>
      <c r="G195" s="49">
        <f>'дод. 3'!H55</f>
        <v>222241</v>
      </c>
      <c r="H195" s="49">
        <f>'дод. 3'!I55</f>
        <v>0</v>
      </c>
      <c r="I195" s="49">
        <f>'дод. 3'!J55</f>
        <v>0</v>
      </c>
      <c r="J195" s="49">
        <f>'дод. 3'!K55</f>
        <v>0</v>
      </c>
      <c r="K195" s="49">
        <f>'дод. 3'!L55</f>
        <v>0</v>
      </c>
      <c r="L195" s="49">
        <f>'дод. 3'!M55</f>
        <v>0</v>
      </c>
      <c r="M195" s="49">
        <f>'дод. 3'!N55</f>
        <v>0</v>
      </c>
      <c r="N195" s="49">
        <f>'дод. 3'!O55</f>
        <v>0</v>
      </c>
      <c r="O195" s="49">
        <f>'дод. 3'!P55</f>
        <v>391300</v>
      </c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</row>
    <row r="196" spans="1:35" s="22" customFormat="1" ht="22.5" customHeight="1">
      <c r="A196" s="23" t="s">
        <v>14</v>
      </c>
      <c r="B196" s="35"/>
      <c r="C196" s="11" t="s">
        <v>19</v>
      </c>
      <c r="D196" s="50">
        <f>D197+D198</f>
        <v>76600</v>
      </c>
      <c r="E196" s="50">
        <f aca="true" t="shared" si="51" ref="E196:O196">E197+E198</f>
        <v>76600</v>
      </c>
      <c r="F196" s="50">
        <f t="shared" si="51"/>
        <v>0</v>
      </c>
      <c r="G196" s="50">
        <f t="shared" si="51"/>
        <v>0</v>
      </c>
      <c r="H196" s="50">
        <f t="shared" si="51"/>
        <v>0</v>
      </c>
      <c r="I196" s="50">
        <f t="shared" si="51"/>
        <v>2780000</v>
      </c>
      <c r="J196" s="50">
        <f t="shared" si="51"/>
        <v>2193000</v>
      </c>
      <c r="K196" s="50">
        <f t="shared" si="51"/>
        <v>0</v>
      </c>
      <c r="L196" s="50">
        <f t="shared" si="51"/>
        <v>0</v>
      </c>
      <c r="M196" s="50">
        <f t="shared" si="51"/>
        <v>587000</v>
      </c>
      <c r="N196" s="50">
        <f t="shared" si="51"/>
        <v>0</v>
      </c>
      <c r="O196" s="50">
        <f t="shared" si="51"/>
        <v>2856600</v>
      </c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</row>
    <row r="197" spans="1:35" s="22" customFormat="1" ht="26.25" customHeight="1">
      <c r="A197" s="5" t="s">
        <v>20</v>
      </c>
      <c r="B197" s="5" t="s">
        <v>135</v>
      </c>
      <c r="C197" s="13" t="s">
        <v>35</v>
      </c>
      <c r="D197" s="49">
        <f>'дод. 3'!E216</f>
        <v>76600</v>
      </c>
      <c r="E197" s="49">
        <f>'дод. 3'!F216</f>
        <v>76600</v>
      </c>
      <c r="F197" s="49">
        <f>'дод. 3'!G216</f>
        <v>0</v>
      </c>
      <c r="G197" s="49">
        <f>'дод. 3'!H216</f>
        <v>0</v>
      </c>
      <c r="H197" s="49">
        <f>'дод. 3'!I216</f>
        <v>0</v>
      </c>
      <c r="I197" s="49">
        <f>'дод. 3'!J216</f>
        <v>0</v>
      </c>
      <c r="J197" s="49">
        <f>'дод. 3'!K216</f>
        <v>0</v>
      </c>
      <c r="K197" s="49">
        <f>'дод. 3'!L216</f>
        <v>0</v>
      </c>
      <c r="L197" s="49">
        <f>'дод. 3'!M216</f>
        <v>0</v>
      </c>
      <c r="M197" s="49">
        <f>'дод. 3'!N216</f>
        <v>0</v>
      </c>
      <c r="N197" s="49">
        <f>'дод. 3'!O216</f>
        <v>0</v>
      </c>
      <c r="O197" s="49">
        <f>'дод. 3'!P216</f>
        <v>76600</v>
      </c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</row>
    <row r="198" spans="1:35" s="22" customFormat="1" ht="21" customHeight="1">
      <c r="A198" s="5" t="s">
        <v>21</v>
      </c>
      <c r="B198" s="5" t="s">
        <v>139</v>
      </c>
      <c r="C198" s="13" t="s">
        <v>22</v>
      </c>
      <c r="D198" s="49">
        <f>'дод. 3'!E82+'дод. 3'!E263+'дод. 3'!E56+'дод. 3'!E217</f>
        <v>0</v>
      </c>
      <c r="E198" s="49">
        <f>'дод. 3'!F82+'дод. 3'!F263+'дод. 3'!F56+'дод. 3'!F217</f>
        <v>0</v>
      </c>
      <c r="F198" s="49">
        <f>'дод. 3'!G82+'дод. 3'!G263+'дод. 3'!G56+'дод. 3'!G217</f>
        <v>0</v>
      </c>
      <c r="G198" s="49">
        <f>'дод. 3'!H82+'дод. 3'!H263+'дод. 3'!H56+'дод. 3'!H217</f>
        <v>0</v>
      </c>
      <c r="H198" s="49">
        <f>'дод. 3'!I82+'дод. 3'!I263+'дод. 3'!I56+'дод. 3'!I217</f>
        <v>0</v>
      </c>
      <c r="I198" s="49">
        <f>'дод. 3'!J82+'дод. 3'!J263+'дод. 3'!J56+'дод. 3'!J217</f>
        <v>2780000</v>
      </c>
      <c r="J198" s="49">
        <f>'дод. 3'!K82+'дод. 3'!K263+'дод. 3'!K56+'дод. 3'!K217</f>
        <v>2193000</v>
      </c>
      <c r="K198" s="49">
        <f>'дод. 3'!L82+'дод. 3'!L263+'дод. 3'!L56+'дод. 3'!L217</f>
        <v>0</v>
      </c>
      <c r="L198" s="49">
        <f>'дод. 3'!M82+'дод. 3'!M263+'дод. 3'!M56+'дод. 3'!M217</f>
        <v>0</v>
      </c>
      <c r="M198" s="49">
        <f>'дод. 3'!N82+'дод. 3'!N263+'дод. 3'!N56+'дод. 3'!N217</f>
        <v>587000</v>
      </c>
      <c r="N198" s="49">
        <f>'дод. 3'!O82+'дод. 3'!O263+'дод. 3'!O56+'дод. 3'!O217</f>
        <v>0</v>
      </c>
      <c r="O198" s="49">
        <f>'дод. 3'!P82+'дод. 3'!P263+'дод. 3'!P56+'дод. 3'!P217</f>
        <v>2780000</v>
      </c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</row>
    <row r="199" spans="1:35" s="22" customFormat="1" ht="26.25" customHeight="1">
      <c r="A199" s="23" t="s">
        <v>211</v>
      </c>
      <c r="B199" s="35"/>
      <c r="C199" s="11" t="s">
        <v>117</v>
      </c>
      <c r="D199" s="50">
        <f aca="true" t="shared" si="52" ref="D199:O199">D200</f>
        <v>164000</v>
      </c>
      <c r="E199" s="50">
        <f t="shared" si="52"/>
        <v>164000</v>
      </c>
      <c r="F199" s="50">
        <f t="shared" si="52"/>
        <v>0</v>
      </c>
      <c r="G199" s="50">
        <f t="shared" si="52"/>
        <v>0</v>
      </c>
      <c r="H199" s="50">
        <f t="shared" si="52"/>
        <v>0</v>
      </c>
      <c r="I199" s="50">
        <f t="shared" si="52"/>
        <v>0</v>
      </c>
      <c r="J199" s="50">
        <f t="shared" si="52"/>
        <v>0</v>
      </c>
      <c r="K199" s="50">
        <f t="shared" si="52"/>
        <v>0</v>
      </c>
      <c r="L199" s="50">
        <f t="shared" si="52"/>
        <v>0</v>
      </c>
      <c r="M199" s="50">
        <f t="shared" si="52"/>
        <v>0</v>
      </c>
      <c r="N199" s="50">
        <f t="shared" si="52"/>
        <v>0</v>
      </c>
      <c r="O199" s="50">
        <f t="shared" si="52"/>
        <v>164000</v>
      </c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276"/>
      <c r="AD199" s="276"/>
      <c r="AE199" s="276"/>
      <c r="AF199" s="276"/>
      <c r="AG199" s="276"/>
      <c r="AH199" s="276"/>
      <c r="AI199" s="276"/>
    </row>
    <row r="200" spans="1:35" s="22" customFormat="1" ht="25.5" customHeight="1">
      <c r="A200" s="5" t="s">
        <v>399</v>
      </c>
      <c r="B200" s="12" t="s">
        <v>118</v>
      </c>
      <c r="C200" s="13" t="s">
        <v>400</v>
      </c>
      <c r="D200" s="49">
        <f>'дод. 3'!E57</f>
        <v>164000</v>
      </c>
      <c r="E200" s="49">
        <f>'дод. 3'!F57</f>
        <v>164000</v>
      </c>
      <c r="F200" s="49">
        <f>'дод. 3'!G57</f>
        <v>0</v>
      </c>
      <c r="G200" s="49">
        <f>'дод. 3'!H57</f>
        <v>0</v>
      </c>
      <c r="H200" s="49">
        <f>'дод. 3'!I57</f>
        <v>0</v>
      </c>
      <c r="I200" s="49">
        <f>'дод. 3'!J57</f>
        <v>0</v>
      </c>
      <c r="J200" s="49">
        <f>'дод. 3'!K57</f>
        <v>0</v>
      </c>
      <c r="K200" s="49">
        <f>'дод. 3'!L57</f>
        <v>0</v>
      </c>
      <c r="L200" s="49">
        <f>'дод. 3'!M57</f>
        <v>0</v>
      </c>
      <c r="M200" s="49">
        <f>'дод. 3'!N57</f>
        <v>0</v>
      </c>
      <c r="N200" s="49">
        <f>'дод. 3'!O57</f>
        <v>0</v>
      </c>
      <c r="O200" s="49">
        <f>'дод. 3'!P57</f>
        <v>164000</v>
      </c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</row>
    <row r="201" spans="1:35" s="22" customFormat="1" ht="26.25" customHeight="1">
      <c r="A201" s="23" t="s">
        <v>142</v>
      </c>
      <c r="B201" s="23" t="s">
        <v>137</v>
      </c>
      <c r="C201" s="11" t="s">
        <v>23</v>
      </c>
      <c r="D201" s="50">
        <f>'дод. 3'!E264</f>
        <v>177952.41</v>
      </c>
      <c r="E201" s="50">
        <f>'дод. 3'!F264</f>
        <v>177952.41</v>
      </c>
      <c r="F201" s="50">
        <f>'дод. 3'!G264</f>
        <v>0</v>
      </c>
      <c r="G201" s="50">
        <f>'дод. 3'!H264</f>
        <v>0</v>
      </c>
      <c r="H201" s="50">
        <f>'дод. 3'!I264</f>
        <v>0</v>
      </c>
      <c r="I201" s="50">
        <f>'дод. 3'!J264</f>
        <v>0</v>
      </c>
      <c r="J201" s="50">
        <f>'дод. 3'!K264</f>
        <v>0</v>
      </c>
      <c r="K201" s="50">
        <f>'дод. 3'!L264</f>
        <v>0</v>
      </c>
      <c r="L201" s="50">
        <f>'дод. 3'!M264</f>
        <v>0</v>
      </c>
      <c r="M201" s="50">
        <f>'дод. 3'!N264</f>
        <v>0</v>
      </c>
      <c r="N201" s="50">
        <f>'дод. 3'!O264</f>
        <v>0</v>
      </c>
      <c r="O201" s="50">
        <f>'дод. 3'!P264</f>
        <v>177952.41</v>
      </c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6"/>
      <c r="AE201" s="276"/>
      <c r="AF201" s="276"/>
      <c r="AG201" s="276"/>
      <c r="AH201" s="276"/>
      <c r="AI201" s="276"/>
    </row>
    <row r="202" spans="1:35" s="22" customFormat="1" ht="26.25" customHeight="1">
      <c r="A202" s="23" t="s">
        <v>24</v>
      </c>
      <c r="B202" s="23" t="s">
        <v>140</v>
      </c>
      <c r="C202" s="11" t="s">
        <v>38</v>
      </c>
      <c r="D202" s="50">
        <f>'дод. 3'!E265</f>
        <v>14146833.26</v>
      </c>
      <c r="E202" s="50">
        <f>'дод. 3'!F265</f>
        <v>0</v>
      </c>
      <c r="F202" s="50">
        <f>'дод. 3'!G265</f>
        <v>0</v>
      </c>
      <c r="G202" s="50">
        <f>'дод. 3'!H265</f>
        <v>0</v>
      </c>
      <c r="H202" s="50">
        <f>'дод. 3'!I265</f>
        <v>0</v>
      </c>
      <c r="I202" s="50">
        <f>'дод. 3'!J265</f>
        <v>0</v>
      </c>
      <c r="J202" s="50">
        <f>'дод. 3'!K265</f>
        <v>0</v>
      </c>
      <c r="K202" s="50">
        <f>'дод. 3'!L265</f>
        <v>0</v>
      </c>
      <c r="L202" s="50">
        <f>'дод. 3'!M265</f>
        <v>0</v>
      </c>
      <c r="M202" s="50">
        <f>'дод. 3'!N265</f>
        <v>0</v>
      </c>
      <c r="N202" s="50">
        <f>'дод. 3'!O265</f>
        <v>0</v>
      </c>
      <c r="O202" s="50">
        <f>'дод. 3'!P265</f>
        <v>14146833.26</v>
      </c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</row>
    <row r="203" spans="1:35" s="22" customFormat="1" ht="27.75" customHeight="1">
      <c r="A203" s="23" t="s">
        <v>25</v>
      </c>
      <c r="B203" s="23"/>
      <c r="C203" s="11" t="s">
        <v>164</v>
      </c>
      <c r="D203" s="50">
        <f>D204+D206</f>
        <v>88670600</v>
      </c>
      <c r="E203" s="50">
        <f aca="true" t="shared" si="53" ref="E203:O203">E204+E206</f>
        <v>88670600</v>
      </c>
      <c r="F203" s="50">
        <f t="shared" si="53"/>
        <v>0</v>
      </c>
      <c r="G203" s="50">
        <f t="shared" si="53"/>
        <v>0</v>
      </c>
      <c r="H203" s="50">
        <f t="shared" si="53"/>
        <v>0</v>
      </c>
      <c r="I203" s="50">
        <f t="shared" si="53"/>
        <v>1720000</v>
      </c>
      <c r="J203" s="50">
        <f t="shared" si="53"/>
        <v>0</v>
      </c>
      <c r="K203" s="50">
        <f t="shared" si="53"/>
        <v>0</v>
      </c>
      <c r="L203" s="50">
        <f t="shared" si="53"/>
        <v>0</v>
      </c>
      <c r="M203" s="50">
        <f t="shared" si="53"/>
        <v>1720000</v>
      </c>
      <c r="N203" s="50">
        <f t="shared" si="53"/>
        <v>1720000</v>
      </c>
      <c r="O203" s="50">
        <f t="shared" si="53"/>
        <v>90390600</v>
      </c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76"/>
      <c r="AI203" s="276"/>
    </row>
    <row r="204" spans="1:35" s="22" customFormat="1" ht="27.75" customHeight="1">
      <c r="A204" s="23" t="s">
        <v>397</v>
      </c>
      <c r="B204" s="23"/>
      <c r="C204" s="11" t="s">
        <v>470</v>
      </c>
      <c r="D204" s="50">
        <f aca="true" t="shared" si="54" ref="D204:O204">D205</f>
        <v>87299600</v>
      </c>
      <c r="E204" s="50">
        <f t="shared" si="54"/>
        <v>87299600</v>
      </c>
      <c r="F204" s="50">
        <f t="shared" si="54"/>
        <v>0</v>
      </c>
      <c r="G204" s="50">
        <f t="shared" si="54"/>
        <v>0</v>
      </c>
      <c r="H204" s="50">
        <f t="shared" si="54"/>
        <v>0</v>
      </c>
      <c r="I204" s="50">
        <f t="shared" si="54"/>
        <v>0</v>
      </c>
      <c r="J204" s="50">
        <f t="shared" si="54"/>
        <v>0</v>
      </c>
      <c r="K204" s="50">
        <f t="shared" si="54"/>
        <v>0</v>
      </c>
      <c r="L204" s="50">
        <f t="shared" si="54"/>
        <v>0</v>
      </c>
      <c r="M204" s="50">
        <f t="shared" si="54"/>
        <v>0</v>
      </c>
      <c r="N204" s="50">
        <f t="shared" si="54"/>
        <v>0</v>
      </c>
      <c r="O204" s="50">
        <f t="shared" si="54"/>
        <v>87299600</v>
      </c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6"/>
      <c r="AE204" s="276"/>
      <c r="AF204" s="276"/>
      <c r="AG204" s="276"/>
      <c r="AH204" s="276"/>
      <c r="AI204" s="276"/>
    </row>
    <row r="205" spans="1:35" s="22" customFormat="1" ht="21.75" customHeight="1">
      <c r="A205" s="5" t="s">
        <v>138</v>
      </c>
      <c r="B205" s="12" t="s">
        <v>78</v>
      </c>
      <c r="C205" s="13" t="s">
        <v>162</v>
      </c>
      <c r="D205" s="49">
        <f>'дод. 3'!E266</f>
        <v>87299600</v>
      </c>
      <c r="E205" s="49">
        <f>'дод. 3'!F266</f>
        <v>87299600</v>
      </c>
      <c r="F205" s="49">
        <f>'дод. 3'!G266</f>
        <v>0</v>
      </c>
      <c r="G205" s="49">
        <f>'дод. 3'!H266</f>
        <v>0</v>
      </c>
      <c r="H205" s="49">
        <f>'дод. 3'!I266</f>
        <v>0</v>
      </c>
      <c r="I205" s="49">
        <f>'дод. 3'!J266</f>
        <v>0</v>
      </c>
      <c r="J205" s="49">
        <f>'дод. 3'!K266</f>
        <v>0</v>
      </c>
      <c r="K205" s="49">
        <f>'дод. 3'!L266</f>
        <v>0</v>
      </c>
      <c r="L205" s="49">
        <f>'дод. 3'!M266</f>
        <v>0</v>
      </c>
      <c r="M205" s="49">
        <f>'дод. 3'!N266</f>
        <v>0</v>
      </c>
      <c r="N205" s="49">
        <f>'дод. 3'!O266</f>
        <v>0</v>
      </c>
      <c r="O205" s="49">
        <f>'дод. 3'!P266</f>
        <v>87299600</v>
      </c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</row>
    <row r="206" spans="1:35" s="22" customFormat="1" ht="57" customHeight="1">
      <c r="A206" s="23" t="s">
        <v>26</v>
      </c>
      <c r="B206" s="10"/>
      <c r="C206" s="11" t="s">
        <v>27</v>
      </c>
      <c r="D206" s="50">
        <f aca="true" t="shared" si="55" ref="D206:O206">D207</f>
        <v>1371000</v>
      </c>
      <c r="E206" s="50">
        <f t="shared" si="55"/>
        <v>1371000</v>
      </c>
      <c r="F206" s="50">
        <f t="shared" si="55"/>
        <v>0</v>
      </c>
      <c r="G206" s="50">
        <f t="shared" si="55"/>
        <v>0</v>
      </c>
      <c r="H206" s="50">
        <f t="shared" si="55"/>
        <v>0</v>
      </c>
      <c r="I206" s="50">
        <f t="shared" si="55"/>
        <v>1720000</v>
      </c>
      <c r="J206" s="50">
        <f t="shared" si="55"/>
        <v>0</v>
      </c>
      <c r="K206" s="50">
        <f t="shared" si="55"/>
        <v>0</v>
      </c>
      <c r="L206" s="50">
        <f t="shared" si="55"/>
        <v>0</v>
      </c>
      <c r="M206" s="50">
        <f t="shared" si="55"/>
        <v>1720000</v>
      </c>
      <c r="N206" s="50">
        <f t="shared" si="55"/>
        <v>1720000</v>
      </c>
      <c r="O206" s="50">
        <f t="shared" si="55"/>
        <v>3091000</v>
      </c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6"/>
      <c r="AE206" s="276"/>
      <c r="AF206" s="276"/>
      <c r="AG206" s="276"/>
      <c r="AH206" s="276"/>
      <c r="AI206" s="276"/>
    </row>
    <row r="207" spans="1:35" s="22" customFormat="1" ht="33.75" customHeight="1">
      <c r="A207" s="5" t="s">
        <v>28</v>
      </c>
      <c r="B207" s="12" t="s">
        <v>78</v>
      </c>
      <c r="C207" s="18" t="s">
        <v>415</v>
      </c>
      <c r="D207" s="49">
        <f>'дод. 3'!E218+'дод. 3'!E183+'дод. 3'!E267</f>
        <v>1371000</v>
      </c>
      <c r="E207" s="49">
        <f>'дод. 3'!F218+'дод. 3'!F183+'дод. 3'!F267</f>
        <v>1371000</v>
      </c>
      <c r="F207" s="49">
        <f>'дод. 3'!G218+'дод. 3'!G183+'дод. 3'!G267</f>
        <v>0</v>
      </c>
      <c r="G207" s="49">
        <f>'дод. 3'!H218+'дод. 3'!H183+'дод. 3'!H267</f>
        <v>0</v>
      </c>
      <c r="H207" s="49">
        <f>'дод. 3'!I218+'дод. 3'!I183+'дод. 3'!I267</f>
        <v>0</v>
      </c>
      <c r="I207" s="49">
        <f>'дод. 3'!J218+'дод. 3'!J183+'дод. 3'!J267</f>
        <v>1720000</v>
      </c>
      <c r="J207" s="49">
        <f>'дод. 3'!K218+'дод. 3'!K183+'дод. 3'!K267</f>
        <v>0</v>
      </c>
      <c r="K207" s="49">
        <f>'дод. 3'!L218+'дод. 3'!L183+'дод. 3'!L267</f>
        <v>0</v>
      </c>
      <c r="L207" s="49">
        <f>'дод. 3'!M218+'дод. 3'!M183+'дод. 3'!M267</f>
        <v>0</v>
      </c>
      <c r="M207" s="49">
        <f>'дод. 3'!N218+'дод. 3'!N183+'дод. 3'!N267</f>
        <v>1720000</v>
      </c>
      <c r="N207" s="49">
        <f>'дод. 3'!O218+'дод. 3'!O183+'дод. 3'!O267</f>
        <v>1720000</v>
      </c>
      <c r="O207" s="49">
        <f>'дод. 3'!P218+'дод. 3'!P183+'дод. 3'!P267</f>
        <v>3091000</v>
      </c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</row>
    <row r="208" spans="1:35" s="22" customFormat="1" ht="25.5" customHeight="1">
      <c r="A208" s="23"/>
      <c r="B208" s="23"/>
      <c r="C208" s="11" t="s">
        <v>39</v>
      </c>
      <c r="D208" s="50">
        <f aca="true" t="shared" si="56" ref="D208:O208">D13+D16+D33+D61+D134+D139+D149+D161+D163+D171+D178+D180+D191+D194+D196+D199+D201+D202+D204+D206</f>
        <v>2805595776.67</v>
      </c>
      <c r="E208" s="50">
        <f t="shared" si="56"/>
        <v>2765067432.41</v>
      </c>
      <c r="F208" s="50">
        <f t="shared" si="56"/>
        <v>663396378.1</v>
      </c>
      <c r="G208" s="50">
        <f t="shared" si="56"/>
        <v>95161855</v>
      </c>
      <c r="H208" s="50">
        <f t="shared" si="56"/>
        <v>26381511</v>
      </c>
      <c r="I208" s="50">
        <f t="shared" si="56"/>
        <v>473640332</v>
      </c>
      <c r="J208" s="50">
        <f t="shared" si="56"/>
        <v>72333808</v>
      </c>
      <c r="K208" s="50">
        <f t="shared" si="56"/>
        <v>6315206</v>
      </c>
      <c r="L208" s="50">
        <f t="shared" si="56"/>
        <v>2472134</v>
      </c>
      <c r="M208" s="50">
        <f t="shared" si="56"/>
        <v>401306524</v>
      </c>
      <c r="N208" s="50">
        <f t="shared" si="56"/>
        <v>399370104</v>
      </c>
      <c r="O208" s="50">
        <f t="shared" si="56"/>
        <v>3279236108.67</v>
      </c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</row>
    <row r="209" spans="1:35" s="22" customFormat="1" ht="25.5" customHeight="1">
      <c r="A209" s="62"/>
      <c r="B209" s="62"/>
      <c r="C209" s="11" t="s">
        <v>416</v>
      </c>
      <c r="D209" s="63">
        <f aca="true" t="shared" si="57" ref="D209:O209">D17+D34+D62</f>
        <v>1629008100</v>
      </c>
      <c r="E209" s="63">
        <f t="shared" si="57"/>
        <v>1629008100</v>
      </c>
      <c r="F209" s="63">
        <f t="shared" si="57"/>
        <v>212872900</v>
      </c>
      <c r="G209" s="63">
        <f t="shared" si="57"/>
        <v>0</v>
      </c>
      <c r="H209" s="63">
        <f t="shared" si="57"/>
        <v>0</v>
      </c>
      <c r="I209" s="63">
        <f t="shared" si="57"/>
        <v>0</v>
      </c>
      <c r="J209" s="63">
        <f t="shared" si="57"/>
        <v>0</v>
      </c>
      <c r="K209" s="63">
        <f t="shared" si="57"/>
        <v>0</v>
      </c>
      <c r="L209" s="63">
        <f t="shared" si="57"/>
        <v>0</v>
      </c>
      <c r="M209" s="63">
        <f t="shared" si="57"/>
        <v>0</v>
      </c>
      <c r="N209" s="63">
        <f t="shared" si="57"/>
        <v>0</v>
      </c>
      <c r="O209" s="63">
        <f t="shared" si="57"/>
        <v>1629008100</v>
      </c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</row>
    <row r="210" spans="1:35" s="22" customFormat="1" ht="25.5" customHeight="1">
      <c r="A210" s="107"/>
      <c r="B210" s="107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277"/>
      <c r="Q210" s="277"/>
      <c r="R210" s="277"/>
      <c r="S210" s="278"/>
      <c r="T210" s="278"/>
      <c r="U210" s="278"/>
      <c r="V210" s="278"/>
      <c r="W210" s="278"/>
      <c r="X210" s="278"/>
      <c r="Y210" s="278"/>
      <c r="Z210" s="278"/>
      <c r="AA210" s="278"/>
      <c r="AB210" s="278"/>
      <c r="AC210" s="278"/>
      <c r="AD210" s="278"/>
      <c r="AE210" s="278"/>
      <c r="AF210" s="278"/>
      <c r="AG210" s="278"/>
      <c r="AH210" s="278"/>
      <c r="AI210" s="279"/>
    </row>
    <row r="211" spans="1:35" s="22" customFormat="1" ht="25.5" customHeight="1">
      <c r="A211" s="107"/>
      <c r="B211" s="107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277"/>
      <c r="Q211" s="277"/>
      <c r="R211" s="277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9"/>
    </row>
    <row r="212" spans="1:35" s="22" customFormat="1" ht="58.5" customHeight="1">
      <c r="A212" s="193"/>
      <c r="B212" s="293" t="s">
        <v>583</v>
      </c>
      <c r="C212" s="293"/>
      <c r="D212" s="293"/>
      <c r="E212" s="113"/>
      <c r="F212" s="113"/>
      <c r="G212" s="113"/>
      <c r="H212" s="113"/>
      <c r="I212" s="113"/>
      <c r="J212" s="113"/>
      <c r="K212" s="287" t="s">
        <v>584</v>
      </c>
      <c r="L212" s="287"/>
      <c r="M212" s="287"/>
      <c r="N212" s="194"/>
      <c r="O212" s="104"/>
      <c r="P212" s="277"/>
      <c r="Q212" s="277"/>
      <c r="R212" s="277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9"/>
    </row>
    <row r="213" spans="1:35" s="22" customFormat="1" ht="25.5" customHeight="1">
      <c r="A213" s="292"/>
      <c r="B213" s="292"/>
      <c r="C213" s="292"/>
      <c r="D213" s="292"/>
      <c r="E213" s="292"/>
      <c r="F213" s="292"/>
      <c r="G213" s="195"/>
      <c r="H213" s="195"/>
      <c r="I213" s="194"/>
      <c r="J213" s="195"/>
      <c r="K213" s="281"/>
      <c r="L213" s="281"/>
      <c r="M213" s="281"/>
      <c r="N213" s="281"/>
      <c r="O213" s="104"/>
      <c r="P213" s="277"/>
      <c r="Q213" s="277"/>
      <c r="R213" s="277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9"/>
    </row>
    <row r="214" spans="1:35" s="22" customFormat="1" ht="25.5" customHeight="1">
      <c r="A214" s="196"/>
      <c r="B214" s="197" t="s">
        <v>585</v>
      </c>
      <c r="C214" s="196"/>
      <c r="D214" s="198"/>
      <c r="E214" s="198"/>
      <c r="F214" s="198"/>
      <c r="G214" s="198"/>
      <c r="H214" s="198"/>
      <c r="I214" s="198"/>
      <c r="J214" s="198"/>
      <c r="K214" s="198"/>
      <c r="L214" s="198"/>
      <c r="M214" s="196"/>
      <c r="N214" s="196"/>
      <c r="O214" s="104"/>
      <c r="P214" s="277"/>
      <c r="Q214" s="277"/>
      <c r="R214" s="277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9"/>
    </row>
    <row r="215" spans="1:35" s="16" customFormat="1" ht="26.25" customHeight="1">
      <c r="A215" s="106"/>
      <c r="B215" s="102"/>
      <c r="C215" s="102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</row>
    <row r="216" spans="1:35" s="21" customFormat="1" ht="26.25" customHeight="1">
      <c r="A216" s="184"/>
      <c r="B216" s="184"/>
      <c r="C216" s="184"/>
      <c r="D216" s="57">
        <f>D209-'дод. 3'!E269</f>
        <v>0</v>
      </c>
      <c r="E216" s="57">
        <f>E209-'дод. 3'!F269</f>
        <v>0</v>
      </c>
      <c r="F216" s="57">
        <f>F209-'дод. 3'!G269</f>
        <v>0</v>
      </c>
      <c r="G216" s="57">
        <f>G209-'дод. 3'!H269</f>
        <v>0</v>
      </c>
      <c r="H216" s="57">
        <f>H209-'дод. 3'!I269</f>
        <v>0</v>
      </c>
      <c r="I216" s="57">
        <f>I209-'дод. 3'!J269</f>
        <v>0</v>
      </c>
      <c r="J216" s="57">
        <f>J209-'дод. 3'!K269</f>
        <v>0</v>
      </c>
      <c r="K216" s="57">
        <f>K209-'дод. 3'!L269</f>
        <v>0</v>
      </c>
      <c r="L216" s="57">
        <f>L209-'дод. 3'!M269</f>
        <v>0</v>
      </c>
      <c r="M216" s="57">
        <f>M209-'дод. 3'!N269</f>
        <v>0</v>
      </c>
      <c r="N216" s="57">
        <f>N209-'дод. 3'!O269</f>
        <v>0</v>
      </c>
      <c r="O216" s="57">
        <f>O209-'дод. 3'!P269</f>
        <v>0</v>
      </c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</row>
    <row r="217" spans="1:35" s="16" customFormat="1" ht="15.75">
      <c r="A217" s="6"/>
      <c r="C217" s="44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77"/>
      <c r="Q217" s="277"/>
      <c r="R217" s="27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9"/>
    </row>
    <row r="218" spans="3:35" s="16" customFormat="1" ht="15.75">
      <c r="C218" s="64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277"/>
      <c r="Q218" s="277"/>
      <c r="R218" s="27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9"/>
    </row>
    <row r="219" spans="1:35" s="16" customFormat="1" ht="15.75">
      <c r="A219" s="17"/>
      <c r="B219" s="6"/>
      <c r="C219" s="44"/>
      <c r="J219" s="20"/>
      <c r="K219" s="20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9"/>
    </row>
    <row r="220" spans="1:35" s="16" customFormat="1" ht="15.75">
      <c r="A220" s="17"/>
      <c r="B220" s="6"/>
      <c r="C220" s="44"/>
      <c r="J220" s="20"/>
      <c r="K220" s="20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9"/>
    </row>
    <row r="221" spans="1:35" s="16" customFormat="1" ht="15.75">
      <c r="A221" s="17"/>
      <c r="B221" s="6"/>
      <c r="C221" s="44"/>
      <c r="J221" s="20"/>
      <c r="K221" s="20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9"/>
    </row>
    <row r="222" spans="1:35" s="16" customFormat="1" ht="15.75">
      <c r="A222" s="17"/>
      <c r="B222" s="6"/>
      <c r="C222" s="44"/>
      <c r="D222" s="58"/>
      <c r="E222" s="58"/>
      <c r="J222" s="20"/>
      <c r="K222" s="20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9"/>
    </row>
    <row r="223" spans="1:35" s="16" customFormat="1" ht="15.75">
      <c r="A223" s="17"/>
      <c r="B223" s="6"/>
      <c r="C223" s="44"/>
      <c r="J223" s="20"/>
      <c r="K223" s="20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9"/>
    </row>
    <row r="224" spans="1:35" s="16" customFormat="1" ht="15.75">
      <c r="A224" s="17"/>
      <c r="B224" s="6"/>
      <c r="C224" s="44"/>
      <c r="D224" s="57"/>
      <c r="J224" s="20"/>
      <c r="K224" s="20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9"/>
    </row>
    <row r="225" spans="1:35" s="16" customFormat="1" ht="15.75">
      <c r="A225" s="17"/>
      <c r="B225" s="6"/>
      <c r="C225" s="44"/>
      <c r="D225" s="57"/>
      <c r="J225" s="20"/>
      <c r="K225" s="20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9"/>
    </row>
    <row r="226" spans="1:35" s="16" customFormat="1" ht="15.75">
      <c r="A226" s="17"/>
      <c r="B226" s="6"/>
      <c r="C226" s="44"/>
      <c r="J226" s="20"/>
      <c r="K226" s="20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9"/>
    </row>
    <row r="227" spans="1:35" s="16" customFormat="1" ht="15.75">
      <c r="A227" s="17"/>
      <c r="B227" s="6"/>
      <c r="C227" s="44"/>
      <c r="J227" s="20"/>
      <c r="K227" s="20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9"/>
    </row>
    <row r="228" spans="1:35" s="16" customFormat="1" ht="15.75">
      <c r="A228" s="17"/>
      <c r="B228" s="6"/>
      <c r="C228" s="44"/>
      <c r="J228" s="20"/>
      <c r="K228" s="20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9"/>
    </row>
    <row r="229" spans="1:35" s="16" customFormat="1" ht="15.75">
      <c r="A229" s="17"/>
      <c r="B229" s="6"/>
      <c r="C229" s="44"/>
      <c r="J229" s="20"/>
      <c r="K229" s="20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9"/>
    </row>
    <row r="230" spans="1:35" s="16" customFormat="1" ht="15.75">
      <c r="A230" s="17"/>
      <c r="B230" s="6"/>
      <c r="C230" s="44"/>
      <c r="J230" s="20"/>
      <c r="K230" s="20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9"/>
    </row>
    <row r="231" spans="1:35" s="16" customFormat="1" ht="15.75">
      <c r="A231" s="17"/>
      <c r="B231" s="6"/>
      <c r="C231" s="44"/>
      <c r="J231" s="20"/>
      <c r="K231" s="20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9"/>
    </row>
    <row r="232" spans="1:35" s="16" customFormat="1" ht="15.75">
      <c r="A232" s="17"/>
      <c r="B232" s="6"/>
      <c r="C232" s="44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9"/>
    </row>
    <row r="233" spans="1:35" s="16" customFormat="1" ht="15.75">
      <c r="A233" s="17"/>
      <c r="B233" s="6"/>
      <c r="C233" s="44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9"/>
    </row>
    <row r="234" spans="1:35" s="16" customFormat="1" ht="15.75">
      <c r="A234" s="17"/>
      <c r="B234" s="6"/>
      <c r="C234" s="44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9"/>
    </row>
    <row r="235" spans="1:35" s="16" customFormat="1" ht="15.75">
      <c r="A235" s="17"/>
      <c r="B235" s="6"/>
      <c r="C235" s="44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9"/>
    </row>
    <row r="236" spans="1:35" s="16" customFormat="1" ht="15.75">
      <c r="A236" s="17"/>
      <c r="B236" s="6"/>
      <c r="C236" s="44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9"/>
    </row>
    <row r="237" spans="1:35" s="16" customFormat="1" ht="15.75">
      <c r="A237" s="17"/>
      <c r="B237" s="6"/>
      <c r="C237" s="44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9"/>
    </row>
    <row r="238" spans="1:35" s="16" customFormat="1" ht="15.75">
      <c r="A238" s="17"/>
      <c r="B238" s="6"/>
      <c r="C238" s="44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9"/>
    </row>
    <row r="239" spans="1:35" s="16" customFormat="1" ht="15.75">
      <c r="A239" s="17"/>
      <c r="B239" s="6"/>
      <c r="C239" s="44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9"/>
    </row>
    <row r="240" spans="1:35" s="16" customFormat="1" ht="15.75">
      <c r="A240" s="17"/>
      <c r="B240" s="6"/>
      <c r="C240" s="44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9"/>
    </row>
    <row r="241" spans="1:35" s="16" customFormat="1" ht="15.75">
      <c r="A241" s="17"/>
      <c r="B241" s="6"/>
      <c r="C241" s="44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9"/>
    </row>
    <row r="242" spans="1:35" s="16" customFormat="1" ht="15.75">
      <c r="A242" s="17"/>
      <c r="B242" s="6"/>
      <c r="C242" s="44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9"/>
    </row>
    <row r="243" spans="1:35" s="16" customFormat="1" ht="15.75">
      <c r="A243" s="17"/>
      <c r="B243" s="6"/>
      <c r="C243" s="44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9"/>
    </row>
    <row r="244" spans="1:35" s="16" customFormat="1" ht="15.75">
      <c r="A244" s="17"/>
      <c r="B244" s="6"/>
      <c r="C244" s="44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9"/>
    </row>
    <row r="245" spans="1:35" s="16" customFormat="1" ht="15.75">
      <c r="A245" s="17"/>
      <c r="B245" s="6"/>
      <c r="C245" s="44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9"/>
    </row>
    <row r="246" spans="1:35" s="16" customFormat="1" ht="15.75">
      <c r="A246" s="17"/>
      <c r="B246" s="6"/>
      <c r="C246" s="44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9"/>
    </row>
    <row r="247" spans="1:35" s="16" customFormat="1" ht="15.75">
      <c r="A247" s="17"/>
      <c r="B247" s="6"/>
      <c r="C247" s="44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9"/>
    </row>
    <row r="248" spans="1:35" s="16" customFormat="1" ht="15.75">
      <c r="A248" s="17"/>
      <c r="B248" s="6"/>
      <c r="C248" s="44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9"/>
    </row>
    <row r="249" spans="1:35" s="16" customFormat="1" ht="15.75">
      <c r="A249" s="17"/>
      <c r="B249" s="6"/>
      <c r="C249" s="44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9"/>
    </row>
    <row r="250" spans="1:35" s="16" customFormat="1" ht="15.75">
      <c r="A250" s="17"/>
      <c r="B250" s="6"/>
      <c r="C250" s="44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9"/>
    </row>
    <row r="251" spans="1:35" s="16" customFormat="1" ht="15.75">
      <c r="A251" s="17"/>
      <c r="B251" s="6"/>
      <c r="C251" s="44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9"/>
    </row>
    <row r="252" spans="1:35" s="16" customFormat="1" ht="15.75">
      <c r="A252" s="17"/>
      <c r="B252" s="6"/>
      <c r="C252" s="44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9"/>
    </row>
    <row r="253" spans="1:35" s="16" customFormat="1" ht="15.75">
      <c r="A253" s="17"/>
      <c r="B253" s="6"/>
      <c r="C253" s="44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9"/>
    </row>
    <row r="254" spans="1:35" s="16" customFormat="1" ht="15.75">
      <c r="A254" s="17"/>
      <c r="B254" s="6"/>
      <c r="C254" s="44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9"/>
    </row>
    <row r="255" spans="1:35" s="16" customFormat="1" ht="15.75">
      <c r="A255" s="17"/>
      <c r="B255" s="6"/>
      <c r="C255" s="44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9"/>
    </row>
    <row r="256" spans="1:35" s="16" customFormat="1" ht="15.75">
      <c r="A256" s="17"/>
      <c r="B256" s="6"/>
      <c r="C256" s="44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9"/>
    </row>
    <row r="257" spans="1:35" s="16" customFormat="1" ht="15.75">
      <c r="A257" s="17"/>
      <c r="B257" s="6"/>
      <c r="C257" s="44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9"/>
    </row>
    <row r="258" spans="1:35" s="16" customFormat="1" ht="15.75">
      <c r="A258" s="17"/>
      <c r="B258" s="6"/>
      <c r="C258" s="44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9"/>
    </row>
    <row r="259" spans="1:35" s="16" customFormat="1" ht="15.75">
      <c r="A259" s="17"/>
      <c r="B259" s="6"/>
      <c r="C259" s="44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9"/>
    </row>
    <row r="260" spans="1:35" s="16" customFormat="1" ht="15.75">
      <c r="A260" s="17"/>
      <c r="B260" s="6"/>
      <c r="C260" s="44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9"/>
    </row>
    <row r="261" spans="1:35" s="16" customFormat="1" ht="15.75">
      <c r="A261" s="17"/>
      <c r="B261" s="6"/>
      <c r="C261" s="44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9"/>
    </row>
    <row r="262" spans="1:35" s="16" customFormat="1" ht="15.75">
      <c r="A262" s="17"/>
      <c r="B262" s="6"/>
      <c r="C262" s="44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9"/>
    </row>
    <row r="263" spans="1:35" s="16" customFormat="1" ht="15.75">
      <c r="A263" s="17"/>
      <c r="B263" s="6"/>
      <c r="C263" s="44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9"/>
    </row>
    <row r="264" spans="1:35" s="16" customFormat="1" ht="15.75">
      <c r="A264" s="17"/>
      <c r="B264" s="6"/>
      <c r="C264" s="44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9"/>
    </row>
    <row r="265" spans="1:35" s="16" customFormat="1" ht="15.75">
      <c r="A265" s="17"/>
      <c r="B265" s="6"/>
      <c r="C265" s="44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9"/>
    </row>
    <row r="266" spans="1:35" s="16" customFormat="1" ht="15.75">
      <c r="A266" s="17"/>
      <c r="B266" s="6"/>
      <c r="C266" s="44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9"/>
    </row>
    <row r="267" spans="1:35" s="16" customFormat="1" ht="15.75">
      <c r="A267" s="17"/>
      <c r="B267" s="6"/>
      <c r="C267" s="44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9"/>
    </row>
    <row r="268" spans="1:35" s="16" customFormat="1" ht="15.75">
      <c r="A268" s="17"/>
      <c r="B268" s="6"/>
      <c r="C268" s="44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9"/>
    </row>
    <row r="269" spans="1:35" s="16" customFormat="1" ht="15.75">
      <c r="A269" s="17"/>
      <c r="B269" s="6"/>
      <c r="C269" s="44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9"/>
    </row>
    <row r="270" spans="1:35" s="16" customFormat="1" ht="15.75">
      <c r="A270" s="17"/>
      <c r="B270" s="6"/>
      <c r="C270" s="44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9"/>
    </row>
    <row r="271" spans="1:35" s="16" customFormat="1" ht="15.75">
      <c r="A271" s="17"/>
      <c r="B271" s="6"/>
      <c r="C271" s="44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9"/>
    </row>
    <row r="272" spans="1:35" s="16" customFormat="1" ht="15.75">
      <c r="A272" s="17"/>
      <c r="B272" s="6"/>
      <c r="C272" s="44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9"/>
    </row>
    <row r="273" spans="1:35" s="16" customFormat="1" ht="15.75">
      <c r="A273" s="17"/>
      <c r="B273" s="6"/>
      <c r="C273" s="44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9"/>
    </row>
    <row r="274" spans="1:35" s="16" customFormat="1" ht="15.75">
      <c r="A274" s="17"/>
      <c r="B274" s="6"/>
      <c r="C274" s="44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9"/>
    </row>
    <row r="275" spans="1:35" s="16" customFormat="1" ht="15.75">
      <c r="A275" s="17"/>
      <c r="B275" s="6"/>
      <c r="C275" s="44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9"/>
    </row>
    <row r="276" spans="1:35" s="16" customFormat="1" ht="15.75">
      <c r="A276" s="17"/>
      <c r="B276" s="6"/>
      <c r="C276" s="44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9"/>
    </row>
    <row r="277" spans="1:35" s="16" customFormat="1" ht="15.75">
      <c r="A277" s="17"/>
      <c r="B277" s="6"/>
      <c r="C277" s="44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9"/>
    </row>
    <row r="278" spans="1:35" s="16" customFormat="1" ht="15.75">
      <c r="A278" s="17"/>
      <c r="B278" s="6"/>
      <c r="C278" s="44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9"/>
    </row>
    <row r="279" spans="1:35" s="16" customFormat="1" ht="15.75">
      <c r="A279" s="17"/>
      <c r="B279" s="6"/>
      <c r="C279" s="44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9"/>
    </row>
    <row r="280" spans="1:35" s="16" customFormat="1" ht="15.75">
      <c r="A280" s="17"/>
      <c r="B280" s="6"/>
      <c r="C280" s="44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9"/>
    </row>
    <row r="281" spans="1:35" s="16" customFormat="1" ht="15.75">
      <c r="A281" s="17"/>
      <c r="B281" s="6"/>
      <c r="C281" s="44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9"/>
    </row>
    <row r="282" spans="1:35" s="16" customFormat="1" ht="15.75">
      <c r="A282" s="17"/>
      <c r="B282" s="6"/>
      <c r="C282" s="44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9"/>
    </row>
    <row r="283" spans="1:35" s="16" customFormat="1" ht="15.75">
      <c r="A283" s="17"/>
      <c r="B283" s="6"/>
      <c r="C283" s="44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9"/>
    </row>
    <row r="284" spans="1:35" s="16" customFormat="1" ht="15.75">
      <c r="A284" s="17"/>
      <c r="B284" s="6"/>
      <c r="C284" s="44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9"/>
    </row>
    <row r="285" spans="1:35" s="16" customFormat="1" ht="15.75">
      <c r="A285" s="17"/>
      <c r="B285" s="6"/>
      <c r="C285" s="44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9"/>
    </row>
    <row r="286" spans="1:35" s="16" customFormat="1" ht="15.75">
      <c r="A286" s="17"/>
      <c r="B286" s="6"/>
      <c r="C286" s="44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9"/>
    </row>
    <row r="287" spans="1:35" s="16" customFormat="1" ht="15.75">
      <c r="A287" s="17"/>
      <c r="B287" s="6"/>
      <c r="C287" s="44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9"/>
    </row>
    <row r="288" spans="1:35" s="16" customFormat="1" ht="15.75">
      <c r="A288" s="17"/>
      <c r="B288" s="6"/>
      <c r="C288" s="44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9"/>
    </row>
    <row r="289" spans="1:35" s="16" customFormat="1" ht="15.75">
      <c r="A289" s="17"/>
      <c r="B289" s="6"/>
      <c r="C289" s="44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9"/>
    </row>
    <row r="290" spans="1:35" s="16" customFormat="1" ht="15.75">
      <c r="A290" s="17"/>
      <c r="B290" s="6"/>
      <c r="C290" s="44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9"/>
    </row>
    <row r="291" spans="1:35" s="16" customFormat="1" ht="15.75">
      <c r="A291" s="17"/>
      <c r="B291" s="6"/>
      <c r="C291" s="44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9"/>
    </row>
    <row r="292" spans="1:35" s="16" customFormat="1" ht="15.75">
      <c r="A292" s="17"/>
      <c r="B292" s="6"/>
      <c r="C292" s="44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9"/>
    </row>
    <row r="293" spans="1:35" s="16" customFormat="1" ht="15.75">
      <c r="A293" s="17"/>
      <c r="B293" s="6"/>
      <c r="C293" s="44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9"/>
    </row>
    <row r="294" spans="1:35" s="16" customFormat="1" ht="15.75">
      <c r="A294" s="17"/>
      <c r="B294" s="6"/>
      <c r="C294" s="44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9"/>
    </row>
    <row r="295" spans="1:35" s="16" customFormat="1" ht="15.75">
      <c r="A295" s="17"/>
      <c r="B295" s="6"/>
      <c r="C295" s="44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9"/>
    </row>
    <row r="296" spans="1:35" s="16" customFormat="1" ht="15.75">
      <c r="A296" s="17"/>
      <c r="B296" s="6"/>
      <c r="C296" s="44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9"/>
    </row>
    <row r="297" spans="1:35" s="16" customFormat="1" ht="15.75">
      <c r="A297" s="17"/>
      <c r="B297" s="6"/>
      <c r="C297" s="44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9"/>
    </row>
    <row r="298" spans="1:35" s="16" customFormat="1" ht="15.75">
      <c r="A298" s="17"/>
      <c r="B298" s="6"/>
      <c r="C298" s="44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9"/>
    </row>
    <row r="299" spans="1:35" s="16" customFormat="1" ht="15.75">
      <c r="A299" s="17"/>
      <c r="B299" s="6"/>
      <c r="C299" s="44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9"/>
    </row>
    <row r="300" spans="1:35" s="16" customFormat="1" ht="15.75">
      <c r="A300" s="17"/>
      <c r="B300" s="6"/>
      <c r="C300" s="44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9"/>
    </row>
    <row r="301" spans="1:35" s="16" customFormat="1" ht="15.75">
      <c r="A301" s="17"/>
      <c r="B301" s="6"/>
      <c r="C301" s="44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9"/>
    </row>
    <row r="302" spans="1:35" s="16" customFormat="1" ht="15.75">
      <c r="A302" s="17"/>
      <c r="B302" s="6"/>
      <c r="C302" s="44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9"/>
    </row>
    <row r="303" spans="1:35" s="16" customFormat="1" ht="15.75">
      <c r="A303" s="17"/>
      <c r="B303" s="6"/>
      <c r="C303" s="44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9"/>
    </row>
    <row r="304" spans="1:35" s="16" customFormat="1" ht="15.75">
      <c r="A304" s="17"/>
      <c r="B304" s="6"/>
      <c r="C304" s="44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9"/>
    </row>
    <row r="305" spans="1:35" s="16" customFormat="1" ht="15.75">
      <c r="A305" s="17"/>
      <c r="B305" s="6"/>
      <c r="C305" s="44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9"/>
    </row>
    <row r="306" spans="1:35" s="16" customFormat="1" ht="15.75">
      <c r="A306" s="17"/>
      <c r="B306" s="6"/>
      <c r="C306" s="44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9"/>
    </row>
    <row r="307" spans="1:35" s="16" customFormat="1" ht="15.75">
      <c r="A307" s="17"/>
      <c r="B307" s="6"/>
      <c r="C307" s="44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9"/>
    </row>
    <row r="308" spans="1:35" s="16" customFormat="1" ht="15.75">
      <c r="A308" s="17"/>
      <c r="B308" s="6"/>
      <c r="C308" s="44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9"/>
    </row>
    <row r="309" spans="1:35" s="16" customFormat="1" ht="15.75">
      <c r="A309" s="17"/>
      <c r="B309" s="6"/>
      <c r="C309" s="44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9"/>
    </row>
    <row r="310" spans="1:35" s="16" customFormat="1" ht="15.75">
      <c r="A310" s="17"/>
      <c r="B310" s="6"/>
      <c r="C310" s="44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9"/>
    </row>
    <row r="311" spans="1:35" s="16" customFormat="1" ht="15.75">
      <c r="A311" s="17"/>
      <c r="B311" s="6"/>
      <c r="C311" s="44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9"/>
    </row>
    <row r="312" spans="1:35" s="16" customFormat="1" ht="15.75">
      <c r="A312" s="17"/>
      <c r="B312" s="6"/>
      <c r="C312" s="44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9"/>
    </row>
    <row r="313" spans="1:35" s="16" customFormat="1" ht="15.75">
      <c r="A313" s="17"/>
      <c r="B313" s="6"/>
      <c r="C313" s="44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9"/>
    </row>
    <row r="314" spans="1:35" s="16" customFormat="1" ht="15.75">
      <c r="A314" s="17"/>
      <c r="B314" s="6"/>
      <c r="C314" s="44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9"/>
    </row>
    <row r="315" spans="1:35" s="16" customFormat="1" ht="15.75">
      <c r="A315" s="17"/>
      <c r="B315" s="6"/>
      <c r="C315" s="44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9"/>
    </row>
    <row r="316" spans="1:35" s="16" customFormat="1" ht="15.75">
      <c r="A316" s="17"/>
      <c r="B316" s="6"/>
      <c r="C316" s="44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9"/>
    </row>
    <row r="317" spans="1:35" s="16" customFormat="1" ht="15.75">
      <c r="A317" s="17"/>
      <c r="B317" s="6"/>
      <c r="C317" s="44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9"/>
    </row>
    <row r="318" spans="1:35" s="16" customFormat="1" ht="15.75">
      <c r="A318" s="17"/>
      <c r="B318" s="6"/>
      <c r="C318" s="44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9"/>
    </row>
    <row r="319" spans="1:35" s="16" customFormat="1" ht="15.75">
      <c r="A319" s="17"/>
      <c r="B319" s="6"/>
      <c r="C319" s="44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9"/>
    </row>
    <row r="320" spans="1:35" s="16" customFormat="1" ht="15.75">
      <c r="A320" s="17"/>
      <c r="B320" s="6"/>
      <c r="C320" s="44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9"/>
    </row>
    <row r="321" spans="1:35" s="16" customFormat="1" ht="15.75">
      <c r="A321" s="17"/>
      <c r="B321" s="6"/>
      <c r="C321" s="44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9"/>
    </row>
    <row r="322" spans="1:35" s="16" customFormat="1" ht="15.75">
      <c r="A322" s="17"/>
      <c r="B322" s="6"/>
      <c r="C322" s="44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9"/>
    </row>
    <row r="323" spans="1:35" s="16" customFormat="1" ht="15.75">
      <c r="A323" s="17"/>
      <c r="B323" s="6"/>
      <c r="C323" s="44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9"/>
    </row>
    <row r="324" spans="1:35" s="16" customFormat="1" ht="15.75">
      <c r="A324" s="17"/>
      <c r="B324" s="6"/>
      <c r="C324" s="44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9"/>
    </row>
    <row r="325" spans="1:35" s="16" customFormat="1" ht="15.75">
      <c r="A325" s="17"/>
      <c r="B325" s="6"/>
      <c r="C325" s="44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9"/>
    </row>
    <row r="326" spans="1:35" s="16" customFormat="1" ht="15.75">
      <c r="A326" s="17"/>
      <c r="B326" s="6"/>
      <c r="C326" s="44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9"/>
    </row>
    <row r="327" spans="1:35" s="16" customFormat="1" ht="15.75">
      <c r="A327" s="17"/>
      <c r="B327" s="6"/>
      <c r="C327" s="44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9"/>
    </row>
    <row r="328" spans="1:35" s="16" customFormat="1" ht="15.75">
      <c r="A328" s="17"/>
      <c r="B328" s="6"/>
      <c r="C328" s="44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9"/>
    </row>
    <row r="329" spans="1:35" s="16" customFormat="1" ht="15.75">
      <c r="A329" s="17"/>
      <c r="B329" s="6"/>
      <c r="C329" s="44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9"/>
    </row>
    <row r="330" spans="1:35" s="16" customFormat="1" ht="15.75">
      <c r="A330" s="17"/>
      <c r="B330" s="6"/>
      <c r="C330" s="44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9"/>
    </row>
    <row r="331" spans="1:35" s="16" customFormat="1" ht="15.75">
      <c r="A331" s="17"/>
      <c r="B331" s="6"/>
      <c r="C331" s="44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9"/>
    </row>
    <row r="332" spans="1:35" s="16" customFormat="1" ht="15.75">
      <c r="A332" s="17"/>
      <c r="B332" s="6"/>
      <c r="C332" s="44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9"/>
    </row>
    <row r="333" spans="1:35" s="16" customFormat="1" ht="15.75">
      <c r="A333" s="17"/>
      <c r="B333" s="6"/>
      <c r="C333" s="44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9"/>
    </row>
    <row r="334" spans="1:35" s="16" customFormat="1" ht="15.75">
      <c r="A334" s="17"/>
      <c r="B334" s="6"/>
      <c r="C334" s="44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9"/>
    </row>
    <row r="335" spans="1:35" s="16" customFormat="1" ht="15.75">
      <c r="A335" s="17"/>
      <c r="B335" s="6"/>
      <c r="C335" s="44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9"/>
    </row>
    <row r="336" spans="1:35" s="16" customFormat="1" ht="15.75">
      <c r="A336" s="17"/>
      <c r="B336" s="6"/>
      <c r="C336" s="44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9"/>
    </row>
    <row r="337" spans="1:35" s="16" customFormat="1" ht="15.75">
      <c r="A337" s="17"/>
      <c r="B337" s="6"/>
      <c r="C337" s="44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9"/>
    </row>
    <row r="338" spans="1:35" s="16" customFormat="1" ht="15.75">
      <c r="A338" s="17"/>
      <c r="B338" s="6"/>
      <c r="C338" s="44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9"/>
    </row>
    <row r="339" spans="1:35" s="16" customFormat="1" ht="15.75">
      <c r="A339" s="17"/>
      <c r="B339" s="6"/>
      <c r="C339" s="44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9"/>
    </row>
    <row r="340" spans="1:35" s="16" customFormat="1" ht="15.75">
      <c r="A340" s="17"/>
      <c r="B340" s="6"/>
      <c r="C340" s="44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9"/>
    </row>
    <row r="341" spans="1:35" s="16" customFormat="1" ht="15.75">
      <c r="A341" s="17"/>
      <c r="B341" s="6"/>
      <c r="C341" s="44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9"/>
    </row>
    <row r="342" spans="1:35" s="16" customFormat="1" ht="15.75">
      <c r="A342" s="17"/>
      <c r="B342" s="6"/>
      <c r="C342" s="44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9"/>
    </row>
    <row r="343" spans="1:35" s="16" customFormat="1" ht="15.75">
      <c r="A343" s="17"/>
      <c r="B343" s="6"/>
      <c r="C343" s="44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9"/>
    </row>
    <row r="344" spans="1:35" s="16" customFormat="1" ht="15.75">
      <c r="A344" s="17"/>
      <c r="B344" s="6"/>
      <c r="C344" s="44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9"/>
    </row>
    <row r="345" spans="1:35" s="16" customFormat="1" ht="15.75">
      <c r="A345" s="17"/>
      <c r="B345" s="6"/>
      <c r="C345" s="44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9"/>
    </row>
    <row r="346" spans="1:35" s="16" customFormat="1" ht="15.75">
      <c r="A346" s="17"/>
      <c r="B346" s="6"/>
      <c r="C346" s="44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9"/>
    </row>
    <row r="347" spans="1:35" s="16" customFormat="1" ht="15.75">
      <c r="A347" s="17"/>
      <c r="B347" s="6"/>
      <c r="C347" s="44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9"/>
    </row>
    <row r="348" spans="1:35" s="16" customFormat="1" ht="15.75">
      <c r="A348" s="17"/>
      <c r="B348" s="6"/>
      <c r="C348" s="44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9"/>
    </row>
    <row r="349" spans="1:35" s="16" customFormat="1" ht="15.75">
      <c r="A349" s="17"/>
      <c r="B349" s="6"/>
      <c r="C349" s="44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9"/>
    </row>
    <row r="350" spans="1:35" s="16" customFormat="1" ht="15.75">
      <c r="A350" s="17"/>
      <c r="B350" s="6"/>
      <c r="C350" s="44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9"/>
    </row>
    <row r="351" spans="1:35" s="16" customFormat="1" ht="15.75">
      <c r="A351" s="17"/>
      <c r="B351" s="6"/>
      <c r="C351" s="44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9"/>
    </row>
    <row r="352" spans="1:35" s="16" customFormat="1" ht="15.75">
      <c r="A352" s="17"/>
      <c r="B352" s="6"/>
      <c r="C352" s="44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9"/>
    </row>
    <row r="353" spans="1:35" s="16" customFormat="1" ht="15.75">
      <c r="A353" s="17"/>
      <c r="B353" s="6"/>
      <c r="C353" s="44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9"/>
    </row>
    <row r="354" spans="1:35" s="16" customFormat="1" ht="15.75">
      <c r="A354" s="17"/>
      <c r="B354" s="6"/>
      <c r="C354" s="44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9"/>
    </row>
    <row r="355" spans="1:35" s="16" customFormat="1" ht="15.75">
      <c r="A355" s="17"/>
      <c r="B355" s="6"/>
      <c r="C355" s="44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9"/>
    </row>
    <row r="356" spans="1:35" s="16" customFormat="1" ht="15.75">
      <c r="A356" s="17"/>
      <c r="B356" s="6"/>
      <c r="C356" s="44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9"/>
    </row>
    <row r="357" spans="1:35" s="16" customFormat="1" ht="15.75">
      <c r="A357" s="17"/>
      <c r="B357" s="6"/>
      <c r="C357" s="44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9"/>
    </row>
    <row r="358" spans="1:35" s="16" customFormat="1" ht="15.75">
      <c r="A358" s="17"/>
      <c r="B358" s="6"/>
      <c r="C358" s="44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9"/>
    </row>
    <row r="359" spans="1:35" s="16" customFormat="1" ht="15.75">
      <c r="A359" s="17"/>
      <c r="B359" s="6"/>
      <c r="C359" s="44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9"/>
    </row>
    <row r="360" spans="1:35" s="16" customFormat="1" ht="15.75">
      <c r="A360" s="17"/>
      <c r="B360" s="6"/>
      <c r="C360" s="44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9"/>
    </row>
    <row r="361" spans="1:35" s="16" customFormat="1" ht="15.75">
      <c r="A361" s="17"/>
      <c r="B361" s="6"/>
      <c r="C361" s="44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9"/>
    </row>
    <row r="362" spans="1:35" s="16" customFormat="1" ht="15.75">
      <c r="A362" s="17"/>
      <c r="B362" s="6"/>
      <c r="C362" s="44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9"/>
    </row>
    <row r="363" spans="1:35" s="16" customFormat="1" ht="15.75">
      <c r="A363" s="17"/>
      <c r="B363" s="6"/>
      <c r="C363" s="44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9"/>
    </row>
    <row r="364" spans="1:35" s="16" customFormat="1" ht="15.75">
      <c r="A364" s="17"/>
      <c r="B364" s="6"/>
      <c r="C364" s="44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9"/>
    </row>
    <row r="365" spans="1:35" s="16" customFormat="1" ht="15.75">
      <c r="A365" s="17"/>
      <c r="B365" s="6"/>
      <c r="C365" s="44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9"/>
    </row>
    <row r="366" spans="1:35" s="16" customFormat="1" ht="15.75">
      <c r="A366" s="17"/>
      <c r="B366" s="6"/>
      <c r="C366" s="44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9"/>
    </row>
    <row r="367" spans="1:35" s="16" customFormat="1" ht="15.75">
      <c r="A367" s="17"/>
      <c r="B367" s="6"/>
      <c r="C367" s="44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9"/>
    </row>
    <row r="368" spans="1:35" s="16" customFormat="1" ht="15.75">
      <c r="A368" s="17"/>
      <c r="B368" s="6"/>
      <c r="C368" s="44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9"/>
    </row>
    <row r="369" spans="1:35" s="16" customFormat="1" ht="15.75">
      <c r="A369" s="17"/>
      <c r="B369" s="6"/>
      <c r="C369" s="44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9"/>
    </row>
    <row r="370" spans="1:35" s="16" customFormat="1" ht="15.75">
      <c r="A370" s="17"/>
      <c r="B370" s="6"/>
      <c r="C370" s="44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9"/>
    </row>
    <row r="371" spans="1:35" s="16" customFormat="1" ht="15.75">
      <c r="A371" s="17"/>
      <c r="B371" s="6"/>
      <c r="C371" s="44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9"/>
    </row>
    <row r="372" spans="1:35" s="16" customFormat="1" ht="15.75">
      <c r="A372" s="17"/>
      <c r="B372" s="6"/>
      <c r="C372" s="44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9"/>
    </row>
    <row r="373" spans="1:35" s="16" customFormat="1" ht="15.75">
      <c r="A373" s="17"/>
      <c r="B373" s="6"/>
      <c r="C373" s="44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9"/>
    </row>
    <row r="374" spans="1:35" s="16" customFormat="1" ht="15.75">
      <c r="A374" s="17"/>
      <c r="B374" s="6"/>
      <c r="C374" s="44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9"/>
    </row>
    <row r="375" spans="1:35" s="16" customFormat="1" ht="15.75">
      <c r="A375" s="17"/>
      <c r="B375" s="6"/>
      <c r="C375" s="44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9"/>
    </row>
    <row r="376" spans="1:35" s="16" customFormat="1" ht="15.75">
      <c r="A376" s="17"/>
      <c r="B376" s="6"/>
      <c r="C376" s="44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9"/>
    </row>
    <row r="377" spans="1:35" s="16" customFormat="1" ht="15.75">
      <c r="A377" s="17"/>
      <c r="B377" s="6"/>
      <c r="C377" s="44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9"/>
    </row>
    <row r="378" spans="1:35" s="16" customFormat="1" ht="15.75">
      <c r="A378" s="17"/>
      <c r="B378" s="6"/>
      <c r="C378" s="44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9"/>
    </row>
    <row r="379" spans="1:35" s="16" customFormat="1" ht="15.75">
      <c r="A379" s="17"/>
      <c r="B379" s="6"/>
      <c r="C379" s="44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9"/>
    </row>
    <row r="380" spans="1:35" s="16" customFormat="1" ht="15.75">
      <c r="A380" s="17"/>
      <c r="B380" s="6"/>
      <c r="C380" s="44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9"/>
    </row>
    <row r="381" spans="1:35" s="16" customFormat="1" ht="15.75">
      <c r="A381" s="17"/>
      <c r="B381" s="6"/>
      <c r="C381" s="44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9"/>
    </row>
    <row r="382" spans="1:35" s="16" customFormat="1" ht="15.75">
      <c r="A382" s="17"/>
      <c r="B382" s="6"/>
      <c r="C382" s="44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9"/>
    </row>
    <row r="383" spans="1:35" s="16" customFormat="1" ht="15.75">
      <c r="A383" s="17"/>
      <c r="B383" s="6"/>
      <c r="C383" s="44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9"/>
    </row>
    <row r="384" spans="1:35" s="16" customFormat="1" ht="15.75">
      <c r="A384" s="17"/>
      <c r="B384" s="6"/>
      <c r="C384" s="44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9"/>
    </row>
    <row r="385" spans="1:35" s="16" customFormat="1" ht="15.75">
      <c r="A385" s="17"/>
      <c r="B385" s="6"/>
      <c r="C385" s="44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9"/>
    </row>
    <row r="386" spans="1:35" s="16" customFormat="1" ht="15.75">
      <c r="A386" s="17"/>
      <c r="B386" s="6"/>
      <c r="C386" s="44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9"/>
    </row>
    <row r="387" spans="1:35" s="16" customFormat="1" ht="15.75">
      <c r="A387" s="17"/>
      <c r="B387" s="6"/>
      <c r="C387" s="44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9"/>
    </row>
    <row r="388" spans="1:35" s="16" customFormat="1" ht="15.75">
      <c r="A388" s="17"/>
      <c r="B388" s="6"/>
      <c r="C388" s="44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9"/>
    </row>
    <row r="389" spans="1:35" s="16" customFormat="1" ht="15.75">
      <c r="A389" s="17"/>
      <c r="B389" s="6"/>
      <c r="C389" s="44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9"/>
    </row>
    <row r="390" spans="1:35" s="16" customFormat="1" ht="15.75">
      <c r="A390" s="17"/>
      <c r="B390" s="6"/>
      <c r="C390" s="44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9"/>
    </row>
    <row r="391" spans="1:35" s="16" customFormat="1" ht="15.75">
      <c r="A391" s="17"/>
      <c r="B391" s="6"/>
      <c r="C391" s="44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9"/>
    </row>
    <row r="392" spans="1:35" s="16" customFormat="1" ht="15.75">
      <c r="A392" s="17"/>
      <c r="B392" s="6"/>
      <c r="C392" s="44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9"/>
    </row>
    <row r="393" spans="1:35" s="16" customFormat="1" ht="15.75">
      <c r="A393" s="17"/>
      <c r="B393" s="6"/>
      <c r="C393" s="44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9"/>
    </row>
    <row r="394" spans="1:35" s="16" customFormat="1" ht="15.75">
      <c r="A394" s="17"/>
      <c r="B394" s="6"/>
      <c r="C394" s="44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9"/>
    </row>
    <row r="395" spans="1:35" s="16" customFormat="1" ht="15.75">
      <c r="A395" s="17"/>
      <c r="B395" s="6"/>
      <c r="C395" s="44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9"/>
    </row>
    <row r="396" spans="1:35" s="16" customFormat="1" ht="15.75">
      <c r="A396" s="17"/>
      <c r="B396" s="6"/>
      <c r="C396" s="44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9"/>
    </row>
    <row r="397" spans="1:35" s="16" customFormat="1" ht="15.75">
      <c r="A397" s="17"/>
      <c r="B397" s="6"/>
      <c r="C397" s="44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9"/>
    </row>
    <row r="398" spans="1:35" s="16" customFormat="1" ht="15.75">
      <c r="A398" s="17"/>
      <c r="B398" s="6"/>
      <c r="C398" s="44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9"/>
    </row>
    <row r="399" spans="1:35" s="16" customFormat="1" ht="15.75">
      <c r="A399" s="17"/>
      <c r="B399" s="6"/>
      <c r="C399" s="44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9"/>
    </row>
    <row r="400" spans="1:35" s="16" customFormat="1" ht="15.75">
      <c r="A400" s="17"/>
      <c r="B400" s="6"/>
      <c r="C400" s="44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9"/>
    </row>
    <row r="401" spans="1:35" s="16" customFormat="1" ht="15.75">
      <c r="A401" s="17"/>
      <c r="B401" s="6"/>
      <c r="C401" s="44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9"/>
    </row>
    <row r="402" spans="1:35" s="16" customFormat="1" ht="15.75">
      <c r="A402" s="17"/>
      <c r="B402" s="6"/>
      <c r="C402" s="44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9"/>
    </row>
    <row r="403" spans="1:35" s="16" customFormat="1" ht="15.75">
      <c r="A403" s="17"/>
      <c r="B403" s="6"/>
      <c r="C403" s="44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9"/>
    </row>
    <row r="404" spans="1:35" s="16" customFormat="1" ht="15.75">
      <c r="A404" s="17"/>
      <c r="B404" s="6"/>
      <c r="C404" s="44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9"/>
    </row>
    <row r="405" spans="1:35" s="16" customFormat="1" ht="15.75">
      <c r="A405" s="17"/>
      <c r="B405" s="6"/>
      <c r="C405" s="44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9"/>
    </row>
    <row r="406" spans="1:35" s="16" customFormat="1" ht="15.75">
      <c r="A406" s="17"/>
      <c r="B406" s="6"/>
      <c r="C406" s="44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9"/>
    </row>
    <row r="407" spans="1:35" s="16" customFormat="1" ht="15.75">
      <c r="A407" s="17"/>
      <c r="B407" s="6"/>
      <c r="C407" s="44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9"/>
    </row>
    <row r="408" spans="1:35" s="16" customFormat="1" ht="15.75">
      <c r="A408" s="17"/>
      <c r="B408" s="6"/>
      <c r="C408" s="44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9"/>
    </row>
    <row r="409" spans="1:35" s="16" customFormat="1" ht="15.75">
      <c r="A409" s="17"/>
      <c r="B409" s="6"/>
      <c r="C409" s="44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9"/>
    </row>
    <row r="410" spans="1:35" s="16" customFormat="1" ht="15.75">
      <c r="A410" s="17"/>
      <c r="B410" s="6"/>
      <c r="C410" s="44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9"/>
    </row>
    <row r="411" spans="1:35" s="16" customFormat="1" ht="15.75">
      <c r="A411" s="17"/>
      <c r="B411" s="6"/>
      <c r="C411" s="44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9"/>
    </row>
    <row r="412" spans="1:35" s="16" customFormat="1" ht="15.75">
      <c r="A412" s="17"/>
      <c r="B412" s="6"/>
      <c r="C412" s="44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9"/>
    </row>
    <row r="413" spans="1:35" s="16" customFormat="1" ht="15.75">
      <c r="A413" s="17"/>
      <c r="B413" s="6"/>
      <c r="C413" s="44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9"/>
    </row>
    <row r="414" spans="1:35" s="16" customFormat="1" ht="15.75">
      <c r="A414" s="17"/>
      <c r="B414" s="6"/>
      <c r="C414" s="44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9"/>
    </row>
    <row r="415" spans="1:35" s="16" customFormat="1" ht="15.75">
      <c r="A415" s="17"/>
      <c r="B415" s="6"/>
      <c r="C415" s="44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9"/>
    </row>
    <row r="416" spans="1:35" s="16" customFormat="1" ht="15.75">
      <c r="A416" s="17"/>
      <c r="B416" s="6"/>
      <c r="C416" s="44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9"/>
    </row>
    <row r="417" spans="1:35" s="16" customFormat="1" ht="15.75">
      <c r="A417" s="17"/>
      <c r="B417" s="6"/>
      <c r="C417" s="44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9"/>
    </row>
    <row r="418" spans="1:35" s="16" customFormat="1" ht="15.75">
      <c r="A418" s="17"/>
      <c r="B418" s="6"/>
      <c r="C418" s="44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9"/>
    </row>
    <row r="419" spans="1:35" s="16" customFormat="1" ht="15.75">
      <c r="A419" s="17"/>
      <c r="B419" s="6"/>
      <c r="C419" s="44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9"/>
    </row>
    <row r="420" spans="1:35" s="16" customFormat="1" ht="15.75">
      <c r="A420" s="17"/>
      <c r="B420" s="6"/>
      <c r="C420" s="44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9"/>
    </row>
    <row r="421" spans="1:35" s="16" customFormat="1" ht="15.75">
      <c r="A421" s="17"/>
      <c r="B421" s="6"/>
      <c r="C421" s="44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9"/>
    </row>
    <row r="422" spans="1:35" s="16" customFormat="1" ht="15.75">
      <c r="A422" s="17"/>
      <c r="B422" s="6"/>
      <c r="C422" s="44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9"/>
    </row>
    <row r="423" spans="1:35" s="16" customFormat="1" ht="15.75">
      <c r="A423" s="17"/>
      <c r="B423" s="6"/>
      <c r="C423" s="44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9"/>
    </row>
    <row r="424" spans="1:35" s="16" customFormat="1" ht="15.75">
      <c r="A424" s="17"/>
      <c r="B424" s="6"/>
      <c r="C424" s="44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9"/>
    </row>
    <row r="425" spans="1:35" s="16" customFormat="1" ht="15.75">
      <c r="A425" s="17"/>
      <c r="B425" s="6"/>
      <c r="C425" s="44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9"/>
    </row>
    <row r="426" spans="1:35" s="16" customFormat="1" ht="15.75">
      <c r="A426" s="17"/>
      <c r="B426" s="6"/>
      <c r="C426" s="44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9"/>
    </row>
    <row r="427" spans="1:35" s="16" customFormat="1" ht="15.75">
      <c r="A427" s="17"/>
      <c r="B427" s="6"/>
      <c r="C427" s="44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9"/>
    </row>
    <row r="428" spans="1:35" s="16" customFormat="1" ht="15.75">
      <c r="A428" s="17"/>
      <c r="B428" s="6"/>
      <c r="C428" s="44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9"/>
    </row>
    <row r="429" spans="1:35" s="16" customFormat="1" ht="15.75">
      <c r="A429" s="17"/>
      <c r="B429" s="6"/>
      <c r="C429" s="44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9"/>
    </row>
    <row r="430" spans="1:35" s="16" customFormat="1" ht="15.75">
      <c r="A430" s="17"/>
      <c r="B430" s="6"/>
      <c r="C430" s="44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9"/>
    </row>
    <row r="431" spans="1:35" s="16" customFormat="1" ht="15.75">
      <c r="A431" s="17"/>
      <c r="B431" s="6"/>
      <c r="C431" s="44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9"/>
    </row>
    <row r="432" spans="1:35" s="16" customFormat="1" ht="15.75">
      <c r="A432" s="17"/>
      <c r="B432" s="6"/>
      <c r="C432" s="44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9"/>
    </row>
    <row r="433" spans="1:35" s="16" customFormat="1" ht="15.75">
      <c r="A433" s="17"/>
      <c r="B433" s="6"/>
      <c r="C433" s="44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9"/>
    </row>
    <row r="434" spans="1:35" s="16" customFormat="1" ht="15.75">
      <c r="A434" s="17"/>
      <c r="B434" s="6"/>
      <c r="C434" s="44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9"/>
    </row>
    <row r="435" spans="1:35" s="16" customFormat="1" ht="15.75">
      <c r="A435" s="17"/>
      <c r="B435" s="6"/>
      <c r="C435" s="44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9"/>
    </row>
    <row r="436" spans="1:35" s="16" customFormat="1" ht="15.75">
      <c r="A436" s="17"/>
      <c r="B436" s="6"/>
      <c r="C436" s="44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9"/>
    </row>
    <row r="437" spans="1:35" s="16" customFormat="1" ht="15.75">
      <c r="A437" s="17"/>
      <c r="B437" s="6"/>
      <c r="C437" s="44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9"/>
    </row>
    <row r="438" spans="1:35" s="16" customFormat="1" ht="15.75">
      <c r="A438" s="17"/>
      <c r="B438" s="6"/>
      <c r="C438" s="44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9"/>
    </row>
    <row r="439" spans="1:35" s="16" customFormat="1" ht="15.75">
      <c r="A439" s="17"/>
      <c r="B439" s="6"/>
      <c r="C439" s="44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9"/>
    </row>
    <row r="440" spans="1:35" s="16" customFormat="1" ht="15.75">
      <c r="A440" s="17"/>
      <c r="B440" s="6"/>
      <c r="C440" s="44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9"/>
    </row>
    <row r="441" spans="1:35" s="16" customFormat="1" ht="15.75">
      <c r="A441" s="17"/>
      <c r="B441" s="6"/>
      <c r="C441" s="44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9"/>
    </row>
    <row r="442" spans="1:35" s="16" customFormat="1" ht="15.75">
      <c r="A442" s="17"/>
      <c r="B442" s="6"/>
      <c r="C442" s="44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9"/>
    </row>
    <row r="443" spans="1:35" s="16" customFormat="1" ht="15.75">
      <c r="A443" s="17"/>
      <c r="B443" s="6"/>
      <c r="C443" s="44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9"/>
    </row>
    <row r="444" spans="1:35" s="16" customFormat="1" ht="15.75">
      <c r="A444" s="17"/>
      <c r="B444" s="6"/>
      <c r="C444" s="44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9"/>
    </row>
    <row r="445" spans="1:35" s="16" customFormat="1" ht="15.75">
      <c r="A445" s="17"/>
      <c r="B445" s="6"/>
      <c r="C445" s="44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9"/>
    </row>
    <row r="446" spans="1:35" s="16" customFormat="1" ht="15.75">
      <c r="A446" s="17"/>
      <c r="B446" s="6"/>
      <c r="C446" s="44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9"/>
    </row>
    <row r="447" spans="1:35" s="16" customFormat="1" ht="15.75">
      <c r="A447" s="17"/>
      <c r="B447" s="6"/>
      <c r="C447" s="44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9"/>
    </row>
    <row r="448" spans="1:35" s="16" customFormat="1" ht="15.75">
      <c r="A448" s="17"/>
      <c r="B448" s="6"/>
      <c r="C448" s="44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9"/>
    </row>
    <row r="449" spans="1:35" s="16" customFormat="1" ht="15.75">
      <c r="A449" s="17"/>
      <c r="B449" s="6"/>
      <c r="C449" s="44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9"/>
    </row>
    <row r="450" spans="1:35" s="16" customFormat="1" ht="15.75">
      <c r="A450" s="17"/>
      <c r="B450" s="6"/>
      <c r="C450" s="44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9"/>
    </row>
    <row r="451" spans="1:35" s="16" customFormat="1" ht="15.75">
      <c r="A451" s="17"/>
      <c r="B451" s="6"/>
      <c r="C451" s="44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9"/>
    </row>
    <row r="452" spans="1:35" s="16" customFormat="1" ht="15.75">
      <c r="A452" s="17"/>
      <c r="B452" s="6"/>
      <c r="C452" s="44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9"/>
    </row>
    <row r="453" spans="1:35" s="16" customFormat="1" ht="15.75">
      <c r="A453" s="17"/>
      <c r="B453" s="6"/>
      <c r="C453" s="44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9"/>
    </row>
    <row r="454" spans="1:35" s="16" customFormat="1" ht="15.75">
      <c r="A454" s="17"/>
      <c r="B454" s="6"/>
      <c r="C454" s="44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9"/>
    </row>
    <row r="455" spans="1:35" s="16" customFormat="1" ht="15.75">
      <c r="A455" s="17"/>
      <c r="B455" s="6"/>
      <c r="C455" s="44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9"/>
    </row>
    <row r="456" spans="1:35" s="16" customFormat="1" ht="15.75">
      <c r="A456" s="17"/>
      <c r="B456" s="6"/>
      <c r="C456" s="44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9"/>
    </row>
    <row r="457" spans="1:35" s="16" customFormat="1" ht="15.75">
      <c r="A457" s="17"/>
      <c r="B457" s="6"/>
      <c r="C457" s="44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9"/>
    </row>
    <row r="458" spans="1:35" s="16" customFormat="1" ht="15.75">
      <c r="A458" s="17"/>
      <c r="B458" s="6"/>
      <c r="C458" s="44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9"/>
    </row>
    <row r="459" spans="1:35" s="16" customFormat="1" ht="15.75">
      <c r="A459" s="17"/>
      <c r="B459" s="6"/>
      <c r="C459" s="44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9"/>
    </row>
    <row r="460" spans="1:35" s="16" customFormat="1" ht="15.75">
      <c r="A460" s="17"/>
      <c r="B460" s="6"/>
      <c r="C460" s="44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  <c r="AG460" s="157"/>
      <c r="AH460" s="157"/>
      <c r="AI460" s="159"/>
    </row>
    <row r="461" spans="1:35" s="16" customFormat="1" ht="15.75">
      <c r="A461" s="17"/>
      <c r="B461" s="6"/>
      <c r="C461" s="44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  <c r="AB461" s="157"/>
      <c r="AC461" s="157"/>
      <c r="AD461" s="157"/>
      <c r="AE461" s="157"/>
      <c r="AF461" s="157"/>
      <c r="AG461" s="157"/>
      <c r="AH461" s="157"/>
      <c r="AI461" s="159"/>
    </row>
    <row r="462" spans="1:35" s="16" customFormat="1" ht="15.75">
      <c r="A462" s="17"/>
      <c r="B462" s="6"/>
      <c r="C462" s="44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7"/>
      <c r="AG462" s="157"/>
      <c r="AH462" s="157"/>
      <c r="AI462" s="159"/>
    </row>
    <row r="463" spans="1:35" s="16" customFormat="1" ht="15.75">
      <c r="A463" s="17"/>
      <c r="B463" s="6"/>
      <c r="C463" s="44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  <c r="AB463" s="157"/>
      <c r="AC463" s="157"/>
      <c r="AD463" s="157"/>
      <c r="AE463" s="157"/>
      <c r="AF463" s="157"/>
      <c r="AG463" s="157"/>
      <c r="AH463" s="157"/>
      <c r="AI463" s="159"/>
    </row>
    <row r="464" spans="1:35" s="16" customFormat="1" ht="15.75">
      <c r="A464" s="17"/>
      <c r="B464" s="6"/>
      <c r="C464" s="44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  <c r="AB464" s="157"/>
      <c r="AC464" s="157"/>
      <c r="AD464" s="157"/>
      <c r="AE464" s="157"/>
      <c r="AF464" s="157"/>
      <c r="AG464" s="157"/>
      <c r="AH464" s="157"/>
      <c r="AI464" s="159"/>
    </row>
    <row r="465" spans="1:35" s="16" customFormat="1" ht="15.75">
      <c r="A465" s="17"/>
      <c r="B465" s="6"/>
      <c r="C465" s="44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  <c r="AG465" s="157"/>
      <c r="AH465" s="157"/>
      <c r="AI465" s="159"/>
    </row>
    <row r="466" spans="1:35" s="16" customFormat="1" ht="15.75">
      <c r="A466" s="17"/>
      <c r="B466" s="6"/>
      <c r="C466" s="44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7"/>
      <c r="AG466" s="157"/>
      <c r="AH466" s="157"/>
      <c r="AI466" s="159"/>
    </row>
    <row r="467" spans="1:35" s="16" customFormat="1" ht="15.75">
      <c r="A467" s="17"/>
      <c r="B467" s="6"/>
      <c r="C467" s="44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  <c r="AB467" s="157"/>
      <c r="AC467" s="157"/>
      <c r="AD467" s="157"/>
      <c r="AE467" s="157"/>
      <c r="AF467" s="157"/>
      <c r="AG467" s="157"/>
      <c r="AH467" s="157"/>
      <c r="AI467" s="159"/>
    </row>
    <row r="468" spans="1:35" s="16" customFormat="1" ht="15.75">
      <c r="A468" s="17"/>
      <c r="B468" s="6"/>
      <c r="C468" s="44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  <c r="AB468" s="157"/>
      <c r="AC468" s="157"/>
      <c r="AD468" s="157"/>
      <c r="AE468" s="157"/>
      <c r="AF468" s="157"/>
      <c r="AG468" s="157"/>
      <c r="AH468" s="157"/>
      <c r="AI468" s="159"/>
    </row>
    <row r="469" spans="1:35" s="16" customFormat="1" ht="15.75">
      <c r="A469" s="17"/>
      <c r="B469" s="6"/>
      <c r="C469" s="44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  <c r="AB469" s="157"/>
      <c r="AC469" s="157"/>
      <c r="AD469" s="157"/>
      <c r="AE469" s="157"/>
      <c r="AF469" s="157"/>
      <c r="AG469" s="157"/>
      <c r="AH469" s="157"/>
      <c r="AI469" s="159"/>
    </row>
    <row r="470" spans="1:35" s="16" customFormat="1" ht="15.75">
      <c r="A470" s="17"/>
      <c r="B470" s="6"/>
      <c r="C470" s="44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  <c r="AB470" s="157"/>
      <c r="AC470" s="157"/>
      <c r="AD470" s="157"/>
      <c r="AE470" s="157"/>
      <c r="AF470" s="157"/>
      <c r="AG470" s="157"/>
      <c r="AH470" s="157"/>
      <c r="AI470" s="159"/>
    </row>
    <row r="471" spans="1:35" s="16" customFormat="1" ht="15.75">
      <c r="A471" s="17"/>
      <c r="B471" s="6"/>
      <c r="C471" s="44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  <c r="AB471" s="157"/>
      <c r="AC471" s="157"/>
      <c r="AD471" s="157"/>
      <c r="AE471" s="157"/>
      <c r="AF471" s="157"/>
      <c r="AG471" s="157"/>
      <c r="AH471" s="157"/>
      <c r="AI471" s="159"/>
    </row>
    <row r="472" spans="1:35" s="16" customFormat="1" ht="15.75">
      <c r="A472" s="17"/>
      <c r="B472" s="6"/>
      <c r="C472" s="44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  <c r="AG472" s="157"/>
      <c r="AH472" s="157"/>
      <c r="AI472" s="159"/>
    </row>
    <row r="473" spans="1:35" s="16" customFormat="1" ht="15.75">
      <c r="A473" s="17"/>
      <c r="B473" s="6"/>
      <c r="C473" s="44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  <c r="AB473" s="157"/>
      <c r="AC473" s="157"/>
      <c r="AD473" s="157"/>
      <c r="AE473" s="157"/>
      <c r="AF473" s="157"/>
      <c r="AG473" s="157"/>
      <c r="AH473" s="157"/>
      <c r="AI473" s="159"/>
    </row>
    <row r="474" spans="1:35" s="16" customFormat="1" ht="15.75">
      <c r="A474" s="17"/>
      <c r="B474" s="6"/>
      <c r="C474" s="44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9"/>
    </row>
    <row r="475" spans="1:35" s="16" customFormat="1" ht="15.75">
      <c r="A475" s="17"/>
      <c r="B475" s="6"/>
      <c r="C475" s="44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7"/>
      <c r="AG475" s="157"/>
      <c r="AH475" s="157"/>
      <c r="AI475" s="159"/>
    </row>
    <row r="476" spans="1:35" s="16" customFormat="1" ht="15.75">
      <c r="A476" s="17"/>
      <c r="B476" s="6"/>
      <c r="C476" s="44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  <c r="AA476" s="157"/>
      <c r="AB476" s="157"/>
      <c r="AC476" s="157"/>
      <c r="AD476" s="157"/>
      <c r="AE476" s="157"/>
      <c r="AF476" s="157"/>
      <c r="AG476" s="157"/>
      <c r="AH476" s="157"/>
      <c r="AI476" s="159"/>
    </row>
    <row r="477" spans="1:35" s="16" customFormat="1" ht="15.75">
      <c r="A477" s="17"/>
      <c r="B477" s="6"/>
      <c r="C477" s="44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  <c r="AA477" s="157"/>
      <c r="AB477" s="157"/>
      <c r="AC477" s="157"/>
      <c r="AD477" s="157"/>
      <c r="AE477" s="157"/>
      <c r="AF477" s="157"/>
      <c r="AG477" s="157"/>
      <c r="AH477" s="157"/>
      <c r="AI477" s="159"/>
    </row>
    <row r="478" spans="1:35" s="16" customFormat="1" ht="15.75">
      <c r="A478" s="17"/>
      <c r="B478" s="6"/>
      <c r="C478" s="44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  <c r="AA478" s="157"/>
      <c r="AB478" s="157"/>
      <c r="AC478" s="157"/>
      <c r="AD478" s="157"/>
      <c r="AE478" s="157"/>
      <c r="AF478" s="157"/>
      <c r="AG478" s="157"/>
      <c r="AH478" s="157"/>
      <c r="AI478" s="159"/>
    </row>
    <row r="479" spans="1:35" s="16" customFormat="1" ht="15.75">
      <c r="A479" s="17"/>
      <c r="B479" s="6"/>
      <c r="C479" s="44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9"/>
    </row>
    <row r="480" spans="1:35" s="16" customFormat="1" ht="15.75">
      <c r="A480" s="17"/>
      <c r="B480" s="6"/>
      <c r="C480" s="44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  <c r="AB480" s="157"/>
      <c r="AC480" s="157"/>
      <c r="AD480" s="157"/>
      <c r="AE480" s="157"/>
      <c r="AF480" s="157"/>
      <c r="AG480" s="157"/>
      <c r="AH480" s="157"/>
      <c r="AI480" s="159"/>
    </row>
    <row r="481" spans="1:35" s="16" customFormat="1" ht="15.75">
      <c r="A481" s="17"/>
      <c r="B481" s="6"/>
      <c r="C481" s="44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  <c r="AA481" s="157"/>
      <c r="AB481" s="157"/>
      <c r="AC481" s="157"/>
      <c r="AD481" s="157"/>
      <c r="AE481" s="157"/>
      <c r="AF481" s="157"/>
      <c r="AG481" s="157"/>
      <c r="AH481" s="157"/>
      <c r="AI481" s="159"/>
    </row>
    <row r="482" spans="1:35" s="16" customFormat="1" ht="15.75">
      <c r="A482" s="17"/>
      <c r="B482" s="6"/>
      <c r="C482" s="44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  <c r="AA482" s="157"/>
      <c r="AB482" s="157"/>
      <c r="AC482" s="157"/>
      <c r="AD482" s="157"/>
      <c r="AE482" s="157"/>
      <c r="AF482" s="157"/>
      <c r="AG482" s="157"/>
      <c r="AH482" s="157"/>
      <c r="AI482" s="159"/>
    </row>
    <row r="483" spans="1:35" s="16" customFormat="1" ht="15.75">
      <c r="A483" s="17"/>
      <c r="B483" s="6"/>
      <c r="C483" s="44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  <c r="AB483" s="157"/>
      <c r="AC483" s="157"/>
      <c r="AD483" s="157"/>
      <c r="AE483" s="157"/>
      <c r="AF483" s="157"/>
      <c r="AG483" s="157"/>
      <c r="AH483" s="157"/>
      <c r="AI483" s="159"/>
    </row>
    <row r="484" spans="1:35" s="16" customFormat="1" ht="15.75">
      <c r="A484" s="17"/>
      <c r="B484" s="6"/>
      <c r="C484" s="44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  <c r="AA484" s="157"/>
      <c r="AB484" s="157"/>
      <c r="AC484" s="157"/>
      <c r="AD484" s="157"/>
      <c r="AE484" s="157"/>
      <c r="AF484" s="157"/>
      <c r="AG484" s="157"/>
      <c r="AH484" s="157"/>
      <c r="AI484" s="159"/>
    </row>
    <row r="485" spans="1:35" s="16" customFormat="1" ht="15.75">
      <c r="A485" s="17"/>
      <c r="B485" s="6"/>
      <c r="C485" s="44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  <c r="AA485" s="157"/>
      <c r="AB485" s="157"/>
      <c r="AC485" s="157"/>
      <c r="AD485" s="157"/>
      <c r="AE485" s="157"/>
      <c r="AF485" s="157"/>
      <c r="AG485" s="157"/>
      <c r="AH485" s="157"/>
      <c r="AI485" s="159"/>
    </row>
    <row r="486" spans="1:35" s="16" customFormat="1" ht="15.75">
      <c r="A486" s="17"/>
      <c r="B486" s="6"/>
      <c r="C486" s="44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57"/>
      <c r="AC486" s="157"/>
      <c r="AD486" s="157"/>
      <c r="AE486" s="157"/>
      <c r="AF486" s="157"/>
      <c r="AG486" s="157"/>
      <c r="AH486" s="157"/>
      <c r="AI486" s="159"/>
    </row>
    <row r="487" spans="1:35" s="16" customFormat="1" ht="15.75">
      <c r="A487" s="17"/>
      <c r="B487" s="6"/>
      <c r="C487" s="44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  <c r="AA487" s="157"/>
      <c r="AB487" s="157"/>
      <c r="AC487" s="157"/>
      <c r="AD487" s="157"/>
      <c r="AE487" s="157"/>
      <c r="AF487" s="157"/>
      <c r="AG487" s="157"/>
      <c r="AH487" s="157"/>
      <c r="AI487" s="159"/>
    </row>
    <row r="488" spans="1:35" s="16" customFormat="1" ht="15.75">
      <c r="A488" s="17"/>
      <c r="B488" s="6"/>
      <c r="C488" s="44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  <c r="AA488" s="157"/>
      <c r="AB488" s="157"/>
      <c r="AC488" s="157"/>
      <c r="AD488" s="157"/>
      <c r="AE488" s="157"/>
      <c r="AF488" s="157"/>
      <c r="AG488" s="157"/>
      <c r="AH488" s="157"/>
      <c r="AI488" s="159"/>
    </row>
    <row r="489" spans="1:35" s="16" customFormat="1" ht="15.75">
      <c r="A489" s="17"/>
      <c r="B489" s="6"/>
      <c r="C489" s="44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  <c r="AA489" s="157"/>
      <c r="AB489" s="157"/>
      <c r="AC489" s="157"/>
      <c r="AD489" s="157"/>
      <c r="AE489" s="157"/>
      <c r="AF489" s="157"/>
      <c r="AG489" s="157"/>
      <c r="AH489" s="157"/>
      <c r="AI489" s="159"/>
    </row>
    <row r="490" spans="1:35" s="16" customFormat="1" ht="15.75">
      <c r="A490" s="17"/>
      <c r="B490" s="6"/>
      <c r="C490" s="44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  <c r="AA490" s="157"/>
      <c r="AB490" s="157"/>
      <c r="AC490" s="157"/>
      <c r="AD490" s="157"/>
      <c r="AE490" s="157"/>
      <c r="AF490" s="157"/>
      <c r="AG490" s="157"/>
      <c r="AH490" s="157"/>
      <c r="AI490" s="159"/>
    </row>
    <row r="491" spans="1:35" s="16" customFormat="1" ht="15.75">
      <c r="A491" s="17"/>
      <c r="B491" s="6"/>
      <c r="C491" s="44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  <c r="AA491" s="157"/>
      <c r="AB491" s="157"/>
      <c r="AC491" s="157"/>
      <c r="AD491" s="157"/>
      <c r="AE491" s="157"/>
      <c r="AF491" s="157"/>
      <c r="AG491" s="157"/>
      <c r="AH491" s="157"/>
      <c r="AI491" s="159"/>
    </row>
    <row r="492" spans="1:35" s="16" customFormat="1" ht="15.75">
      <c r="A492" s="17"/>
      <c r="B492" s="6"/>
      <c r="C492" s="44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  <c r="AA492" s="157"/>
      <c r="AB492" s="157"/>
      <c r="AC492" s="157"/>
      <c r="AD492" s="157"/>
      <c r="AE492" s="157"/>
      <c r="AF492" s="157"/>
      <c r="AG492" s="157"/>
      <c r="AH492" s="157"/>
      <c r="AI492" s="159"/>
    </row>
    <row r="493" spans="1:35" s="16" customFormat="1" ht="15.75">
      <c r="A493" s="17"/>
      <c r="B493" s="6"/>
      <c r="C493" s="44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  <c r="AB493" s="157"/>
      <c r="AC493" s="157"/>
      <c r="AD493" s="157"/>
      <c r="AE493" s="157"/>
      <c r="AF493" s="157"/>
      <c r="AG493" s="157"/>
      <c r="AH493" s="157"/>
      <c r="AI493" s="159"/>
    </row>
    <row r="494" spans="1:35" s="16" customFormat="1" ht="15.75">
      <c r="A494" s="17"/>
      <c r="B494" s="6"/>
      <c r="C494" s="44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  <c r="AA494" s="157"/>
      <c r="AB494" s="157"/>
      <c r="AC494" s="157"/>
      <c r="AD494" s="157"/>
      <c r="AE494" s="157"/>
      <c r="AF494" s="157"/>
      <c r="AG494" s="157"/>
      <c r="AH494" s="157"/>
      <c r="AI494" s="159"/>
    </row>
    <row r="495" spans="1:35" s="16" customFormat="1" ht="15.75">
      <c r="A495" s="17"/>
      <c r="B495" s="6"/>
      <c r="C495" s="44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  <c r="AC495" s="157"/>
      <c r="AD495" s="157"/>
      <c r="AE495" s="157"/>
      <c r="AF495" s="157"/>
      <c r="AG495" s="157"/>
      <c r="AH495" s="157"/>
      <c r="AI495" s="159"/>
    </row>
    <row r="496" spans="1:35" s="16" customFormat="1" ht="15.75">
      <c r="A496" s="17"/>
      <c r="B496" s="6"/>
      <c r="C496" s="44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  <c r="AB496" s="157"/>
      <c r="AC496" s="157"/>
      <c r="AD496" s="157"/>
      <c r="AE496" s="157"/>
      <c r="AF496" s="157"/>
      <c r="AG496" s="157"/>
      <c r="AH496" s="157"/>
      <c r="AI496" s="159"/>
    </row>
    <row r="497" spans="1:35" s="16" customFormat="1" ht="15.75">
      <c r="A497" s="17"/>
      <c r="B497" s="6"/>
      <c r="C497" s="44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57"/>
      <c r="AC497" s="157"/>
      <c r="AD497" s="157"/>
      <c r="AE497" s="157"/>
      <c r="AF497" s="157"/>
      <c r="AG497" s="157"/>
      <c r="AH497" s="157"/>
      <c r="AI497" s="159"/>
    </row>
    <row r="498" spans="1:35" s="16" customFormat="1" ht="15.75">
      <c r="A498" s="17"/>
      <c r="B498" s="6"/>
      <c r="C498" s="44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  <c r="AE498" s="157"/>
      <c r="AF498" s="157"/>
      <c r="AG498" s="157"/>
      <c r="AH498" s="157"/>
      <c r="AI498" s="159"/>
    </row>
    <row r="499" spans="1:35" s="16" customFormat="1" ht="15.75">
      <c r="A499" s="17"/>
      <c r="B499" s="6"/>
      <c r="C499" s="44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  <c r="AA499" s="157"/>
      <c r="AB499" s="157"/>
      <c r="AC499" s="157"/>
      <c r="AD499" s="157"/>
      <c r="AE499" s="157"/>
      <c r="AF499" s="157"/>
      <c r="AG499" s="157"/>
      <c r="AH499" s="157"/>
      <c r="AI499" s="159"/>
    </row>
    <row r="500" spans="1:35" s="16" customFormat="1" ht="15.75">
      <c r="A500" s="17"/>
      <c r="B500" s="6"/>
      <c r="C500" s="44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9"/>
    </row>
    <row r="501" spans="1:35" s="16" customFormat="1" ht="15.75">
      <c r="A501" s="17"/>
      <c r="B501" s="6"/>
      <c r="C501" s="44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  <c r="AB501" s="157"/>
      <c r="AC501" s="157"/>
      <c r="AD501" s="157"/>
      <c r="AE501" s="157"/>
      <c r="AF501" s="157"/>
      <c r="AG501" s="157"/>
      <c r="AH501" s="157"/>
      <c r="AI501" s="159"/>
    </row>
    <row r="502" spans="1:35" s="16" customFormat="1" ht="15.75">
      <c r="A502" s="17"/>
      <c r="B502" s="6"/>
      <c r="C502" s="44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  <c r="AB502" s="157"/>
      <c r="AC502" s="157"/>
      <c r="AD502" s="157"/>
      <c r="AE502" s="157"/>
      <c r="AF502" s="157"/>
      <c r="AG502" s="157"/>
      <c r="AH502" s="157"/>
      <c r="AI502" s="159"/>
    </row>
    <row r="503" spans="1:35" s="16" customFormat="1" ht="15.75">
      <c r="A503" s="17"/>
      <c r="B503" s="6"/>
      <c r="C503" s="44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  <c r="AA503" s="157"/>
      <c r="AB503" s="157"/>
      <c r="AC503" s="157"/>
      <c r="AD503" s="157"/>
      <c r="AE503" s="157"/>
      <c r="AF503" s="157"/>
      <c r="AG503" s="157"/>
      <c r="AH503" s="157"/>
      <c r="AI503" s="159"/>
    </row>
    <row r="504" spans="1:35" s="16" customFormat="1" ht="15.75">
      <c r="A504" s="17"/>
      <c r="B504" s="6"/>
      <c r="C504" s="44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  <c r="AA504" s="157"/>
      <c r="AB504" s="157"/>
      <c r="AC504" s="157"/>
      <c r="AD504" s="157"/>
      <c r="AE504" s="157"/>
      <c r="AF504" s="157"/>
      <c r="AG504" s="157"/>
      <c r="AH504" s="157"/>
      <c r="AI504" s="159"/>
    </row>
    <row r="505" spans="1:35" s="16" customFormat="1" ht="15.75">
      <c r="A505" s="17"/>
      <c r="B505" s="6"/>
      <c r="C505" s="44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  <c r="AA505" s="157"/>
      <c r="AB505" s="157"/>
      <c r="AC505" s="157"/>
      <c r="AD505" s="157"/>
      <c r="AE505" s="157"/>
      <c r="AF505" s="157"/>
      <c r="AG505" s="157"/>
      <c r="AH505" s="157"/>
      <c r="AI505" s="159"/>
    </row>
    <row r="506" spans="1:35" s="16" customFormat="1" ht="15.75">
      <c r="A506" s="17"/>
      <c r="B506" s="6"/>
      <c r="C506" s="44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  <c r="AA506" s="157"/>
      <c r="AB506" s="157"/>
      <c r="AC506" s="157"/>
      <c r="AD506" s="157"/>
      <c r="AE506" s="157"/>
      <c r="AF506" s="157"/>
      <c r="AG506" s="157"/>
      <c r="AH506" s="157"/>
      <c r="AI506" s="159"/>
    </row>
    <row r="507" spans="1:35" s="16" customFormat="1" ht="15.75">
      <c r="A507" s="17"/>
      <c r="B507" s="6"/>
      <c r="C507" s="44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  <c r="AB507" s="157"/>
      <c r="AC507" s="157"/>
      <c r="AD507" s="157"/>
      <c r="AE507" s="157"/>
      <c r="AF507" s="157"/>
      <c r="AG507" s="157"/>
      <c r="AH507" s="157"/>
      <c r="AI507" s="159"/>
    </row>
    <row r="508" spans="1:35" s="16" customFormat="1" ht="15.75">
      <c r="A508" s="17"/>
      <c r="B508" s="6"/>
      <c r="C508" s="44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  <c r="AA508" s="157"/>
      <c r="AB508" s="157"/>
      <c r="AC508" s="157"/>
      <c r="AD508" s="157"/>
      <c r="AE508" s="157"/>
      <c r="AF508" s="157"/>
      <c r="AG508" s="157"/>
      <c r="AH508" s="157"/>
      <c r="AI508" s="159"/>
    </row>
    <row r="509" spans="1:35" s="16" customFormat="1" ht="15.75">
      <c r="A509" s="17"/>
      <c r="B509" s="6"/>
      <c r="C509" s="44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  <c r="AB509" s="157"/>
      <c r="AC509" s="157"/>
      <c r="AD509" s="157"/>
      <c r="AE509" s="157"/>
      <c r="AF509" s="157"/>
      <c r="AG509" s="157"/>
      <c r="AH509" s="157"/>
      <c r="AI509" s="159"/>
    </row>
    <row r="510" spans="1:35" s="16" customFormat="1" ht="15.75">
      <c r="A510" s="17"/>
      <c r="B510" s="6"/>
      <c r="C510" s="44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  <c r="AA510" s="157"/>
      <c r="AB510" s="157"/>
      <c r="AC510" s="157"/>
      <c r="AD510" s="157"/>
      <c r="AE510" s="157"/>
      <c r="AF510" s="157"/>
      <c r="AG510" s="157"/>
      <c r="AH510" s="157"/>
      <c r="AI510" s="159"/>
    </row>
    <row r="511" spans="1:35" s="16" customFormat="1" ht="15.75">
      <c r="A511" s="17"/>
      <c r="B511" s="6"/>
      <c r="C511" s="44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  <c r="AA511" s="157"/>
      <c r="AB511" s="157"/>
      <c r="AC511" s="157"/>
      <c r="AD511" s="157"/>
      <c r="AE511" s="157"/>
      <c r="AF511" s="157"/>
      <c r="AG511" s="157"/>
      <c r="AH511" s="157"/>
      <c r="AI511" s="159"/>
    </row>
    <row r="512" spans="1:35" s="16" customFormat="1" ht="15.75">
      <c r="A512" s="17"/>
      <c r="B512" s="6"/>
      <c r="C512" s="44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  <c r="AB512" s="157"/>
      <c r="AC512" s="157"/>
      <c r="AD512" s="157"/>
      <c r="AE512" s="157"/>
      <c r="AF512" s="157"/>
      <c r="AG512" s="157"/>
      <c r="AH512" s="157"/>
      <c r="AI512" s="159"/>
    </row>
    <row r="513" spans="1:35" s="16" customFormat="1" ht="15.75">
      <c r="A513" s="17"/>
      <c r="B513" s="6"/>
      <c r="C513" s="44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  <c r="AB513" s="157"/>
      <c r="AC513" s="157"/>
      <c r="AD513" s="157"/>
      <c r="AE513" s="157"/>
      <c r="AF513" s="157"/>
      <c r="AG513" s="157"/>
      <c r="AH513" s="157"/>
      <c r="AI513" s="159"/>
    </row>
    <row r="514" spans="1:35" s="16" customFormat="1" ht="15.75">
      <c r="A514" s="17"/>
      <c r="B514" s="6"/>
      <c r="C514" s="44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9"/>
    </row>
    <row r="515" spans="1:35" s="16" customFormat="1" ht="15.75">
      <c r="A515" s="17"/>
      <c r="B515" s="6"/>
      <c r="C515" s="44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  <c r="AB515" s="157"/>
      <c r="AC515" s="157"/>
      <c r="AD515" s="157"/>
      <c r="AE515" s="157"/>
      <c r="AF515" s="157"/>
      <c r="AG515" s="157"/>
      <c r="AH515" s="157"/>
      <c r="AI515" s="159"/>
    </row>
    <row r="516" spans="1:35" s="16" customFormat="1" ht="15.75">
      <c r="A516" s="17"/>
      <c r="B516" s="6"/>
      <c r="C516" s="44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7"/>
      <c r="AE516" s="157"/>
      <c r="AF516" s="157"/>
      <c r="AG516" s="157"/>
      <c r="AH516" s="157"/>
      <c r="AI516" s="159"/>
    </row>
    <row r="517" spans="1:35" s="16" customFormat="1" ht="15.75">
      <c r="A517" s="17"/>
      <c r="B517" s="6"/>
      <c r="C517" s="44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  <c r="AA517" s="157"/>
      <c r="AB517" s="157"/>
      <c r="AC517" s="157"/>
      <c r="AD517" s="157"/>
      <c r="AE517" s="157"/>
      <c r="AF517" s="157"/>
      <c r="AG517" s="157"/>
      <c r="AH517" s="157"/>
      <c r="AI517" s="159"/>
    </row>
    <row r="518" spans="1:35" s="16" customFormat="1" ht="15.75">
      <c r="A518" s="17"/>
      <c r="B518" s="6"/>
      <c r="C518" s="44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7"/>
      <c r="AG518" s="157"/>
      <c r="AH518" s="157"/>
      <c r="AI518" s="159"/>
    </row>
    <row r="519" spans="1:35" s="16" customFormat="1" ht="15.75">
      <c r="A519" s="17"/>
      <c r="B519" s="6"/>
      <c r="C519" s="44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  <c r="AC519" s="157"/>
      <c r="AD519" s="157"/>
      <c r="AE519" s="157"/>
      <c r="AF519" s="157"/>
      <c r="AG519" s="157"/>
      <c r="AH519" s="157"/>
      <c r="AI519" s="159"/>
    </row>
    <row r="520" spans="1:35" s="16" customFormat="1" ht="15.75">
      <c r="A520" s="17"/>
      <c r="B520" s="6"/>
      <c r="C520" s="44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  <c r="AA520" s="157"/>
      <c r="AB520" s="157"/>
      <c r="AC520" s="157"/>
      <c r="AD520" s="157"/>
      <c r="AE520" s="157"/>
      <c r="AF520" s="157"/>
      <c r="AG520" s="157"/>
      <c r="AH520" s="157"/>
      <c r="AI520" s="159"/>
    </row>
    <row r="521" spans="1:35" s="16" customFormat="1" ht="15.75">
      <c r="A521" s="17"/>
      <c r="B521" s="6"/>
      <c r="C521" s="44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57"/>
      <c r="AG521" s="157"/>
      <c r="AH521" s="157"/>
      <c r="AI521" s="159"/>
    </row>
    <row r="522" spans="1:35" s="16" customFormat="1" ht="15.75">
      <c r="A522" s="17"/>
      <c r="B522" s="6"/>
      <c r="C522" s="44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  <c r="AB522" s="157"/>
      <c r="AC522" s="157"/>
      <c r="AD522" s="157"/>
      <c r="AE522" s="157"/>
      <c r="AF522" s="157"/>
      <c r="AG522" s="157"/>
      <c r="AH522" s="157"/>
      <c r="AI522" s="159"/>
    </row>
    <row r="523" spans="1:35" s="16" customFormat="1" ht="15.75">
      <c r="A523" s="17"/>
      <c r="B523" s="6"/>
      <c r="C523" s="44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  <c r="AB523" s="157"/>
      <c r="AC523" s="157"/>
      <c r="AD523" s="157"/>
      <c r="AE523" s="157"/>
      <c r="AF523" s="157"/>
      <c r="AG523" s="157"/>
      <c r="AH523" s="157"/>
      <c r="AI523" s="159"/>
    </row>
    <row r="524" spans="1:35" s="16" customFormat="1" ht="15.75">
      <c r="A524" s="17"/>
      <c r="B524" s="6"/>
      <c r="C524" s="44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  <c r="AB524" s="157"/>
      <c r="AC524" s="157"/>
      <c r="AD524" s="157"/>
      <c r="AE524" s="157"/>
      <c r="AF524" s="157"/>
      <c r="AG524" s="157"/>
      <c r="AH524" s="157"/>
      <c r="AI524" s="159"/>
    </row>
    <row r="525" spans="1:35" s="16" customFormat="1" ht="15.75">
      <c r="A525" s="17"/>
      <c r="B525" s="6"/>
      <c r="C525" s="44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57"/>
      <c r="AG525" s="157"/>
      <c r="AH525" s="157"/>
      <c r="AI525" s="159"/>
    </row>
    <row r="526" spans="1:35" s="16" customFormat="1" ht="15.75">
      <c r="A526" s="17"/>
      <c r="B526" s="6"/>
      <c r="C526" s="44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7"/>
      <c r="AG526" s="157"/>
      <c r="AH526" s="157"/>
      <c r="AI526" s="159"/>
    </row>
    <row r="527" spans="1:35" s="16" customFormat="1" ht="15.75">
      <c r="A527" s="17"/>
      <c r="B527" s="6"/>
      <c r="C527" s="44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57"/>
      <c r="AD527" s="157"/>
      <c r="AE527" s="157"/>
      <c r="AF527" s="157"/>
      <c r="AG527" s="157"/>
      <c r="AH527" s="157"/>
      <c r="AI527" s="159"/>
    </row>
    <row r="528" spans="1:35" s="16" customFormat="1" ht="15.75">
      <c r="A528" s="17"/>
      <c r="B528" s="6"/>
      <c r="C528" s="44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57"/>
      <c r="AG528" s="157"/>
      <c r="AH528" s="157"/>
      <c r="AI528" s="159"/>
    </row>
    <row r="529" spans="1:35" s="16" customFormat="1" ht="15.75">
      <c r="A529" s="17"/>
      <c r="B529" s="6"/>
      <c r="C529" s="44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57"/>
      <c r="AG529" s="157"/>
      <c r="AH529" s="157"/>
      <c r="AI529" s="159"/>
    </row>
    <row r="530" spans="1:35" s="16" customFormat="1" ht="15.75">
      <c r="A530" s="17"/>
      <c r="B530" s="6"/>
      <c r="C530" s="44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  <c r="AB530" s="157"/>
      <c r="AC530" s="157"/>
      <c r="AD530" s="157"/>
      <c r="AE530" s="157"/>
      <c r="AF530" s="157"/>
      <c r="AG530" s="157"/>
      <c r="AH530" s="157"/>
      <c r="AI530" s="159"/>
    </row>
    <row r="531" spans="1:35" s="16" customFormat="1" ht="15.75">
      <c r="A531" s="17"/>
      <c r="B531" s="6"/>
      <c r="C531" s="44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57"/>
      <c r="AG531" s="157"/>
      <c r="AH531" s="157"/>
      <c r="AI531" s="159"/>
    </row>
    <row r="532" spans="1:35" s="16" customFormat="1" ht="15.75">
      <c r="A532" s="17"/>
      <c r="B532" s="6"/>
      <c r="C532" s="44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57"/>
      <c r="AG532" s="157"/>
      <c r="AH532" s="157"/>
      <c r="AI532" s="159"/>
    </row>
    <row r="533" spans="1:35" s="16" customFormat="1" ht="15.75">
      <c r="A533" s="17"/>
      <c r="B533" s="6"/>
      <c r="C533" s="44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  <c r="AB533" s="157"/>
      <c r="AC533" s="157"/>
      <c r="AD533" s="157"/>
      <c r="AE533" s="157"/>
      <c r="AF533" s="157"/>
      <c r="AG533" s="157"/>
      <c r="AH533" s="157"/>
      <c r="AI533" s="159"/>
    </row>
    <row r="534" spans="1:35" s="16" customFormat="1" ht="15.75">
      <c r="A534" s="17"/>
      <c r="B534" s="6"/>
      <c r="C534" s="44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7"/>
      <c r="AE534" s="157"/>
      <c r="AF534" s="157"/>
      <c r="AG534" s="157"/>
      <c r="AH534" s="157"/>
      <c r="AI534" s="159"/>
    </row>
    <row r="535" spans="1:35" s="16" customFormat="1" ht="15.75">
      <c r="A535" s="17"/>
      <c r="B535" s="6"/>
      <c r="C535" s="44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57"/>
      <c r="AG535" s="157"/>
      <c r="AH535" s="157"/>
      <c r="AI535" s="159"/>
    </row>
    <row r="536" spans="1:35" s="16" customFormat="1" ht="15.75">
      <c r="A536" s="17"/>
      <c r="B536" s="6"/>
      <c r="C536" s="44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  <c r="AB536" s="157"/>
      <c r="AC536" s="157"/>
      <c r="AD536" s="157"/>
      <c r="AE536" s="157"/>
      <c r="AF536" s="157"/>
      <c r="AG536" s="157"/>
      <c r="AH536" s="157"/>
      <c r="AI536" s="159"/>
    </row>
    <row r="537" spans="1:35" s="16" customFormat="1" ht="15.75">
      <c r="A537" s="17"/>
      <c r="B537" s="6"/>
      <c r="C537" s="44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  <c r="AA537" s="157"/>
      <c r="AB537" s="157"/>
      <c r="AC537" s="157"/>
      <c r="AD537" s="157"/>
      <c r="AE537" s="157"/>
      <c r="AF537" s="157"/>
      <c r="AG537" s="157"/>
      <c r="AH537" s="157"/>
      <c r="AI537" s="159"/>
    </row>
    <row r="538" spans="1:35" s="16" customFormat="1" ht="15.75">
      <c r="A538" s="17"/>
      <c r="B538" s="6"/>
      <c r="C538" s="44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  <c r="AB538" s="157"/>
      <c r="AC538" s="157"/>
      <c r="AD538" s="157"/>
      <c r="AE538" s="157"/>
      <c r="AF538" s="157"/>
      <c r="AG538" s="157"/>
      <c r="AH538" s="157"/>
      <c r="AI538" s="159"/>
    </row>
    <row r="539" spans="1:35" s="16" customFormat="1" ht="15.75">
      <c r="A539" s="17"/>
      <c r="B539" s="6"/>
      <c r="C539" s="44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7"/>
      <c r="AG539" s="157"/>
      <c r="AH539" s="157"/>
      <c r="AI539" s="159"/>
    </row>
    <row r="540" spans="1:35" s="16" customFormat="1" ht="15.75">
      <c r="A540" s="17"/>
      <c r="B540" s="6"/>
      <c r="C540" s="44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7"/>
      <c r="AG540" s="157"/>
      <c r="AH540" s="157"/>
      <c r="AI540" s="159"/>
    </row>
    <row r="541" spans="1:35" s="16" customFormat="1" ht="15.75">
      <c r="A541" s="17"/>
      <c r="B541" s="6"/>
      <c r="C541" s="44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9"/>
    </row>
    <row r="542" spans="1:35" s="16" customFormat="1" ht="15.75">
      <c r="A542" s="17"/>
      <c r="B542" s="6"/>
      <c r="C542" s="44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9"/>
    </row>
    <row r="543" spans="1:35" s="16" customFormat="1" ht="15.75">
      <c r="A543" s="17"/>
      <c r="B543" s="6"/>
      <c r="C543" s="44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57"/>
      <c r="AG543" s="157"/>
      <c r="AH543" s="157"/>
      <c r="AI543" s="159"/>
    </row>
    <row r="544" spans="1:35" s="16" customFormat="1" ht="15.75">
      <c r="A544" s="17"/>
      <c r="B544" s="6"/>
      <c r="C544" s="44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  <c r="AB544" s="157"/>
      <c r="AC544" s="157"/>
      <c r="AD544" s="157"/>
      <c r="AE544" s="157"/>
      <c r="AF544" s="157"/>
      <c r="AG544" s="157"/>
      <c r="AH544" s="157"/>
      <c r="AI544" s="159"/>
    </row>
    <row r="545" spans="1:35" s="16" customFormat="1" ht="15.75">
      <c r="A545" s="17"/>
      <c r="B545" s="6"/>
      <c r="C545" s="44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9"/>
    </row>
    <row r="546" spans="1:35" s="16" customFormat="1" ht="15.75">
      <c r="A546" s="17"/>
      <c r="B546" s="6"/>
      <c r="C546" s="44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7"/>
      <c r="AG546" s="157"/>
      <c r="AH546" s="157"/>
      <c r="AI546" s="159"/>
    </row>
    <row r="547" spans="1:35" s="16" customFormat="1" ht="15.75">
      <c r="A547" s="17"/>
      <c r="B547" s="6"/>
      <c r="C547" s="44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7"/>
      <c r="AG547" s="157"/>
      <c r="AH547" s="157"/>
      <c r="AI547" s="159"/>
    </row>
    <row r="548" spans="1:35" s="16" customFormat="1" ht="15.75">
      <c r="A548" s="17"/>
      <c r="B548" s="6"/>
      <c r="C548" s="44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9"/>
    </row>
    <row r="549" spans="1:35" s="16" customFormat="1" ht="15.75">
      <c r="A549" s="17"/>
      <c r="B549" s="6"/>
      <c r="C549" s="44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9"/>
    </row>
    <row r="550" spans="1:35" s="16" customFormat="1" ht="15.75">
      <c r="A550" s="17"/>
      <c r="B550" s="6"/>
      <c r="C550" s="44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9"/>
    </row>
    <row r="551" spans="1:35" s="16" customFormat="1" ht="15.75">
      <c r="A551" s="17"/>
      <c r="B551" s="6"/>
      <c r="C551" s="44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57"/>
      <c r="AG551" s="157"/>
      <c r="AH551" s="157"/>
      <c r="AI551" s="159"/>
    </row>
    <row r="552" spans="1:35" s="16" customFormat="1" ht="15.75">
      <c r="A552" s="17"/>
      <c r="B552" s="6"/>
      <c r="C552" s="44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9"/>
    </row>
    <row r="553" spans="1:35" s="16" customFormat="1" ht="15.75">
      <c r="A553" s="17"/>
      <c r="B553" s="6"/>
      <c r="C553" s="44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57"/>
      <c r="AG553" s="157"/>
      <c r="AH553" s="157"/>
      <c r="AI553" s="159"/>
    </row>
    <row r="554" spans="1:35" s="16" customFormat="1" ht="15.75">
      <c r="A554" s="17"/>
      <c r="B554" s="6"/>
      <c r="C554" s="44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  <c r="AB554" s="157"/>
      <c r="AC554" s="157"/>
      <c r="AD554" s="157"/>
      <c r="AE554" s="157"/>
      <c r="AF554" s="157"/>
      <c r="AG554" s="157"/>
      <c r="AH554" s="157"/>
      <c r="AI554" s="159"/>
    </row>
    <row r="555" spans="1:35" s="16" customFormat="1" ht="15.75">
      <c r="A555" s="17"/>
      <c r="B555" s="6"/>
      <c r="C555" s="44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  <c r="AB555" s="157"/>
      <c r="AC555" s="157"/>
      <c r="AD555" s="157"/>
      <c r="AE555" s="157"/>
      <c r="AF555" s="157"/>
      <c r="AG555" s="157"/>
      <c r="AH555" s="157"/>
      <c r="AI555" s="159"/>
    </row>
  </sheetData>
  <sheetProtection/>
  <mergeCells count="39">
    <mergeCell ref="K1:N1"/>
    <mergeCell ref="K3:O3"/>
    <mergeCell ref="M10:M12"/>
    <mergeCell ref="A7:M7"/>
    <mergeCell ref="F11:F12"/>
    <mergeCell ref="G11:G12"/>
    <mergeCell ref="K11:K12"/>
    <mergeCell ref="J10:J12"/>
    <mergeCell ref="K10:L10"/>
    <mergeCell ref="F10:G10"/>
    <mergeCell ref="B212:D212"/>
    <mergeCell ref="K212:M212"/>
    <mergeCell ref="A213:F213"/>
    <mergeCell ref="A9:A12"/>
    <mergeCell ref="C9:C12"/>
    <mergeCell ref="D9:H9"/>
    <mergeCell ref="D10:D12"/>
    <mergeCell ref="E10:E12"/>
    <mergeCell ref="B9:B12"/>
    <mergeCell ref="H10:H12"/>
    <mergeCell ref="AE9:AE12"/>
    <mergeCell ref="AF9:AI9"/>
    <mergeCell ref="U10:U12"/>
    <mergeCell ref="V10:V12"/>
    <mergeCell ref="O9:O12"/>
    <mergeCell ref="I9:N9"/>
    <mergeCell ref="N11:N12"/>
    <mergeCell ref="L11:L12"/>
    <mergeCell ref="I10:I12"/>
    <mergeCell ref="K213:N213"/>
    <mergeCell ref="K4:O4"/>
    <mergeCell ref="AF10:AF12"/>
    <mergeCell ref="Z8:AI8"/>
    <mergeCell ref="P9:S10"/>
    <mergeCell ref="T9:T12"/>
    <mergeCell ref="U9:Y9"/>
    <mergeCell ref="Z9:AC10"/>
    <mergeCell ref="AD9:AD12"/>
    <mergeCell ref="P8:Y8"/>
  </mergeCells>
  <printOptions horizontalCentered="1"/>
  <pageMargins left="0.1968503937007874" right="0.1968503937007874" top="0.46" bottom="0.5118110236220472" header="0.26" footer="0.2362204724409449"/>
  <pageSetup fitToHeight="100" fitToWidth="1" horizontalDpi="600" verticalDpi="600" orientation="landscape" paperSize="9" scale="44" r:id="rId1"/>
  <headerFooter alignWithMargins="0">
    <oddFooter xml:space="preserve">&amp;R&amp;22Сторінка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2017-12-26T14:00:06Z</cp:lastPrinted>
  <dcterms:created xsi:type="dcterms:W3CDTF">2014-01-17T10:52:16Z</dcterms:created>
  <dcterms:modified xsi:type="dcterms:W3CDTF">2017-12-27T09:01:39Z</dcterms:modified>
  <cp:category/>
  <cp:version/>
  <cp:contentType/>
  <cp:contentStatus/>
</cp:coreProperties>
</file>