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95" windowHeight="11220" activeTab="0"/>
  </bookViews>
  <sheets>
    <sheet name="дод (с) " sheetId="1" r:id="rId1"/>
  </sheets>
  <definedNames>
    <definedName name="_xlnm.Print_Area" localSheetId="0">'дод (с) '!$C$1:$M$253</definedName>
  </definedNames>
  <calcPr fullCalcOnLoad="1"/>
</workbook>
</file>

<file path=xl/sharedStrings.xml><?xml version="1.0" encoding="utf-8"?>
<sst xmlns="http://schemas.openxmlformats.org/spreadsheetml/2006/main" count="539" uniqueCount="289">
  <si>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</si>
  <si>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</si>
  <si>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</si>
  <si>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</si>
  <si>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</si>
  <si>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</si>
  <si>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</si>
  <si>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</si>
  <si>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</si>
  <si>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</si>
  <si>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</si>
  <si>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</si>
  <si>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</si>
  <si>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</si>
  <si>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</si>
  <si>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</si>
  <si>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</si>
  <si>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</si>
  <si>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</si>
  <si>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</si>
  <si>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</si>
  <si>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</si>
  <si>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</si>
  <si>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</si>
  <si>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</si>
  <si>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</si>
  <si>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Будівництво доріг та ліній освітлення 12 МР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</si>
  <si>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</si>
  <si>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</si>
  <si>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</si>
  <si>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</si>
  <si>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</si>
  <si>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</si>
  <si>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</si>
  <si>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</si>
  <si>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</si>
  <si>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</si>
  <si>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</si>
  <si>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</si>
  <si>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</si>
  <si>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</si>
  <si>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</si>
  <si>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</si>
  <si>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</si>
  <si>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</si>
  <si>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</si>
  <si>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</si>
  <si>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</si>
  <si>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</si>
  <si>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</si>
  <si>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</si>
  <si>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</si>
  <si>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</si>
  <si>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</si>
  <si>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</si>
  <si>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</si>
  <si>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</si>
  <si>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</si>
  <si>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</si>
  <si>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</si>
  <si>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</si>
  <si>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</si>
  <si>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</si>
  <si>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</si>
  <si>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</si>
  <si>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</si>
  <si>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</si>
  <si>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</si>
  <si>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</si>
  <si>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</si>
  <si>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</si>
  <si>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</si>
  <si>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</si>
  <si>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</si>
  <si>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</si>
  <si>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</si>
  <si>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</si>
  <si>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</si>
  <si>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</si>
  <si>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</si>
  <si>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</si>
  <si>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</si>
  <si>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</si>
  <si>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</si>
  <si>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</si>
  <si>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</si>
  <si>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</si>
  <si>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</si>
  <si>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</si>
  <si>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</si>
  <si>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</si>
  <si>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</si>
  <si>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</si>
  <si>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</si>
  <si>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</si>
  <si>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</si>
  <si>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</si>
  <si>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</si>
  <si>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</si>
  <si>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</si>
  <si>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</si>
  <si>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</si>
  <si>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</si>
  <si>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</si>
  <si>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</si>
  <si>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</si>
  <si>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</si>
  <si>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</si>
  <si>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</si>
  <si>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</si>
  <si>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</si>
  <si>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</si>
  <si>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</si>
  <si>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</si>
  <si>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</si>
  <si>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</si>
  <si>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</si>
  <si>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</si>
  <si>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</si>
  <si>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</si>
  <si>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</si>
  <si>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</si>
  <si>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</si>
  <si>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</si>
  <si>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</si>
  <si>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</si>
  <si>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</si>
  <si>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</si>
  <si>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</si>
  <si>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</si>
  <si>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</si>
  <si>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</si>
  <si>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</si>
  <si>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</si>
  <si>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</si>
  <si>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</si>
  <si>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</si>
  <si>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</si>
  <si>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</si>
  <si>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</si>
  <si>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</si>
  <si>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</si>
  <si>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</si>
  <si>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</si>
  <si>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</si>
  <si>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</si>
  <si>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</si>
  <si>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</si>
  <si>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</si>
  <si>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</si>
  <si>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</si>
  <si>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</si>
  <si>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</si>
  <si>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</si>
  <si>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</si>
  <si>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</si>
  <si>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</si>
  <si>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</si>
  <si>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</si>
  <si>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</si>
  <si>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</si>
  <si>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</si>
  <si>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</si>
  <si>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</si>
  <si>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</si>
  <si>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</si>
  <si>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</si>
  <si>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</si>
  <si>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</si>
  <si>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</si>
  <si>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</si>
  <si>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</si>
  <si>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</si>
  <si>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</si>
  <si>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</si>
  <si>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Реставрація будівлі по вул. Троїцька, 8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</si>
  <si>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</si>
  <si>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</si>
  <si>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</si>
  <si>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</si>
  <si>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</si>
  <si>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</si>
  <si>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</si>
  <si>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</si>
  <si>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</si>
  <si>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</si>
  <si>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</si>
  <si>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</si>
  <si>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</si>
  <si>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</si>
  <si>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</si>
  <si>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</si>
  <si>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</si>
  <si>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</si>
  <si>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</si>
  <si>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</si>
  <si>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</si>
  <si>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</si>
  <si>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</si>
  <si>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</si>
  <si>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</si>
  <si>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</si>
  <si>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</si>
  <si>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</si>
  <si>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</si>
  <si>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</si>
  <si>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</si>
  <si>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</si>
  <si>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</si>
  <si>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</si>
  <si>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</si>
  <si>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Реконструкція системи електрозабезпечення 48-квартирного будинку по вулиці Холодногірська, 30/1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</si>
  <si>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</si>
  <si>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</si>
  <si>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</si>
  <si>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</si>
  <si>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</si>
  <si>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</si>
  <si>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</si>
  <si>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 xml:space="preserve"> 2. Реконструкція житлового фонду</t>
  </si>
  <si>
    <t>Будівництво футбольного поля біля житлових будинків № 32а, 32б по вул. Металургів</t>
  </si>
  <si>
    <t>Будівництво волейбольно-баскетбольного майданчика в районі житлових будинків                        № 32а, 32б по вул. Металургів</t>
  </si>
  <si>
    <t>Будівництво зливної каналізації в районі житлових будинків №51 та №59 по                       вул. Романа Атаманюка</t>
  </si>
  <si>
    <t>Реставрація будівлі по вул. Петропавлівська, 91</t>
  </si>
  <si>
    <t>Реконструкція денного відділення стаціонару КУ "Сумська міська клінічна лікарня №1"</t>
  </si>
  <si>
    <t>1. Реконструкція житлового фонду</t>
  </si>
  <si>
    <t xml:space="preserve">2. Реконструкція інших об’єктів   </t>
  </si>
  <si>
    <t>070501</t>
  </si>
  <si>
    <t>Професійно-технічні заклади освіти </t>
  </si>
  <si>
    <t>0930</t>
  </si>
  <si>
    <t>Встановлення дитячого майданчика за адресою: м.Суми, вул. Харитоненка, біля будинків № 24, 26</t>
  </si>
  <si>
    <t>Житлове будівництво та придбання житла для окремих категорій населення </t>
  </si>
  <si>
    <t>Реконструкція інженерних мереж КУ Піщанська ЗОШ І-ІІ ступенів</t>
  </si>
  <si>
    <t>КП "Інфосервіс" Сумської міської ради</t>
  </si>
  <si>
    <t>Реконструкція житлового будинку з влаштуванням пандусу по вул. Харківська, 25</t>
  </si>
  <si>
    <t>Реконструкція житлового будинку з влаштуванням пандусу по вул. Івана Сірка, 45</t>
  </si>
  <si>
    <t>Реконструкція житлового будинку з влаштуванням пандусу по вул. Івана Сірка, 31</t>
  </si>
  <si>
    <t>Реконструкція житлового будинку з влаштуванням пандусу по вул. Інтернаціоналістів, 25</t>
  </si>
  <si>
    <t>Реконструкція житлового будинку з влаштуванням пандусу по вул. Покоф'єва, 24Б</t>
  </si>
  <si>
    <t>Будівництво дитячого багатофункціонального спортивного майданчика з поліуретановим покриттям по вул. Новомісенській,4, м. Суми</t>
  </si>
  <si>
    <t>Будівництво багатофункціонального спортивного майданчика з поліуретановим покриттям та вуличними тренажерами на території  комунальної установи Сумська гімназія № 1 м. Суми Сумської області по вулиці Засумська, 3 міста Суми</t>
  </si>
  <si>
    <t>Реконструкція водопроводу Д500 мм від Тополянського водозабору до пр.Курський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</si>
  <si>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</si>
  <si>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Управління освіти і науки Сумської міської ради</t>
  </si>
  <si>
    <t>Департамент  соціального захисту населення Сумської міської ради</t>
  </si>
  <si>
    <t>Департамент інфраструктури міста Сумської міської ради</t>
  </si>
  <si>
    <t>Департамент забезпечення ресурсних платежів Сумської міської ради</t>
  </si>
  <si>
    <t>Управління державного архітектурно - будівельного контролю  Сумської міської ради</t>
  </si>
  <si>
    <t>Управління капітального будівництва та дорожнього господарства Сумської міської ради</t>
  </si>
  <si>
    <t>Збереження, розвиток, реконструкція та реставрація пам'яток історії та культури, в т.ч.: </t>
  </si>
  <si>
    <t>Департамент містобудування та земельних відносин Сумської міської ради</t>
  </si>
  <si>
    <t>Управління архітектури та містобудування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</si>
  <si>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</si>
  <si>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інвестицій Сумської міської ради </t>
  </si>
  <si>
    <t xml:space="preserve">Департамент фінансів, економіки та інвестицій Сумської міської ради (в частині міжбюджетних трансфертів, резервного фонду) </t>
  </si>
  <si>
    <t>Перелік об'єктів, видатки на які у 2016 році</t>
  </si>
  <si>
    <t>будуть проводитися за рахунок коштів бюджету розвитку та інших коштів міського бюджету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</si>
  <si>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</si>
  <si>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Відділ культури та туризму Сумської міської ради</t>
  </si>
  <si>
    <t>Реконструкція каналізаційного залізобетонного самотічного колектора Д-600 мм по вул. Сєчєнова від залізничної дороги (вул. Київська) до перехрестя вул. Слобідської та вул. Вигонопоселенської</t>
  </si>
  <si>
    <t>Будівництво водопроводу по  пров. Запотоцького</t>
  </si>
  <si>
    <t>Будівництво тролейбусної лінії вул. Прокоф'єва - вул. Кірова</t>
  </si>
  <si>
    <t>Будівництво зливної каналізації в районі житлових будинків №51 та №59 по вул. Романа Атаманюка</t>
  </si>
  <si>
    <t>Будівництво волейбольно-баскетбольного майданчика в районі житлових будинків № 32а, 32б по вул. Металургів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</si>
  <si>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</si>
  <si>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</si>
  <si>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(термомодернізація) ДНЗ № 5  «Снігуронька»</t>
  </si>
  <si>
    <t>Реконструкція (термомодернізація) ДНЗ № 8  (ясла-садок) «Космічний»</t>
  </si>
  <si>
    <t>Реконструкція (термомодернізація) ДНЗ № 21  (ясла-садок) «Волошка»</t>
  </si>
  <si>
    <t>Реконструкція (термомодернізація) ДНЗ № 33  «Маринка»</t>
  </si>
  <si>
    <t>Реконструкція каналізаційного напірного колектора від діючої камери № 19 по вул. Д. Коротченко до камери № 31 по вул. Криничній</t>
  </si>
  <si>
    <t>Реконструкція пішохідної доріжки біля оз. Чеха з влаштуванням лінії освітлення</t>
  </si>
  <si>
    <t>Всього за рахунок коштів бюджету розвитку міського бюджету:</t>
  </si>
  <si>
    <t>Видатки передбачені на проведення природоохоронних заходів:</t>
  </si>
  <si>
    <t>Видатки на проведення робіт,  пов'язаних із будівництвом, реконструкцією, ремонтом та утриманням автомобільних доріг  (головний розпорядник бюджетних коштів - управління капітального будівництва та дорожнього господарства Сумської міської ради), в т.ч.:</t>
  </si>
  <si>
    <t>тис.грн.</t>
  </si>
  <si>
    <t>Реконструкція спортивного майданчику біля будинку № 12 по вул. Шишкіна в місті Суми</t>
  </si>
  <si>
    <t xml:space="preserve">Виконавчий комітет Сумської міської ради </t>
  </si>
  <si>
    <t>Відділ охорони здоров'я Сумської міської ради</t>
  </si>
  <si>
    <t>Сумський міський голова</t>
  </si>
  <si>
    <t>О.М. Лисенко</t>
  </si>
  <si>
    <t>Виконавець: Липова С.А.</t>
  </si>
  <si>
    <t>____________</t>
  </si>
  <si>
    <t>до рішення Сумської міської ради «Про внесення змін до</t>
  </si>
  <si>
    <t>рішення Сумської міської  ради  від  24 грудня 2015 року</t>
  </si>
  <si>
    <t xml:space="preserve">№ 144-МР «Про  Програму   економічного і  соціального  </t>
  </si>
  <si>
    <t>розвитку  м.Суми  на  2016 рік» (зі змінами)</t>
  </si>
  <si>
    <t>від   21 грудня  2016  року    № 1541-МР</t>
  </si>
  <si>
    <t xml:space="preserve">                              Додаток 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</si>
</sst>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30">
    <font>
      <sz val="10"/>
      <name val="Arial Cyr"/>
      <family val="0"/>
    </font>
    <font>
      <b/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i/>
      <u val="single"/>
      <sz val="16"/>
      <name val="Times New Roman"/>
      <family val="1"/>
    </font>
    <font>
      <b/>
      <i/>
      <u val="single"/>
      <sz val="16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/>
    </xf>
    <xf numFmtId="194" fontId="22" fillId="0" borderId="10" xfId="0" applyNumberFormat="1" applyFont="1" applyFill="1" applyBorder="1" applyAlignment="1">
      <alignment vertical="center"/>
    </xf>
    <xf numFmtId="194" fontId="22" fillId="0" borderId="10" xfId="0" applyNumberFormat="1" applyFont="1" applyFill="1" applyBorder="1" applyAlignment="1">
      <alignment/>
    </xf>
    <xf numFmtId="194" fontId="21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wrapText="1"/>
    </xf>
    <xf numFmtId="194" fontId="22" fillId="0" borderId="10" xfId="0" applyNumberFormat="1" applyFont="1" applyFill="1" applyBorder="1" applyAlignment="1">
      <alignment vertical="center"/>
    </xf>
    <xf numFmtId="194" fontId="21" fillId="0" borderId="10" xfId="0" applyNumberFormat="1" applyFont="1" applyFill="1" applyBorder="1" applyAlignment="1">
      <alignment vertical="center"/>
    </xf>
    <xf numFmtId="194" fontId="25" fillId="0" borderId="10" xfId="0" applyNumberFormat="1" applyFont="1" applyFill="1" applyBorder="1" applyAlignment="1">
      <alignment vertical="center"/>
    </xf>
    <xf numFmtId="194" fontId="22" fillId="0" borderId="10" xfId="0" applyNumberFormat="1" applyFont="1" applyFill="1" applyBorder="1" applyAlignment="1">
      <alignment horizontal="right" vertical="center"/>
    </xf>
    <xf numFmtId="194" fontId="22" fillId="0" borderId="10" xfId="0" applyNumberFormat="1" applyFont="1" applyFill="1" applyBorder="1" applyAlignment="1">
      <alignment horizontal="right" vertical="center" wrapText="1"/>
    </xf>
    <xf numFmtId="187" fontId="21" fillId="0" borderId="0" xfId="6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4" fontId="21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vertical="center"/>
    </xf>
    <xf numFmtId="194" fontId="27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4" fontId="21" fillId="0" borderId="10" xfId="0" applyNumberFormat="1" applyFont="1" applyFill="1" applyBorder="1" applyAlignment="1">
      <alignment vertical="center"/>
    </xf>
    <xf numFmtId="194" fontId="21" fillId="0" borderId="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87" fontId="25" fillId="0" borderId="0" xfId="6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194" fontId="26" fillId="0" borderId="0" xfId="0" applyNumberFormat="1" applyFont="1" applyFill="1" applyBorder="1" applyAlignment="1">
      <alignment vertical="center"/>
    </xf>
    <xf numFmtId="187" fontId="24" fillId="0" borderId="0" xfId="6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left" wrapText="1"/>
    </xf>
    <xf numFmtId="194" fontId="21" fillId="0" borderId="10" xfId="0" applyNumberFormat="1" applyFont="1" applyFill="1" applyBorder="1" applyAlignment="1">
      <alignment horizontal="center" vertical="center" wrapText="1"/>
    </xf>
    <xf numFmtId="187" fontId="21" fillId="0" borderId="0" xfId="60" applyFont="1" applyFill="1" applyBorder="1" applyAlignment="1">
      <alignment/>
    </xf>
    <xf numFmtId="19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3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wrapText="1"/>
    </xf>
    <xf numFmtId="194" fontId="21" fillId="0" borderId="10" xfId="0" applyNumberFormat="1" applyFont="1" applyFill="1" applyBorder="1" applyAlignment="1">
      <alignment horizontal="center" vertical="center"/>
    </xf>
    <xf numFmtId="19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19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187" fontId="22" fillId="0" borderId="0" xfId="60" applyFont="1" applyFill="1" applyBorder="1" applyAlignment="1">
      <alignment/>
    </xf>
    <xf numFmtId="187" fontId="25" fillId="0" borderId="0" xfId="60" applyFont="1" applyFill="1" applyBorder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94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center" textRotation="180"/>
    </xf>
    <xf numFmtId="0" fontId="22" fillId="0" borderId="0" xfId="0" applyFont="1" applyFill="1" applyBorder="1" applyAlignment="1">
      <alignment vertical="center"/>
    </xf>
    <xf numFmtId="187" fontId="22" fillId="0" borderId="0" xfId="6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194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textRotation="180"/>
    </xf>
    <xf numFmtId="0" fontId="21" fillId="0" borderId="0" xfId="0" applyFont="1" applyFill="1" applyBorder="1" applyAlignment="1">
      <alignment horizontal="center" vertical="center" textRotation="180"/>
    </xf>
    <xf numFmtId="0" fontId="22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W341"/>
  <sheetViews>
    <sheetView showZeros="0" tabSelected="1" view="pageBreakPreview" zoomScale="50" zoomScaleNormal="75" zoomScaleSheetLayoutView="50" zoomScalePageLayoutView="0" workbookViewId="0" topLeftCell="C1">
      <selection activeCell="P25" sqref="P25"/>
    </sheetView>
  </sheetViews>
  <sheetFormatPr defaultColWidth="9.125" defaultRowHeight="12.75"/>
  <cols>
    <col min="1" max="1" width="16.00390625" style="17" hidden="1" customWidth="1"/>
    <col min="2" max="2" width="12.625" style="17" hidden="1" customWidth="1"/>
    <col min="3" max="3" width="156.625" style="17" customWidth="1"/>
    <col min="4" max="4" width="0.2421875" style="17" hidden="1" customWidth="1"/>
    <col min="5" max="5" width="19.25390625" style="17" hidden="1" customWidth="1"/>
    <col min="6" max="6" width="33.875" style="17" customWidth="1"/>
    <col min="7" max="7" width="26.75390625" style="17" customWidth="1"/>
    <col min="8" max="8" width="20.25390625" style="17" hidden="1" customWidth="1"/>
    <col min="9" max="9" width="25.75390625" style="17" customWidth="1"/>
    <col min="10" max="10" width="24.875" style="94" hidden="1" customWidth="1"/>
    <col min="11" max="11" width="20.75390625" style="99" hidden="1" customWidth="1"/>
    <col min="12" max="12" width="23.875" style="18" hidden="1" customWidth="1"/>
    <col min="13" max="13" width="33.75390625" style="7" customWidth="1"/>
    <col min="14" max="14" width="15.00390625" style="102" customWidth="1"/>
    <col min="15" max="15" width="9.125" style="18" customWidth="1"/>
    <col min="16" max="16" width="14.625" style="18" customWidth="1"/>
    <col min="17" max="17" width="19.375" style="18" customWidth="1"/>
    <col min="18" max="18" width="9.125" style="18" customWidth="1"/>
    <col min="19" max="19" width="13.375" style="18" customWidth="1"/>
    <col min="20" max="22" width="9.125" style="18" customWidth="1"/>
    <col min="23" max="23" width="34.875" style="18" customWidth="1"/>
    <col min="24" max="152" width="9.125" style="18" customWidth="1"/>
    <col min="153" max="16384" width="9.125" style="17" customWidth="1"/>
  </cols>
  <sheetData>
    <row r="1" spans="6:13" ht="27" customHeight="1">
      <c r="F1" s="104" t="s">
        <v>288</v>
      </c>
      <c r="G1" s="104"/>
      <c r="H1" s="104"/>
      <c r="I1" s="104"/>
      <c r="J1" s="104"/>
      <c r="K1" s="104"/>
      <c r="L1" s="104"/>
      <c r="M1" s="104"/>
    </row>
    <row r="2" spans="6:13" ht="27.75">
      <c r="F2" s="104" t="s">
        <v>283</v>
      </c>
      <c r="G2" s="104"/>
      <c r="H2" s="104"/>
      <c r="I2" s="104"/>
      <c r="J2" s="104"/>
      <c r="K2" s="104"/>
      <c r="L2" s="104"/>
      <c r="M2" s="104"/>
    </row>
    <row r="3" spans="6:13" ht="27.75">
      <c r="F3" s="104" t="s">
        <v>284</v>
      </c>
      <c r="G3" s="104"/>
      <c r="H3" s="104"/>
      <c r="I3" s="104"/>
      <c r="J3" s="104"/>
      <c r="K3" s="104"/>
      <c r="L3" s="104"/>
      <c r="M3" s="104"/>
    </row>
    <row r="4" spans="6:13" ht="27.75">
      <c r="F4" s="104" t="s">
        <v>285</v>
      </c>
      <c r="G4" s="104"/>
      <c r="H4" s="104"/>
      <c r="I4" s="104"/>
      <c r="J4" s="104"/>
      <c r="K4" s="104"/>
      <c r="L4" s="104"/>
      <c r="M4" s="104"/>
    </row>
    <row r="5" spans="6:13" ht="27.75">
      <c r="F5" s="104" t="s">
        <v>286</v>
      </c>
      <c r="G5" s="104"/>
      <c r="H5" s="104"/>
      <c r="I5" s="104"/>
      <c r="J5" s="104"/>
      <c r="K5" s="104"/>
      <c r="L5" s="104"/>
      <c r="M5" s="104"/>
    </row>
    <row r="6" spans="6:13" ht="27.75">
      <c r="F6" s="104" t="s">
        <v>287</v>
      </c>
      <c r="G6" s="104"/>
      <c r="H6" s="104"/>
      <c r="I6" s="104"/>
      <c r="J6" s="104"/>
      <c r="K6" s="104"/>
      <c r="L6" s="104"/>
      <c r="M6" s="104"/>
    </row>
    <row r="7" spans="7:12" ht="20.25" customHeight="1">
      <c r="G7" s="19"/>
      <c r="H7" s="19"/>
      <c r="I7" s="19"/>
      <c r="J7" s="19"/>
      <c r="K7" s="19"/>
      <c r="L7" s="19"/>
    </row>
    <row r="8" spans="7:12" ht="20.25" customHeight="1">
      <c r="G8" s="19"/>
      <c r="H8" s="19"/>
      <c r="I8" s="19"/>
      <c r="J8" s="19"/>
      <c r="K8" s="19"/>
      <c r="L8" s="19"/>
    </row>
    <row r="9" spans="7:12" ht="20.25" customHeight="1">
      <c r="G9" s="110"/>
      <c r="H9" s="110"/>
      <c r="I9" s="110"/>
      <c r="J9" s="110"/>
      <c r="K9" s="110"/>
      <c r="L9" s="110"/>
    </row>
    <row r="10" spans="3:152" s="20" customFormat="1" ht="33" customHeight="1">
      <c r="C10" s="105" t="s">
        <v>255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</row>
    <row r="11" spans="3:152" s="20" customFormat="1" ht="33" customHeight="1">
      <c r="C11" s="105" t="s">
        <v>256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</row>
    <row r="12" spans="3:152" s="20" customFormat="1" ht="33" customHeight="1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"/>
      <c r="N12" s="10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</row>
    <row r="13" spans="7:13" ht="20.25" customHeight="1">
      <c r="G13" s="23"/>
      <c r="H13" s="23"/>
      <c r="I13" s="23"/>
      <c r="J13" s="23"/>
      <c r="K13" s="23"/>
      <c r="L13" s="23"/>
      <c r="M13" s="15" t="s">
        <v>275</v>
      </c>
    </row>
    <row r="14" spans="1:152" s="26" customFormat="1" ht="20.25" customHeight="1">
      <c r="A14" s="108" t="s">
        <v>73</v>
      </c>
      <c r="B14" s="108" t="s">
        <v>95</v>
      </c>
      <c r="C14" s="108" t="s">
        <v>257</v>
      </c>
      <c r="D14" s="108" t="s">
        <v>0</v>
      </c>
      <c r="E14" s="108" t="s">
        <v>1</v>
      </c>
      <c r="F14" s="108" t="s">
        <v>1</v>
      </c>
      <c r="G14" s="108" t="s">
        <v>8</v>
      </c>
      <c r="H14" s="108" t="s">
        <v>2</v>
      </c>
      <c r="I14" s="108" t="s">
        <v>2</v>
      </c>
      <c r="J14" s="106" t="s">
        <v>3</v>
      </c>
      <c r="K14" s="108" t="s">
        <v>97</v>
      </c>
      <c r="L14" s="108" t="s">
        <v>98</v>
      </c>
      <c r="M14" s="106" t="s">
        <v>3</v>
      </c>
      <c r="N14" s="102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</row>
    <row r="15" spans="1:17" ht="116.2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6"/>
      <c r="K15" s="108"/>
      <c r="L15" s="108"/>
      <c r="M15" s="106"/>
      <c r="Q15" s="27"/>
    </row>
    <row r="16" spans="1:13" ht="20.25" customHeight="1">
      <c r="A16" s="8"/>
      <c r="B16" s="8"/>
      <c r="C16" s="8">
        <v>1</v>
      </c>
      <c r="D16" s="8">
        <v>4</v>
      </c>
      <c r="E16" s="8"/>
      <c r="F16" s="8">
        <v>2</v>
      </c>
      <c r="G16" s="8">
        <v>3</v>
      </c>
      <c r="H16" s="8"/>
      <c r="I16" s="8">
        <v>4</v>
      </c>
      <c r="J16" s="28"/>
      <c r="K16" s="28"/>
      <c r="L16" s="28"/>
      <c r="M16" s="8">
        <v>5</v>
      </c>
    </row>
    <row r="17" spans="1:152" s="35" customFormat="1" ht="24.75" customHeight="1">
      <c r="A17" s="29"/>
      <c r="B17" s="29"/>
      <c r="C17" s="30" t="s">
        <v>277</v>
      </c>
      <c r="D17" s="31"/>
      <c r="E17" s="32"/>
      <c r="F17" s="8">
        <f aca="true" t="shared" si="0" ref="F17:F78">ROUND(E17/1000,1)</f>
        <v>0</v>
      </c>
      <c r="G17" s="32"/>
      <c r="H17" s="32"/>
      <c r="I17" s="8">
        <f aca="true" t="shared" si="1" ref="I17:I78">ROUND(H17/1000,1)</f>
        <v>0</v>
      </c>
      <c r="J17" s="33">
        <f>SUM(J18:J29)-J25</f>
        <v>59889755</v>
      </c>
      <c r="K17" s="33">
        <f>SUM(K18:K29)-K25</f>
        <v>-25000</v>
      </c>
      <c r="L17" s="33">
        <f>SUM(L18:L29)-L25</f>
        <v>59864755</v>
      </c>
      <c r="M17" s="9">
        <f>SUM(M18:M29)-M25</f>
        <v>60415.8</v>
      </c>
      <c r="N17" s="102"/>
      <c r="O17" s="7"/>
      <c r="P17" s="7"/>
      <c r="Q17" s="7"/>
      <c r="R17" s="7"/>
      <c r="S17" s="34"/>
      <c r="T17" s="7"/>
      <c r="U17" s="7"/>
      <c r="V17" s="7"/>
      <c r="W17" s="14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</row>
    <row r="18" spans="1:152" s="35" customFormat="1" ht="20.25" customHeight="1">
      <c r="A18" s="36" t="s">
        <v>9</v>
      </c>
      <c r="B18" s="36" t="s">
        <v>74</v>
      </c>
      <c r="C18" s="31" t="s">
        <v>10</v>
      </c>
      <c r="D18" s="37" t="s">
        <v>11</v>
      </c>
      <c r="E18" s="32"/>
      <c r="F18" s="8">
        <f t="shared" si="0"/>
        <v>0</v>
      </c>
      <c r="G18" s="32"/>
      <c r="H18" s="32"/>
      <c r="I18" s="8">
        <f t="shared" si="1"/>
        <v>0</v>
      </c>
      <c r="J18" s="38">
        <f>4043480+1612806+34835+97600</f>
        <v>5788721</v>
      </c>
      <c r="K18" s="38"/>
      <c r="L18" s="38">
        <f aca="true" t="shared" si="2" ref="L18:L24">K18+J18</f>
        <v>5788721</v>
      </c>
      <c r="M18" s="10">
        <f>ROUND(L18/1000,1)+213.8+0.1</f>
        <v>6002.6</v>
      </c>
      <c r="N18" s="102"/>
      <c r="O18" s="7"/>
      <c r="P18" s="7"/>
      <c r="Q18" s="7"/>
      <c r="R18" s="7"/>
      <c r="S18" s="34"/>
      <c r="T18" s="7"/>
      <c r="U18" s="7"/>
      <c r="V18" s="7"/>
      <c r="W18" s="14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</row>
    <row r="19" spans="1:152" s="35" customFormat="1" ht="20.25" customHeight="1">
      <c r="A19" s="36" t="s">
        <v>112</v>
      </c>
      <c r="B19" s="36" t="s">
        <v>114</v>
      </c>
      <c r="C19" s="31" t="s">
        <v>113</v>
      </c>
      <c r="D19" s="37" t="s">
        <v>11</v>
      </c>
      <c r="E19" s="32"/>
      <c r="F19" s="8">
        <f t="shared" si="0"/>
        <v>0</v>
      </c>
      <c r="G19" s="32"/>
      <c r="H19" s="32"/>
      <c r="I19" s="8">
        <f t="shared" si="1"/>
        <v>0</v>
      </c>
      <c r="J19" s="38">
        <v>9645</v>
      </c>
      <c r="K19" s="38"/>
      <c r="L19" s="38">
        <f t="shared" si="2"/>
        <v>9645</v>
      </c>
      <c r="M19" s="10">
        <f aca="true" t="shared" si="3" ref="M19:M79">ROUND(L19/1000,1)</f>
        <v>9.6</v>
      </c>
      <c r="N19" s="102"/>
      <c r="O19" s="7"/>
      <c r="P19" s="7"/>
      <c r="Q19" s="7"/>
      <c r="R19" s="7"/>
      <c r="S19" s="34"/>
      <c r="T19" s="7"/>
      <c r="U19" s="7"/>
      <c r="V19" s="7"/>
      <c r="W19" s="14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</row>
    <row r="20" spans="1:152" s="35" customFormat="1" ht="20.25" customHeight="1">
      <c r="A20" s="36" t="s">
        <v>57</v>
      </c>
      <c r="B20" s="36" t="s">
        <v>75</v>
      </c>
      <c r="C20" s="31" t="s">
        <v>38</v>
      </c>
      <c r="D20" s="37" t="s">
        <v>11</v>
      </c>
      <c r="E20" s="32"/>
      <c r="F20" s="8">
        <f t="shared" si="0"/>
        <v>0</v>
      </c>
      <c r="G20" s="32"/>
      <c r="H20" s="32"/>
      <c r="I20" s="8">
        <f t="shared" si="1"/>
        <v>0</v>
      </c>
      <c r="J20" s="38">
        <f>74759+42000</f>
        <v>116759</v>
      </c>
      <c r="K20" s="38"/>
      <c r="L20" s="38">
        <f t="shared" si="2"/>
        <v>116759</v>
      </c>
      <c r="M20" s="10">
        <f>ROUND(L20/1000,1)-4.2</f>
        <v>112.6</v>
      </c>
      <c r="N20" s="102"/>
      <c r="O20" s="7"/>
      <c r="P20" s="7"/>
      <c r="Q20" s="7"/>
      <c r="R20" s="7"/>
      <c r="S20" s="34"/>
      <c r="T20" s="7"/>
      <c r="U20" s="7"/>
      <c r="V20" s="7"/>
      <c r="W20" s="14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</row>
    <row r="21" spans="1:152" s="35" customFormat="1" ht="20.25" customHeight="1">
      <c r="A21" s="36" t="s">
        <v>29</v>
      </c>
      <c r="B21" s="36" t="s">
        <v>76</v>
      </c>
      <c r="C21" s="31" t="s">
        <v>30</v>
      </c>
      <c r="D21" s="37" t="s">
        <v>11</v>
      </c>
      <c r="E21" s="32"/>
      <c r="F21" s="8">
        <f t="shared" si="0"/>
        <v>0</v>
      </c>
      <c r="G21" s="32"/>
      <c r="H21" s="32"/>
      <c r="I21" s="8">
        <f t="shared" si="1"/>
        <v>0</v>
      </c>
      <c r="J21" s="38">
        <f>210000-13000+14000+33000</f>
        <v>244000</v>
      </c>
      <c r="K21" s="38"/>
      <c r="L21" s="38">
        <f t="shared" si="2"/>
        <v>244000</v>
      </c>
      <c r="M21" s="10">
        <f t="shared" si="3"/>
        <v>244</v>
      </c>
      <c r="N21" s="102"/>
      <c r="O21" s="7"/>
      <c r="P21" s="7"/>
      <c r="Q21" s="7"/>
      <c r="R21" s="7"/>
      <c r="S21" s="34"/>
      <c r="T21" s="7"/>
      <c r="U21" s="7"/>
      <c r="V21" s="7"/>
      <c r="W21" s="14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</row>
    <row r="22" spans="1:152" s="35" customFormat="1" ht="20.25" customHeight="1">
      <c r="A22" s="36" t="s">
        <v>22</v>
      </c>
      <c r="B22" s="36" t="s">
        <v>76</v>
      </c>
      <c r="C22" s="31" t="s">
        <v>35</v>
      </c>
      <c r="D22" s="37" t="s">
        <v>11</v>
      </c>
      <c r="E22" s="40"/>
      <c r="F22" s="8">
        <f t="shared" si="0"/>
        <v>0</v>
      </c>
      <c r="G22" s="40"/>
      <c r="H22" s="40"/>
      <c r="I22" s="8">
        <f t="shared" si="1"/>
        <v>0</v>
      </c>
      <c r="J22" s="38">
        <f>500000+96600</f>
        <v>596600</v>
      </c>
      <c r="K22" s="38"/>
      <c r="L22" s="38">
        <f t="shared" si="2"/>
        <v>596600</v>
      </c>
      <c r="M22" s="10">
        <f>ROUND(L22/1000,1)-96.6</f>
        <v>500</v>
      </c>
      <c r="N22" s="102"/>
      <c r="O22" s="7"/>
      <c r="P22" s="7"/>
      <c r="Q22" s="7"/>
      <c r="R22" s="7"/>
      <c r="S22" s="34"/>
      <c r="T22" s="7"/>
      <c r="U22" s="7"/>
      <c r="V22" s="7"/>
      <c r="W22" s="14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</row>
    <row r="23" spans="1:152" s="35" customFormat="1" ht="40.5">
      <c r="A23" s="36" t="s">
        <v>183</v>
      </c>
      <c r="B23" s="36" t="s">
        <v>76</v>
      </c>
      <c r="C23" s="31" t="s">
        <v>184</v>
      </c>
      <c r="D23" s="37" t="s">
        <v>11</v>
      </c>
      <c r="E23" s="40"/>
      <c r="F23" s="8">
        <f t="shared" si="0"/>
        <v>0</v>
      </c>
      <c r="G23" s="40"/>
      <c r="H23" s="40"/>
      <c r="I23" s="8">
        <f t="shared" si="1"/>
        <v>0</v>
      </c>
      <c r="J23" s="38">
        <f>12000+11000</f>
        <v>23000</v>
      </c>
      <c r="K23" s="38"/>
      <c r="L23" s="38">
        <f t="shared" si="2"/>
        <v>23000</v>
      </c>
      <c r="M23" s="10">
        <f t="shared" si="3"/>
        <v>23</v>
      </c>
      <c r="N23" s="102"/>
      <c r="O23" s="7"/>
      <c r="P23" s="7"/>
      <c r="Q23" s="7"/>
      <c r="R23" s="7"/>
      <c r="S23" s="34"/>
      <c r="T23" s="7"/>
      <c r="U23" s="7"/>
      <c r="V23" s="7"/>
      <c r="W23" s="14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</row>
    <row r="24" spans="1:152" s="35" customFormat="1" ht="20.25" customHeight="1">
      <c r="A24" s="36" t="s">
        <v>197</v>
      </c>
      <c r="B24" s="36" t="s">
        <v>199</v>
      </c>
      <c r="C24" s="31" t="s">
        <v>198</v>
      </c>
      <c r="D24" s="37" t="s">
        <v>11</v>
      </c>
      <c r="E24" s="40"/>
      <c r="F24" s="8">
        <f t="shared" si="0"/>
        <v>0</v>
      </c>
      <c r="G24" s="40"/>
      <c r="H24" s="40"/>
      <c r="I24" s="8">
        <f t="shared" si="1"/>
        <v>0</v>
      </c>
      <c r="J24" s="38">
        <v>650000</v>
      </c>
      <c r="K24" s="38"/>
      <c r="L24" s="38">
        <f t="shared" si="2"/>
        <v>650000</v>
      </c>
      <c r="M24" s="10">
        <f t="shared" si="3"/>
        <v>650</v>
      </c>
      <c r="N24" s="102"/>
      <c r="O24" s="7"/>
      <c r="P24" s="7"/>
      <c r="Q24" s="7"/>
      <c r="R24" s="7"/>
      <c r="S24" s="34"/>
      <c r="T24" s="7"/>
      <c r="U24" s="7"/>
      <c r="V24" s="7"/>
      <c r="W24" s="14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</row>
    <row r="25" spans="1:152" s="35" customFormat="1" ht="40.5">
      <c r="A25" s="28">
        <v>180409</v>
      </c>
      <c r="B25" s="36" t="s">
        <v>77</v>
      </c>
      <c r="C25" s="31" t="s">
        <v>242</v>
      </c>
      <c r="D25" s="37" t="s">
        <v>11</v>
      </c>
      <c r="E25" s="41"/>
      <c r="F25" s="8">
        <f t="shared" si="0"/>
        <v>0</v>
      </c>
      <c r="G25" s="41"/>
      <c r="H25" s="41"/>
      <c r="I25" s="8">
        <f t="shared" si="1"/>
        <v>0</v>
      </c>
      <c r="J25" s="38">
        <f>J26+J27</f>
        <v>51805000</v>
      </c>
      <c r="K25" s="38">
        <f>K26+K27</f>
        <v>0</v>
      </c>
      <c r="L25" s="38">
        <f>L26+L27</f>
        <v>51805000</v>
      </c>
      <c r="M25" s="10">
        <f>M26+M27</f>
        <v>52113</v>
      </c>
      <c r="N25" s="102"/>
      <c r="O25" s="7"/>
      <c r="P25" s="7"/>
      <c r="Q25" s="7"/>
      <c r="R25" s="7"/>
      <c r="S25" s="34"/>
      <c r="T25" s="7"/>
      <c r="U25" s="7"/>
      <c r="V25" s="7"/>
      <c r="W25" s="14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</row>
    <row r="26" spans="1:152" s="49" customFormat="1" ht="33" customHeight="1">
      <c r="A26" s="42"/>
      <c r="B26" s="42"/>
      <c r="C26" s="43" t="s">
        <v>56</v>
      </c>
      <c r="D26" s="43" t="s">
        <v>56</v>
      </c>
      <c r="E26" s="44"/>
      <c r="F26" s="45">
        <f t="shared" si="0"/>
        <v>0</v>
      </c>
      <c r="G26" s="44"/>
      <c r="H26" s="44"/>
      <c r="I26" s="45">
        <f t="shared" si="1"/>
        <v>0</v>
      </c>
      <c r="J26" s="46">
        <f>50000000-4000000+5400000</f>
        <v>51400000</v>
      </c>
      <c r="K26" s="46"/>
      <c r="L26" s="46">
        <f>K26+J26</f>
        <v>51400000</v>
      </c>
      <c r="M26" s="11">
        <f t="shared" si="3"/>
        <v>51400</v>
      </c>
      <c r="N26" s="102"/>
      <c r="O26" s="47"/>
      <c r="P26" s="47"/>
      <c r="Q26" s="47"/>
      <c r="R26" s="47"/>
      <c r="S26" s="34"/>
      <c r="T26" s="47"/>
      <c r="U26" s="47"/>
      <c r="V26" s="47"/>
      <c r="W26" s="48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</row>
    <row r="27" spans="1:152" s="49" customFormat="1" ht="33" customHeight="1">
      <c r="A27" s="42"/>
      <c r="B27" s="42"/>
      <c r="C27" s="43" t="s">
        <v>233</v>
      </c>
      <c r="D27" s="43" t="s">
        <v>233</v>
      </c>
      <c r="E27" s="44"/>
      <c r="F27" s="45">
        <f t="shared" si="0"/>
        <v>0</v>
      </c>
      <c r="G27" s="44"/>
      <c r="H27" s="44"/>
      <c r="I27" s="45">
        <f t="shared" si="1"/>
        <v>0</v>
      </c>
      <c r="J27" s="46">
        <v>405000</v>
      </c>
      <c r="K27" s="46"/>
      <c r="L27" s="46">
        <f>K27+J27</f>
        <v>405000</v>
      </c>
      <c r="M27" s="11">
        <f>ROUND(L27/1000,1)+308</f>
        <v>713</v>
      </c>
      <c r="N27" s="102"/>
      <c r="O27" s="47"/>
      <c r="P27" s="47"/>
      <c r="Q27" s="47"/>
      <c r="R27" s="47"/>
      <c r="S27" s="34"/>
      <c r="T27" s="47"/>
      <c r="U27" s="47"/>
      <c r="V27" s="47"/>
      <c r="W27" s="48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</row>
    <row r="28" spans="1:152" s="35" customFormat="1" ht="20.25" customHeight="1">
      <c r="A28" s="28">
        <v>250404</v>
      </c>
      <c r="B28" s="36" t="s">
        <v>108</v>
      </c>
      <c r="C28" s="31" t="s">
        <v>107</v>
      </c>
      <c r="D28" s="37" t="s">
        <v>11</v>
      </c>
      <c r="E28" s="32"/>
      <c r="F28" s="8">
        <f t="shared" si="0"/>
        <v>0</v>
      </c>
      <c r="G28" s="32"/>
      <c r="H28" s="32"/>
      <c r="I28" s="8">
        <f t="shared" si="1"/>
        <v>0</v>
      </c>
      <c r="J28" s="38">
        <f>114000+22200-89000</f>
        <v>47200</v>
      </c>
      <c r="K28" s="38">
        <v>-25000</v>
      </c>
      <c r="L28" s="38">
        <f>K28+J28</f>
        <v>22200</v>
      </c>
      <c r="M28" s="10">
        <f t="shared" si="3"/>
        <v>22.2</v>
      </c>
      <c r="N28" s="102"/>
      <c r="O28" s="7"/>
      <c r="P28" s="7"/>
      <c r="Q28" s="7"/>
      <c r="R28" s="7"/>
      <c r="S28" s="34"/>
      <c r="T28" s="7"/>
      <c r="U28" s="7"/>
      <c r="V28" s="7"/>
      <c r="W28" s="14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</row>
    <row r="29" spans="1:152" s="35" customFormat="1" ht="40.5">
      <c r="A29" s="28">
        <v>250344</v>
      </c>
      <c r="B29" s="36" t="s">
        <v>94</v>
      </c>
      <c r="C29" s="31" t="s">
        <v>204</v>
      </c>
      <c r="D29" s="37" t="s">
        <v>11</v>
      </c>
      <c r="E29" s="32"/>
      <c r="F29" s="8">
        <f t="shared" si="0"/>
        <v>0</v>
      </c>
      <c r="G29" s="32"/>
      <c r="H29" s="32"/>
      <c r="I29" s="8">
        <f t="shared" si="1"/>
        <v>0</v>
      </c>
      <c r="J29" s="38">
        <f>518830+90000</f>
        <v>608830</v>
      </c>
      <c r="K29" s="38"/>
      <c r="L29" s="38">
        <f>K29+J29</f>
        <v>608830</v>
      </c>
      <c r="M29" s="10">
        <f>ROUND(L29/1000,1)+130</f>
        <v>738.8</v>
      </c>
      <c r="N29" s="102"/>
      <c r="O29" s="7"/>
      <c r="P29" s="7"/>
      <c r="Q29" s="7"/>
      <c r="R29" s="7"/>
      <c r="S29" s="39"/>
      <c r="T29" s="7"/>
      <c r="U29" s="7"/>
      <c r="V29" s="7"/>
      <c r="W29" s="14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</row>
    <row r="30" spans="1:152" s="35" customFormat="1" ht="26.25" customHeight="1">
      <c r="A30" s="29"/>
      <c r="B30" s="29"/>
      <c r="C30" s="30" t="s">
        <v>243</v>
      </c>
      <c r="D30" s="37"/>
      <c r="E30" s="32"/>
      <c r="F30" s="8">
        <f t="shared" si="0"/>
        <v>0</v>
      </c>
      <c r="G30" s="32"/>
      <c r="H30" s="32"/>
      <c r="I30" s="8">
        <f t="shared" si="1"/>
        <v>0</v>
      </c>
      <c r="J30" s="33">
        <f>SUM(J31:J39)</f>
        <v>27546447.45</v>
      </c>
      <c r="K30" s="33">
        <f>SUM(K31:K39)</f>
        <v>0</v>
      </c>
      <c r="L30" s="33">
        <f>SUM(L31:L39)</f>
        <v>27546447.45</v>
      </c>
      <c r="M30" s="9">
        <f>SUM(M31:M39)</f>
        <v>33381.8</v>
      </c>
      <c r="N30" s="102"/>
      <c r="O30" s="7"/>
      <c r="P30" s="7"/>
      <c r="Q30" s="7"/>
      <c r="R30" s="7"/>
      <c r="S30" s="39"/>
      <c r="T30" s="7"/>
      <c r="U30" s="7"/>
      <c r="V30" s="7"/>
      <c r="W30" s="14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</row>
    <row r="31" spans="1:152" s="35" customFormat="1" ht="27.75" customHeight="1">
      <c r="A31" s="36" t="s">
        <v>9</v>
      </c>
      <c r="B31" s="36" t="s">
        <v>74</v>
      </c>
      <c r="C31" s="31" t="s">
        <v>10</v>
      </c>
      <c r="D31" s="37" t="s">
        <v>11</v>
      </c>
      <c r="E31" s="32"/>
      <c r="F31" s="8">
        <f t="shared" si="0"/>
        <v>0</v>
      </c>
      <c r="G31" s="32"/>
      <c r="H31" s="32"/>
      <c r="I31" s="8">
        <f t="shared" si="1"/>
        <v>0</v>
      </c>
      <c r="J31" s="38">
        <f>170000+18000+6600</f>
        <v>194600</v>
      </c>
      <c r="K31" s="38"/>
      <c r="L31" s="38">
        <f aca="true" t="shared" si="4" ref="L31:L39">K31+J31</f>
        <v>194600</v>
      </c>
      <c r="M31" s="10">
        <f t="shared" si="3"/>
        <v>194.6</v>
      </c>
      <c r="N31" s="102"/>
      <c r="O31" s="7"/>
      <c r="P31" s="7"/>
      <c r="Q31" s="7"/>
      <c r="R31" s="7"/>
      <c r="S31" s="39"/>
      <c r="T31" s="7"/>
      <c r="U31" s="7"/>
      <c r="V31" s="7"/>
      <c r="W31" s="14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</row>
    <row r="32" spans="1:152" s="35" customFormat="1" ht="27.75" customHeight="1">
      <c r="A32" s="36" t="s">
        <v>12</v>
      </c>
      <c r="B32" s="36" t="s">
        <v>78</v>
      </c>
      <c r="C32" s="31" t="s">
        <v>13</v>
      </c>
      <c r="D32" s="37" t="s">
        <v>11</v>
      </c>
      <c r="E32" s="32"/>
      <c r="F32" s="8">
        <f t="shared" si="0"/>
        <v>0</v>
      </c>
      <c r="G32" s="32"/>
      <c r="H32" s="32"/>
      <c r="I32" s="8">
        <f t="shared" si="1"/>
        <v>0</v>
      </c>
      <c r="J32" s="38">
        <f>3832900+120392+2400+983150+1220049+964698</f>
        <v>7123589</v>
      </c>
      <c r="K32" s="38"/>
      <c r="L32" s="38">
        <f t="shared" si="4"/>
        <v>7123589</v>
      </c>
      <c r="M32" s="10">
        <f>ROUND(L32/1000,1)-570+570-2.6</f>
        <v>7121</v>
      </c>
      <c r="N32" s="102"/>
      <c r="O32" s="7"/>
      <c r="P32" s="7"/>
      <c r="Q32" s="7"/>
      <c r="R32" s="7"/>
      <c r="S32" s="39"/>
      <c r="T32" s="7"/>
      <c r="U32" s="7"/>
      <c r="V32" s="7"/>
      <c r="W32" s="14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</row>
    <row r="33" spans="1:152" s="35" customFormat="1" ht="40.5">
      <c r="A33" s="36" t="s">
        <v>62</v>
      </c>
      <c r="B33" s="36" t="s">
        <v>79</v>
      </c>
      <c r="C33" s="31" t="s">
        <v>67</v>
      </c>
      <c r="D33" s="37" t="s">
        <v>11</v>
      </c>
      <c r="E33" s="32"/>
      <c r="F33" s="8">
        <f t="shared" si="0"/>
        <v>0</v>
      </c>
      <c r="G33" s="32"/>
      <c r="H33" s="32"/>
      <c r="I33" s="8">
        <f t="shared" si="1"/>
        <v>0</v>
      </c>
      <c r="J33" s="38">
        <f>11144755+712693.45+471241+2413157+1855933+2647978</f>
        <v>19245757.45</v>
      </c>
      <c r="K33" s="50"/>
      <c r="L33" s="38">
        <f t="shared" si="4"/>
        <v>19245757.45</v>
      </c>
      <c r="M33" s="10">
        <f>ROUND(L33/1000,1)+770.7-430+430+400-40-0.1+337+3550+141+334.3+345</f>
        <v>25083.7</v>
      </c>
      <c r="N33" s="102"/>
      <c r="O33" s="7"/>
      <c r="P33" s="7"/>
      <c r="Q33" s="7"/>
      <c r="R33" s="7"/>
      <c r="S33" s="39"/>
      <c r="T33" s="7"/>
      <c r="U33" s="7"/>
      <c r="V33" s="7"/>
      <c r="W33" s="14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</row>
    <row r="34" spans="1:152" s="35" customFormat="1" ht="40.5">
      <c r="A34" s="36" t="s">
        <v>63</v>
      </c>
      <c r="B34" s="36" t="s">
        <v>80</v>
      </c>
      <c r="C34" s="31" t="s">
        <v>68</v>
      </c>
      <c r="D34" s="37" t="s">
        <v>11</v>
      </c>
      <c r="E34" s="32"/>
      <c r="F34" s="8">
        <f t="shared" si="0"/>
        <v>0</v>
      </c>
      <c r="G34" s="32"/>
      <c r="H34" s="32"/>
      <c r="I34" s="8">
        <f t="shared" si="1"/>
        <v>0</v>
      </c>
      <c r="J34" s="38">
        <f>150000-26417+6200</f>
        <v>129783</v>
      </c>
      <c r="K34" s="50"/>
      <c r="L34" s="38">
        <f t="shared" si="4"/>
        <v>129783</v>
      </c>
      <c r="M34" s="10">
        <f t="shared" si="3"/>
        <v>129.8</v>
      </c>
      <c r="N34" s="102"/>
      <c r="O34" s="7"/>
      <c r="P34" s="7"/>
      <c r="Q34" s="7"/>
      <c r="R34" s="7"/>
      <c r="S34" s="39"/>
      <c r="T34" s="7"/>
      <c r="U34" s="7"/>
      <c r="V34" s="7"/>
      <c r="W34" s="14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</row>
    <row r="35" spans="1:152" s="35" customFormat="1" ht="26.25" customHeight="1">
      <c r="A35" s="36" t="s">
        <v>64</v>
      </c>
      <c r="B35" s="36" t="s">
        <v>81</v>
      </c>
      <c r="C35" s="31" t="s">
        <v>69</v>
      </c>
      <c r="D35" s="37" t="s">
        <v>11</v>
      </c>
      <c r="E35" s="32"/>
      <c r="F35" s="8">
        <f t="shared" si="0"/>
        <v>0</v>
      </c>
      <c r="G35" s="32"/>
      <c r="H35" s="32"/>
      <c r="I35" s="8">
        <f t="shared" si="1"/>
        <v>0</v>
      </c>
      <c r="J35" s="38">
        <f>525000-75000</f>
        <v>450000</v>
      </c>
      <c r="K35" s="50"/>
      <c r="L35" s="38">
        <f t="shared" si="4"/>
        <v>450000</v>
      </c>
      <c r="M35" s="10">
        <f t="shared" si="3"/>
        <v>450</v>
      </c>
      <c r="N35" s="103"/>
      <c r="O35" s="7"/>
      <c r="P35" s="7"/>
      <c r="Q35" s="7"/>
      <c r="R35" s="7"/>
      <c r="S35" s="39"/>
      <c r="T35" s="7"/>
      <c r="U35" s="7"/>
      <c r="V35" s="7"/>
      <c r="W35" s="14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</row>
    <row r="36" spans="1:152" s="35" customFormat="1" ht="26.25" customHeight="1">
      <c r="A36" s="36" t="s">
        <v>227</v>
      </c>
      <c r="B36" s="36" t="s">
        <v>229</v>
      </c>
      <c r="C36" s="31" t="s">
        <v>228</v>
      </c>
      <c r="D36" s="37" t="s">
        <v>11</v>
      </c>
      <c r="E36" s="32"/>
      <c r="F36" s="8">
        <f t="shared" si="0"/>
        <v>0</v>
      </c>
      <c r="G36" s="32"/>
      <c r="H36" s="32"/>
      <c r="I36" s="8">
        <f t="shared" si="1"/>
        <v>0</v>
      </c>
      <c r="J36" s="38">
        <v>41738</v>
      </c>
      <c r="K36" s="50"/>
      <c r="L36" s="38">
        <f t="shared" si="4"/>
        <v>41738</v>
      </c>
      <c r="M36" s="10">
        <f t="shared" si="3"/>
        <v>41.7</v>
      </c>
      <c r="N36" s="103"/>
      <c r="O36" s="7"/>
      <c r="P36" s="7"/>
      <c r="Q36" s="7"/>
      <c r="R36" s="7"/>
      <c r="S36" s="39"/>
      <c r="T36" s="7"/>
      <c r="U36" s="7"/>
      <c r="V36" s="7"/>
      <c r="W36" s="14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</row>
    <row r="37" spans="1:152" s="35" customFormat="1" ht="26.25" customHeight="1">
      <c r="A37" s="36" t="s">
        <v>131</v>
      </c>
      <c r="B37" s="36" t="s">
        <v>82</v>
      </c>
      <c r="C37" s="31" t="s">
        <v>133</v>
      </c>
      <c r="D37" s="37" t="s">
        <v>11</v>
      </c>
      <c r="E37" s="32"/>
      <c r="F37" s="8">
        <f t="shared" si="0"/>
        <v>0</v>
      </c>
      <c r="G37" s="32"/>
      <c r="H37" s="32"/>
      <c r="I37" s="8">
        <f t="shared" si="1"/>
        <v>0</v>
      </c>
      <c r="J37" s="38">
        <f>121000-2270</f>
        <v>118730</v>
      </c>
      <c r="K37" s="38"/>
      <c r="L37" s="38">
        <f t="shared" si="4"/>
        <v>118730</v>
      </c>
      <c r="M37" s="10">
        <f t="shared" si="3"/>
        <v>118.7</v>
      </c>
      <c r="N37" s="103"/>
      <c r="O37" s="7"/>
      <c r="P37" s="7"/>
      <c r="Q37" s="7"/>
      <c r="R37" s="7"/>
      <c r="S37" s="39"/>
      <c r="T37" s="7"/>
      <c r="U37" s="7"/>
      <c r="V37" s="7"/>
      <c r="W37" s="14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</row>
    <row r="38" spans="1:152" s="35" customFormat="1" ht="26.25" customHeight="1">
      <c r="A38" s="36" t="s">
        <v>132</v>
      </c>
      <c r="B38" s="36" t="s">
        <v>82</v>
      </c>
      <c r="C38" s="31" t="s">
        <v>134</v>
      </c>
      <c r="D38" s="37" t="s">
        <v>11</v>
      </c>
      <c r="E38" s="32"/>
      <c r="F38" s="8">
        <f t="shared" si="0"/>
        <v>0</v>
      </c>
      <c r="G38" s="32"/>
      <c r="H38" s="32"/>
      <c r="I38" s="8">
        <f t="shared" si="1"/>
        <v>0</v>
      </c>
      <c r="J38" s="38">
        <f>75000+18000-750</f>
        <v>92250</v>
      </c>
      <c r="K38" s="38"/>
      <c r="L38" s="38">
        <f t="shared" si="4"/>
        <v>92250</v>
      </c>
      <c r="M38" s="10">
        <f t="shared" si="3"/>
        <v>92.3</v>
      </c>
      <c r="N38" s="103"/>
      <c r="O38" s="7"/>
      <c r="P38" s="7"/>
      <c r="Q38" s="7"/>
      <c r="R38" s="7"/>
      <c r="S38" s="39"/>
      <c r="T38" s="7"/>
      <c r="U38" s="7"/>
      <c r="V38" s="7"/>
      <c r="W38" s="14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</row>
    <row r="39" spans="1:152" s="35" customFormat="1" ht="26.25" customHeight="1">
      <c r="A39" s="36" t="s">
        <v>65</v>
      </c>
      <c r="B39" s="36" t="s">
        <v>82</v>
      </c>
      <c r="C39" s="31" t="s">
        <v>70</v>
      </c>
      <c r="D39" s="37" t="s">
        <v>11</v>
      </c>
      <c r="E39" s="32"/>
      <c r="F39" s="8">
        <f t="shared" si="0"/>
        <v>0</v>
      </c>
      <c r="G39" s="32"/>
      <c r="H39" s="32"/>
      <c r="I39" s="8">
        <f t="shared" si="1"/>
        <v>0</v>
      </c>
      <c r="J39" s="38">
        <v>150000</v>
      </c>
      <c r="K39" s="38"/>
      <c r="L39" s="38">
        <f t="shared" si="4"/>
        <v>150000</v>
      </c>
      <c r="M39" s="10">
        <f t="shared" si="3"/>
        <v>150</v>
      </c>
      <c r="N39" s="103"/>
      <c r="O39" s="7"/>
      <c r="P39" s="7"/>
      <c r="Q39" s="7"/>
      <c r="R39" s="7"/>
      <c r="S39" s="39"/>
      <c r="T39" s="7"/>
      <c r="U39" s="7"/>
      <c r="V39" s="7"/>
      <c r="W39" s="14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</row>
    <row r="40" spans="1:152" s="35" customFormat="1" ht="26.25" customHeight="1">
      <c r="A40" s="29"/>
      <c r="B40" s="29"/>
      <c r="C40" s="30" t="s">
        <v>278</v>
      </c>
      <c r="D40" s="37"/>
      <c r="E40" s="32"/>
      <c r="F40" s="8">
        <f t="shared" si="0"/>
        <v>0</v>
      </c>
      <c r="G40" s="32"/>
      <c r="H40" s="32"/>
      <c r="I40" s="8">
        <f t="shared" si="1"/>
        <v>0</v>
      </c>
      <c r="J40" s="33">
        <f>SUM(J41:J48)</f>
        <v>30607246</v>
      </c>
      <c r="K40" s="33">
        <f>SUM(K41:K48)</f>
        <v>0</v>
      </c>
      <c r="L40" s="33">
        <f>SUM(L41:L48)</f>
        <v>30607246</v>
      </c>
      <c r="M40" s="9">
        <f>SUM(M41:M48)</f>
        <v>34140.200000000004</v>
      </c>
      <c r="N40" s="103"/>
      <c r="O40" s="7"/>
      <c r="P40" s="7"/>
      <c r="Q40" s="7"/>
      <c r="R40" s="7"/>
      <c r="S40" s="39"/>
      <c r="T40" s="7"/>
      <c r="U40" s="7"/>
      <c r="V40" s="7"/>
      <c r="W40" s="14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</row>
    <row r="41" spans="1:152" s="35" customFormat="1" ht="24.75" customHeight="1">
      <c r="A41" s="36" t="s">
        <v>9</v>
      </c>
      <c r="B41" s="36" t="s">
        <v>74</v>
      </c>
      <c r="C41" s="31" t="s">
        <v>10</v>
      </c>
      <c r="D41" s="37" t="s">
        <v>11</v>
      </c>
      <c r="E41" s="32"/>
      <c r="F41" s="8">
        <f t="shared" si="0"/>
        <v>0</v>
      </c>
      <c r="G41" s="32"/>
      <c r="H41" s="32"/>
      <c r="I41" s="8">
        <f t="shared" si="1"/>
        <v>0</v>
      </c>
      <c r="J41" s="38">
        <f>333200+114700</f>
        <v>447900</v>
      </c>
      <c r="K41" s="38"/>
      <c r="L41" s="38">
        <f aca="true" t="shared" si="5" ref="L41:L48">K41+J41</f>
        <v>447900</v>
      </c>
      <c r="M41" s="10">
        <f t="shared" si="3"/>
        <v>447.9</v>
      </c>
      <c r="N41" s="103"/>
      <c r="O41" s="7"/>
      <c r="P41" s="7"/>
      <c r="Q41" s="7"/>
      <c r="R41" s="7"/>
      <c r="S41" s="39"/>
      <c r="T41" s="7"/>
      <c r="U41" s="7"/>
      <c r="V41" s="7"/>
      <c r="W41" s="14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</row>
    <row r="42" spans="1:152" s="35" customFormat="1" ht="24.75" customHeight="1">
      <c r="A42" s="36" t="s">
        <v>14</v>
      </c>
      <c r="B42" s="36" t="s">
        <v>83</v>
      </c>
      <c r="C42" s="31" t="s">
        <v>15</v>
      </c>
      <c r="D42" s="37" t="s">
        <v>11</v>
      </c>
      <c r="E42" s="32"/>
      <c r="F42" s="8">
        <f t="shared" si="0"/>
        <v>0</v>
      </c>
      <c r="G42" s="32"/>
      <c r="H42" s="32"/>
      <c r="I42" s="8">
        <f t="shared" si="1"/>
        <v>0</v>
      </c>
      <c r="J42" s="38">
        <f>16431400+350200+35000+553200+813550</f>
        <v>18183350</v>
      </c>
      <c r="K42" s="38"/>
      <c r="L42" s="38">
        <f t="shared" si="5"/>
        <v>18183350</v>
      </c>
      <c r="M42" s="10">
        <f>ROUND(L42/1000,1)+2846.9+85.4+686</f>
        <v>21801.700000000004</v>
      </c>
      <c r="N42" s="103"/>
      <c r="O42" s="7"/>
      <c r="P42" s="7"/>
      <c r="Q42" s="7"/>
      <c r="R42" s="7"/>
      <c r="S42" s="39"/>
      <c r="T42" s="7"/>
      <c r="U42" s="7"/>
      <c r="V42" s="7"/>
      <c r="W42" s="14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</row>
    <row r="43" spans="1:152" s="35" customFormat="1" ht="24.75" customHeight="1">
      <c r="A43" s="36" t="s">
        <v>28</v>
      </c>
      <c r="B43" s="36" t="s">
        <v>84</v>
      </c>
      <c r="C43" s="31" t="s">
        <v>33</v>
      </c>
      <c r="D43" s="37" t="s">
        <v>11</v>
      </c>
      <c r="E43" s="32"/>
      <c r="F43" s="8">
        <f t="shared" si="0"/>
        <v>0</v>
      </c>
      <c r="G43" s="32"/>
      <c r="H43" s="32"/>
      <c r="I43" s="8">
        <f t="shared" si="1"/>
        <v>0</v>
      </c>
      <c r="J43" s="38">
        <f>2894064+289932</f>
        <v>3183996</v>
      </c>
      <c r="K43" s="38"/>
      <c r="L43" s="38">
        <f t="shared" si="5"/>
        <v>3183996</v>
      </c>
      <c r="M43" s="10">
        <f>ROUND(L43/1000,1)-85.4</f>
        <v>3098.6</v>
      </c>
      <c r="N43" s="103"/>
      <c r="O43" s="7"/>
      <c r="P43" s="7"/>
      <c r="Q43" s="7"/>
      <c r="R43" s="7"/>
      <c r="S43" s="39"/>
      <c r="T43" s="7"/>
      <c r="U43" s="7"/>
      <c r="V43" s="7"/>
      <c r="W43" s="14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</row>
    <row r="44" spans="1:152" s="35" customFormat="1" ht="24.75" customHeight="1">
      <c r="A44" s="36" t="s">
        <v>59</v>
      </c>
      <c r="B44" s="36" t="s">
        <v>85</v>
      </c>
      <c r="C44" s="31" t="s">
        <v>71</v>
      </c>
      <c r="D44" s="37"/>
      <c r="E44" s="32"/>
      <c r="F44" s="8">
        <f t="shared" si="0"/>
        <v>0</v>
      </c>
      <c r="G44" s="32"/>
      <c r="H44" s="32"/>
      <c r="I44" s="8">
        <f t="shared" si="1"/>
        <v>0</v>
      </c>
      <c r="J44" s="38">
        <v>1000000</v>
      </c>
      <c r="K44" s="38"/>
      <c r="L44" s="38">
        <f t="shared" si="5"/>
        <v>1000000</v>
      </c>
      <c r="M44" s="10">
        <f t="shared" si="3"/>
        <v>1000</v>
      </c>
      <c r="N44" s="103"/>
      <c r="O44" s="7"/>
      <c r="P44" s="7"/>
      <c r="Q44" s="7"/>
      <c r="R44" s="7"/>
      <c r="S44" s="39"/>
      <c r="T44" s="7"/>
      <c r="U44" s="7"/>
      <c r="V44" s="7"/>
      <c r="W44" s="14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</row>
    <row r="45" spans="1:152" s="35" customFormat="1" ht="24.75" customHeight="1">
      <c r="A45" s="36" t="s">
        <v>42</v>
      </c>
      <c r="B45" s="36" t="s">
        <v>86</v>
      </c>
      <c r="C45" s="31" t="s">
        <v>44</v>
      </c>
      <c r="D45" s="37" t="s">
        <v>11</v>
      </c>
      <c r="E45" s="32"/>
      <c r="F45" s="8">
        <f t="shared" si="0"/>
        <v>0</v>
      </c>
      <c r="G45" s="32"/>
      <c r="H45" s="32"/>
      <c r="I45" s="8">
        <f t="shared" si="1"/>
        <v>0</v>
      </c>
      <c r="J45" s="38">
        <f>2419000+13000</f>
        <v>2432000</v>
      </c>
      <c r="K45" s="38"/>
      <c r="L45" s="38">
        <f t="shared" si="5"/>
        <v>2432000</v>
      </c>
      <c r="M45" s="10">
        <f t="shared" si="3"/>
        <v>2432</v>
      </c>
      <c r="N45" s="103"/>
      <c r="O45" s="7"/>
      <c r="P45" s="7"/>
      <c r="Q45" s="7"/>
      <c r="R45" s="7"/>
      <c r="S45" s="39"/>
      <c r="T45" s="7"/>
      <c r="U45" s="7"/>
      <c r="V45" s="7"/>
      <c r="W45" s="14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</row>
    <row r="46" spans="1:152" s="35" customFormat="1" ht="24.75" customHeight="1">
      <c r="A46" s="36" t="s">
        <v>129</v>
      </c>
      <c r="B46" s="36" t="s">
        <v>87</v>
      </c>
      <c r="C46" s="31" t="s">
        <v>130</v>
      </c>
      <c r="D46" s="37" t="s">
        <v>11</v>
      </c>
      <c r="E46" s="32"/>
      <c r="F46" s="8">
        <f t="shared" si="0"/>
        <v>0</v>
      </c>
      <c r="G46" s="32"/>
      <c r="H46" s="32"/>
      <c r="I46" s="8">
        <f t="shared" si="1"/>
        <v>0</v>
      </c>
      <c r="J46" s="38">
        <v>20000</v>
      </c>
      <c r="K46" s="38"/>
      <c r="L46" s="38">
        <f t="shared" si="5"/>
        <v>20000</v>
      </c>
      <c r="M46" s="10">
        <f t="shared" si="3"/>
        <v>20</v>
      </c>
      <c r="N46" s="103"/>
      <c r="O46" s="7"/>
      <c r="P46" s="7"/>
      <c r="Q46" s="7"/>
      <c r="R46" s="7"/>
      <c r="S46" s="39"/>
      <c r="T46" s="7"/>
      <c r="U46" s="7"/>
      <c r="V46" s="7"/>
      <c r="W46" s="14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</row>
    <row r="47" spans="1:152" s="35" customFormat="1" ht="40.5">
      <c r="A47" s="36" t="s">
        <v>66</v>
      </c>
      <c r="B47" s="36" t="s">
        <v>87</v>
      </c>
      <c r="C47" s="31" t="s">
        <v>88</v>
      </c>
      <c r="D47" s="37"/>
      <c r="E47" s="32"/>
      <c r="F47" s="8">
        <f t="shared" si="0"/>
        <v>0</v>
      </c>
      <c r="G47" s="32"/>
      <c r="H47" s="32"/>
      <c r="I47" s="8">
        <f t="shared" si="1"/>
        <v>0</v>
      </c>
      <c r="J47" s="38">
        <v>40000</v>
      </c>
      <c r="K47" s="38"/>
      <c r="L47" s="38">
        <f t="shared" si="5"/>
        <v>40000</v>
      </c>
      <c r="M47" s="10">
        <f t="shared" si="3"/>
        <v>40</v>
      </c>
      <c r="N47" s="103"/>
      <c r="O47" s="7"/>
      <c r="P47" s="7"/>
      <c r="Q47" s="7"/>
      <c r="R47" s="7"/>
      <c r="S47" s="39"/>
      <c r="T47" s="7"/>
      <c r="U47" s="7"/>
      <c r="V47" s="7"/>
      <c r="W47" s="14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</row>
    <row r="48" spans="1:152" s="35" customFormat="1" ht="24.75" customHeight="1">
      <c r="A48" s="36" t="s">
        <v>169</v>
      </c>
      <c r="B48" s="36" t="s">
        <v>94</v>
      </c>
      <c r="C48" s="37" t="s">
        <v>20</v>
      </c>
      <c r="D48" s="37" t="s">
        <v>11</v>
      </c>
      <c r="E48" s="32"/>
      <c r="F48" s="8">
        <f t="shared" si="0"/>
        <v>0</v>
      </c>
      <c r="G48" s="32"/>
      <c r="H48" s="32"/>
      <c r="I48" s="8">
        <f t="shared" si="1"/>
        <v>0</v>
      </c>
      <c r="J48" s="38">
        <v>5300000</v>
      </c>
      <c r="K48" s="38"/>
      <c r="L48" s="38">
        <f t="shared" si="5"/>
        <v>5300000</v>
      </c>
      <c r="M48" s="10">
        <f t="shared" si="3"/>
        <v>5300</v>
      </c>
      <c r="N48" s="103"/>
      <c r="O48" s="7"/>
      <c r="P48" s="7"/>
      <c r="Q48" s="7"/>
      <c r="R48" s="7"/>
      <c r="S48" s="39"/>
      <c r="T48" s="7"/>
      <c r="U48" s="7"/>
      <c r="V48" s="7"/>
      <c r="W48" s="14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</row>
    <row r="49" spans="1:152" s="35" customFormat="1" ht="27.75" customHeight="1">
      <c r="A49" s="29"/>
      <c r="B49" s="29"/>
      <c r="C49" s="30" t="s">
        <v>244</v>
      </c>
      <c r="D49" s="37"/>
      <c r="E49" s="32"/>
      <c r="F49" s="8">
        <f t="shared" si="0"/>
        <v>0</v>
      </c>
      <c r="G49" s="32"/>
      <c r="H49" s="32"/>
      <c r="I49" s="8">
        <f t="shared" si="1"/>
        <v>0</v>
      </c>
      <c r="J49" s="33">
        <f>SUM(J50:J52)</f>
        <v>1018903</v>
      </c>
      <c r="K49" s="33">
        <f>SUM(K50:K52)</f>
        <v>0</v>
      </c>
      <c r="L49" s="33">
        <f>SUM(L50:L52)</f>
        <v>1018903</v>
      </c>
      <c r="M49" s="9">
        <f>SUM(M50:M53)</f>
        <v>5775.1</v>
      </c>
      <c r="N49" s="103"/>
      <c r="O49" s="7"/>
      <c r="P49" s="7"/>
      <c r="Q49" s="7"/>
      <c r="R49" s="7"/>
      <c r="S49" s="39"/>
      <c r="T49" s="7"/>
      <c r="U49" s="7"/>
      <c r="V49" s="7"/>
      <c r="W49" s="14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</row>
    <row r="50" spans="1:152" s="35" customFormat="1" ht="20.25" customHeight="1">
      <c r="A50" s="36" t="s">
        <v>9</v>
      </c>
      <c r="B50" s="36" t="s">
        <v>74</v>
      </c>
      <c r="C50" s="31" t="s">
        <v>10</v>
      </c>
      <c r="D50" s="37" t="s">
        <v>11</v>
      </c>
      <c r="E50" s="32"/>
      <c r="F50" s="8">
        <f t="shared" si="0"/>
        <v>0</v>
      </c>
      <c r="G50" s="32"/>
      <c r="H50" s="32"/>
      <c r="I50" s="8">
        <f t="shared" si="1"/>
        <v>0</v>
      </c>
      <c r="J50" s="38">
        <f>80000+120000+142500</f>
        <v>342500</v>
      </c>
      <c r="K50" s="38"/>
      <c r="L50" s="38">
        <f>K50+J50</f>
        <v>342500</v>
      </c>
      <c r="M50" s="10">
        <f>ROUND(L50/1000,1)</f>
        <v>342.5</v>
      </c>
      <c r="N50" s="103"/>
      <c r="O50" s="7"/>
      <c r="P50" s="7"/>
      <c r="Q50" s="7"/>
      <c r="R50" s="7"/>
      <c r="S50" s="39"/>
      <c r="T50" s="7"/>
      <c r="U50" s="7"/>
      <c r="V50" s="7"/>
      <c r="W50" s="14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</row>
    <row r="51" spans="1:152" s="35" customFormat="1" ht="33" customHeight="1">
      <c r="A51" s="36" t="s">
        <v>135</v>
      </c>
      <c r="B51" s="36" t="s">
        <v>136</v>
      </c>
      <c r="C51" s="31" t="s">
        <v>137</v>
      </c>
      <c r="D51" s="37" t="s">
        <v>11</v>
      </c>
      <c r="E51" s="32"/>
      <c r="F51" s="8">
        <f t="shared" si="0"/>
        <v>0</v>
      </c>
      <c r="G51" s="32"/>
      <c r="H51" s="32"/>
      <c r="I51" s="8">
        <f t="shared" si="1"/>
        <v>0</v>
      </c>
      <c r="J51" s="38">
        <f>308000+132000-3097-4000</f>
        <v>432903</v>
      </c>
      <c r="K51" s="38"/>
      <c r="L51" s="38">
        <f>K51+J51</f>
        <v>432903</v>
      </c>
      <c r="M51" s="10">
        <f t="shared" si="3"/>
        <v>432.9</v>
      </c>
      <c r="N51" s="103"/>
      <c r="O51" s="7"/>
      <c r="P51" s="7"/>
      <c r="Q51" s="7"/>
      <c r="R51" s="7"/>
      <c r="S51" s="39"/>
      <c r="T51" s="7"/>
      <c r="U51" s="7"/>
      <c r="V51" s="7"/>
      <c r="W51" s="14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</row>
    <row r="52" spans="1:152" s="35" customFormat="1" ht="33" customHeight="1">
      <c r="A52" s="36" t="s">
        <v>23</v>
      </c>
      <c r="B52" s="36" t="s">
        <v>89</v>
      </c>
      <c r="C52" s="37" t="s">
        <v>24</v>
      </c>
      <c r="D52" s="37" t="s">
        <v>11</v>
      </c>
      <c r="E52" s="32"/>
      <c r="F52" s="8">
        <f t="shared" si="0"/>
        <v>0</v>
      </c>
      <c r="G52" s="32"/>
      <c r="H52" s="32"/>
      <c r="I52" s="8">
        <f t="shared" si="1"/>
        <v>0</v>
      </c>
      <c r="J52" s="38">
        <v>243500</v>
      </c>
      <c r="K52" s="38"/>
      <c r="L52" s="38">
        <f>K52+J52</f>
        <v>243500</v>
      </c>
      <c r="M52" s="10">
        <f t="shared" si="3"/>
        <v>243.5</v>
      </c>
      <c r="N52" s="103"/>
      <c r="O52" s="7"/>
      <c r="P52" s="7"/>
      <c r="Q52" s="7"/>
      <c r="R52" s="7"/>
      <c r="S52" s="39"/>
      <c r="T52" s="7"/>
      <c r="U52" s="7"/>
      <c r="V52" s="7"/>
      <c r="W52" s="14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</row>
    <row r="53" spans="1:152" s="35" customFormat="1" ht="33" customHeight="1">
      <c r="A53" s="36"/>
      <c r="B53" s="36"/>
      <c r="C53" s="37" t="s">
        <v>231</v>
      </c>
      <c r="D53" s="37"/>
      <c r="E53" s="32"/>
      <c r="F53" s="8"/>
      <c r="G53" s="32"/>
      <c r="H53" s="32"/>
      <c r="I53" s="8"/>
      <c r="J53" s="38"/>
      <c r="K53" s="38"/>
      <c r="L53" s="38"/>
      <c r="M53" s="10">
        <f>1090.5+3665.6+0.1</f>
        <v>4756.200000000001</v>
      </c>
      <c r="N53" s="103"/>
      <c r="O53" s="7"/>
      <c r="P53" s="7"/>
      <c r="Q53" s="7"/>
      <c r="R53" s="7"/>
      <c r="S53" s="39"/>
      <c r="T53" s="7"/>
      <c r="U53" s="7"/>
      <c r="V53" s="7"/>
      <c r="W53" s="14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</row>
    <row r="54" spans="1:153" s="41" customFormat="1" ht="30" customHeight="1">
      <c r="A54" s="24"/>
      <c r="B54" s="24"/>
      <c r="C54" s="30" t="s">
        <v>258</v>
      </c>
      <c r="D54" s="37"/>
      <c r="E54" s="51"/>
      <c r="F54" s="8">
        <f t="shared" si="0"/>
        <v>0</v>
      </c>
      <c r="G54" s="51"/>
      <c r="H54" s="51"/>
      <c r="I54" s="8">
        <f t="shared" si="1"/>
        <v>0</v>
      </c>
      <c r="J54" s="33">
        <f>SUM(J55:J58)</f>
        <v>1165000</v>
      </c>
      <c r="K54" s="33">
        <f>SUM(K55:K58)</f>
        <v>0</v>
      </c>
      <c r="L54" s="33">
        <f>SUM(L55:L58)</f>
        <v>1165000</v>
      </c>
      <c r="M54" s="9">
        <f>SUM(M55:M58)</f>
        <v>1165</v>
      </c>
      <c r="N54" s="103"/>
      <c r="O54" s="7"/>
      <c r="P54" s="7"/>
      <c r="Q54" s="7"/>
      <c r="R54" s="7"/>
      <c r="S54" s="39"/>
      <c r="T54" s="7"/>
      <c r="U54" s="7"/>
      <c r="V54" s="7"/>
      <c r="W54" s="14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52"/>
    </row>
    <row r="55" spans="1:153" s="41" customFormat="1" ht="27.75" customHeight="1">
      <c r="A55" s="36" t="s">
        <v>9</v>
      </c>
      <c r="B55" s="36" t="s">
        <v>74</v>
      </c>
      <c r="C55" s="31" t="s">
        <v>10</v>
      </c>
      <c r="D55" s="37" t="s">
        <v>11</v>
      </c>
      <c r="E55" s="51"/>
      <c r="F55" s="8">
        <f t="shared" si="0"/>
        <v>0</v>
      </c>
      <c r="G55" s="51"/>
      <c r="H55" s="51"/>
      <c r="I55" s="8">
        <f t="shared" si="1"/>
        <v>0</v>
      </c>
      <c r="J55" s="38">
        <v>20000</v>
      </c>
      <c r="K55" s="38"/>
      <c r="L55" s="38">
        <f>K55+J55</f>
        <v>20000</v>
      </c>
      <c r="M55" s="10">
        <f t="shared" si="3"/>
        <v>20</v>
      </c>
      <c r="N55" s="103"/>
      <c r="O55" s="7"/>
      <c r="P55" s="7"/>
      <c r="Q55" s="7"/>
      <c r="R55" s="7"/>
      <c r="S55" s="39"/>
      <c r="T55" s="7"/>
      <c r="U55" s="7"/>
      <c r="V55" s="7"/>
      <c r="W55" s="14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52"/>
    </row>
    <row r="56" spans="1:153" s="41" customFormat="1" ht="27.75" customHeight="1">
      <c r="A56" s="28">
        <v>110201</v>
      </c>
      <c r="B56" s="36" t="s">
        <v>90</v>
      </c>
      <c r="C56" s="37" t="s">
        <v>18</v>
      </c>
      <c r="D56" s="37" t="s">
        <v>11</v>
      </c>
      <c r="E56" s="51"/>
      <c r="F56" s="8">
        <f t="shared" si="0"/>
        <v>0</v>
      </c>
      <c r="G56" s="51"/>
      <c r="H56" s="51"/>
      <c r="I56" s="8">
        <f t="shared" si="1"/>
        <v>0</v>
      </c>
      <c r="J56" s="38">
        <f>678000+1500+5000</f>
        <v>684500</v>
      </c>
      <c r="K56" s="38"/>
      <c r="L56" s="38">
        <f>K56+J56</f>
        <v>684500</v>
      </c>
      <c r="M56" s="10">
        <f t="shared" si="3"/>
        <v>684.5</v>
      </c>
      <c r="N56" s="103"/>
      <c r="O56" s="7"/>
      <c r="P56" s="7"/>
      <c r="Q56" s="7"/>
      <c r="R56" s="7"/>
      <c r="S56" s="39"/>
      <c r="T56" s="7"/>
      <c r="U56" s="7"/>
      <c r="V56" s="7"/>
      <c r="W56" s="14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52"/>
    </row>
    <row r="57" spans="1:23" s="7" customFormat="1" ht="27.75" customHeight="1">
      <c r="A57" s="28">
        <v>110205</v>
      </c>
      <c r="B57" s="36" t="s">
        <v>81</v>
      </c>
      <c r="C57" s="37" t="s">
        <v>58</v>
      </c>
      <c r="D57" s="37" t="s">
        <v>11</v>
      </c>
      <c r="E57" s="51"/>
      <c r="F57" s="8">
        <f t="shared" si="0"/>
        <v>0</v>
      </c>
      <c r="G57" s="51"/>
      <c r="H57" s="51"/>
      <c r="I57" s="8">
        <f t="shared" si="1"/>
        <v>0</v>
      </c>
      <c r="J57" s="38">
        <f>435500+2000</f>
        <v>437500</v>
      </c>
      <c r="K57" s="38">
        <f>717200-717200</f>
        <v>0</v>
      </c>
      <c r="L57" s="38">
        <f>K57+J57</f>
        <v>437500</v>
      </c>
      <c r="M57" s="10">
        <f t="shared" si="3"/>
        <v>437.5</v>
      </c>
      <c r="N57" s="103"/>
      <c r="S57" s="39"/>
      <c r="W57" s="14"/>
    </row>
    <row r="58" spans="1:23" s="7" customFormat="1" ht="27.75" customHeight="1">
      <c r="A58" s="28">
        <v>110502</v>
      </c>
      <c r="B58" s="36" t="s">
        <v>75</v>
      </c>
      <c r="C58" s="31" t="s">
        <v>38</v>
      </c>
      <c r="D58" s="37" t="s">
        <v>11</v>
      </c>
      <c r="E58" s="51"/>
      <c r="F58" s="8">
        <f t="shared" si="0"/>
        <v>0</v>
      </c>
      <c r="G58" s="51"/>
      <c r="H58" s="51"/>
      <c r="I58" s="8">
        <f t="shared" si="1"/>
        <v>0</v>
      </c>
      <c r="J58" s="38">
        <f>30000-7000</f>
        <v>23000</v>
      </c>
      <c r="K58" s="38"/>
      <c r="L58" s="38">
        <f>K58+J58</f>
        <v>23000</v>
      </c>
      <c r="M58" s="10">
        <f t="shared" si="3"/>
        <v>23</v>
      </c>
      <c r="N58" s="103"/>
      <c r="S58" s="39"/>
      <c r="W58" s="14"/>
    </row>
    <row r="59" spans="1:152" s="58" customFormat="1" ht="35.25" customHeight="1">
      <c r="A59" s="24"/>
      <c r="B59" s="24"/>
      <c r="C59" s="30" t="s">
        <v>245</v>
      </c>
      <c r="D59" s="53"/>
      <c r="E59" s="54"/>
      <c r="F59" s="8">
        <f t="shared" si="0"/>
        <v>0</v>
      </c>
      <c r="G59" s="54"/>
      <c r="H59" s="54"/>
      <c r="I59" s="8">
        <f t="shared" si="1"/>
        <v>0</v>
      </c>
      <c r="J59" s="33" t="e">
        <f>J60+J61+J62+J63+J64+J65+J66+J74+J82</f>
        <v>#REF!</v>
      </c>
      <c r="K59" s="33" t="e">
        <f>K60+K61+K62+K63+K64+K65+K66+K74+K82</f>
        <v>#REF!</v>
      </c>
      <c r="L59" s="33" t="e">
        <f>L60+L61+L62+L63+L64+L65+L66+L74+L82</f>
        <v>#REF!</v>
      </c>
      <c r="M59" s="9">
        <f>M60+M61+M62+M63+M64+M65+M66+M74+M82</f>
        <v>129494.69999999998</v>
      </c>
      <c r="N59" s="103"/>
      <c r="O59" s="55"/>
      <c r="P59" s="55"/>
      <c r="Q59" s="55"/>
      <c r="R59" s="55"/>
      <c r="S59" s="56"/>
      <c r="T59" s="55"/>
      <c r="U59" s="55"/>
      <c r="V59" s="55"/>
      <c r="W59" s="57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</row>
    <row r="60" spans="1:152" s="35" customFormat="1" ht="31.5" customHeight="1">
      <c r="A60" s="36" t="s">
        <v>9</v>
      </c>
      <c r="B60" s="36" t="s">
        <v>74</v>
      </c>
      <c r="C60" s="31" t="s">
        <v>10</v>
      </c>
      <c r="D60" s="37" t="s">
        <v>11</v>
      </c>
      <c r="E60" s="32"/>
      <c r="F60" s="8">
        <f t="shared" si="0"/>
        <v>0</v>
      </c>
      <c r="G60" s="32"/>
      <c r="H60" s="32"/>
      <c r="I60" s="8">
        <f t="shared" si="1"/>
        <v>0</v>
      </c>
      <c r="J60" s="38">
        <f>30000+18000</f>
        <v>48000</v>
      </c>
      <c r="K60" s="38"/>
      <c r="L60" s="38">
        <f aca="true" t="shared" si="6" ref="L60:L73">K60+J60</f>
        <v>48000</v>
      </c>
      <c r="M60" s="10">
        <f t="shared" si="3"/>
        <v>48</v>
      </c>
      <c r="N60" s="103"/>
      <c r="O60" s="7"/>
      <c r="P60" s="7"/>
      <c r="Q60" s="7"/>
      <c r="R60" s="7"/>
      <c r="S60" s="56"/>
      <c r="T60" s="7"/>
      <c r="U60" s="7"/>
      <c r="V60" s="7"/>
      <c r="W60" s="14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</row>
    <row r="61" spans="1:152" s="35" customFormat="1" ht="31.5" customHeight="1">
      <c r="A61" s="28">
        <v>100102</v>
      </c>
      <c r="B61" s="36" t="s">
        <v>91</v>
      </c>
      <c r="C61" s="31" t="s">
        <v>17</v>
      </c>
      <c r="D61" s="37" t="s">
        <v>11</v>
      </c>
      <c r="E61" s="51"/>
      <c r="F61" s="8">
        <f t="shared" si="0"/>
        <v>0</v>
      </c>
      <c r="G61" s="51"/>
      <c r="H61" s="51"/>
      <c r="I61" s="8">
        <f t="shared" si="1"/>
        <v>0</v>
      </c>
      <c r="J61" s="38">
        <f>51271723.14+1543208+2219502+4281011+4400000</f>
        <v>63715444.14</v>
      </c>
      <c r="K61" s="38"/>
      <c r="L61" s="38">
        <f t="shared" si="6"/>
        <v>63715444.14</v>
      </c>
      <c r="M61" s="10">
        <f t="shared" si="3"/>
        <v>63715.4</v>
      </c>
      <c r="N61" s="103"/>
      <c r="O61" s="7"/>
      <c r="P61" s="7"/>
      <c r="Q61" s="7"/>
      <c r="R61" s="7"/>
      <c r="S61" s="56"/>
      <c r="T61" s="7"/>
      <c r="U61" s="7"/>
      <c r="V61" s="7"/>
      <c r="W61" s="14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</row>
    <row r="62" spans="1:152" s="35" customFormat="1" ht="31.5" customHeight="1">
      <c r="A62" s="28">
        <v>100106</v>
      </c>
      <c r="B62" s="36" t="s">
        <v>91</v>
      </c>
      <c r="C62" s="31" t="s">
        <v>31</v>
      </c>
      <c r="D62" s="37" t="s">
        <v>11</v>
      </c>
      <c r="E62" s="51"/>
      <c r="F62" s="8">
        <f t="shared" si="0"/>
        <v>0</v>
      </c>
      <c r="G62" s="51"/>
      <c r="H62" s="51"/>
      <c r="I62" s="8">
        <f t="shared" si="1"/>
        <v>0</v>
      </c>
      <c r="J62" s="38">
        <f>6000000+1000000</f>
        <v>7000000</v>
      </c>
      <c r="K62" s="38"/>
      <c r="L62" s="38">
        <f t="shared" si="6"/>
        <v>7000000</v>
      </c>
      <c r="M62" s="10">
        <f t="shared" si="3"/>
        <v>7000</v>
      </c>
      <c r="N62" s="103"/>
      <c r="O62" s="7"/>
      <c r="P62" s="7"/>
      <c r="Q62" s="7"/>
      <c r="R62" s="7"/>
      <c r="S62" s="56"/>
      <c r="T62" s="7"/>
      <c r="U62" s="7"/>
      <c r="V62" s="7"/>
      <c r="W62" s="14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</row>
    <row r="63" spans="1:152" s="35" customFormat="1" ht="31.5" customHeight="1">
      <c r="A63" s="28">
        <v>100202</v>
      </c>
      <c r="B63" s="36" t="s">
        <v>92</v>
      </c>
      <c r="C63" s="31" t="s">
        <v>162</v>
      </c>
      <c r="D63" s="37" t="s">
        <v>11</v>
      </c>
      <c r="E63" s="51"/>
      <c r="F63" s="8">
        <f t="shared" si="0"/>
        <v>0</v>
      </c>
      <c r="G63" s="51"/>
      <c r="H63" s="51"/>
      <c r="I63" s="8">
        <f t="shared" si="1"/>
        <v>0</v>
      </c>
      <c r="J63" s="38">
        <f>3430202+664532+174600+200666+172909</f>
        <v>4642909</v>
      </c>
      <c r="K63" s="38"/>
      <c r="L63" s="38">
        <f t="shared" si="6"/>
        <v>4642909</v>
      </c>
      <c r="M63" s="10">
        <f t="shared" si="3"/>
        <v>4642.9</v>
      </c>
      <c r="N63" s="103"/>
      <c r="O63" s="7"/>
      <c r="P63" s="7"/>
      <c r="Q63" s="7"/>
      <c r="R63" s="7"/>
      <c r="S63" s="56"/>
      <c r="T63" s="7"/>
      <c r="U63" s="7"/>
      <c r="V63" s="7"/>
      <c r="W63" s="14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</row>
    <row r="64" spans="1:152" s="35" customFormat="1" ht="31.5" customHeight="1">
      <c r="A64" s="28">
        <v>100203</v>
      </c>
      <c r="B64" s="36" t="s">
        <v>92</v>
      </c>
      <c r="C64" s="31" t="s">
        <v>16</v>
      </c>
      <c r="D64" s="37" t="s">
        <v>11</v>
      </c>
      <c r="E64" s="51"/>
      <c r="F64" s="8">
        <f t="shared" si="0"/>
        <v>0</v>
      </c>
      <c r="G64" s="51"/>
      <c r="H64" s="51"/>
      <c r="I64" s="8">
        <f t="shared" si="1"/>
        <v>0</v>
      </c>
      <c r="J64" s="38">
        <f>21022929.2-391391-343105-20217-41000+12774.03</f>
        <v>20239990.23</v>
      </c>
      <c r="K64" s="38">
        <v>-108000</v>
      </c>
      <c r="L64" s="38">
        <f t="shared" si="6"/>
        <v>20131990.23</v>
      </c>
      <c r="M64" s="10">
        <f>ROUND(L64/1000,1)+1647.9-5-5</f>
        <v>21769.9</v>
      </c>
      <c r="N64" s="103"/>
      <c r="O64" s="7"/>
      <c r="P64" s="7"/>
      <c r="Q64" s="7"/>
      <c r="R64" s="7"/>
      <c r="S64" s="56"/>
      <c r="T64" s="7"/>
      <c r="U64" s="7"/>
      <c r="V64" s="7"/>
      <c r="W64" s="14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</row>
    <row r="65" spans="1:152" s="35" customFormat="1" ht="31.5" customHeight="1">
      <c r="A65" s="28">
        <v>100208</v>
      </c>
      <c r="B65" s="36" t="s">
        <v>92</v>
      </c>
      <c r="C65" s="31" t="s">
        <v>138</v>
      </c>
      <c r="D65" s="37" t="s">
        <v>11</v>
      </c>
      <c r="E65" s="51"/>
      <c r="F65" s="8">
        <f t="shared" si="0"/>
        <v>0</v>
      </c>
      <c r="G65" s="51"/>
      <c r="H65" s="51"/>
      <c r="I65" s="8">
        <f t="shared" si="1"/>
        <v>0</v>
      </c>
      <c r="J65" s="38">
        <v>845938</v>
      </c>
      <c r="K65" s="38"/>
      <c r="L65" s="38">
        <f t="shared" si="6"/>
        <v>845938</v>
      </c>
      <c r="M65" s="10">
        <f t="shared" si="3"/>
        <v>845.9</v>
      </c>
      <c r="N65" s="103"/>
      <c r="O65" s="7"/>
      <c r="P65" s="7"/>
      <c r="Q65" s="7"/>
      <c r="R65" s="7"/>
      <c r="S65" s="39"/>
      <c r="T65" s="7"/>
      <c r="U65" s="7"/>
      <c r="V65" s="7"/>
      <c r="W65" s="14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</row>
    <row r="66" spans="1:152" s="35" customFormat="1" ht="27" customHeight="1">
      <c r="A66" s="28">
        <v>150101</v>
      </c>
      <c r="B66" s="36" t="s">
        <v>77</v>
      </c>
      <c r="C66" s="30" t="s">
        <v>4</v>
      </c>
      <c r="D66" s="37"/>
      <c r="E66" s="51"/>
      <c r="F66" s="8">
        <f t="shared" si="0"/>
        <v>0</v>
      </c>
      <c r="G66" s="51"/>
      <c r="H66" s="51"/>
      <c r="I66" s="8">
        <f t="shared" si="1"/>
        <v>0</v>
      </c>
      <c r="J66" s="33" t="e">
        <f>J69+J67</f>
        <v>#REF!</v>
      </c>
      <c r="K66" s="33" t="e">
        <f>K69+K67</f>
        <v>#REF!</v>
      </c>
      <c r="L66" s="33" t="e">
        <f>L69+L67</f>
        <v>#REF!</v>
      </c>
      <c r="M66" s="9">
        <f>M69+M67</f>
        <v>2059.2</v>
      </c>
      <c r="N66" s="103"/>
      <c r="O66" s="7"/>
      <c r="P66" s="7"/>
      <c r="Q66" s="7"/>
      <c r="R66" s="7"/>
      <c r="S66" s="39"/>
      <c r="T66" s="7"/>
      <c r="U66" s="7"/>
      <c r="V66" s="7"/>
      <c r="W66" s="14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</row>
    <row r="67" spans="1:152" s="35" customFormat="1" ht="27" customHeight="1">
      <c r="A67" s="28"/>
      <c r="B67" s="36"/>
      <c r="C67" s="30" t="s">
        <v>225</v>
      </c>
      <c r="D67" s="30" t="s">
        <v>225</v>
      </c>
      <c r="E67" s="51"/>
      <c r="F67" s="8">
        <f t="shared" si="0"/>
        <v>0</v>
      </c>
      <c r="G67" s="51"/>
      <c r="H67" s="51"/>
      <c r="I67" s="8">
        <f t="shared" si="1"/>
        <v>0</v>
      </c>
      <c r="J67" s="38">
        <f>J68</f>
        <v>41000</v>
      </c>
      <c r="K67" s="38">
        <f>K68</f>
        <v>0</v>
      </c>
      <c r="L67" s="38">
        <f>L68</f>
        <v>41000</v>
      </c>
      <c r="M67" s="9">
        <f t="shared" si="3"/>
        <v>41</v>
      </c>
      <c r="N67" s="103"/>
      <c r="O67" s="7"/>
      <c r="P67" s="7"/>
      <c r="Q67" s="7"/>
      <c r="R67" s="7"/>
      <c r="S67" s="39"/>
      <c r="T67" s="7"/>
      <c r="U67" s="7"/>
      <c r="V67" s="7"/>
      <c r="W67" s="14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</row>
    <row r="68" spans="1:152" s="35" customFormat="1" ht="27" customHeight="1">
      <c r="A68" s="28"/>
      <c r="B68" s="36"/>
      <c r="C68" s="59" t="s">
        <v>211</v>
      </c>
      <c r="D68" s="59" t="s">
        <v>211</v>
      </c>
      <c r="E68" s="51"/>
      <c r="F68" s="8">
        <f t="shared" si="0"/>
        <v>0</v>
      </c>
      <c r="G68" s="51"/>
      <c r="H68" s="51"/>
      <c r="I68" s="8">
        <f t="shared" si="1"/>
        <v>0</v>
      </c>
      <c r="J68" s="38">
        <v>41000</v>
      </c>
      <c r="K68" s="38"/>
      <c r="L68" s="38">
        <f t="shared" si="6"/>
        <v>41000</v>
      </c>
      <c r="M68" s="10">
        <f t="shared" si="3"/>
        <v>41</v>
      </c>
      <c r="N68" s="103"/>
      <c r="O68" s="7"/>
      <c r="P68" s="7"/>
      <c r="Q68" s="7"/>
      <c r="R68" s="7"/>
      <c r="S68" s="39"/>
      <c r="T68" s="7"/>
      <c r="U68" s="7"/>
      <c r="V68" s="7"/>
      <c r="W68" s="14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</row>
    <row r="69" spans="1:152" s="35" customFormat="1" ht="36" customHeight="1">
      <c r="A69" s="28"/>
      <c r="B69" s="36"/>
      <c r="C69" s="30" t="s">
        <v>226</v>
      </c>
      <c r="D69" s="30" t="s">
        <v>226</v>
      </c>
      <c r="E69" s="51"/>
      <c r="F69" s="8">
        <f t="shared" si="0"/>
        <v>0</v>
      </c>
      <c r="G69" s="51"/>
      <c r="H69" s="51"/>
      <c r="I69" s="8">
        <f t="shared" si="1"/>
        <v>0</v>
      </c>
      <c r="J69" s="33" t="e">
        <f>J70+J71+J72+J73+#REF!+#REF!</f>
        <v>#REF!</v>
      </c>
      <c r="K69" s="33" t="e">
        <f>K70+K71+K72+K73+#REF!+#REF!</f>
        <v>#REF!</v>
      </c>
      <c r="L69" s="33" t="e">
        <f>L70+L71+L72+L73+#REF!+#REF!</f>
        <v>#REF!</v>
      </c>
      <c r="M69" s="9">
        <f>M70+M71+M72+M73</f>
        <v>2018.2</v>
      </c>
      <c r="N69" s="103"/>
      <c r="O69" s="7"/>
      <c r="P69" s="7"/>
      <c r="Q69" s="7"/>
      <c r="R69" s="7"/>
      <c r="S69" s="39"/>
      <c r="T69" s="7"/>
      <c r="U69" s="7"/>
      <c r="V69" s="7"/>
      <c r="W69" s="14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</row>
    <row r="70" spans="1:152" s="35" customFormat="1" ht="39" customHeight="1">
      <c r="A70" s="28"/>
      <c r="B70" s="36"/>
      <c r="C70" s="59" t="s">
        <v>259</v>
      </c>
      <c r="D70" s="59" t="s">
        <v>202</v>
      </c>
      <c r="E70" s="51"/>
      <c r="F70" s="8">
        <f t="shared" si="0"/>
        <v>0</v>
      </c>
      <c r="G70" s="51"/>
      <c r="H70" s="51"/>
      <c r="I70" s="8">
        <f t="shared" si="1"/>
        <v>0</v>
      </c>
      <c r="J70" s="38">
        <v>167000</v>
      </c>
      <c r="K70" s="38"/>
      <c r="L70" s="38">
        <f t="shared" si="6"/>
        <v>167000</v>
      </c>
      <c r="M70" s="10">
        <f>ROUND(L70/1000,1)+32.4</f>
        <v>199.4</v>
      </c>
      <c r="N70" s="103"/>
      <c r="O70" s="7"/>
      <c r="P70" s="7"/>
      <c r="Q70" s="7"/>
      <c r="R70" s="7"/>
      <c r="S70" s="39"/>
      <c r="T70" s="7"/>
      <c r="U70" s="7"/>
      <c r="V70" s="7"/>
      <c r="W70" s="14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</row>
    <row r="71" spans="1:152" s="35" customFormat="1" ht="48" customHeight="1">
      <c r="A71" s="28"/>
      <c r="B71" s="36"/>
      <c r="C71" s="59" t="s">
        <v>200</v>
      </c>
      <c r="D71" s="59" t="s">
        <v>200</v>
      </c>
      <c r="E71" s="51"/>
      <c r="F71" s="8">
        <f t="shared" si="0"/>
        <v>0</v>
      </c>
      <c r="G71" s="51"/>
      <c r="H71" s="51"/>
      <c r="I71" s="8">
        <f t="shared" si="1"/>
        <v>0</v>
      </c>
      <c r="J71" s="38">
        <v>167000</v>
      </c>
      <c r="K71" s="38"/>
      <c r="L71" s="38">
        <f t="shared" si="6"/>
        <v>167000</v>
      </c>
      <c r="M71" s="10">
        <f>ROUND(L71/1000,1)+12.8</f>
        <v>179.8</v>
      </c>
      <c r="N71" s="103"/>
      <c r="O71" s="7"/>
      <c r="P71" s="7"/>
      <c r="Q71" s="7"/>
      <c r="R71" s="7"/>
      <c r="S71" s="39"/>
      <c r="T71" s="7"/>
      <c r="U71" s="7"/>
      <c r="V71" s="7"/>
      <c r="W71" s="14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</row>
    <row r="72" spans="1:152" s="35" customFormat="1" ht="55.5" customHeight="1">
      <c r="A72" s="28"/>
      <c r="B72" s="36"/>
      <c r="C72" s="59" t="s">
        <v>201</v>
      </c>
      <c r="D72" s="59" t="s">
        <v>201</v>
      </c>
      <c r="E72" s="51"/>
      <c r="F72" s="8">
        <f t="shared" si="0"/>
        <v>0</v>
      </c>
      <c r="G72" s="51"/>
      <c r="H72" s="51"/>
      <c r="I72" s="8">
        <f t="shared" si="1"/>
        <v>0</v>
      </c>
      <c r="J72" s="38">
        <v>166000</v>
      </c>
      <c r="K72" s="38"/>
      <c r="L72" s="38">
        <f t="shared" si="6"/>
        <v>166000</v>
      </c>
      <c r="M72" s="10">
        <f>ROUND(L72/1000,1)+33.5</f>
        <v>199.5</v>
      </c>
      <c r="N72" s="103"/>
      <c r="O72" s="7"/>
      <c r="P72" s="7"/>
      <c r="Q72" s="7"/>
      <c r="R72" s="7"/>
      <c r="S72" s="39"/>
      <c r="T72" s="7"/>
      <c r="U72" s="7"/>
      <c r="V72" s="7"/>
      <c r="W72" s="14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</row>
    <row r="73" spans="1:152" s="35" customFormat="1" ht="51" customHeight="1">
      <c r="A73" s="28"/>
      <c r="B73" s="36"/>
      <c r="C73" s="59" t="s">
        <v>210</v>
      </c>
      <c r="D73" s="59" t="s">
        <v>210</v>
      </c>
      <c r="E73" s="51"/>
      <c r="F73" s="8">
        <f t="shared" si="0"/>
        <v>0</v>
      </c>
      <c r="G73" s="51"/>
      <c r="H73" s="51"/>
      <c r="I73" s="8">
        <f t="shared" si="1"/>
        <v>0</v>
      </c>
      <c r="J73" s="38">
        <v>1473000</v>
      </c>
      <c r="K73" s="38"/>
      <c r="L73" s="38">
        <f t="shared" si="6"/>
        <v>1473000</v>
      </c>
      <c r="M73" s="10">
        <f>ROUND(L73/1000,1)-33.5</f>
        <v>1439.5</v>
      </c>
      <c r="N73" s="103"/>
      <c r="O73" s="7"/>
      <c r="P73" s="7"/>
      <c r="Q73" s="7"/>
      <c r="R73" s="7"/>
      <c r="S73" s="39"/>
      <c r="T73" s="7"/>
      <c r="U73" s="7"/>
      <c r="V73" s="7"/>
      <c r="W73" s="14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</row>
    <row r="74" spans="1:152" s="35" customFormat="1" ht="55.5" customHeight="1">
      <c r="A74" s="28">
        <v>180409</v>
      </c>
      <c r="B74" s="36" t="s">
        <v>77</v>
      </c>
      <c r="C74" s="31" t="s">
        <v>242</v>
      </c>
      <c r="D74" s="41"/>
      <c r="E74" s="32"/>
      <c r="F74" s="8">
        <f t="shared" si="0"/>
        <v>0</v>
      </c>
      <c r="G74" s="32"/>
      <c r="H74" s="32"/>
      <c r="I74" s="8">
        <f t="shared" si="1"/>
        <v>0</v>
      </c>
      <c r="J74" s="38">
        <f>J75+J76+J77+J78+J79+J81+J80</f>
        <v>28617016</v>
      </c>
      <c r="K74" s="38">
        <f>K75+K76+K77+K78+K79+K81+K80</f>
        <v>0</v>
      </c>
      <c r="L74" s="38">
        <f>L75+L76+L77+L78+L79+L81+L80</f>
        <v>28617016</v>
      </c>
      <c r="M74" s="10">
        <f>M75+M76+M77+M78+M79+M81+M80</f>
        <v>28662.9</v>
      </c>
      <c r="N74" s="103"/>
      <c r="O74" s="7"/>
      <c r="P74" s="7"/>
      <c r="Q74" s="7"/>
      <c r="R74" s="7"/>
      <c r="S74" s="39"/>
      <c r="T74" s="7"/>
      <c r="U74" s="7"/>
      <c r="V74" s="7"/>
      <c r="W74" s="14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</row>
    <row r="75" spans="1:152" s="49" customFormat="1" ht="30" customHeight="1">
      <c r="A75" s="42"/>
      <c r="B75" s="42"/>
      <c r="C75" s="43" t="s">
        <v>45</v>
      </c>
      <c r="D75" s="43" t="s">
        <v>45</v>
      </c>
      <c r="E75" s="54"/>
      <c r="F75" s="45">
        <f t="shared" si="0"/>
        <v>0</v>
      </c>
      <c r="G75" s="54"/>
      <c r="H75" s="54"/>
      <c r="I75" s="45">
        <f t="shared" si="1"/>
        <v>0</v>
      </c>
      <c r="J75" s="46">
        <f>4311200+292000</f>
        <v>4603200</v>
      </c>
      <c r="K75" s="46"/>
      <c r="L75" s="46">
        <f aca="true" t="shared" si="7" ref="L75:L82">K75+J75</f>
        <v>4603200</v>
      </c>
      <c r="M75" s="11">
        <f t="shared" si="3"/>
        <v>4603.2</v>
      </c>
      <c r="N75" s="103"/>
      <c r="O75" s="47"/>
      <c r="P75" s="47"/>
      <c r="Q75" s="47"/>
      <c r="R75" s="47"/>
      <c r="S75" s="39"/>
      <c r="T75" s="47"/>
      <c r="U75" s="47"/>
      <c r="V75" s="47"/>
      <c r="W75" s="48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</row>
    <row r="76" spans="1:152" s="49" customFormat="1" ht="30" customHeight="1">
      <c r="A76" s="42"/>
      <c r="B76" s="42"/>
      <c r="C76" s="43" t="s">
        <v>124</v>
      </c>
      <c r="D76" s="43" t="s">
        <v>124</v>
      </c>
      <c r="E76" s="54"/>
      <c r="F76" s="45">
        <f t="shared" si="0"/>
        <v>0</v>
      </c>
      <c r="G76" s="54"/>
      <c r="H76" s="54"/>
      <c r="I76" s="45">
        <f t="shared" si="1"/>
        <v>0</v>
      </c>
      <c r="J76" s="46">
        <v>1600000</v>
      </c>
      <c r="K76" s="46"/>
      <c r="L76" s="46">
        <f t="shared" si="7"/>
        <v>1600000</v>
      </c>
      <c r="M76" s="11">
        <f>ROUND(L76/1000,1)+45.8</f>
        <v>1645.8</v>
      </c>
      <c r="N76" s="103"/>
      <c r="O76" s="47"/>
      <c r="P76" s="47"/>
      <c r="Q76" s="47"/>
      <c r="R76" s="47"/>
      <c r="S76" s="39"/>
      <c r="T76" s="47"/>
      <c r="U76" s="47"/>
      <c r="V76" s="47"/>
      <c r="W76" s="48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</row>
    <row r="77" spans="1:152" s="49" customFormat="1" ht="30" customHeight="1">
      <c r="A77" s="42"/>
      <c r="B77" s="42"/>
      <c r="C77" s="43" t="s">
        <v>36</v>
      </c>
      <c r="D77" s="43" t="s">
        <v>36</v>
      </c>
      <c r="E77" s="54"/>
      <c r="F77" s="45">
        <f t="shared" si="0"/>
        <v>0</v>
      </c>
      <c r="G77" s="54"/>
      <c r="H77" s="54"/>
      <c r="I77" s="45">
        <f t="shared" si="1"/>
        <v>0</v>
      </c>
      <c r="J77" s="46">
        <f>2188500+1470000</f>
        <v>3658500</v>
      </c>
      <c r="K77" s="46"/>
      <c r="L77" s="46">
        <f t="shared" si="7"/>
        <v>3658500</v>
      </c>
      <c r="M77" s="11">
        <f t="shared" si="3"/>
        <v>3658.5</v>
      </c>
      <c r="N77" s="103"/>
      <c r="O77" s="47"/>
      <c r="P77" s="47"/>
      <c r="Q77" s="47"/>
      <c r="R77" s="47"/>
      <c r="S77" s="39"/>
      <c r="T77" s="47"/>
      <c r="U77" s="47"/>
      <c r="V77" s="47"/>
      <c r="W77" s="48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</row>
    <row r="78" spans="1:152" s="49" customFormat="1" ht="30" customHeight="1">
      <c r="A78" s="42"/>
      <c r="B78" s="42"/>
      <c r="C78" s="43" t="s">
        <v>41</v>
      </c>
      <c r="D78" s="43" t="s">
        <v>41</v>
      </c>
      <c r="E78" s="54"/>
      <c r="F78" s="45">
        <f t="shared" si="0"/>
        <v>0</v>
      </c>
      <c r="G78" s="54"/>
      <c r="H78" s="54"/>
      <c r="I78" s="45">
        <f t="shared" si="1"/>
        <v>0</v>
      </c>
      <c r="J78" s="46">
        <v>2500000</v>
      </c>
      <c r="K78" s="46"/>
      <c r="L78" s="46">
        <f t="shared" si="7"/>
        <v>2500000</v>
      </c>
      <c r="M78" s="11">
        <f t="shared" si="3"/>
        <v>2500</v>
      </c>
      <c r="N78" s="103"/>
      <c r="O78" s="47"/>
      <c r="P78" s="47"/>
      <c r="Q78" s="47"/>
      <c r="R78" s="47"/>
      <c r="S78" s="39"/>
      <c r="T78" s="47"/>
      <c r="U78" s="47"/>
      <c r="V78" s="47"/>
      <c r="W78" s="48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</row>
    <row r="79" spans="1:152" s="49" customFormat="1" ht="30" customHeight="1">
      <c r="A79" s="42"/>
      <c r="B79" s="42"/>
      <c r="C79" s="43" t="s">
        <v>106</v>
      </c>
      <c r="D79" s="43" t="s">
        <v>106</v>
      </c>
      <c r="E79" s="54"/>
      <c r="F79" s="45">
        <f aca="true" t="shared" si="8" ref="F79:F140">ROUND(E79/1000,1)</f>
        <v>0</v>
      </c>
      <c r="G79" s="54"/>
      <c r="H79" s="54"/>
      <c r="I79" s="45">
        <f aca="true" t="shared" si="9" ref="I79:I141">ROUND(H79/1000,1)</f>
        <v>0</v>
      </c>
      <c r="J79" s="46">
        <f>8200+14159</f>
        <v>22359</v>
      </c>
      <c r="K79" s="46"/>
      <c r="L79" s="46">
        <f t="shared" si="7"/>
        <v>22359</v>
      </c>
      <c r="M79" s="11">
        <f t="shared" si="3"/>
        <v>22.4</v>
      </c>
      <c r="N79" s="103"/>
      <c r="O79" s="47"/>
      <c r="P79" s="47"/>
      <c r="Q79" s="47"/>
      <c r="R79" s="47"/>
      <c r="S79" s="39"/>
      <c r="T79" s="47"/>
      <c r="U79" s="47"/>
      <c r="V79" s="47"/>
      <c r="W79" s="48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</row>
    <row r="80" spans="1:152" s="49" customFormat="1" ht="30" customHeight="1">
      <c r="A80" s="42"/>
      <c r="B80" s="42"/>
      <c r="C80" s="43" t="s">
        <v>145</v>
      </c>
      <c r="D80" s="43" t="s">
        <v>145</v>
      </c>
      <c r="E80" s="54"/>
      <c r="F80" s="45">
        <f t="shared" si="8"/>
        <v>0</v>
      </c>
      <c r="G80" s="54"/>
      <c r="H80" s="54"/>
      <c r="I80" s="45">
        <f t="shared" si="9"/>
        <v>0</v>
      </c>
      <c r="J80" s="46">
        <f>1116250+72607</f>
        <v>1188857</v>
      </c>
      <c r="K80" s="46"/>
      <c r="L80" s="46">
        <f t="shared" si="7"/>
        <v>1188857</v>
      </c>
      <c r="M80" s="11">
        <f aca="true" t="shared" si="10" ref="M80:M142">ROUND(L80/1000,1)</f>
        <v>1188.9</v>
      </c>
      <c r="N80" s="103"/>
      <c r="O80" s="47"/>
      <c r="P80" s="47"/>
      <c r="Q80" s="47"/>
      <c r="R80" s="47"/>
      <c r="S80" s="39"/>
      <c r="T80" s="47"/>
      <c r="U80" s="47"/>
      <c r="V80" s="47"/>
      <c r="W80" s="48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</row>
    <row r="81" spans="1:152" s="49" customFormat="1" ht="30" customHeight="1">
      <c r="A81" s="42"/>
      <c r="B81" s="42"/>
      <c r="C81" s="43" t="s">
        <v>46</v>
      </c>
      <c r="D81" s="43" t="s">
        <v>46</v>
      </c>
      <c r="E81" s="54"/>
      <c r="F81" s="45">
        <f t="shared" si="8"/>
        <v>0</v>
      </c>
      <c r="G81" s="54"/>
      <c r="H81" s="54"/>
      <c r="I81" s="45">
        <f t="shared" si="9"/>
        <v>0</v>
      </c>
      <c r="J81" s="46">
        <f>7769200+4969900+1835000+470000</f>
        <v>15044100</v>
      </c>
      <c r="K81" s="46"/>
      <c r="L81" s="46">
        <f t="shared" si="7"/>
        <v>15044100</v>
      </c>
      <c r="M81" s="11">
        <f t="shared" si="10"/>
        <v>15044.1</v>
      </c>
      <c r="N81" s="103"/>
      <c r="O81" s="47"/>
      <c r="P81" s="47"/>
      <c r="Q81" s="47"/>
      <c r="R81" s="47"/>
      <c r="S81" s="39"/>
      <c r="T81" s="47"/>
      <c r="U81" s="47"/>
      <c r="V81" s="47"/>
      <c r="W81" s="48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</row>
    <row r="82" spans="1:152" s="35" customFormat="1" ht="27" customHeight="1">
      <c r="A82" s="28">
        <v>250380</v>
      </c>
      <c r="B82" s="36" t="s">
        <v>94</v>
      </c>
      <c r="C82" s="37" t="s">
        <v>20</v>
      </c>
      <c r="D82" s="37" t="s">
        <v>11</v>
      </c>
      <c r="E82" s="16"/>
      <c r="F82" s="8">
        <f t="shared" si="8"/>
        <v>0</v>
      </c>
      <c r="G82" s="16"/>
      <c r="H82" s="16"/>
      <c r="I82" s="8">
        <f t="shared" si="9"/>
        <v>0</v>
      </c>
      <c r="J82" s="38">
        <v>750500</v>
      </c>
      <c r="K82" s="38"/>
      <c r="L82" s="38">
        <f t="shared" si="7"/>
        <v>750500</v>
      </c>
      <c r="M82" s="10">
        <f t="shared" si="10"/>
        <v>750.5</v>
      </c>
      <c r="N82" s="103"/>
      <c r="O82" s="7"/>
      <c r="P82" s="7"/>
      <c r="Q82" s="7"/>
      <c r="R82" s="7"/>
      <c r="S82" s="39"/>
      <c r="T82" s="7"/>
      <c r="U82" s="7"/>
      <c r="V82" s="7"/>
      <c r="W82" s="14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</row>
    <row r="83" spans="1:152" s="35" customFormat="1" ht="34.5" customHeight="1">
      <c r="A83" s="29"/>
      <c r="B83" s="29"/>
      <c r="C83" s="30" t="s">
        <v>246</v>
      </c>
      <c r="D83" s="37"/>
      <c r="E83" s="16"/>
      <c r="F83" s="8">
        <f t="shared" si="8"/>
        <v>0</v>
      </c>
      <c r="G83" s="16"/>
      <c r="H83" s="16"/>
      <c r="I83" s="8">
        <f t="shared" si="9"/>
        <v>0</v>
      </c>
      <c r="J83" s="33">
        <f>J84+J85</f>
        <v>377667</v>
      </c>
      <c r="K83" s="33">
        <f>K84+K85</f>
        <v>-41000</v>
      </c>
      <c r="L83" s="33">
        <f>L84+L85</f>
        <v>336667</v>
      </c>
      <c r="M83" s="9">
        <f>M84+M85</f>
        <v>264.29999999999995</v>
      </c>
      <c r="N83" s="103"/>
      <c r="O83" s="7"/>
      <c r="P83" s="7"/>
      <c r="Q83" s="7"/>
      <c r="R83" s="7"/>
      <c r="S83" s="56"/>
      <c r="T83" s="7"/>
      <c r="U83" s="7"/>
      <c r="V83" s="7"/>
      <c r="W83" s="14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</row>
    <row r="84" spans="1:152" s="35" customFormat="1" ht="30.75" customHeight="1">
      <c r="A84" s="36" t="s">
        <v>9</v>
      </c>
      <c r="B84" s="36" t="s">
        <v>74</v>
      </c>
      <c r="C84" s="31" t="s">
        <v>10</v>
      </c>
      <c r="D84" s="37" t="s">
        <v>11</v>
      </c>
      <c r="E84" s="16"/>
      <c r="F84" s="8">
        <f t="shared" si="8"/>
        <v>0</v>
      </c>
      <c r="G84" s="16"/>
      <c r="H84" s="16"/>
      <c r="I84" s="8">
        <f t="shared" si="9"/>
        <v>0</v>
      </c>
      <c r="J84" s="38">
        <f>240000+100000-18000-85333</f>
        <v>236667</v>
      </c>
      <c r="K84" s="38"/>
      <c r="L84" s="38">
        <f>K84+J84</f>
        <v>236667</v>
      </c>
      <c r="M84" s="10">
        <f>ROUND(L84/1000,1)-72.4</f>
        <v>164.29999999999998</v>
      </c>
      <c r="N84" s="103"/>
      <c r="O84" s="7"/>
      <c r="P84" s="7"/>
      <c r="Q84" s="7"/>
      <c r="R84" s="7"/>
      <c r="S84" s="56"/>
      <c r="T84" s="7"/>
      <c r="U84" s="7"/>
      <c r="V84" s="7"/>
      <c r="W84" s="14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</row>
    <row r="85" spans="1:23" s="7" customFormat="1" ht="30.75" customHeight="1">
      <c r="A85" s="36" t="s">
        <v>21</v>
      </c>
      <c r="B85" s="36" t="s">
        <v>93</v>
      </c>
      <c r="C85" s="31" t="s">
        <v>37</v>
      </c>
      <c r="D85" s="37" t="s">
        <v>11</v>
      </c>
      <c r="E85" s="32"/>
      <c r="F85" s="8">
        <f t="shared" si="8"/>
        <v>0</v>
      </c>
      <c r="G85" s="60"/>
      <c r="H85" s="32"/>
      <c r="I85" s="8">
        <f t="shared" si="9"/>
        <v>0</v>
      </c>
      <c r="J85" s="38">
        <v>141000</v>
      </c>
      <c r="K85" s="38">
        <v>-41000</v>
      </c>
      <c r="L85" s="38">
        <f>K85+J85</f>
        <v>100000</v>
      </c>
      <c r="M85" s="10">
        <f t="shared" si="10"/>
        <v>100</v>
      </c>
      <c r="N85" s="103"/>
      <c r="S85" s="56"/>
      <c r="W85" s="14"/>
    </row>
    <row r="86" spans="1:23" s="7" customFormat="1" ht="34.5" customHeight="1">
      <c r="A86" s="36"/>
      <c r="B86" s="36"/>
      <c r="C86" s="30" t="s">
        <v>247</v>
      </c>
      <c r="D86" s="37"/>
      <c r="E86" s="32"/>
      <c r="F86" s="8">
        <f t="shared" si="8"/>
        <v>0</v>
      </c>
      <c r="G86" s="60"/>
      <c r="H86" s="32"/>
      <c r="I86" s="8">
        <f t="shared" si="9"/>
        <v>0</v>
      </c>
      <c r="J86" s="33">
        <f>J87</f>
        <v>182700</v>
      </c>
      <c r="K86" s="33">
        <f>K87</f>
        <v>-4803</v>
      </c>
      <c r="L86" s="33">
        <f>L87</f>
        <v>177897</v>
      </c>
      <c r="M86" s="9">
        <f>M87</f>
        <v>177.9</v>
      </c>
      <c r="N86" s="103"/>
      <c r="S86" s="56"/>
      <c r="W86" s="14"/>
    </row>
    <row r="87" spans="1:23" s="7" customFormat="1" ht="31.5" customHeight="1">
      <c r="A87" s="36" t="s">
        <v>9</v>
      </c>
      <c r="B87" s="36" t="s">
        <v>74</v>
      </c>
      <c r="C87" s="31" t="s">
        <v>10</v>
      </c>
      <c r="D87" s="37" t="s">
        <v>11</v>
      </c>
      <c r="E87" s="32"/>
      <c r="F87" s="8">
        <f t="shared" si="8"/>
        <v>0</v>
      </c>
      <c r="G87" s="60"/>
      <c r="H87" s="32"/>
      <c r="I87" s="8">
        <f t="shared" si="9"/>
        <v>0</v>
      </c>
      <c r="J87" s="38">
        <f>134100+48600</f>
        <v>182700</v>
      </c>
      <c r="K87" s="38">
        <v>-4803</v>
      </c>
      <c r="L87" s="38">
        <f>K87+J87</f>
        <v>177897</v>
      </c>
      <c r="M87" s="10">
        <f t="shared" si="10"/>
        <v>177.9</v>
      </c>
      <c r="N87" s="103"/>
      <c r="S87" s="56"/>
      <c r="W87" s="14"/>
    </row>
    <row r="88" spans="1:23" ht="33" customHeight="1">
      <c r="A88" s="29"/>
      <c r="B88" s="29"/>
      <c r="C88" s="30" t="s">
        <v>248</v>
      </c>
      <c r="D88" s="37"/>
      <c r="E88" s="51"/>
      <c r="F88" s="8">
        <f t="shared" si="8"/>
        <v>0</v>
      </c>
      <c r="G88" s="51"/>
      <c r="H88" s="51"/>
      <c r="I88" s="8">
        <f t="shared" si="9"/>
        <v>0</v>
      </c>
      <c r="J88" s="33">
        <f>J89+J90+J91+J220+J217+J216</f>
        <v>246141223.94</v>
      </c>
      <c r="K88" s="33">
        <f>K89+K90+K91+K220+K217+K216</f>
        <v>5132959</v>
      </c>
      <c r="L88" s="33">
        <f>L89+L90+L91+L220+L217+L216</f>
        <v>251274182.94</v>
      </c>
      <c r="M88" s="9">
        <f>M89+M90+M91+M220+M217+M216</f>
        <v>249129.39999999997</v>
      </c>
      <c r="N88" s="103"/>
      <c r="S88" s="39"/>
      <c r="W88" s="61"/>
    </row>
    <row r="89" spans="1:23" ht="31.5" customHeight="1">
      <c r="A89" s="36" t="s">
        <v>14</v>
      </c>
      <c r="B89" s="36" t="s">
        <v>83</v>
      </c>
      <c r="C89" s="31" t="s">
        <v>15</v>
      </c>
      <c r="D89" s="37"/>
      <c r="E89" s="51"/>
      <c r="F89" s="8">
        <f t="shared" si="8"/>
        <v>0</v>
      </c>
      <c r="G89" s="51"/>
      <c r="H89" s="51"/>
      <c r="I89" s="8">
        <f t="shared" si="9"/>
        <v>0</v>
      </c>
      <c r="J89" s="38">
        <v>1724000</v>
      </c>
      <c r="K89" s="38"/>
      <c r="L89" s="38">
        <f>K89+J89</f>
        <v>1724000</v>
      </c>
      <c r="M89" s="10">
        <f t="shared" si="10"/>
        <v>1724</v>
      </c>
      <c r="N89" s="103"/>
      <c r="S89" s="39"/>
      <c r="W89" s="61"/>
    </row>
    <row r="90" spans="1:23" ht="31.5" customHeight="1">
      <c r="A90" s="36" t="s">
        <v>27</v>
      </c>
      <c r="B90" s="36" t="s">
        <v>92</v>
      </c>
      <c r="C90" s="31" t="s">
        <v>16</v>
      </c>
      <c r="D90" s="37" t="s">
        <v>11</v>
      </c>
      <c r="E90" s="51"/>
      <c r="F90" s="8">
        <f t="shared" si="8"/>
        <v>0</v>
      </c>
      <c r="G90" s="51"/>
      <c r="H90" s="51"/>
      <c r="I90" s="8">
        <f t="shared" si="9"/>
        <v>0</v>
      </c>
      <c r="J90" s="38">
        <f>71252200+4000000+2500000</f>
        <v>77752200</v>
      </c>
      <c r="K90" s="38">
        <v>4465000</v>
      </c>
      <c r="L90" s="38">
        <f>K90+J90</f>
        <v>82217200</v>
      </c>
      <c r="M90" s="10">
        <f>ROUND(L90/1000,1)+2000</f>
        <v>84217.2</v>
      </c>
      <c r="N90" s="103"/>
      <c r="S90" s="56"/>
      <c r="W90" s="61"/>
    </row>
    <row r="91" spans="1:23" ht="30" customHeight="1">
      <c r="A91" s="8">
        <v>150101</v>
      </c>
      <c r="B91" s="36" t="s">
        <v>77</v>
      </c>
      <c r="C91" s="30" t="s">
        <v>4</v>
      </c>
      <c r="D91" s="37"/>
      <c r="E91" s="51">
        <f>E92+E149</f>
        <v>156493313</v>
      </c>
      <c r="F91" s="62">
        <f>F92+F149</f>
        <v>156493.3</v>
      </c>
      <c r="G91" s="51"/>
      <c r="H91" s="51">
        <f>H92+H149</f>
        <v>105987675</v>
      </c>
      <c r="I91" s="62">
        <f>I92+I149</f>
        <v>105987.6</v>
      </c>
      <c r="J91" s="63">
        <f>J92+J143+J149</f>
        <v>148096223.94</v>
      </c>
      <c r="K91" s="63">
        <f>K92+K143+K149</f>
        <v>667959</v>
      </c>
      <c r="L91" s="63">
        <f>L92+L143+L149</f>
        <v>148764182.94</v>
      </c>
      <c r="M91" s="12">
        <f>M92+M143+M149</f>
        <v>144619.4</v>
      </c>
      <c r="N91" s="103"/>
      <c r="S91" s="39"/>
      <c r="W91" s="61"/>
    </row>
    <row r="92" spans="1:23" ht="27.75" customHeight="1">
      <c r="A92" s="8"/>
      <c r="B92" s="8"/>
      <c r="C92" s="64" t="s">
        <v>5</v>
      </c>
      <c r="D92" s="64" t="s">
        <v>5</v>
      </c>
      <c r="E92" s="65">
        <f>SUM(E93:E142)</f>
        <v>73757043</v>
      </c>
      <c r="F92" s="62">
        <f>SUM(F93:F142)</f>
        <v>73757</v>
      </c>
      <c r="G92" s="51"/>
      <c r="H92" s="51">
        <f aca="true" t="shared" si="11" ref="H92:M92">SUM(H93:H142)</f>
        <v>44832261</v>
      </c>
      <c r="I92" s="62">
        <f t="shared" si="11"/>
        <v>44832.3</v>
      </c>
      <c r="J92" s="66">
        <f t="shared" si="11"/>
        <v>44506160</v>
      </c>
      <c r="K92" s="66">
        <f t="shared" si="11"/>
        <v>0</v>
      </c>
      <c r="L92" s="66">
        <f t="shared" si="11"/>
        <v>44506160</v>
      </c>
      <c r="M92" s="12">
        <f t="shared" si="11"/>
        <v>41311.4</v>
      </c>
      <c r="N92" s="103"/>
      <c r="S92" s="39"/>
      <c r="W92" s="61"/>
    </row>
    <row r="93" spans="1:23" ht="38.25" customHeight="1">
      <c r="A93" s="31"/>
      <c r="B93" s="31"/>
      <c r="C93" s="67" t="s">
        <v>6</v>
      </c>
      <c r="D93" s="67" t="s">
        <v>6</v>
      </c>
      <c r="E93" s="32">
        <v>28556946</v>
      </c>
      <c r="F93" s="28">
        <f t="shared" si="8"/>
        <v>28556.9</v>
      </c>
      <c r="G93" s="28">
        <v>86</v>
      </c>
      <c r="H93" s="40">
        <v>24569887</v>
      </c>
      <c r="I93" s="28">
        <f t="shared" si="9"/>
        <v>24569.9</v>
      </c>
      <c r="J93" s="38">
        <f>1000000+850000</f>
        <v>1850000</v>
      </c>
      <c r="K93" s="38"/>
      <c r="L93" s="38">
        <f aca="true" t="shared" si="12" ref="L93:L141">K93+J93</f>
        <v>1850000</v>
      </c>
      <c r="M93" s="10">
        <f t="shared" si="10"/>
        <v>1850</v>
      </c>
      <c r="N93" s="103"/>
      <c r="S93" s="39"/>
      <c r="W93" s="61"/>
    </row>
    <row r="94" spans="1:23" ht="43.5" customHeight="1">
      <c r="A94" s="68"/>
      <c r="B94" s="68"/>
      <c r="C94" s="67" t="s">
        <v>105</v>
      </c>
      <c r="D94" s="67" t="s">
        <v>105</v>
      </c>
      <c r="E94" s="32"/>
      <c r="F94" s="28">
        <f t="shared" si="8"/>
        <v>0</v>
      </c>
      <c r="G94" s="60"/>
      <c r="H94" s="32"/>
      <c r="I94" s="28">
        <f t="shared" si="9"/>
        <v>0</v>
      </c>
      <c r="J94" s="38">
        <f>2500000-2200000-160000</f>
        <v>140000</v>
      </c>
      <c r="K94" s="38"/>
      <c r="L94" s="38">
        <f t="shared" si="12"/>
        <v>140000</v>
      </c>
      <c r="M94" s="10">
        <f t="shared" si="10"/>
        <v>140</v>
      </c>
      <c r="N94" s="103"/>
      <c r="S94" s="39"/>
      <c r="W94" s="61"/>
    </row>
    <row r="95" spans="1:23" ht="43.5" customHeight="1">
      <c r="A95" s="68"/>
      <c r="B95" s="68"/>
      <c r="C95" s="67" t="s">
        <v>43</v>
      </c>
      <c r="D95" s="67" t="s">
        <v>43</v>
      </c>
      <c r="E95" s="32"/>
      <c r="F95" s="28">
        <f t="shared" si="8"/>
        <v>0</v>
      </c>
      <c r="G95" s="60"/>
      <c r="H95" s="32"/>
      <c r="I95" s="28">
        <f t="shared" si="9"/>
        <v>0</v>
      </c>
      <c r="J95" s="38">
        <f>3198625-110000-2575000-148844</f>
        <v>364781</v>
      </c>
      <c r="K95" s="38"/>
      <c r="L95" s="38">
        <f t="shared" si="12"/>
        <v>364781</v>
      </c>
      <c r="M95" s="10">
        <f t="shared" si="10"/>
        <v>364.8</v>
      </c>
      <c r="N95" s="103"/>
      <c r="S95" s="39"/>
      <c r="W95" s="61"/>
    </row>
    <row r="96" spans="1:23" ht="34.5" customHeight="1">
      <c r="A96" s="8"/>
      <c r="B96" s="8"/>
      <c r="C96" s="67" t="s">
        <v>260</v>
      </c>
      <c r="D96" s="67" t="s">
        <v>96</v>
      </c>
      <c r="E96" s="40">
        <v>680490</v>
      </c>
      <c r="F96" s="28">
        <f t="shared" si="8"/>
        <v>680.5</v>
      </c>
      <c r="G96" s="69">
        <v>55.9</v>
      </c>
      <c r="H96" s="40">
        <v>380490</v>
      </c>
      <c r="I96" s="28">
        <f t="shared" si="9"/>
        <v>380.5</v>
      </c>
      <c r="J96" s="38">
        <f>380000-89000-230000+10000</f>
        <v>71000</v>
      </c>
      <c r="K96" s="38"/>
      <c r="L96" s="38">
        <f t="shared" si="12"/>
        <v>71000</v>
      </c>
      <c r="M96" s="10">
        <f t="shared" si="10"/>
        <v>71</v>
      </c>
      <c r="N96" s="103"/>
      <c r="S96" s="39"/>
      <c r="W96" s="61"/>
    </row>
    <row r="97" spans="1:23" ht="30.75" customHeight="1">
      <c r="A97" s="31"/>
      <c r="B97" s="31"/>
      <c r="C97" s="67" t="s">
        <v>39</v>
      </c>
      <c r="D97" s="67" t="s">
        <v>39</v>
      </c>
      <c r="E97" s="32">
        <v>12997832</v>
      </c>
      <c r="F97" s="28">
        <f t="shared" si="8"/>
        <v>12997.8</v>
      </c>
      <c r="G97" s="28">
        <v>47.7</v>
      </c>
      <c r="H97" s="40">
        <v>6200933</v>
      </c>
      <c r="I97" s="28">
        <f t="shared" si="9"/>
        <v>6200.9</v>
      </c>
      <c r="J97" s="38">
        <f>3000000+2000000-320000-500000</f>
        <v>4180000</v>
      </c>
      <c r="K97" s="38"/>
      <c r="L97" s="38">
        <f t="shared" si="12"/>
        <v>4180000</v>
      </c>
      <c r="M97" s="10">
        <f t="shared" si="10"/>
        <v>4180</v>
      </c>
      <c r="N97" s="103"/>
      <c r="S97" s="39"/>
      <c r="W97" s="61"/>
    </row>
    <row r="98" spans="1:23" ht="36" customHeight="1">
      <c r="A98" s="31"/>
      <c r="B98" s="31"/>
      <c r="C98" s="67" t="s">
        <v>215</v>
      </c>
      <c r="D98" s="67" t="s">
        <v>215</v>
      </c>
      <c r="E98" s="32"/>
      <c r="F98" s="28">
        <f t="shared" si="8"/>
        <v>0</v>
      </c>
      <c r="G98" s="28"/>
      <c r="H98" s="40"/>
      <c r="I98" s="28">
        <f t="shared" si="9"/>
        <v>0</v>
      </c>
      <c r="J98" s="38">
        <v>1000</v>
      </c>
      <c r="K98" s="38"/>
      <c r="L98" s="38">
        <f t="shared" si="12"/>
        <v>1000</v>
      </c>
      <c r="M98" s="10">
        <f t="shared" si="10"/>
        <v>1</v>
      </c>
      <c r="N98" s="103"/>
      <c r="S98" s="39"/>
      <c r="W98" s="61"/>
    </row>
    <row r="99" spans="1:23" ht="33" customHeight="1">
      <c r="A99" s="68"/>
      <c r="B99" s="68"/>
      <c r="C99" s="67" t="s">
        <v>115</v>
      </c>
      <c r="D99" s="67" t="s">
        <v>115</v>
      </c>
      <c r="E99" s="32"/>
      <c r="F99" s="28">
        <f t="shared" si="8"/>
        <v>0</v>
      </c>
      <c r="G99" s="60"/>
      <c r="H99" s="32"/>
      <c r="I99" s="28">
        <f t="shared" si="9"/>
        <v>0</v>
      </c>
      <c r="J99" s="38">
        <f>2000000-1750000</f>
        <v>250000</v>
      </c>
      <c r="K99" s="38"/>
      <c r="L99" s="38">
        <f t="shared" si="12"/>
        <v>250000</v>
      </c>
      <c r="M99" s="10">
        <f t="shared" si="10"/>
        <v>250</v>
      </c>
      <c r="N99" s="103"/>
      <c r="S99" s="39"/>
      <c r="W99" s="61"/>
    </row>
    <row r="100" spans="1:23" ht="31.5" customHeight="1">
      <c r="A100" s="68"/>
      <c r="B100" s="68"/>
      <c r="C100" s="67" t="s">
        <v>143</v>
      </c>
      <c r="D100" s="67" t="s">
        <v>143</v>
      </c>
      <c r="E100" s="32"/>
      <c r="F100" s="28">
        <f t="shared" si="8"/>
        <v>0</v>
      </c>
      <c r="G100" s="60"/>
      <c r="H100" s="32"/>
      <c r="I100" s="28">
        <f t="shared" si="9"/>
        <v>0</v>
      </c>
      <c r="J100" s="38">
        <v>800000</v>
      </c>
      <c r="K100" s="38"/>
      <c r="L100" s="38">
        <f t="shared" si="12"/>
        <v>800000</v>
      </c>
      <c r="M100" s="10">
        <f t="shared" si="10"/>
        <v>800</v>
      </c>
      <c r="N100" s="103"/>
      <c r="S100" s="39"/>
      <c r="W100" s="61"/>
    </row>
    <row r="101" spans="1:23" ht="33" customHeight="1">
      <c r="A101" s="68"/>
      <c r="B101" s="68"/>
      <c r="C101" s="67" t="s">
        <v>186</v>
      </c>
      <c r="D101" s="67" t="s">
        <v>186</v>
      </c>
      <c r="E101" s="32"/>
      <c r="F101" s="28">
        <f t="shared" si="8"/>
        <v>0</v>
      </c>
      <c r="G101" s="60"/>
      <c r="H101" s="32"/>
      <c r="I101" s="28">
        <f t="shared" si="9"/>
        <v>0</v>
      </c>
      <c r="J101" s="38">
        <v>100000</v>
      </c>
      <c r="K101" s="38"/>
      <c r="L101" s="38">
        <f t="shared" si="12"/>
        <v>100000</v>
      </c>
      <c r="M101" s="10">
        <f t="shared" si="10"/>
        <v>100</v>
      </c>
      <c r="N101" s="103"/>
      <c r="S101" s="39"/>
      <c r="W101" s="61"/>
    </row>
    <row r="102" spans="1:23" ht="33" customHeight="1">
      <c r="A102" s="68"/>
      <c r="B102" s="68"/>
      <c r="C102" s="67" t="s">
        <v>116</v>
      </c>
      <c r="D102" s="67" t="s">
        <v>116</v>
      </c>
      <c r="E102" s="32"/>
      <c r="F102" s="28">
        <f t="shared" si="8"/>
        <v>0</v>
      </c>
      <c r="G102" s="60"/>
      <c r="H102" s="32"/>
      <c r="I102" s="28">
        <f t="shared" si="9"/>
        <v>0</v>
      </c>
      <c r="J102" s="38">
        <f>1000000+500000+410000</f>
        <v>1910000</v>
      </c>
      <c r="K102" s="38"/>
      <c r="L102" s="38">
        <f t="shared" si="12"/>
        <v>1910000</v>
      </c>
      <c r="M102" s="10">
        <f t="shared" si="10"/>
        <v>1910</v>
      </c>
      <c r="N102" s="103"/>
      <c r="S102" s="39"/>
      <c r="W102" s="61"/>
    </row>
    <row r="103" spans="1:23" ht="34.5" customHeight="1">
      <c r="A103" s="68"/>
      <c r="B103" s="68"/>
      <c r="C103" s="67" t="s">
        <v>262</v>
      </c>
      <c r="D103" s="67" t="s">
        <v>222</v>
      </c>
      <c r="E103" s="32"/>
      <c r="F103" s="28">
        <f t="shared" si="8"/>
        <v>0</v>
      </c>
      <c r="G103" s="60"/>
      <c r="H103" s="32"/>
      <c r="I103" s="28">
        <f t="shared" si="9"/>
        <v>0</v>
      </c>
      <c r="J103" s="38">
        <v>20000</v>
      </c>
      <c r="K103" s="38"/>
      <c r="L103" s="38">
        <f t="shared" si="12"/>
        <v>20000</v>
      </c>
      <c r="M103" s="10">
        <f t="shared" si="10"/>
        <v>20</v>
      </c>
      <c r="N103" s="103"/>
      <c r="S103" s="39"/>
      <c r="W103" s="61"/>
    </row>
    <row r="104" spans="1:23" ht="36" customHeight="1">
      <c r="A104" s="68"/>
      <c r="B104" s="68"/>
      <c r="C104" s="67" t="s">
        <v>26</v>
      </c>
      <c r="D104" s="67" t="s">
        <v>26</v>
      </c>
      <c r="E104" s="32">
        <v>27952784</v>
      </c>
      <c r="F104" s="28">
        <f t="shared" si="8"/>
        <v>27952.8</v>
      </c>
      <c r="G104" s="60">
        <v>36.5</v>
      </c>
      <c r="H104" s="32">
        <v>10189981</v>
      </c>
      <c r="I104" s="70">
        <f t="shared" si="9"/>
        <v>10190</v>
      </c>
      <c r="J104" s="38">
        <v>5000000</v>
      </c>
      <c r="K104" s="38"/>
      <c r="L104" s="38">
        <f t="shared" si="12"/>
        <v>5000000</v>
      </c>
      <c r="M104" s="10">
        <f>ROUND(L104/1000,1)-1000</f>
        <v>4000</v>
      </c>
      <c r="N104" s="103"/>
      <c r="S104" s="39"/>
      <c r="W104" s="61"/>
    </row>
    <row r="105" spans="1:23" ht="37.5" customHeight="1">
      <c r="A105" s="68"/>
      <c r="B105" s="68"/>
      <c r="C105" s="67" t="s">
        <v>117</v>
      </c>
      <c r="D105" s="67" t="s">
        <v>117</v>
      </c>
      <c r="E105" s="32">
        <v>3568991</v>
      </c>
      <c r="F105" s="70">
        <f t="shared" si="8"/>
        <v>3569</v>
      </c>
      <c r="G105" s="60">
        <v>97.8</v>
      </c>
      <c r="H105" s="32">
        <v>3490970</v>
      </c>
      <c r="I105" s="70">
        <f t="shared" si="9"/>
        <v>3491</v>
      </c>
      <c r="J105" s="38">
        <f>5400000-500000+700000</f>
        <v>5600000</v>
      </c>
      <c r="K105" s="38"/>
      <c r="L105" s="38">
        <f t="shared" si="12"/>
        <v>5600000</v>
      </c>
      <c r="M105" s="10">
        <f t="shared" si="10"/>
        <v>5600</v>
      </c>
      <c r="N105" s="103"/>
      <c r="S105" s="39"/>
      <c r="W105" s="61"/>
    </row>
    <row r="106" spans="1:23" ht="37.5" customHeight="1">
      <c r="A106" s="68"/>
      <c r="B106" s="68"/>
      <c r="C106" s="67" t="s">
        <v>261</v>
      </c>
      <c r="D106" s="67" t="s">
        <v>72</v>
      </c>
      <c r="E106" s="32"/>
      <c r="F106" s="28">
        <f t="shared" si="8"/>
        <v>0</v>
      </c>
      <c r="G106" s="60"/>
      <c r="H106" s="32"/>
      <c r="I106" s="28">
        <f t="shared" si="9"/>
        <v>0</v>
      </c>
      <c r="J106" s="38">
        <f>9000000+8000000</f>
        <v>17000000</v>
      </c>
      <c r="K106" s="38"/>
      <c r="L106" s="38">
        <f t="shared" si="12"/>
        <v>17000000</v>
      </c>
      <c r="M106" s="10">
        <f t="shared" si="10"/>
        <v>17000</v>
      </c>
      <c r="N106" s="103"/>
      <c r="S106" s="39"/>
      <c r="W106" s="61"/>
    </row>
    <row r="107" spans="1:23" ht="31.5" customHeight="1">
      <c r="A107" s="68"/>
      <c r="B107" s="68"/>
      <c r="C107" s="67" t="s">
        <v>140</v>
      </c>
      <c r="D107" s="67" t="s">
        <v>140</v>
      </c>
      <c r="E107" s="32"/>
      <c r="F107" s="28">
        <f t="shared" si="8"/>
        <v>0</v>
      </c>
      <c r="G107" s="60"/>
      <c r="H107" s="32"/>
      <c r="I107" s="28">
        <f t="shared" si="9"/>
        <v>0</v>
      </c>
      <c r="J107" s="38">
        <f>500000-450000</f>
        <v>50000</v>
      </c>
      <c r="K107" s="38"/>
      <c r="L107" s="38">
        <f t="shared" si="12"/>
        <v>50000</v>
      </c>
      <c r="M107" s="10">
        <f t="shared" si="10"/>
        <v>50</v>
      </c>
      <c r="N107" s="103"/>
      <c r="S107" s="39"/>
      <c r="W107" s="61"/>
    </row>
    <row r="108" spans="1:23" ht="31.5" customHeight="1">
      <c r="A108" s="68"/>
      <c r="B108" s="68"/>
      <c r="C108" s="67" t="s">
        <v>141</v>
      </c>
      <c r="D108" s="67" t="s">
        <v>141</v>
      </c>
      <c r="E108" s="32"/>
      <c r="F108" s="28">
        <f t="shared" si="8"/>
        <v>0</v>
      </c>
      <c r="G108" s="60"/>
      <c r="H108" s="32"/>
      <c r="I108" s="28">
        <f t="shared" si="9"/>
        <v>0</v>
      </c>
      <c r="J108" s="38">
        <v>1000000</v>
      </c>
      <c r="K108" s="38"/>
      <c r="L108" s="38">
        <f t="shared" si="12"/>
        <v>1000000</v>
      </c>
      <c r="M108" s="10">
        <f t="shared" si="10"/>
        <v>1000</v>
      </c>
      <c r="N108" s="103"/>
      <c r="S108" s="39"/>
      <c r="W108" s="61"/>
    </row>
    <row r="109" spans="1:23" ht="35.25" customHeight="1">
      <c r="A109" s="68"/>
      <c r="B109" s="68"/>
      <c r="C109" s="67" t="s">
        <v>166</v>
      </c>
      <c r="D109" s="67" t="s">
        <v>166</v>
      </c>
      <c r="E109" s="32"/>
      <c r="F109" s="28">
        <f t="shared" si="8"/>
        <v>0</v>
      </c>
      <c r="G109" s="60"/>
      <c r="H109" s="32"/>
      <c r="I109" s="28">
        <f t="shared" si="9"/>
        <v>0</v>
      </c>
      <c r="J109" s="38">
        <v>50000</v>
      </c>
      <c r="K109" s="38"/>
      <c r="L109" s="38">
        <f t="shared" si="12"/>
        <v>50000</v>
      </c>
      <c r="M109" s="10">
        <f t="shared" si="10"/>
        <v>50</v>
      </c>
      <c r="N109" s="103"/>
      <c r="S109" s="39"/>
      <c r="W109" s="61"/>
    </row>
    <row r="110" spans="1:23" ht="51" customHeight="1">
      <c r="A110" s="68"/>
      <c r="B110" s="68"/>
      <c r="C110" s="67" t="s">
        <v>203</v>
      </c>
      <c r="D110" s="67" t="s">
        <v>203</v>
      </c>
      <c r="E110" s="32"/>
      <c r="F110" s="28">
        <f t="shared" si="8"/>
        <v>0</v>
      </c>
      <c r="G110" s="60"/>
      <c r="H110" s="32"/>
      <c r="I110" s="28">
        <f t="shared" si="9"/>
        <v>0</v>
      </c>
      <c r="J110" s="38">
        <f>490000-61000</f>
        <v>429000</v>
      </c>
      <c r="K110" s="38"/>
      <c r="L110" s="38">
        <f t="shared" si="12"/>
        <v>429000</v>
      </c>
      <c r="M110" s="10">
        <f t="shared" si="10"/>
        <v>429</v>
      </c>
      <c r="N110" s="103"/>
      <c r="S110" s="39"/>
      <c r="W110" s="61"/>
    </row>
    <row r="111" spans="1:23" ht="27" customHeight="1">
      <c r="A111" s="68"/>
      <c r="B111" s="68"/>
      <c r="C111" s="67" t="s">
        <v>158</v>
      </c>
      <c r="D111" s="67" t="s">
        <v>158</v>
      </c>
      <c r="E111" s="32"/>
      <c r="F111" s="28">
        <f t="shared" si="8"/>
        <v>0</v>
      </c>
      <c r="G111" s="60"/>
      <c r="H111" s="32"/>
      <c r="I111" s="28">
        <f t="shared" si="9"/>
        <v>0</v>
      </c>
      <c r="J111" s="38">
        <f>300000-15000</f>
        <v>285000</v>
      </c>
      <c r="K111" s="38"/>
      <c r="L111" s="38">
        <f t="shared" si="12"/>
        <v>285000</v>
      </c>
      <c r="M111" s="10">
        <f t="shared" si="10"/>
        <v>285</v>
      </c>
      <c r="N111" s="103"/>
      <c r="S111" s="39"/>
      <c r="W111" s="61"/>
    </row>
    <row r="112" spans="1:23" ht="34.5" customHeight="1">
      <c r="A112" s="68"/>
      <c r="B112" s="68"/>
      <c r="C112" s="67" t="s">
        <v>167</v>
      </c>
      <c r="D112" s="67" t="s">
        <v>167</v>
      </c>
      <c r="E112" s="32"/>
      <c r="F112" s="28">
        <f t="shared" si="8"/>
        <v>0</v>
      </c>
      <c r="G112" s="60"/>
      <c r="H112" s="32"/>
      <c r="I112" s="28">
        <f t="shared" si="9"/>
        <v>0</v>
      </c>
      <c r="J112" s="38">
        <v>80000</v>
      </c>
      <c r="K112" s="38"/>
      <c r="L112" s="38">
        <f t="shared" si="12"/>
        <v>80000</v>
      </c>
      <c r="M112" s="10">
        <f t="shared" si="10"/>
        <v>80</v>
      </c>
      <c r="N112" s="103"/>
      <c r="S112" s="39"/>
      <c r="W112" s="61"/>
    </row>
    <row r="113" spans="1:23" ht="39" customHeight="1">
      <c r="A113" s="68"/>
      <c r="B113" s="68"/>
      <c r="C113" s="67" t="s">
        <v>168</v>
      </c>
      <c r="D113" s="67" t="s">
        <v>168</v>
      </c>
      <c r="E113" s="32"/>
      <c r="F113" s="28">
        <f t="shared" si="8"/>
        <v>0</v>
      </c>
      <c r="G113" s="60"/>
      <c r="H113" s="32"/>
      <c r="I113" s="28">
        <f t="shared" si="9"/>
        <v>0</v>
      </c>
      <c r="J113" s="38">
        <v>100000</v>
      </c>
      <c r="K113" s="38"/>
      <c r="L113" s="38">
        <f t="shared" si="12"/>
        <v>100000</v>
      </c>
      <c r="M113" s="10">
        <f t="shared" si="10"/>
        <v>100</v>
      </c>
      <c r="N113" s="103"/>
      <c r="S113" s="39"/>
      <c r="W113" s="61"/>
    </row>
    <row r="114" spans="1:23" ht="27.75" customHeight="1">
      <c r="A114" s="68"/>
      <c r="B114" s="68"/>
      <c r="C114" s="67" t="s">
        <v>176</v>
      </c>
      <c r="D114" s="67" t="s">
        <v>176</v>
      </c>
      <c r="E114" s="32"/>
      <c r="F114" s="28">
        <f t="shared" si="8"/>
        <v>0</v>
      </c>
      <c r="G114" s="60"/>
      <c r="H114" s="32"/>
      <c r="I114" s="28">
        <f t="shared" si="9"/>
        <v>0</v>
      </c>
      <c r="J114" s="38">
        <v>57000</v>
      </c>
      <c r="K114" s="38"/>
      <c r="L114" s="38">
        <f t="shared" si="12"/>
        <v>57000</v>
      </c>
      <c r="M114" s="10">
        <f t="shared" si="10"/>
        <v>57</v>
      </c>
      <c r="N114" s="103"/>
      <c r="S114" s="39"/>
      <c r="W114" s="61"/>
    </row>
    <row r="115" spans="1:23" ht="28.5" customHeight="1">
      <c r="A115" s="68"/>
      <c r="B115" s="68"/>
      <c r="C115" s="71" t="s">
        <v>220</v>
      </c>
      <c r="D115" s="71" t="s">
        <v>220</v>
      </c>
      <c r="E115" s="32"/>
      <c r="F115" s="28">
        <f t="shared" si="8"/>
        <v>0</v>
      </c>
      <c r="G115" s="60"/>
      <c r="H115" s="32"/>
      <c r="I115" s="28">
        <f t="shared" si="9"/>
        <v>0</v>
      </c>
      <c r="J115" s="38">
        <v>50000</v>
      </c>
      <c r="K115" s="38"/>
      <c r="L115" s="38">
        <f t="shared" si="12"/>
        <v>50000</v>
      </c>
      <c r="M115" s="10">
        <f>ROUND(L115/1000,1)</f>
        <v>50</v>
      </c>
      <c r="N115" s="103"/>
      <c r="S115" s="39"/>
      <c r="W115" s="61"/>
    </row>
    <row r="116" spans="1:23" ht="46.5" customHeight="1">
      <c r="A116" s="68"/>
      <c r="B116" s="68"/>
      <c r="C116" s="71" t="s">
        <v>263</v>
      </c>
      <c r="D116" s="71" t="s">
        <v>221</v>
      </c>
      <c r="E116" s="32"/>
      <c r="F116" s="28">
        <f t="shared" si="8"/>
        <v>0</v>
      </c>
      <c r="G116" s="60"/>
      <c r="H116" s="32"/>
      <c r="I116" s="28">
        <f t="shared" si="9"/>
        <v>0</v>
      </c>
      <c r="J116" s="38">
        <v>50000</v>
      </c>
      <c r="K116" s="38"/>
      <c r="L116" s="38">
        <f t="shared" si="12"/>
        <v>50000</v>
      </c>
      <c r="M116" s="10">
        <f t="shared" si="10"/>
        <v>50</v>
      </c>
      <c r="N116" s="103"/>
      <c r="S116" s="39"/>
      <c r="W116" s="61"/>
    </row>
    <row r="117" spans="1:23" ht="64.5" customHeight="1">
      <c r="A117" s="68"/>
      <c r="B117" s="68"/>
      <c r="C117" s="67" t="s">
        <v>240</v>
      </c>
      <c r="D117" s="67" t="s">
        <v>240</v>
      </c>
      <c r="E117" s="32"/>
      <c r="F117" s="28">
        <f t="shared" si="8"/>
        <v>0</v>
      </c>
      <c r="G117" s="60"/>
      <c r="H117" s="32"/>
      <c r="I117" s="28">
        <f t="shared" si="9"/>
        <v>0</v>
      </c>
      <c r="J117" s="38">
        <v>1437601</v>
      </c>
      <c r="K117" s="38"/>
      <c r="L117" s="38">
        <f t="shared" si="12"/>
        <v>1437601</v>
      </c>
      <c r="M117" s="10">
        <f>ROUND(L117/1000,1)-1396.7</f>
        <v>40.899999999999864</v>
      </c>
      <c r="N117" s="103"/>
      <c r="S117" s="39"/>
      <c r="W117" s="61"/>
    </row>
    <row r="118" spans="1:23" ht="46.5" customHeight="1">
      <c r="A118" s="68"/>
      <c r="B118" s="68"/>
      <c r="C118" s="67" t="s">
        <v>239</v>
      </c>
      <c r="D118" s="67" t="s">
        <v>239</v>
      </c>
      <c r="E118" s="32"/>
      <c r="F118" s="28">
        <f t="shared" si="8"/>
        <v>0</v>
      </c>
      <c r="G118" s="60"/>
      <c r="H118" s="32"/>
      <c r="I118" s="28">
        <f t="shared" si="9"/>
        <v>0</v>
      </c>
      <c r="J118" s="38">
        <v>822043</v>
      </c>
      <c r="K118" s="38"/>
      <c r="L118" s="38">
        <f t="shared" si="12"/>
        <v>822043</v>
      </c>
      <c r="M118" s="10">
        <f>ROUND(L118/1000,1)-798.1</f>
        <v>23.899999999999977</v>
      </c>
      <c r="N118" s="103"/>
      <c r="S118" s="39"/>
      <c r="W118" s="61"/>
    </row>
    <row r="119" spans="1:23" ht="33" customHeight="1">
      <c r="A119" s="68"/>
      <c r="B119" s="68"/>
      <c r="C119" s="67" t="s">
        <v>103</v>
      </c>
      <c r="D119" s="67" t="s">
        <v>103</v>
      </c>
      <c r="E119" s="32"/>
      <c r="F119" s="28">
        <f t="shared" si="8"/>
        <v>0</v>
      </c>
      <c r="G119" s="60"/>
      <c r="H119" s="32"/>
      <c r="I119" s="28">
        <f t="shared" si="9"/>
        <v>0</v>
      </c>
      <c r="J119" s="38">
        <f>1000000+40000+120000+300000</f>
        <v>1460000</v>
      </c>
      <c r="K119" s="38"/>
      <c r="L119" s="38">
        <f t="shared" si="12"/>
        <v>1460000</v>
      </c>
      <c r="M119" s="10">
        <f t="shared" si="10"/>
        <v>1460</v>
      </c>
      <c r="N119" s="103"/>
      <c r="S119" s="39"/>
      <c r="W119" s="61"/>
    </row>
    <row r="120" spans="1:23" ht="33" customHeight="1">
      <c r="A120" s="68"/>
      <c r="B120" s="68"/>
      <c r="C120" s="67" t="s">
        <v>214</v>
      </c>
      <c r="D120" s="67" t="s">
        <v>214</v>
      </c>
      <c r="E120" s="32"/>
      <c r="F120" s="28">
        <f t="shared" si="8"/>
        <v>0</v>
      </c>
      <c r="G120" s="60"/>
      <c r="H120" s="32"/>
      <c r="I120" s="28">
        <f t="shared" si="9"/>
        <v>0</v>
      </c>
      <c r="J120" s="38">
        <v>80000</v>
      </c>
      <c r="K120" s="38"/>
      <c r="L120" s="38">
        <f t="shared" si="12"/>
        <v>80000</v>
      </c>
      <c r="M120" s="10">
        <f t="shared" si="10"/>
        <v>80</v>
      </c>
      <c r="N120" s="103"/>
      <c r="S120" s="39"/>
      <c r="W120" s="61"/>
    </row>
    <row r="121" spans="1:23" ht="42" customHeight="1">
      <c r="A121" s="68"/>
      <c r="B121" s="68"/>
      <c r="C121" s="67" t="s">
        <v>212</v>
      </c>
      <c r="D121" s="67" t="s">
        <v>212</v>
      </c>
      <c r="E121" s="32"/>
      <c r="F121" s="28">
        <f t="shared" si="8"/>
        <v>0</v>
      </c>
      <c r="G121" s="60"/>
      <c r="H121" s="32"/>
      <c r="I121" s="28">
        <f t="shared" si="9"/>
        <v>0</v>
      </c>
      <c r="J121" s="38">
        <v>35000</v>
      </c>
      <c r="K121" s="38"/>
      <c r="L121" s="38">
        <f t="shared" si="12"/>
        <v>35000</v>
      </c>
      <c r="M121" s="10">
        <f t="shared" si="10"/>
        <v>35</v>
      </c>
      <c r="N121" s="103"/>
      <c r="S121" s="39"/>
      <c r="W121" s="61"/>
    </row>
    <row r="122" spans="1:23" ht="42" customHeight="1">
      <c r="A122" s="68"/>
      <c r="B122" s="68"/>
      <c r="C122" s="67" t="s">
        <v>156</v>
      </c>
      <c r="D122" s="67" t="s">
        <v>156</v>
      </c>
      <c r="E122" s="32"/>
      <c r="F122" s="28">
        <f t="shared" si="8"/>
        <v>0</v>
      </c>
      <c r="G122" s="60"/>
      <c r="H122" s="32"/>
      <c r="I122" s="28">
        <f t="shared" si="9"/>
        <v>0</v>
      </c>
      <c r="J122" s="38">
        <v>150000</v>
      </c>
      <c r="K122" s="38"/>
      <c r="L122" s="38">
        <f t="shared" si="12"/>
        <v>150000</v>
      </c>
      <c r="M122" s="10">
        <f t="shared" si="10"/>
        <v>150</v>
      </c>
      <c r="N122" s="103"/>
      <c r="S122" s="39"/>
      <c r="W122" s="61"/>
    </row>
    <row r="123" spans="1:23" ht="42" customHeight="1">
      <c r="A123" s="68"/>
      <c r="B123" s="68"/>
      <c r="C123" s="67" t="s">
        <v>155</v>
      </c>
      <c r="D123" s="67" t="s">
        <v>155</v>
      </c>
      <c r="E123" s="32"/>
      <c r="F123" s="28">
        <f t="shared" si="8"/>
        <v>0</v>
      </c>
      <c r="G123" s="60"/>
      <c r="H123" s="32"/>
      <c r="I123" s="28">
        <f t="shared" si="9"/>
        <v>0</v>
      </c>
      <c r="J123" s="38">
        <f>50000+15000</f>
        <v>65000</v>
      </c>
      <c r="K123" s="38"/>
      <c r="L123" s="38">
        <f t="shared" si="12"/>
        <v>65000</v>
      </c>
      <c r="M123" s="10">
        <f t="shared" si="10"/>
        <v>65</v>
      </c>
      <c r="N123" s="103"/>
      <c r="S123" s="39"/>
      <c r="W123" s="61"/>
    </row>
    <row r="124" spans="1:23" ht="42" customHeight="1">
      <c r="A124" s="68"/>
      <c r="B124" s="68"/>
      <c r="C124" s="67" t="s">
        <v>154</v>
      </c>
      <c r="D124" s="67" t="s">
        <v>154</v>
      </c>
      <c r="E124" s="32"/>
      <c r="F124" s="28">
        <f t="shared" si="8"/>
        <v>0</v>
      </c>
      <c r="G124" s="60"/>
      <c r="H124" s="32"/>
      <c r="I124" s="28">
        <f t="shared" si="9"/>
        <v>0</v>
      </c>
      <c r="J124" s="38">
        <v>57000</v>
      </c>
      <c r="K124" s="38"/>
      <c r="L124" s="38">
        <f t="shared" si="12"/>
        <v>57000</v>
      </c>
      <c r="M124" s="10">
        <f t="shared" si="10"/>
        <v>57</v>
      </c>
      <c r="N124" s="103"/>
      <c r="S124" s="39"/>
      <c r="W124" s="61"/>
    </row>
    <row r="125" spans="1:23" ht="42" customHeight="1">
      <c r="A125" s="68"/>
      <c r="B125" s="68"/>
      <c r="C125" s="67" t="s">
        <v>148</v>
      </c>
      <c r="D125" s="67" t="s">
        <v>148</v>
      </c>
      <c r="E125" s="32"/>
      <c r="F125" s="28">
        <f t="shared" si="8"/>
        <v>0</v>
      </c>
      <c r="G125" s="60"/>
      <c r="H125" s="32"/>
      <c r="I125" s="28">
        <f t="shared" si="9"/>
        <v>0</v>
      </c>
      <c r="J125" s="38">
        <v>57000</v>
      </c>
      <c r="K125" s="38"/>
      <c r="L125" s="38">
        <f t="shared" si="12"/>
        <v>57000</v>
      </c>
      <c r="M125" s="10">
        <f t="shared" si="10"/>
        <v>57</v>
      </c>
      <c r="N125" s="103"/>
      <c r="S125" s="39"/>
      <c r="W125" s="61"/>
    </row>
    <row r="126" spans="1:23" ht="42" customHeight="1">
      <c r="A126" s="68"/>
      <c r="B126" s="68"/>
      <c r="C126" s="67" t="s">
        <v>147</v>
      </c>
      <c r="D126" s="67" t="s">
        <v>147</v>
      </c>
      <c r="E126" s="32"/>
      <c r="F126" s="28">
        <f t="shared" si="8"/>
        <v>0</v>
      </c>
      <c r="G126" s="60"/>
      <c r="H126" s="32"/>
      <c r="I126" s="28">
        <f t="shared" si="9"/>
        <v>0</v>
      </c>
      <c r="J126" s="38">
        <v>57000</v>
      </c>
      <c r="K126" s="38"/>
      <c r="L126" s="38">
        <f t="shared" si="12"/>
        <v>57000</v>
      </c>
      <c r="M126" s="10">
        <f t="shared" si="10"/>
        <v>57</v>
      </c>
      <c r="N126" s="103"/>
      <c r="S126" s="39"/>
      <c r="W126" s="61"/>
    </row>
    <row r="127" spans="1:23" ht="37.5" customHeight="1">
      <c r="A127" s="68"/>
      <c r="B127" s="68"/>
      <c r="C127" s="67" t="s">
        <v>188</v>
      </c>
      <c r="D127" s="67" t="s">
        <v>188</v>
      </c>
      <c r="E127" s="32"/>
      <c r="F127" s="28">
        <f t="shared" si="8"/>
        <v>0</v>
      </c>
      <c r="G127" s="60"/>
      <c r="H127" s="32"/>
      <c r="I127" s="28">
        <f t="shared" si="9"/>
        <v>0</v>
      </c>
      <c r="J127" s="38">
        <v>45000</v>
      </c>
      <c r="K127" s="38"/>
      <c r="L127" s="38">
        <f t="shared" si="12"/>
        <v>45000</v>
      </c>
      <c r="M127" s="10">
        <f t="shared" si="10"/>
        <v>45</v>
      </c>
      <c r="N127" s="103"/>
      <c r="S127" s="39"/>
      <c r="W127" s="61"/>
    </row>
    <row r="128" spans="1:23" ht="37.5" customHeight="1">
      <c r="A128" s="68"/>
      <c r="B128" s="68"/>
      <c r="C128" s="67" t="s">
        <v>190</v>
      </c>
      <c r="D128" s="67" t="s">
        <v>190</v>
      </c>
      <c r="E128" s="32"/>
      <c r="F128" s="28">
        <f t="shared" si="8"/>
        <v>0</v>
      </c>
      <c r="G128" s="60"/>
      <c r="H128" s="32"/>
      <c r="I128" s="28">
        <f t="shared" si="9"/>
        <v>0</v>
      </c>
      <c r="J128" s="38">
        <v>47628</v>
      </c>
      <c r="K128" s="38"/>
      <c r="L128" s="38">
        <f t="shared" si="12"/>
        <v>47628</v>
      </c>
      <c r="M128" s="10">
        <f t="shared" si="10"/>
        <v>47.6</v>
      </c>
      <c r="N128" s="103"/>
      <c r="S128" s="39"/>
      <c r="W128" s="61"/>
    </row>
    <row r="129" spans="1:23" ht="37.5" customHeight="1">
      <c r="A129" s="68"/>
      <c r="B129" s="68"/>
      <c r="C129" s="67" t="s">
        <v>191</v>
      </c>
      <c r="D129" s="67" t="s">
        <v>191</v>
      </c>
      <c r="E129" s="32"/>
      <c r="F129" s="28">
        <f t="shared" si="8"/>
        <v>0</v>
      </c>
      <c r="G129" s="60"/>
      <c r="H129" s="32"/>
      <c r="I129" s="28">
        <f t="shared" si="9"/>
        <v>0</v>
      </c>
      <c r="J129" s="38">
        <v>44565</v>
      </c>
      <c r="K129" s="38"/>
      <c r="L129" s="38">
        <f t="shared" si="12"/>
        <v>44565</v>
      </c>
      <c r="M129" s="10">
        <f t="shared" si="10"/>
        <v>44.6</v>
      </c>
      <c r="N129" s="103"/>
      <c r="S129" s="39"/>
      <c r="W129" s="61"/>
    </row>
    <row r="130" spans="1:23" ht="37.5" customHeight="1">
      <c r="A130" s="68"/>
      <c r="B130" s="68"/>
      <c r="C130" s="67" t="s">
        <v>192</v>
      </c>
      <c r="D130" s="67" t="s">
        <v>192</v>
      </c>
      <c r="E130" s="32"/>
      <c r="F130" s="28">
        <f t="shared" si="8"/>
        <v>0</v>
      </c>
      <c r="G130" s="60"/>
      <c r="H130" s="32"/>
      <c r="I130" s="28">
        <f t="shared" si="9"/>
        <v>0</v>
      </c>
      <c r="J130" s="38">
        <v>29703</v>
      </c>
      <c r="K130" s="38"/>
      <c r="L130" s="38">
        <f t="shared" si="12"/>
        <v>29703</v>
      </c>
      <c r="M130" s="10">
        <f t="shared" si="10"/>
        <v>29.7</v>
      </c>
      <c r="N130" s="103"/>
      <c r="S130" s="39"/>
      <c r="W130" s="61"/>
    </row>
    <row r="131" spans="1:23" ht="37.5" customHeight="1">
      <c r="A131" s="68"/>
      <c r="B131" s="68"/>
      <c r="C131" s="67" t="s">
        <v>193</v>
      </c>
      <c r="D131" s="67" t="s">
        <v>193</v>
      </c>
      <c r="E131" s="32"/>
      <c r="F131" s="28">
        <f t="shared" si="8"/>
        <v>0</v>
      </c>
      <c r="G131" s="60"/>
      <c r="H131" s="32"/>
      <c r="I131" s="28">
        <f t="shared" si="9"/>
        <v>0</v>
      </c>
      <c r="J131" s="38">
        <v>41338</v>
      </c>
      <c r="K131" s="38"/>
      <c r="L131" s="38">
        <f t="shared" si="12"/>
        <v>41338</v>
      </c>
      <c r="M131" s="10">
        <f t="shared" si="10"/>
        <v>41.3</v>
      </c>
      <c r="N131" s="103"/>
      <c r="S131" s="39"/>
      <c r="W131" s="61"/>
    </row>
    <row r="132" spans="1:23" ht="55.5" customHeight="1">
      <c r="A132" s="68"/>
      <c r="B132" s="68"/>
      <c r="C132" s="67" t="s">
        <v>189</v>
      </c>
      <c r="D132" s="67" t="s">
        <v>189</v>
      </c>
      <c r="E132" s="32"/>
      <c r="F132" s="28">
        <f t="shared" si="8"/>
        <v>0</v>
      </c>
      <c r="G132" s="60"/>
      <c r="H132" s="32"/>
      <c r="I132" s="28">
        <f t="shared" si="9"/>
        <v>0</v>
      </c>
      <c r="J132" s="38">
        <v>70000</v>
      </c>
      <c r="K132" s="38"/>
      <c r="L132" s="38">
        <f t="shared" si="12"/>
        <v>70000</v>
      </c>
      <c r="M132" s="10">
        <f t="shared" si="10"/>
        <v>70</v>
      </c>
      <c r="N132" s="103"/>
      <c r="S132" s="39"/>
      <c r="W132" s="61"/>
    </row>
    <row r="133" spans="1:23" ht="42" customHeight="1">
      <c r="A133" s="68"/>
      <c r="B133" s="68"/>
      <c r="C133" s="67" t="s">
        <v>146</v>
      </c>
      <c r="D133" s="67" t="s">
        <v>146</v>
      </c>
      <c r="E133" s="32"/>
      <c r="F133" s="28">
        <f t="shared" si="8"/>
        <v>0</v>
      </c>
      <c r="G133" s="60"/>
      <c r="H133" s="32"/>
      <c r="I133" s="28">
        <f t="shared" si="9"/>
        <v>0</v>
      </c>
      <c r="J133" s="38">
        <v>122173</v>
      </c>
      <c r="K133" s="38"/>
      <c r="L133" s="38">
        <f t="shared" si="12"/>
        <v>122173</v>
      </c>
      <c r="M133" s="10">
        <f t="shared" si="10"/>
        <v>122.2</v>
      </c>
      <c r="N133" s="103"/>
      <c r="S133" s="39"/>
      <c r="W133" s="61"/>
    </row>
    <row r="134" spans="1:23" ht="42" customHeight="1">
      <c r="A134" s="68"/>
      <c r="B134" s="68"/>
      <c r="C134" s="67" t="s">
        <v>173</v>
      </c>
      <c r="D134" s="67" t="s">
        <v>173</v>
      </c>
      <c r="E134" s="32"/>
      <c r="F134" s="28">
        <f t="shared" si="8"/>
        <v>0</v>
      </c>
      <c r="G134" s="60"/>
      <c r="H134" s="32"/>
      <c r="I134" s="28">
        <f t="shared" si="9"/>
        <v>0</v>
      </c>
      <c r="J134" s="38">
        <v>87000</v>
      </c>
      <c r="K134" s="38"/>
      <c r="L134" s="38">
        <f t="shared" si="12"/>
        <v>87000</v>
      </c>
      <c r="M134" s="10">
        <f t="shared" si="10"/>
        <v>87</v>
      </c>
      <c r="N134" s="103"/>
      <c r="S134" s="39"/>
      <c r="W134" s="61"/>
    </row>
    <row r="135" spans="1:23" ht="42" customHeight="1">
      <c r="A135" s="68"/>
      <c r="B135" s="68"/>
      <c r="C135" s="67" t="s">
        <v>205</v>
      </c>
      <c r="D135" s="67" t="s">
        <v>205</v>
      </c>
      <c r="E135" s="32"/>
      <c r="F135" s="28">
        <f t="shared" si="8"/>
        <v>0</v>
      </c>
      <c r="G135" s="60"/>
      <c r="H135" s="32"/>
      <c r="I135" s="28">
        <f t="shared" si="9"/>
        <v>0</v>
      </c>
      <c r="J135" s="38">
        <f>60000+40000</f>
        <v>100000</v>
      </c>
      <c r="K135" s="38"/>
      <c r="L135" s="38">
        <f t="shared" si="12"/>
        <v>100000</v>
      </c>
      <c r="M135" s="10">
        <f t="shared" si="10"/>
        <v>100</v>
      </c>
      <c r="N135" s="103"/>
      <c r="S135" s="39"/>
      <c r="W135" s="61"/>
    </row>
    <row r="136" spans="1:23" ht="42" customHeight="1">
      <c r="A136" s="68"/>
      <c r="B136" s="68"/>
      <c r="C136" s="67" t="s">
        <v>206</v>
      </c>
      <c r="D136" s="67" t="s">
        <v>206</v>
      </c>
      <c r="E136" s="32"/>
      <c r="F136" s="28">
        <f t="shared" si="8"/>
        <v>0</v>
      </c>
      <c r="G136" s="60"/>
      <c r="H136" s="32"/>
      <c r="I136" s="28">
        <f t="shared" si="9"/>
        <v>0</v>
      </c>
      <c r="J136" s="38">
        <v>16993</v>
      </c>
      <c r="K136" s="38"/>
      <c r="L136" s="38">
        <f t="shared" si="12"/>
        <v>16993</v>
      </c>
      <c r="M136" s="10">
        <f t="shared" si="10"/>
        <v>17</v>
      </c>
      <c r="N136" s="103"/>
      <c r="S136" s="39"/>
      <c r="W136" s="61"/>
    </row>
    <row r="137" spans="1:23" ht="42" customHeight="1">
      <c r="A137" s="68"/>
      <c r="B137" s="68"/>
      <c r="C137" s="67" t="s">
        <v>207</v>
      </c>
      <c r="D137" s="67" t="s">
        <v>207</v>
      </c>
      <c r="E137" s="32"/>
      <c r="F137" s="28">
        <f t="shared" si="8"/>
        <v>0</v>
      </c>
      <c r="G137" s="60"/>
      <c r="H137" s="32"/>
      <c r="I137" s="28">
        <f t="shared" si="9"/>
        <v>0</v>
      </c>
      <c r="J137" s="38">
        <v>48998</v>
      </c>
      <c r="K137" s="38"/>
      <c r="L137" s="38">
        <f t="shared" si="12"/>
        <v>48998</v>
      </c>
      <c r="M137" s="10">
        <f t="shared" si="10"/>
        <v>49</v>
      </c>
      <c r="N137" s="103"/>
      <c r="S137" s="39"/>
      <c r="W137" s="61"/>
    </row>
    <row r="138" spans="1:23" ht="42" customHeight="1">
      <c r="A138" s="68"/>
      <c r="B138" s="68"/>
      <c r="C138" s="67" t="s">
        <v>208</v>
      </c>
      <c r="D138" s="67" t="s">
        <v>208</v>
      </c>
      <c r="E138" s="32"/>
      <c r="F138" s="28">
        <f t="shared" si="8"/>
        <v>0</v>
      </c>
      <c r="G138" s="60"/>
      <c r="H138" s="32"/>
      <c r="I138" s="28">
        <f t="shared" si="9"/>
        <v>0</v>
      </c>
      <c r="J138" s="38">
        <v>16993</v>
      </c>
      <c r="K138" s="38"/>
      <c r="L138" s="38">
        <f t="shared" si="12"/>
        <v>16993</v>
      </c>
      <c r="M138" s="10">
        <f t="shared" si="10"/>
        <v>17</v>
      </c>
      <c r="N138" s="103"/>
      <c r="S138" s="39"/>
      <c r="W138" s="61"/>
    </row>
    <row r="139" spans="1:23" ht="42" customHeight="1">
      <c r="A139" s="68"/>
      <c r="B139" s="68"/>
      <c r="C139" s="67" t="s">
        <v>209</v>
      </c>
      <c r="D139" s="67" t="s">
        <v>209</v>
      </c>
      <c r="E139" s="32"/>
      <c r="F139" s="28">
        <f t="shared" si="8"/>
        <v>0</v>
      </c>
      <c r="G139" s="60"/>
      <c r="H139" s="32"/>
      <c r="I139" s="28">
        <f t="shared" si="9"/>
        <v>0</v>
      </c>
      <c r="J139" s="38">
        <v>48988</v>
      </c>
      <c r="K139" s="38"/>
      <c r="L139" s="38">
        <f t="shared" si="12"/>
        <v>48988</v>
      </c>
      <c r="M139" s="10">
        <f t="shared" si="10"/>
        <v>49</v>
      </c>
      <c r="N139" s="103"/>
      <c r="S139" s="39"/>
      <c r="W139" s="61"/>
    </row>
    <row r="140" spans="1:23" ht="42" customHeight="1">
      <c r="A140" s="68"/>
      <c r="B140" s="68"/>
      <c r="C140" s="67" t="s">
        <v>230</v>
      </c>
      <c r="D140" s="67" t="s">
        <v>230</v>
      </c>
      <c r="E140" s="32"/>
      <c r="F140" s="28">
        <f t="shared" si="8"/>
        <v>0</v>
      </c>
      <c r="G140" s="60"/>
      <c r="H140" s="32"/>
      <c r="I140" s="28">
        <f t="shared" si="9"/>
        <v>0</v>
      </c>
      <c r="J140" s="38">
        <v>35000</v>
      </c>
      <c r="K140" s="38"/>
      <c r="L140" s="38">
        <f t="shared" si="12"/>
        <v>35000</v>
      </c>
      <c r="M140" s="10">
        <f t="shared" si="10"/>
        <v>35</v>
      </c>
      <c r="N140" s="103"/>
      <c r="S140" s="39"/>
      <c r="W140" s="61"/>
    </row>
    <row r="141" spans="1:23" ht="33" customHeight="1">
      <c r="A141" s="68"/>
      <c r="B141" s="68"/>
      <c r="C141" s="67" t="s">
        <v>194</v>
      </c>
      <c r="D141" s="67" t="s">
        <v>194</v>
      </c>
      <c r="E141" s="32"/>
      <c r="F141" s="28">
        <f aca="true" t="shared" si="13" ref="F141:F202">ROUND(E141/1000,1)</f>
        <v>0</v>
      </c>
      <c r="G141" s="60"/>
      <c r="H141" s="32"/>
      <c r="I141" s="28">
        <f t="shared" si="9"/>
        <v>0</v>
      </c>
      <c r="J141" s="38">
        <f>25000+15000+20000</f>
        <v>60000</v>
      </c>
      <c r="K141" s="38"/>
      <c r="L141" s="38">
        <f t="shared" si="12"/>
        <v>60000</v>
      </c>
      <c r="M141" s="10">
        <f t="shared" si="10"/>
        <v>60</v>
      </c>
      <c r="N141" s="103"/>
      <c r="S141" s="39"/>
      <c r="W141" s="61"/>
    </row>
    <row r="142" spans="1:23" ht="33" customHeight="1">
      <c r="A142" s="68"/>
      <c r="B142" s="68"/>
      <c r="C142" s="67" t="s">
        <v>157</v>
      </c>
      <c r="D142" s="67" t="s">
        <v>157</v>
      </c>
      <c r="E142" s="32"/>
      <c r="F142" s="28">
        <f t="shared" si="13"/>
        <v>0</v>
      </c>
      <c r="G142" s="60"/>
      <c r="H142" s="32"/>
      <c r="I142" s="28">
        <f aca="true" t="shared" si="14" ref="I142:I203">ROUND(H142/1000,1)</f>
        <v>0</v>
      </c>
      <c r="J142" s="38">
        <f>165000-131644</f>
        <v>33356</v>
      </c>
      <c r="K142" s="38"/>
      <c r="L142" s="38">
        <f>K142+J142</f>
        <v>33356</v>
      </c>
      <c r="M142" s="10">
        <f t="shared" si="10"/>
        <v>33.4</v>
      </c>
      <c r="N142" s="103"/>
      <c r="S142" s="39"/>
      <c r="W142" s="61"/>
    </row>
    <row r="143" spans="1:152" s="26" customFormat="1" ht="33" customHeight="1">
      <c r="A143" s="68"/>
      <c r="B143" s="68"/>
      <c r="C143" s="30" t="s">
        <v>219</v>
      </c>
      <c r="D143" s="30" t="s">
        <v>219</v>
      </c>
      <c r="E143" s="16"/>
      <c r="F143" s="28">
        <f t="shared" si="13"/>
        <v>0</v>
      </c>
      <c r="G143" s="72"/>
      <c r="H143" s="16"/>
      <c r="I143" s="28">
        <f t="shared" si="14"/>
        <v>0</v>
      </c>
      <c r="J143" s="33">
        <f>SUM(J144:J148)</f>
        <v>300000</v>
      </c>
      <c r="K143" s="33">
        <f>SUM(K144:K148)</f>
        <v>0</v>
      </c>
      <c r="L143" s="33">
        <f>SUM(L144:L148)</f>
        <v>300000</v>
      </c>
      <c r="M143" s="9">
        <f>SUM(M144:M148)</f>
        <v>300</v>
      </c>
      <c r="N143" s="103"/>
      <c r="O143" s="25"/>
      <c r="P143" s="25"/>
      <c r="Q143" s="25"/>
      <c r="R143" s="25"/>
      <c r="S143" s="39"/>
      <c r="T143" s="25"/>
      <c r="U143" s="25"/>
      <c r="V143" s="25"/>
      <c r="W143" s="61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</row>
    <row r="144" spans="1:23" ht="39" customHeight="1">
      <c r="A144" s="68"/>
      <c r="B144" s="68"/>
      <c r="C144" s="67" t="s">
        <v>234</v>
      </c>
      <c r="D144" s="67" t="s">
        <v>234</v>
      </c>
      <c r="E144" s="32"/>
      <c r="F144" s="28">
        <f t="shared" si="13"/>
        <v>0</v>
      </c>
      <c r="G144" s="60"/>
      <c r="H144" s="32"/>
      <c r="I144" s="28">
        <f t="shared" si="14"/>
        <v>0</v>
      </c>
      <c r="J144" s="38">
        <v>60000</v>
      </c>
      <c r="K144" s="38"/>
      <c r="L144" s="38">
        <f>K144+J144</f>
        <v>60000</v>
      </c>
      <c r="M144" s="10">
        <f aca="true" t="shared" si="15" ref="M144:M204">ROUND(L144/1000,1)</f>
        <v>60</v>
      </c>
      <c r="N144" s="103"/>
      <c r="S144" s="39"/>
      <c r="W144" s="61"/>
    </row>
    <row r="145" spans="1:23" ht="39" customHeight="1">
      <c r="A145" s="68"/>
      <c r="B145" s="68"/>
      <c r="C145" s="67" t="s">
        <v>235</v>
      </c>
      <c r="D145" s="67" t="s">
        <v>235</v>
      </c>
      <c r="E145" s="32"/>
      <c r="F145" s="28">
        <f t="shared" si="13"/>
        <v>0</v>
      </c>
      <c r="G145" s="60"/>
      <c r="H145" s="32"/>
      <c r="I145" s="28">
        <f t="shared" si="14"/>
        <v>0</v>
      </c>
      <c r="J145" s="38">
        <v>60000</v>
      </c>
      <c r="K145" s="38"/>
      <c r="L145" s="38">
        <f>K145+J145</f>
        <v>60000</v>
      </c>
      <c r="M145" s="10">
        <f t="shared" si="15"/>
        <v>60</v>
      </c>
      <c r="N145" s="103"/>
      <c r="S145" s="39"/>
      <c r="W145" s="61"/>
    </row>
    <row r="146" spans="1:23" ht="39" customHeight="1">
      <c r="A146" s="68"/>
      <c r="B146" s="68"/>
      <c r="C146" s="67" t="s">
        <v>236</v>
      </c>
      <c r="D146" s="67" t="s">
        <v>236</v>
      </c>
      <c r="E146" s="32"/>
      <c r="F146" s="28">
        <f t="shared" si="13"/>
        <v>0</v>
      </c>
      <c r="G146" s="60"/>
      <c r="H146" s="32"/>
      <c r="I146" s="28">
        <f t="shared" si="14"/>
        <v>0</v>
      </c>
      <c r="J146" s="38">
        <v>60000</v>
      </c>
      <c r="K146" s="38"/>
      <c r="L146" s="38">
        <f>K146+J146</f>
        <v>60000</v>
      </c>
      <c r="M146" s="10">
        <f t="shared" si="15"/>
        <v>60</v>
      </c>
      <c r="N146" s="103"/>
      <c r="S146" s="39"/>
      <c r="W146" s="61"/>
    </row>
    <row r="147" spans="1:23" ht="39" customHeight="1">
      <c r="A147" s="68"/>
      <c r="B147" s="68"/>
      <c r="C147" s="67" t="s">
        <v>237</v>
      </c>
      <c r="D147" s="67" t="s">
        <v>237</v>
      </c>
      <c r="E147" s="32"/>
      <c r="F147" s="28">
        <f t="shared" si="13"/>
        <v>0</v>
      </c>
      <c r="G147" s="60"/>
      <c r="H147" s="32"/>
      <c r="I147" s="28">
        <f t="shared" si="14"/>
        <v>0</v>
      </c>
      <c r="J147" s="38">
        <v>60000</v>
      </c>
      <c r="K147" s="38"/>
      <c r="L147" s="38">
        <f>K147+J147</f>
        <v>60000</v>
      </c>
      <c r="M147" s="10">
        <f t="shared" si="15"/>
        <v>60</v>
      </c>
      <c r="N147" s="103"/>
      <c r="S147" s="39"/>
      <c r="W147" s="61"/>
    </row>
    <row r="148" spans="1:23" ht="39" customHeight="1">
      <c r="A148" s="68"/>
      <c r="B148" s="68"/>
      <c r="C148" s="67" t="s">
        <v>238</v>
      </c>
      <c r="D148" s="67" t="s">
        <v>238</v>
      </c>
      <c r="E148" s="32"/>
      <c r="F148" s="28">
        <f t="shared" si="13"/>
        <v>0</v>
      </c>
      <c r="G148" s="60"/>
      <c r="H148" s="32"/>
      <c r="I148" s="28">
        <f t="shared" si="14"/>
        <v>0</v>
      </c>
      <c r="J148" s="38">
        <v>60000</v>
      </c>
      <c r="K148" s="38"/>
      <c r="L148" s="38">
        <f>K148+J148</f>
        <v>60000</v>
      </c>
      <c r="M148" s="10">
        <f t="shared" si="15"/>
        <v>60</v>
      </c>
      <c r="N148" s="103"/>
      <c r="S148" s="39"/>
      <c r="W148" s="61"/>
    </row>
    <row r="149" spans="1:23" ht="28.5" customHeight="1">
      <c r="A149" s="68"/>
      <c r="B149" s="68"/>
      <c r="C149" s="30" t="s">
        <v>7</v>
      </c>
      <c r="D149" s="30" t="s">
        <v>7</v>
      </c>
      <c r="E149" s="16">
        <f>SUM(E150:E212)</f>
        <v>82736270</v>
      </c>
      <c r="F149" s="72">
        <f>SUM(F150:F212)</f>
        <v>82736.3</v>
      </c>
      <c r="G149" s="16"/>
      <c r="H149" s="16">
        <f>SUM(H150:H212)</f>
        <v>61155414</v>
      </c>
      <c r="I149" s="72">
        <f>SUM(I150:I212)</f>
        <v>61155.299999999996</v>
      </c>
      <c r="J149" s="73">
        <f>SUM(J150:J215)</f>
        <v>103290063.94</v>
      </c>
      <c r="K149" s="73">
        <f>SUM(K150:K215)</f>
        <v>667959</v>
      </c>
      <c r="L149" s="73">
        <f>SUM(L150:L215)</f>
        <v>103958022.94</v>
      </c>
      <c r="M149" s="13">
        <f>SUM(M150:M215)</f>
        <v>103008</v>
      </c>
      <c r="N149" s="103"/>
      <c r="S149" s="39"/>
      <c r="W149" s="61"/>
    </row>
    <row r="150" spans="1:23" ht="36" customHeight="1">
      <c r="A150" s="68"/>
      <c r="B150" s="68"/>
      <c r="C150" s="67" t="s">
        <v>25</v>
      </c>
      <c r="D150" s="67" t="s">
        <v>25</v>
      </c>
      <c r="E150" s="32">
        <v>9995386</v>
      </c>
      <c r="F150" s="28">
        <f t="shared" si="13"/>
        <v>9995.4</v>
      </c>
      <c r="G150" s="60">
        <v>37.5</v>
      </c>
      <c r="H150" s="32">
        <v>3747696</v>
      </c>
      <c r="I150" s="28">
        <f t="shared" si="14"/>
        <v>3747.7</v>
      </c>
      <c r="J150" s="38">
        <v>341000</v>
      </c>
      <c r="K150" s="38"/>
      <c r="L150" s="38">
        <f aca="true" t="shared" si="16" ref="L150:L182">K150+J150</f>
        <v>341000</v>
      </c>
      <c r="M150" s="10">
        <f t="shared" si="15"/>
        <v>341</v>
      </c>
      <c r="N150" s="103"/>
      <c r="S150" s="39"/>
      <c r="W150" s="61"/>
    </row>
    <row r="151" spans="1:23" ht="36" customHeight="1">
      <c r="A151" s="68"/>
      <c r="B151" s="68"/>
      <c r="C151" s="67" t="s">
        <v>34</v>
      </c>
      <c r="D151" s="67" t="s">
        <v>34</v>
      </c>
      <c r="E151" s="32">
        <v>17687640</v>
      </c>
      <c r="F151" s="28">
        <f t="shared" si="13"/>
        <v>17687.6</v>
      </c>
      <c r="G151" s="60">
        <v>63.8</v>
      </c>
      <c r="H151" s="32">
        <v>11282117</v>
      </c>
      <c r="I151" s="28">
        <f t="shared" si="14"/>
        <v>11282.1</v>
      </c>
      <c r="J151" s="38">
        <v>7280000</v>
      </c>
      <c r="K151" s="38"/>
      <c r="L151" s="38">
        <f t="shared" si="16"/>
        <v>7280000</v>
      </c>
      <c r="M151" s="10">
        <f t="shared" si="15"/>
        <v>7280</v>
      </c>
      <c r="N151" s="103"/>
      <c r="S151" s="39"/>
      <c r="W151" s="61"/>
    </row>
    <row r="152" spans="1:23" ht="36" customHeight="1">
      <c r="A152" s="68"/>
      <c r="B152" s="68"/>
      <c r="C152" s="67" t="s">
        <v>47</v>
      </c>
      <c r="D152" s="67" t="s">
        <v>47</v>
      </c>
      <c r="E152" s="32">
        <v>3024919</v>
      </c>
      <c r="F152" s="28">
        <f t="shared" si="13"/>
        <v>3024.9</v>
      </c>
      <c r="G152" s="60">
        <v>72</v>
      </c>
      <c r="H152" s="32">
        <v>2177942</v>
      </c>
      <c r="I152" s="28">
        <f t="shared" si="14"/>
        <v>2177.9</v>
      </c>
      <c r="J152" s="38">
        <f>1600000+300000+90000</f>
        <v>1990000</v>
      </c>
      <c r="K152" s="38"/>
      <c r="L152" s="38">
        <f t="shared" si="16"/>
        <v>1990000</v>
      </c>
      <c r="M152" s="10">
        <f t="shared" si="15"/>
        <v>1990</v>
      </c>
      <c r="N152" s="103"/>
      <c r="S152" s="39"/>
      <c r="W152" s="61"/>
    </row>
    <row r="153" spans="1:23" ht="36" customHeight="1">
      <c r="A153" s="68"/>
      <c r="B153" s="68"/>
      <c r="C153" s="67" t="s">
        <v>264</v>
      </c>
      <c r="D153" s="67" t="s">
        <v>49</v>
      </c>
      <c r="E153" s="32"/>
      <c r="F153" s="28">
        <f t="shared" si="13"/>
        <v>0</v>
      </c>
      <c r="G153" s="60"/>
      <c r="H153" s="32"/>
      <c r="I153" s="28">
        <f t="shared" si="14"/>
        <v>0</v>
      </c>
      <c r="J153" s="38">
        <v>2461510</v>
      </c>
      <c r="K153" s="38"/>
      <c r="L153" s="38">
        <f t="shared" si="16"/>
        <v>2461510</v>
      </c>
      <c r="M153" s="10">
        <f t="shared" si="15"/>
        <v>2461.5</v>
      </c>
      <c r="N153" s="103"/>
      <c r="S153" s="39"/>
      <c r="W153" s="61"/>
    </row>
    <row r="154" spans="1:23" ht="36" customHeight="1">
      <c r="A154" s="68"/>
      <c r="B154" s="68"/>
      <c r="C154" s="67" t="s">
        <v>109</v>
      </c>
      <c r="D154" s="67" t="s">
        <v>109</v>
      </c>
      <c r="E154" s="32"/>
      <c r="F154" s="28">
        <f t="shared" si="13"/>
        <v>0</v>
      </c>
      <c r="G154" s="60"/>
      <c r="H154" s="32"/>
      <c r="I154" s="28">
        <f t="shared" si="14"/>
        <v>0</v>
      </c>
      <c r="J154" s="38">
        <f>250000-100000</f>
        <v>150000</v>
      </c>
      <c r="K154" s="38"/>
      <c r="L154" s="38">
        <f t="shared" si="16"/>
        <v>150000</v>
      </c>
      <c r="M154" s="10">
        <f t="shared" si="15"/>
        <v>150</v>
      </c>
      <c r="N154" s="103"/>
      <c r="S154" s="39"/>
      <c r="W154" s="61"/>
    </row>
    <row r="155" spans="1:23" ht="36" customHeight="1">
      <c r="A155" s="68"/>
      <c r="B155" s="68"/>
      <c r="C155" s="67" t="s">
        <v>265</v>
      </c>
      <c r="D155" s="67" t="s">
        <v>50</v>
      </c>
      <c r="E155" s="32"/>
      <c r="F155" s="28">
        <f t="shared" si="13"/>
        <v>0</v>
      </c>
      <c r="G155" s="60"/>
      <c r="H155" s="32"/>
      <c r="I155" s="28">
        <f t="shared" si="14"/>
        <v>0</v>
      </c>
      <c r="J155" s="38">
        <f>2375600+498256</f>
        <v>2873856</v>
      </c>
      <c r="K155" s="38">
        <v>-1322041</v>
      </c>
      <c r="L155" s="38">
        <f t="shared" si="16"/>
        <v>1551815</v>
      </c>
      <c r="M155" s="10">
        <f t="shared" si="15"/>
        <v>1551.8</v>
      </c>
      <c r="N155" s="103"/>
      <c r="S155" s="56"/>
      <c r="W155" s="61"/>
    </row>
    <row r="156" spans="1:23" ht="36" customHeight="1">
      <c r="A156" s="68"/>
      <c r="B156" s="68"/>
      <c r="C156" s="67" t="s">
        <v>40</v>
      </c>
      <c r="D156" s="67" t="s">
        <v>40</v>
      </c>
      <c r="E156" s="32"/>
      <c r="F156" s="28">
        <f t="shared" si="13"/>
        <v>0</v>
      </c>
      <c r="G156" s="60"/>
      <c r="H156" s="32"/>
      <c r="I156" s="28">
        <f t="shared" si="14"/>
        <v>0</v>
      </c>
      <c r="J156" s="38">
        <f>5075+3831675</f>
        <v>3836750</v>
      </c>
      <c r="K156" s="38"/>
      <c r="L156" s="38">
        <f>K156+J156</f>
        <v>3836750</v>
      </c>
      <c r="M156" s="10">
        <f>ROUND(L156/1000,1)-0.1</f>
        <v>3836.7000000000003</v>
      </c>
      <c r="N156" s="103"/>
      <c r="S156" s="39"/>
      <c r="W156" s="61"/>
    </row>
    <row r="157" spans="1:23" ht="36" customHeight="1">
      <c r="A157" s="68"/>
      <c r="B157" s="68"/>
      <c r="C157" s="67" t="s">
        <v>172</v>
      </c>
      <c r="D157" s="67" t="s">
        <v>172</v>
      </c>
      <c r="E157" s="32"/>
      <c r="F157" s="28">
        <f t="shared" si="13"/>
        <v>0</v>
      </c>
      <c r="G157" s="60"/>
      <c r="H157" s="32"/>
      <c r="I157" s="28">
        <f t="shared" si="14"/>
        <v>0</v>
      </c>
      <c r="J157" s="38">
        <v>110000</v>
      </c>
      <c r="K157" s="38"/>
      <c r="L157" s="38">
        <f>K157+J157</f>
        <v>110000</v>
      </c>
      <c r="M157" s="10">
        <f t="shared" si="15"/>
        <v>110</v>
      </c>
      <c r="N157" s="103"/>
      <c r="S157" s="39"/>
      <c r="W157" s="61"/>
    </row>
    <row r="158" spans="1:23" ht="36" customHeight="1">
      <c r="A158" s="68"/>
      <c r="B158" s="68"/>
      <c r="C158" s="67" t="s">
        <v>110</v>
      </c>
      <c r="D158" s="67" t="s">
        <v>110</v>
      </c>
      <c r="E158" s="32"/>
      <c r="F158" s="28">
        <f t="shared" si="13"/>
        <v>0</v>
      </c>
      <c r="G158" s="60"/>
      <c r="H158" s="32"/>
      <c r="I158" s="28">
        <f t="shared" si="14"/>
        <v>0</v>
      </c>
      <c r="J158" s="38">
        <f>431300+161000</f>
        <v>592300</v>
      </c>
      <c r="K158" s="38"/>
      <c r="L158" s="38">
        <f>K158+J158</f>
        <v>592300</v>
      </c>
      <c r="M158" s="10">
        <f t="shared" si="15"/>
        <v>592.3</v>
      </c>
      <c r="N158" s="103"/>
      <c r="S158" s="39"/>
      <c r="W158" s="61"/>
    </row>
    <row r="159" spans="1:23" ht="39" customHeight="1">
      <c r="A159" s="68"/>
      <c r="B159" s="68"/>
      <c r="C159" s="67" t="s">
        <v>102</v>
      </c>
      <c r="D159" s="67" t="s">
        <v>102</v>
      </c>
      <c r="E159" s="32"/>
      <c r="F159" s="28">
        <f t="shared" si="13"/>
        <v>0</v>
      </c>
      <c r="G159" s="60"/>
      <c r="H159" s="32"/>
      <c r="I159" s="28">
        <f t="shared" si="14"/>
        <v>0</v>
      </c>
      <c r="J159" s="38">
        <f>2000000-1750000</f>
        <v>250000</v>
      </c>
      <c r="K159" s="38"/>
      <c r="L159" s="38">
        <f>K159+J159</f>
        <v>250000</v>
      </c>
      <c r="M159" s="10">
        <f t="shared" si="15"/>
        <v>250</v>
      </c>
      <c r="N159" s="103"/>
      <c r="S159" s="39"/>
      <c r="W159" s="61"/>
    </row>
    <row r="160" spans="1:23" ht="37.5" customHeight="1">
      <c r="A160" s="68"/>
      <c r="B160" s="68"/>
      <c r="C160" s="67" t="s">
        <v>99</v>
      </c>
      <c r="D160" s="67" t="s">
        <v>99</v>
      </c>
      <c r="E160" s="32">
        <v>3536069</v>
      </c>
      <c r="F160" s="28">
        <f t="shared" si="13"/>
        <v>3536.1</v>
      </c>
      <c r="G160" s="60">
        <v>70.3</v>
      </c>
      <c r="H160" s="32">
        <v>2484527</v>
      </c>
      <c r="I160" s="28">
        <f t="shared" si="14"/>
        <v>2484.5</v>
      </c>
      <c r="J160" s="38">
        <f>2400000+160000</f>
        <v>2560000</v>
      </c>
      <c r="K160" s="38"/>
      <c r="L160" s="38">
        <f t="shared" si="16"/>
        <v>2560000</v>
      </c>
      <c r="M160" s="10">
        <f t="shared" si="15"/>
        <v>2560</v>
      </c>
      <c r="N160" s="103"/>
      <c r="S160" s="39"/>
      <c r="W160" s="61"/>
    </row>
    <row r="161" spans="1:23" ht="31.5" customHeight="1">
      <c r="A161" s="68"/>
      <c r="B161" s="68"/>
      <c r="C161" s="67" t="s">
        <v>232</v>
      </c>
      <c r="D161" s="67" t="s">
        <v>232</v>
      </c>
      <c r="E161" s="32"/>
      <c r="F161" s="28">
        <f t="shared" si="13"/>
        <v>0</v>
      </c>
      <c r="G161" s="60"/>
      <c r="H161" s="32"/>
      <c r="I161" s="28">
        <f t="shared" si="14"/>
        <v>0</v>
      </c>
      <c r="J161" s="38">
        <v>100000</v>
      </c>
      <c r="K161" s="38"/>
      <c r="L161" s="38">
        <f t="shared" si="16"/>
        <v>100000</v>
      </c>
      <c r="M161" s="10">
        <f t="shared" si="15"/>
        <v>100</v>
      </c>
      <c r="N161" s="103"/>
      <c r="S161" s="39"/>
      <c r="W161" s="61"/>
    </row>
    <row r="162" spans="1:23" ht="69" customHeight="1">
      <c r="A162" s="68"/>
      <c r="B162" s="68"/>
      <c r="C162" s="67" t="s">
        <v>144</v>
      </c>
      <c r="D162" s="67" t="s">
        <v>144</v>
      </c>
      <c r="E162" s="32"/>
      <c r="F162" s="28">
        <f t="shared" si="13"/>
        <v>0</v>
      </c>
      <c r="G162" s="60"/>
      <c r="H162" s="32"/>
      <c r="I162" s="28">
        <f t="shared" si="14"/>
        <v>0</v>
      </c>
      <c r="J162" s="38">
        <v>1422000</v>
      </c>
      <c r="K162" s="38"/>
      <c r="L162" s="38">
        <f t="shared" si="16"/>
        <v>1422000</v>
      </c>
      <c r="M162" s="10">
        <f t="shared" si="15"/>
        <v>1422</v>
      </c>
      <c r="N162" s="103"/>
      <c r="S162" s="39"/>
      <c r="W162" s="61"/>
    </row>
    <row r="163" spans="1:23" ht="69" customHeight="1">
      <c r="A163" s="68"/>
      <c r="B163" s="68"/>
      <c r="C163" s="67" t="s">
        <v>142</v>
      </c>
      <c r="D163" s="67" t="s">
        <v>142</v>
      </c>
      <c r="E163" s="32"/>
      <c r="F163" s="28">
        <f t="shared" si="13"/>
        <v>0</v>
      </c>
      <c r="G163" s="60"/>
      <c r="H163" s="32"/>
      <c r="I163" s="28">
        <f t="shared" si="14"/>
        <v>0</v>
      </c>
      <c r="J163" s="38">
        <v>1400000</v>
      </c>
      <c r="K163" s="38"/>
      <c r="L163" s="38">
        <f t="shared" si="16"/>
        <v>1400000</v>
      </c>
      <c r="M163" s="10">
        <f t="shared" si="15"/>
        <v>1400</v>
      </c>
      <c r="N163" s="103"/>
      <c r="S163" s="39"/>
      <c r="W163" s="61"/>
    </row>
    <row r="164" spans="1:23" ht="42" customHeight="1">
      <c r="A164" s="68"/>
      <c r="B164" s="68"/>
      <c r="C164" s="67" t="s">
        <v>178</v>
      </c>
      <c r="D164" s="67" t="s">
        <v>178</v>
      </c>
      <c r="E164" s="32"/>
      <c r="F164" s="28">
        <f t="shared" si="13"/>
        <v>0</v>
      </c>
      <c r="G164" s="60"/>
      <c r="H164" s="32"/>
      <c r="I164" s="28">
        <f t="shared" si="14"/>
        <v>0</v>
      </c>
      <c r="J164" s="38">
        <v>50000</v>
      </c>
      <c r="K164" s="38"/>
      <c r="L164" s="38">
        <f t="shared" si="16"/>
        <v>50000</v>
      </c>
      <c r="M164" s="10">
        <f t="shared" si="15"/>
        <v>50</v>
      </c>
      <c r="N164" s="103"/>
      <c r="S164" s="39"/>
      <c r="W164" s="61"/>
    </row>
    <row r="165" spans="1:23" ht="42" customHeight="1">
      <c r="A165" s="68"/>
      <c r="B165" s="68"/>
      <c r="C165" s="67" t="s">
        <v>266</v>
      </c>
      <c r="D165" s="67" t="s">
        <v>177</v>
      </c>
      <c r="E165" s="32"/>
      <c r="F165" s="28">
        <f t="shared" si="13"/>
        <v>0</v>
      </c>
      <c r="G165" s="60"/>
      <c r="H165" s="32"/>
      <c r="I165" s="28">
        <f t="shared" si="14"/>
        <v>0</v>
      </c>
      <c r="J165" s="38">
        <v>50000</v>
      </c>
      <c r="K165" s="38"/>
      <c r="L165" s="38">
        <f t="shared" si="16"/>
        <v>50000</v>
      </c>
      <c r="M165" s="10">
        <f t="shared" si="15"/>
        <v>50</v>
      </c>
      <c r="N165" s="103"/>
      <c r="S165" s="39"/>
      <c r="W165" s="61"/>
    </row>
    <row r="166" spans="1:23" ht="42" customHeight="1">
      <c r="A166" s="68"/>
      <c r="B166" s="68"/>
      <c r="C166" s="67" t="s">
        <v>267</v>
      </c>
      <c r="D166" s="67" t="s">
        <v>179</v>
      </c>
      <c r="E166" s="32"/>
      <c r="F166" s="28">
        <f t="shared" si="13"/>
        <v>0</v>
      </c>
      <c r="G166" s="60"/>
      <c r="H166" s="32"/>
      <c r="I166" s="28">
        <f t="shared" si="14"/>
        <v>0</v>
      </c>
      <c r="J166" s="38">
        <v>50000</v>
      </c>
      <c r="K166" s="38"/>
      <c r="L166" s="38">
        <f t="shared" si="16"/>
        <v>50000</v>
      </c>
      <c r="M166" s="10">
        <f t="shared" si="15"/>
        <v>50</v>
      </c>
      <c r="N166" s="103"/>
      <c r="S166" s="39"/>
      <c r="W166" s="61"/>
    </row>
    <row r="167" spans="1:23" ht="42" customHeight="1">
      <c r="A167" s="68"/>
      <c r="B167" s="68"/>
      <c r="C167" s="67" t="s">
        <v>268</v>
      </c>
      <c r="D167" s="67" t="s">
        <v>180</v>
      </c>
      <c r="E167" s="32"/>
      <c r="F167" s="28">
        <f t="shared" si="13"/>
        <v>0</v>
      </c>
      <c r="G167" s="60"/>
      <c r="H167" s="32"/>
      <c r="I167" s="28">
        <f t="shared" si="14"/>
        <v>0</v>
      </c>
      <c r="J167" s="38">
        <v>50000</v>
      </c>
      <c r="K167" s="38"/>
      <c r="L167" s="38">
        <f t="shared" si="16"/>
        <v>50000</v>
      </c>
      <c r="M167" s="10">
        <f t="shared" si="15"/>
        <v>50</v>
      </c>
      <c r="N167" s="103"/>
      <c r="S167" s="39"/>
      <c r="W167" s="61"/>
    </row>
    <row r="168" spans="1:23" ht="42" customHeight="1">
      <c r="A168" s="68"/>
      <c r="B168" s="68"/>
      <c r="C168" s="67" t="s">
        <v>269</v>
      </c>
      <c r="D168" s="67" t="s">
        <v>181</v>
      </c>
      <c r="E168" s="32"/>
      <c r="F168" s="28">
        <f t="shared" si="13"/>
        <v>0</v>
      </c>
      <c r="G168" s="60"/>
      <c r="H168" s="32"/>
      <c r="I168" s="28">
        <f t="shared" si="14"/>
        <v>0</v>
      </c>
      <c r="J168" s="38">
        <v>50000</v>
      </c>
      <c r="K168" s="38"/>
      <c r="L168" s="38">
        <f t="shared" si="16"/>
        <v>50000</v>
      </c>
      <c r="M168" s="10">
        <f t="shared" si="15"/>
        <v>50</v>
      </c>
      <c r="N168" s="103"/>
      <c r="S168" s="39"/>
      <c r="W168" s="61"/>
    </row>
    <row r="169" spans="1:23" ht="42" customHeight="1">
      <c r="A169" s="68"/>
      <c r="B169" s="68"/>
      <c r="C169" s="67" t="s">
        <v>182</v>
      </c>
      <c r="D169" s="67" t="s">
        <v>182</v>
      </c>
      <c r="E169" s="32"/>
      <c r="F169" s="28">
        <f t="shared" si="13"/>
        <v>0</v>
      </c>
      <c r="G169" s="60"/>
      <c r="H169" s="32"/>
      <c r="I169" s="28">
        <f t="shared" si="14"/>
        <v>0</v>
      </c>
      <c r="J169" s="38">
        <v>50000</v>
      </c>
      <c r="K169" s="38"/>
      <c r="L169" s="38">
        <f t="shared" si="16"/>
        <v>50000</v>
      </c>
      <c r="M169" s="10">
        <f t="shared" si="15"/>
        <v>50</v>
      </c>
      <c r="N169" s="103"/>
      <c r="S169" s="39"/>
      <c r="W169" s="61"/>
    </row>
    <row r="170" spans="1:23" ht="42" customHeight="1">
      <c r="A170" s="68"/>
      <c r="B170" s="68"/>
      <c r="C170" s="67" t="s">
        <v>196</v>
      </c>
      <c r="D170" s="67" t="s">
        <v>196</v>
      </c>
      <c r="E170" s="32"/>
      <c r="F170" s="28">
        <f t="shared" si="13"/>
        <v>0</v>
      </c>
      <c r="G170" s="60"/>
      <c r="H170" s="32"/>
      <c r="I170" s="28">
        <f t="shared" si="14"/>
        <v>0</v>
      </c>
      <c r="J170" s="38">
        <v>50000</v>
      </c>
      <c r="K170" s="38"/>
      <c r="L170" s="38">
        <f t="shared" si="16"/>
        <v>50000</v>
      </c>
      <c r="M170" s="10">
        <f t="shared" si="15"/>
        <v>50</v>
      </c>
      <c r="N170" s="103"/>
      <c r="S170" s="39"/>
      <c r="W170" s="61"/>
    </row>
    <row r="171" spans="1:23" ht="42" customHeight="1">
      <c r="A171" s="68"/>
      <c r="B171" s="68"/>
      <c r="C171" s="67" t="s">
        <v>53</v>
      </c>
      <c r="D171" s="67" t="s">
        <v>53</v>
      </c>
      <c r="E171" s="32"/>
      <c r="F171" s="28">
        <f t="shared" si="13"/>
        <v>0</v>
      </c>
      <c r="G171" s="60"/>
      <c r="H171" s="32"/>
      <c r="I171" s="28">
        <f t="shared" si="14"/>
        <v>0</v>
      </c>
      <c r="J171" s="38">
        <f>1000000+2000000-2000000-980000</f>
        <v>20000</v>
      </c>
      <c r="K171" s="38"/>
      <c r="L171" s="38">
        <f t="shared" si="16"/>
        <v>20000</v>
      </c>
      <c r="M171" s="10">
        <f t="shared" si="15"/>
        <v>20</v>
      </c>
      <c r="N171" s="103"/>
      <c r="S171" s="39"/>
      <c r="W171" s="61"/>
    </row>
    <row r="172" spans="1:23" ht="31.5" customHeight="1">
      <c r="A172" s="68"/>
      <c r="B172" s="68"/>
      <c r="C172" s="67" t="s">
        <v>125</v>
      </c>
      <c r="D172" s="67" t="s">
        <v>125</v>
      </c>
      <c r="E172" s="32"/>
      <c r="F172" s="28">
        <f t="shared" si="13"/>
        <v>0</v>
      </c>
      <c r="G172" s="60"/>
      <c r="H172" s="32"/>
      <c r="I172" s="28">
        <f t="shared" si="14"/>
        <v>0</v>
      </c>
      <c r="J172" s="38">
        <v>1200000</v>
      </c>
      <c r="K172" s="38"/>
      <c r="L172" s="38">
        <f t="shared" si="16"/>
        <v>1200000</v>
      </c>
      <c r="M172" s="10">
        <f t="shared" si="15"/>
        <v>1200</v>
      </c>
      <c r="N172" s="103"/>
      <c r="S172" s="39"/>
      <c r="W172" s="61"/>
    </row>
    <row r="173" spans="1:23" ht="31.5" customHeight="1">
      <c r="A173" s="68"/>
      <c r="B173" s="68"/>
      <c r="C173" s="67" t="s">
        <v>48</v>
      </c>
      <c r="D173" s="67" t="s">
        <v>48</v>
      </c>
      <c r="E173" s="32"/>
      <c r="F173" s="28">
        <f t="shared" si="13"/>
        <v>0</v>
      </c>
      <c r="G173" s="60"/>
      <c r="H173" s="32"/>
      <c r="I173" s="28">
        <f t="shared" si="14"/>
        <v>0</v>
      </c>
      <c r="J173" s="38">
        <f>80000+300000+300000+218500-90000</f>
        <v>808500</v>
      </c>
      <c r="K173" s="38"/>
      <c r="L173" s="38">
        <f>K173+J173</f>
        <v>808500</v>
      </c>
      <c r="M173" s="10">
        <f t="shared" si="15"/>
        <v>808.5</v>
      </c>
      <c r="N173" s="103"/>
      <c r="S173" s="39"/>
      <c r="W173" s="61"/>
    </row>
    <row r="174" spans="1:23" ht="31.5" customHeight="1">
      <c r="A174" s="68"/>
      <c r="B174" s="68"/>
      <c r="C174" s="67" t="s">
        <v>159</v>
      </c>
      <c r="D174" s="67" t="s">
        <v>159</v>
      </c>
      <c r="E174" s="32"/>
      <c r="F174" s="28">
        <f t="shared" si="13"/>
        <v>0</v>
      </c>
      <c r="G174" s="60"/>
      <c r="H174" s="32"/>
      <c r="I174" s="28">
        <f t="shared" si="14"/>
        <v>0</v>
      </c>
      <c r="J174" s="38">
        <f>300000+300000+169500</f>
        <v>769500</v>
      </c>
      <c r="K174" s="38"/>
      <c r="L174" s="38">
        <f>K174+J174</f>
        <v>769500</v>
      </c>
      <c r="M174" s="10">
        <f t="shared" si="15"/>
        <v>769.5</v>
      </c>
      <c r="N174" s="103"/>
      <c r="S174" s="39"/>
      <c r="W174" s="61"/>
    </row>
    <row r="175" spans="1:23" ht="31.5" customHeight="1">
      <c r="A175" s="68"/>
      <c r="B175" s="68"/>
      <c r="C175" s="67" t="s">
        <v>55</v>
      </c>
      <c r="D175" s="67" t="s">
        <v>55</v>
      </c>
      <c r="E175" s="32"/>
      <c r="F175" s="28">
        <f t="shared" si="13"/>
        <v>0</v>
      </c>
      <c r="G175" s="60"/>
      <c r="H175" s="32"/>
      <c r="I175" s="28">
        <f t="shared" si="14"/>
        <v>0</v>
      </c>
      <c r="J175" s="38">
        <f>1000000+2000000+2000000</f>
        <v>5000000</v>
      </c>
      <c r="K175" s="38">
        <v>-4465000</v>
      </c>
      <c r="L175" s="38">
        <f t="shared" si="16"/>
        <v>535000</v>
      </c>
      <c r="M175" s="10">
        <f t="shared" si="15"/>
        <v>535</v>
      </c>
      <c r="N175" s="103"/>
      <c r="S175" s="56"/>
      <c r="W175" s="61"/>
    </row>
    <row r="176" spans="1:23" ht="31.5" customHeight="1">
      <c r="A176" s="68"/>
      <c r="B176" s="68"/>
      <c r="C176" s="67" t="s">
        <v>160</v>
      </c>
      <c r="D176" s="67" t="s">
        <v>160</v>
      </c>
      <c r="E176" s="32"/>
      <c r="F176" s="28">
        <f t="shared" si="13"/>
        <v>0</v>
      </c>
      <c r="G176" s="60"/>
      <c r="H176" s="32"/>
      <c r="I176" s="28">
        <f t="shared" si="14"/>
        <v>0</v>
      </c>
      <c r="J176" s="38">
        <f>450000+1500000</f>
        <v>1950000</v>
      </c>
      <c r="K176" s="38"/>
      <c r="L176" s="38">
        <f t="shared" si="16"/>
        <v>1950000</v>
      </c>
      <c r="M176" s="10">
        <f t="shared" si="15"/>
        <v>1950</v>
      </c>
      <c r="N176" s="103"/>
      <c r="S176" s="39"/>
      <c r="W176" s="61"/>
    </row>
    <row r="177" spans="1:23" ht="31.5" customHeight="1">
      <c r="A177" s="68"/>
      <c r="B177" s="68"/>
      <c r="C177" s="67" t="s">
        <v>161</v>
      </c>
      <c r="D177" s="67" t="s">
        <v>161</v>
      </c>
      <c r="E177" s="32"/>
      <c r="F177" s="28">
        <f t="shared" si="13"/>
        <v>0</v>
      </c>
      <c r="G177" s="60"/>
      <c r="H177" s="32"/>
      <c r="I177" s="28">
        <f t="shared" si="14"/>
        <v>0</v>
      </c>
      <c r="J177" s="38">
        <f>450000+3500000</f>
        <v>3950000</v>
      </c>
      <c r="K177" s="38"/>
      <c r="L177" s="38">
        <f t="shared" si="16"/>
        <v>3950000</v>
      </c>
      <c r="M177" s="10">
        <f t="shared" si="15"/>
        <v>3950</v>
      </c>
      <c r="N177" s="103"/>
      <c r="S177" s="39"/>
      <c r="W177" s="61"/>
    </row>
    <row r="178" spans="1:23" ht="31.5" customHeight="1">
      <c r="A178" s="68"/>
      <c r="B178" s="68"/>
      <c r="C178" s="67" t="s">
        <v>241</v>
      </c>
      <c r="D178" s="67" t="s">
        <v>241</v>
      </c>
      <c r="E178" s="32"/>
      <c r="F178" s="28">
        <f t="shared" si="13"/>
        <v>0</v>
      </c>
      <c r="G178" s="60"/>
      <c r="H178" s="32"/>
      <c r="I178" s="28">
        <f t="shared" si="14"/>
        <v>0</v>
      </c>
      <c r="J178" s="38"/>
      <c r="K178" s="38">
        <v>6355000</v>
      </c>
      <c r="L178" s="38">
        <f t="shared" si="16"/>
        <v>6355000</v>
      </c>
      <c r="M178" s="10">
        <f t="shared" si="15"/>
        <v>6355</v>
      </c>
      <c r="N178" s="103"/>
      <c r="S178" s="56"/>
      <c r="W178" s="61"/>
    </row>
    <row r="179" spans="1:23" ht="31.5" customHeight="1">
      <c r="A179" s="68"/>
      <c r="B179" s="68"/>
      <c r="C179" s="67" t="s">
        <v>187</v>
      </c>
      <c r="D179" s="67" t="s">
        <v>187</v>
      </c>
      <c r="E179" s="32"/>
      <c r="F179" s="28">
        <f t="shared" si="13"/>
        <v>0</v>
      </c>
      <c r="G179" s="60"/>
      <c r="H179" s="32"/>
      <c r="I179" s="28">
        <f t="shared" si="14"/>
        <v>0</v>
      </c>
      <c r="J179" s="38">
        <v>250000</v>
      </c>
      <c r="K179" s="38"/>
      <c r="L179" s="38">
        <f t="shared" si="16"/>
        <v>250000</v>
      </c>
      <c r="M179" s="10">
        <f t="shared" si="15"/>
        <v>250</v>
      </c>
      <c r="N179" s="103"/>
      <c r="S179" s="39"/>
      <c r="W179" s="61"/>
    </row>
    <row r="180" spans="1:23" ht="39" customHeight="1">
      <c r="A180" s="68"/>
      <c r="B180" s="68"/>
      <c r="C180" s="67" t="s">
        <v>216</v>
      </c>
      <c r="D180" s="67" t="s">
        <v>216</v>
      </c>
      <c r="E180" s="32"/>
      <c r="F180" s="28">
        <f t="shared" si="13"/>
        <v>0</v>
      </c>
      <c r="G180" s="60"/>
      <c r="H180" s="32"/>
      <c r="I180" s="28">
        <f t="shared" si="14"/>
        <v>0</v>
      </c>
      <c r="J180" s="38">
        <v>1000</v>
      </c>
      <c r="K180" s="38"/>
      <c r="L180" s="38">
        <f t="shared" si="16"/>
        <v>1000</v>
      </c>
      <c r="M180" s="10">
        <f t="shared" si="15"/>
        <v>1</v>
      </c>
      <c r="N180" s="103"/>
      <c r="S180" s="39"/>
      <c r="W180" s="61"/>
    </row>
    <row r="181" spans="1:23" ht="39" customHeight="1">
      <c r="A181" s="68"/>
      <c r="B181" s="68"/>
      <c r="C181" s="67" t="s">
        <v>217</v>
      </c>
      <c r="D181" s="67" t="s">
        <v>217</v>
      </c>
      <c r="E181" s="32"/>
      <c r="F181" s="28">
        <f t="shared" si="13"/>
        <v>0</v>
      </c>
      <c r="G181" s="60"/>
      <c r="H181" s="32"/>
      <c r="I181" s="28">
        <f t="shared" si="14"/>
        <v>0</v>
      </c>
      <c r="J181" s="38">
        <v>4783900</v>
      </c>
      <c r="K181" s="38"/>
      <c r="L181" s="38">
        <f t="shared" si="16"/>
        <v>4783900</v>
      </c>
      <c r="M181" s="10">
        <f t="shared" si="15"/>
        <v>4783.9</v>
      </c>
      <c r="N181" s="103"/>
      <c r="S181" s="39"/>
      <c r="W181" s="61"/>
    </row>
    <row r="182" spans="1:23" ht="39" customHeight="1">
      <c r="A182" s="68"/>
      <c r="B182" s="68"/>
      <c r="C182" s="67" t="s">
        <v>218</v>
      </c>
      <c r="D182" s="67" t="s">
        <v>218</v>
      </c>
      <c r="E182" s="32"/>
      <c r="F182" s="28">
        <f t="shared" si="13"/>
        <v>0</v>
      </c>
      <c r="G182" s="60"/>
      <c r="H182" s="32"/>
      <c r="I182" s="28">
        <f t="shared" si="14"/>
        <v>0</v>
      </c>
      <c r="J182" s="38">
        <v>2344877</v>
      </c>
      <c r="K182" s="38"/>
      <c r="L182" s="38">
        <f t="shared" si="16"/>
        <v>2344877</v>
      </c>
      <c r="M182" s="10">
        <f t="shared" si="15"/>
        <v>2344.9</v>
      </c>
      <c r="N182" s="103"/>
      <c r="S182" s="39"/>
      <c r="W182" s="61"/>
    </row>
    <row r="183" spans="1:23" ht="43.5" customHeight="1">
      <c r="A183" s="68"/>
      <c r="B183" s="68"/>
      <c r="C183" s="67" t="s">
        <v>270</v>
      </c>
      <c r="D183" s="67" t="s">
        <v>104</v>
      </c>
      <c r="E183" s="32"/>
      <c r="F183" s="28">
        <f t="shared" si="13"/>
        <v>0</v>
      </c>
      <c r="G183" s="60"/>
      <c r="H183" s="32"/>
      <c r="I183" s="28">
        <f t="shared" si="14"/>
        <v>0</v>
      </c>
      <c r="J183" s="38">
        <f>11000000+10000000</f>
        <v>21000000</v>
      </c>
      <c r="K183" s="38"/>
      <c r="L183" s="38">
        <f aca="true" t="shared" si="17" ref="L183:L197">K183+J183</f>
        <v>21000000</v>
      </c>
      <c r="M183" s="10">
        <f>ROUND(L183/1000,1)-1000</f>
        <v>20000</v>
      </c>
      <c r="N183" s="103"/>
      <c r="S183" s="39"/>
      <c r="W183" s="61"/>
    </row>
    <row r="184" spans="1:23" ht="37.5" customHeight="1">
      <c r="A184" s="68"/>
      <c r="B184" s="68"/>
      <c r="C184" s="67" t="s">
        <v>163</v>
      </c>
      <c r="D184" s="67" t="s">
        <v>163</v>
      </c>
      <c r="E184" s="32"/>
      <c r="F184" s="28">
        <f t="shared" si="13"/>
        <v>0</v>
      </c>
      <c r="G184" s="60"/>
      <c r="H184" s="32"/>
      <c r="I184" s="28">
        <f t="shared" si="14"/>
        <v>0</v>
      </c>
      <c r="J184" s="38">
        <v>1210370</v>
      </c>
      <c r="K184" s="38"/>
      <c r="L184" s="38">
        <f t="shared" si="17"/>
        <v>1210370</v>
      </c>
      <c r="M184" s="10">
        <f t="shared" si="15"/>
        <v>1210.4</v>
      </c>
      <c r="N184" s="103"/>
      <c r="S184" s="39"/>
      <c r="W184" s="61"/>
    </row>
    <row r="185" spans="1:23" ht="37.5" customHeight="1">
      <c r="A185" s="68"/>
      <c r="B185" s="68"/>
      <c r="C185" s="67" t="s">
        <v>51</v>
      </c>
      <c r="D185" s="67" t="s">
        <v>51</v>
      </c>
      <c r="E185" s="32">
        <v>250015</v>
      </c>
      <c r="F185" s="70">
        <f t="shared" si="13"/>
        <v>250</v>
      </c>
      <c r="G185" s="60">
        <v>60</v>
      </c>
      <c r="H185" s="32">
        <v>150015</v>
      </c>
      <c r="I185" s="70">
        <f t="shared" si="14"/>
        <v>150</v>
      </c>
      <c r="J185" s="38">
        <v>150000</v>
      </c>
      <c r="K185" s="38"/>
      <c r="L185" s="38">
        <f t="shared" si="17"/>
        <v>150000</v>
      </c>
      <c r="M185" s="10">
        <f t="shared" si="15"/>
        <v>150</v>
      </c>
      <c r="N185" s="103"/>
      <c r="S185" s="39"/>
      <c r="W185" s="61"/>
    </row>
    <row r="186" spans="1:23" ht="43.5" customHeight="1">
      <c r="A186" s="68"/>
      <c r="B186" s="68"/>
      <c r="C186" s="67" t="s">
        <v>271</v>
      </c>
      <c r="D186" s="67" t="s">
        <v>52</v>
      </c>
      <c r="E186" s="32">
        <v>4291979</v>
      </c>
      <c r="F186" s="70">
        <f t="shared" si="13"/>
        <v>4292</v>
      </c>
      <c r="G186" s="60">
        <v>53.7</v>
      </c>
      <c r="H186" s="32">
        <v>2304238</v>
      </c>
      <c r="I186" s="28">
        <f t="shared" si="14"/>
        <v>2304.2</v>
      </c>
      <c r="J186" s="38">
        <f>2000000-600000</f>
        <v>1400000</v>
      </c>
      <c r="K186" s="38"/>
      <c r="L186" s="38">
        <f t="shared" si="17"/>
        <v>1400000</v>
      </c>
      <c r="M186" s="10">
        <f t="shared" si="15"/>
        <v>1400</v>
      </c>
      <c r="N186" s="103"/>
      <c r="S186" s="39"/>
      <c r="W186" s="61"/>
    </row>
    <row r="187" spans="1:23" ht="55.5" customHeight="1">
      <c r="A187" s="68"/>
      <c r="B187" s="68"/>
      <c r="C187" s="67" t="s">
        <v>119</v>
      </c>
      <c r="D187" s="67" t="s">
        <v>119</v>
      </c>
      <c r="E187" s="32"/>
      <c r="F187" s="28">
        <f t="shared" si="13"/>
        <v>0</v>
      </c>
      <c r="G187" s="60"/>
      <c r="H187" s="32"/>
      <c r="I187" s="28">
        <f t="shared" si="14"/>
        <v>0</v>
      </c>
      <c r="J187" s="38">
        <f>4200000+2700000</f>
        <v>6900000</v>
      </c>
      <c r="K187" s="38"/>
      <c r="L187" s="38">
        <f t="shared" si="17"/>
        <v>6900000</v>
      </c>
      <c r="M187" s="10">
        <f t="shared" si="15"/>
        <v>6900</v>
      </c>
      <c r="N187" s="103"/>
      <c r="S187" s="39"/>
      <c r="W187" s="61"/>
    </row>
    <row r="188" spans="1:23" ht="40.5" customHeight="1">
      <c r="A188" s="68"/>
      <c r="B188" s="68"/>
      <c r="C188" s="67" t="s">
        <v>224</v>
      </c>
      <c r="D188" s="67" t="s">
        <v>224</v>
      </c>
      <c r="E188" s="32"/>
      <c r="F188" s="28">
        <f t="shared" si="13"/>
        <v>0</v>
      </c>
      <c r="G188" s="60"/>
      <c r="H188" s="32"/>
      <c r="I188" s="28">
        <f t="shared" si="14"/>
        <v>0</v>
      </c>
      <c r="J188" s="38">
        <v>912000</v>
      </c>
      <c r="K188" s="38"/>
      <c r="L188" s="38">
        <f t="shared" si="17"/>
        <v>912000</v>
      </c>
      <c r="M188" s="10">
        <f t="shared" si="15"/>
        <v>912</v>
      </c>
      <c r="N188" s="103"/>
      <c r="S188" s="39"/>
      <c r="W188" s="61"/>
    </row>
    <row r="189" spans="1:23" ht="40.5" customHeight="1">
      <c r="A189" s="68"/>
      <c r="B189" s="68"/>
      <c r="C189" s="67" t="s">
        <v>54</v>
      </c>
      <c r="D189" s="67" t="s">
        <v>54</v>
      </c>
      <c r="E189" s="32">
        <v>1199810</v>
      </c>
      <c r="F189" s="28">
        <f t="shared" si="13"/>
        <v>1199.8</v>
      </c>
      <c r="G189" s="60">
        <v>49.2</v>
      </c>
      <c r="H189" s="32">
        <v>589810</v>
      </c>
      <c r="I189" s="28">
        <f t="shared" si="14"/>
        <v>589.8</v>
      </c>
      <c r="J189" s="38">
        <v>580000</v>
      </c>
      <c r="K189" s="38"/>
      <c r="L189" s="38">
        <f t="shared" si="17"/>
        <v>580000</v>
      </c>
      <c r="M189" s="10">
        <f t="shared" si="15"/>
        <v>580</v>
      </c>
      <c r="N189" s="103"/>
      <c r="S189" s="39"/>
      <c r="W189" s="61"/>
    </row>
    <row r="190" spans="1:23" ht="40.5" customHeight="1">
      <c r="A190" s="68"/>
      <c r="B190" s="68"/>
      <c r="C190" s="67" t="s">
        <v>127</v>
      </c>
      <c r="D190" s="67" t="s">
        <v>127</v>
      </c>
      <c r="E190" s="32"/>
      <c r="F190" s="28">
        <f t="shared" si="13"/>
        <v>0</v>
      </c>
      <c r="G190" s="60"/>
      <c r="H190" s="32"/>
      <c r="I190" s="28">
        <f t="shared" si="14"/>
        <v>0</v>
      </c>
      <c r="J190" s="38">
        <f>1000000-120000</f>
        <v>880000</v>
      </c>
      <c r="K190" s="38"/>
      <c r="L190" s="38">
        <f t="shared" si="17"/>
        <v>880000</v>
      </c>
      <c r="M190" s="10">
        <f t="shared" si="15"/>
        <v>880</v>
      </c>
      <c r="N190" s="103"/>
      <c r="S190" s="39"/>
      <c r="W190" s="61"/>
    </row>
    <row r="191" spans="1:23" ht="40.5" customHeight="1">
      <c r="A191" s="68"/>
      <c r="B191" s="68"/>
      <c r="C191" s="67" t="s">
        <v>118</v>
      </c>
      <c r="D191" s="67" t="s">
        <v>118</v>
      </c>
      <c r="E191" s="32"/>
      <c r="F191" s="28">
        <f t="shared" si="13"/>
        <v>0</v>
      </c>
      <c r="G191" s="60"/>
      <c r="H191" s="32"/>
      <c r="I191" s="28">
        <f t="shared" si="14"/>
        <v>0</v>
      </c>
      <c r="J191" s="38">
        <v>200000</v>
      </c>
      <c r="K191" s="38"/>
      <c r="L191" s="38">
        <f t="shared" si="17"/>
        <v>200000</v>
      </c>
      <c r="M191" s="10">
        <f t="shared" si="15"/>
        <v>200</v>
      </c>
      <c r="N191" s="103"/>
      <c r="S191" s="39"/>
      <c r="W191" s="61"/>
    </row>
    <row r="192" spans="1:23" ht="40.5" customHeight="1">
      <c r="A192" s="68"/>
      <c r="B192" s="68"/>
      <c r="C192" s="67" t="s">
        <v>101</v>
      </c>
      <c r="D192" s="67" t="s">
        <v>101</v>
      </c>
      <c r="E192" s="32"/>
      <c r="F192" s="28">
        <f t="shared" si="13"/>
        <v>0</v>
      </c>
      <c r="G192" s="60"/>
      <c r="H192" s="32"/>
      <c r="I192" s="28">
        <f t="shared" si="14"/>
        <v>0</v>
      </c>
      <c r="J192" s="38">
        <f>950000-320000</f>
        <v>630000</v>
      </c>
      <c r="K192" s="38"/>
      <c r="L192" s="38">
        <f t="shared" si="17"/>
        <v>630000</v>
      </c>
      <c r="M192" s="10">
        <f t="shared" si="15"/>
        <v>630</v>
      </c>
      <c r="N192" s="103"/>
      <c r="S192" s="39"/>
      <c r="W192" s="61"/>
    </row>
    <row r="193" spans="1:23" ht="40.5" customHeight="1">
      <c r="A193" s="68"/>
      <c r="B193" s="68"/>
      <c r="C193" s="67" t="s">
        <v>60</v>
      </c>
      <c r="D193" s="67" t="s">
        <v>60</v>
      </c>
      <c r="E193" s="32"/>
      <c r="F193" s="28">
        <f t="shared" si="13"/>
        <v>0</v>
      </c>
      <c r="G193" s="60"/>
      <c r="H193" s="32"/>
      <c r="I193" s="28">
        <f t="shared" si="14"/>
        <v>0</v>
      </c>
      <c r="J193" s="38">
        <f>500000-100000</f>
        <v>400000</v>
      </c>
      <c r="K193" s="38"/>
      <c r="L193" s="38">
        <f t="shared" si="17"/>
        <v>400000</v>
      </c>
      <c r="M193" s="10">
        <f t="shared" si="15"/>
        <v>400</v>
      </c>
      <c r="N193" s="103"/>
      <c r="S193" s="39"/>
      <c r="W193" s="61"/>
    </row>
    <row r="194" spans="1:23" ht="55.5" customHeight="1">
      <c r="A194" s="68"/>
      <c r="B194" s="68"/>
      <c r="C194" s="67" t="s">
        <v>152</v>
      </c>
      <c r="D194" s="67" t="s">
        <v>152</v>
      </c>
      <c r="E194" s="32"/>
      <c r="F194" s="28">
        <f t="shared" si="13"/>
        <v>0</v>
      </c>
      <c r="G194" s="60"/>
      <c r="H194" s="32"/>
      <c r="I194" s="28">
        <f t="shared" si="14"/>
        <v>0</v>
      </c>
      <c r="J194" s="38">
        <v>50000</v>
      </c>
      <c r="K194" s="38"/>
      <c r="L194" s="38">
        <f t="shared" si="17"/>
        <v>50000</v>
      </c>
      <c r="M194" s="10">
        <f t="shared" si="15"/>
        <v>50</v>
      </c>
      <c r="N194" s="103"/>
      <c r="S194" s="39"/>
      <c r="W194" s="61"/>
    </row>
    <row r="195" spans="1:23" ht="34.5" customHeight="1">
      <c r="A195" s="68"/>
      <c r="B195" s="68"/>
      <c r="C195" s="67" t="s">
        <v>165</v>
      </c>
      <c r="D195" s="67" t="s">
        <v>165</v>
      </c>
      <c r="E195" s="32"/>
      <c r="F195" s="28">
        <f t="shared" si="13"/>
        <v>0</v>
      </c>
      <c r="G195" s="60"/>
      <c r="H195" s="32"/>
      <c r="I195" s="28">
        <f t="shared" si="14"/>
        <v>0</v>
      </c>
      <c r="J195" s="38">
        <f>750000-100000</f>
        <v>650000</v>
      </c>
      <c r="K195" s="38"/>
      <c r="L195" s="38">
        <f t="shared" si="17"/>
        <v>650000</v>
      </c>
      <c r="M195" s="10">
        <f t="shared" si="15"/>
        <v>650</v>
      </c>
      <c r="N195" s="103"/>
      <c r="S195" s="39"/>
      <c r="W195" s="61"/>
    </row>
    <row r="196" spans="1:23" ht="34.5" customHeight="1">
      <c r="A196" s="68"/>
      <c r="B196" s="68"/>
      <c r="C196" s="67" t="s">
        <v>128</v>
      </c>
      <c r="D196" s="67" t="s">
        <v>128</v>
      </c>
      <c r="E196" s="32"/>
      <c r="F196" s="28">
        <f t="shared" si="13"/>
        <v>0</v>
      </c>
      <c r="G196" s="60"/>
      <c r="H196" s="32"/>
      <c r="I196" s="28">
        <f t="shared" si="14"/>
        <v>0</v>
      </c>
      <c r="J196" s="38">
        <f>4400000-2000000</f>
        <v>2400000</v>
      </c>
      <c r="K196" s="38"/>
      <c r="L196" s="38">
        <f t="shared" si="17"/>
        <v>2400000</v>
      </c>
      <c r="M196" s="10">
        <f t="shared" si="15"/>
        <v>2400</v>
      </c>
      <c r="N196" s="103"/>
      <c r="S196" s="39"/>
      <c r="W196" s="61"/>
    </row>
    <row r="197" spans="1:23" ht="34.5" customHeight="1">
      <c r="A197" s="68"/>
      <c r="B197" s="68"/>
      <c r="C197" s="67" t="s">
        <v>61</v>
      </c>
      <c r="D197" s="67" t="s">
        <v>61</v>
      </c>
      <c r="E197" s="32">
        <v>6201766</v>
      </c>
      <c r="F197" s="28">
        <f t="shared" si="13"/>
        <v>6201.8</v>
      </c>
      <c r="G197" s="60">
        <v>48.4</v>
      </c>
      <c r="H197" s="32">
        <v>3001766</v>
      </c>
      <c r="I197" s="28">
        <f t="shared" si="14"/>
        <v>3001.8</v>
      </c>
      <c r="J197" s="38">
        <f>3000000-1000000+0.94</f>
        <v>2000000.94</v>
      </c>
      <c r="K197" s="38"/>
      <c r="L197" s="38">
        <f t="shared" si="17"/>
        <v>2000000.94</v>
      </c>
      <c r="M197" s="10">
        <f t="shared" si="15"/>
        <v>2000</v>
      </c>
      <c r="N197" s="103"/>
      <c r="S197" s="39"/>
      <c r="W197" s="61"/>
    </row>
    <row r="198" spans="1:23" ht="34.5" customHeight="1">
      <c r="A198" s="68"/>
      <c r="B198" s="68"/>
      <c r="C198" s="67" t="s">
        <v>32</v>
      </c>
      <c r="D198" s="67" t="s">
        <v>32</v>
      </c>
      <c r="E198" s="32">
        <v>4276667</v>
      </c>
      <c r="F198" s="28">
        <f t="shared" si="13"/>
        <v>4276.7</v>
      </c>
      <c r="G198" s="60">
        <v>75.4</v>
      </c>
      <c r="H198" s="32">
        <v>3225583</v>
      </c>
      <c r="I198" s="28">
        <f t="shared" si="14"/>
        <v>3225.6</v>
      </c>
      <c r="J198" s="38">
        <v>3200000</v>
      </c>
      <c r="K198" s="38"/>
      <c r="L198" s="38">
        <f aca="true" t="shared" si="18" ref="L198:L216">K198+J198</f>
        <v>3200000</v>
      </c>
      <c r="M198" s="10">
        <f t="shared" si="15"/>
        <v>3200</v>
      </c>
      <c r="N198" s="103"/>
      <c r="S198" s="39"/>
      <c r="W198" s="61"/>
    </row>
    <row r="199" spans="1:23" ht="34.5" customHeight="1">
      <c r="A199" s="68"/>
      <c r="B199" s="68"/>
      <c r="C199" s="67" t="s">
        <v>120</v>
      </c>
      <c r="D199" s="67" t="s">
        <v>120</v>
      </c>
      <c r="E199" s="32">
        <v>3442904</v>
      </c>
      <c r="F199" s="28">
        <f t="shared" si="13"/>
        <v>3442.9</v>
      </c>
      <c r="G199" s="60">
        <v>98.3</v>
      </c>
      <c r="H199" s="32">
        <v>3382909</v>
      </c>
      <c r="I199" s="28">
        <f t="shared" si="14"/>
        <v>3382.9</v>
      </c>
      <c r="J199" s="38">
        <f>1000000+2636000</f>
        <v>3636000</v>
      </c>
      <c r="K199" s="38"/>
      <c r="L199" s="38">
        <f t="shared" si="18"/>
        <v>3636000</v>
      </c>
      <c r="M199" s="10">
        <f t="shared" si="15"/>
        <v>3636</v>
      </c>
      <c r="N199" s="103"/>
      <c r="S199" s="39"/>
      <c r="W199" s="61"/>
    </row>
    <row r="200" spans="1:23" ht="34.5" customHeight="1">
      <c r="A200" s="68"/>
      <c r="B200" s="68"/>
      <c r="C200" s="67" t="s">
        <v>122</v>
      </c>
      <c r="D200" s="67" t="s">
        <v>122</v>
      </c>
      <c r="E200" s="32">
        <v>25831121</v>
      </c>
      <c r="F200" s="28">
        <f t="shared" si="13"/>
        <v>25831.1</v>
      </c>
      <c r="G200" s="60"/>
      <c r="H200" s="32">
        <v>25831121</v>
      </c>
      <c r="I200" s="28">
        <f t="shared" si="14"/>
        <v>25831.1</v>
      </c>
      <c r="J200" s="38">
        <f>1000000+1000000-1500000</f>
        <v>500000</v>
      </c>
      <c r="K200" s="38"/>
      <c r="L200" s="38">
        <f t="shared" si="18"/>
        <v>500000</v>
      </c>
      <c r="M200" s="10">
        <f t="shared" si="15"/>
        <v>500</v>
      </c>
      <c r="N200" s="103"/>
      <c r="S200" s="39"/>
      <c r="W200" s="61"/>
    </row>
    <row r="201" spans="1:23" ht="34.5" customHeight="1">
      <c r="A201" s="68"/>
      <c r="B201" s="68"/>
      <c r="C201" s="67" t="s">
        <v>121</v>
      </c>
      <c r="D201" s="67" t="s">
        <v>121</v>
      </c>
      <c r="E201" s="32"/>
      <c r="F201" s="28">
        <f t="shared" si="13"/>
        <v>0</v>
      </c>
      <c r="G201" s="60"/>
      <c r="H201" s="32"/>
      <c r="I201" s="28">
        <f t="shared" si="14"/>
        <v>0</v>
      </c>
      <c r="J201" s="38">
        <v>1000000</v>
      </c>
      <c r="K201" s="38"/>
      <c r="L201" s="38">
        <f t="shared" si="18"/>
        <v>1000000</v>
      </c>
      <c r="M201" s="10">
        <f t="shared" si="15"/>
        <v>1000</v>
      </c>
      <c r="N201" s="103"/>
      <c r="S201" s="39"/>
      <c r="W201" s="61"/>
    </row>
    <row r="202" spans="1:23" ht="34.5" customHeight="1">
      <c r="A202" s="68"/>
      <c r="B202" s="68"/>
      <c r="C202" s="67" t="s">
        <v>126</v>
      </c>
      <c r="D202" s="67" t="s">
        <v>126</v>
      </c>
      <c r="E202" s="32"/>
      <c r="F202" s="28">
        <f t="shared" si="13"/>
        <v>0</v>
      </c>
      <c r="G202" s="60"/>
      <c r="H202" s="32"/>
      <c r="I202" s="28">
        <f t="shared" si="14"/>
        <v>0</v>
      </c>
      <c r="J202" s="38">
        <f>1000000+500000-150000</f>
        <v>1350000</v>
      </c>
      <c r="K202" s="38"/>
      <c r="L202" s="38">
        <f t="shared" si="18"/>
        <v>1350000</v>
      </c>
      <c r="M202" s="10">
        <f t="shared" si="15"/>
        <v>1350</v>
      </c>
      <c r="N202" s="103"/>
      <c r="S202" s="39"/>
      <c r="W202" s="61"/>
    </row>
    <row r="203" spans="1:23" ht="34.5" customHeight="1">
      <c r="A203" s="68"/>
      <c r="B203" s="68"/>
      <c r="C203" s="67" t="s">
        <v>100</v>
      </c>
      <c r="D203" s="67" t="s">
        <v>100</v>
      </c>
      <c r="E203" s="32">
        <v>2997994</v>
      </c>
      <c r="F203" s="70">
        <f aca="true" t="shared" si="19" ref="F203:F235">ROUND(E203/1000,1)</f>
        <v>2998</v>
      </c>
      <c r="G203" s="60">
        <v>99.2</v>
      </c>
      <c r="H203" s="32">
        <v>2977690</v>
      </c>
      <c r="I203" s="28">
        <f t="shared" si="14"/>
        <v>2977.7</v>
      </c>
      <c r="J203" s="38">
        <v>1900000</v>
      </c>
      <c r="K203" s="38"/>
      <c r="L203" s="38">
        <f t="shared" si="18"/>
        <v>1900000</v>
      </c>
      <c r="M203" s="10">
        <f t="shared" si="15"/>
        <v>1900</v>
      </c>
      <c r="N203" s="103"/>
      <c r="S203" s="39"/>
      <c r="W203" s="61"/>
    </row>
    <row r="204" spans="1:23" ht="34.5" customHeight="1">
      <c r="A204" s="68"/>
      <c r="B204" s="68"/>
      <c r="C204" s="67" t="s">
        <v>123</v>
      </c>
      <c r="D204" s="67" t="s">
        <v>123</v>
      </c>
      <c r="E204" s="32"/>
      <c r="F204" s="8">
        <f t="shared" si="19"/>
        <v>0</v>
      </c>
      <c r="G204" s="60"/>
      <c r="H204" s="32"/>
      <c r="I204" s="8">
        <f aca="true" t="shared" si="20" ref="I204:I235">ROUND(H204/1000,1)</f>
        <v>0</v>
      </c>
      <c r="J204" s="38">
        <f>200000+250000+500000+600000</f>
        <v>1550000</v>
      </c>
      <c r="K204" s="38"/>
      <c r="L204" s="38">
        <f t="shared" si="18"/>
        <v>1550000</v>
      </c>
      <c r="M204" s="10">
        <f t="shared" si="15"/>
        <v>1550</v>
      </c>
      <c r="N204" s="103"/>
      <c r="S204" s="39"/>
      <c r="W204" s="61"/>
    </row>
    <row r="205" spans="1:23" ht="34.5" customHeight="1">
      <c r="A205" s="68"/>
      <c r="B205" s="68"/>
      <c r="C205" s="67" t="s">
        <v>111</v>
      </c>
      <c r="D205" s="67" t="s">
        <v>111</v>
      </c>
      <c r="E205" s="32"/>
      <c r="F205" s="8">
        <f t="shared" si="19"/>
        <v>0</v>
      </c>
      <c r="G205" s="60"/>
      <c r="H205" s="32"/>
      <c r="I205" s="8">
        <f t="shared" si="20"/>
        <v>0</v>
      </c>
      <c r="J205" s="38">
        <f>150000-45000</f>
        <v>105000</v>
      </c>
      <c r="K205" s="38"/>
      <c r="L205" s="38">
        <f t="shared" si="18"/>
        <v>105000</v>
      </c>
      <c r="M205" s="10">
        <f aca="true" t="shared" si="21" ref="M205:M234">ROUND(L205/1000,1)</f>
        <v>105</v>
      </c>
      <c r="N205" s="103"/>
      <c r="S205" s="39"/>
      <c r="W205" s="61"/>
    </row>
    <row r="206" spans="1:23" ht="34.5" customHeight="1">
      <c r="A206" s="68"/>
      <c r="B206" s="68"/>
      <c r="C206" s="67" t="s">
        <v>151</v>
      </c>
      <c r="D206" s="67" t="s">
        <v>151</v>
      </c>
      <c r="E206" s="32"/>
      <c r="F206" s="8">
        <f t="shared" si="19"/>
        <v>0</v>
      </c>
      <c r="G206" s="60"/>
      <c r="H206" s="32"/>
      <c r="I206" s="8">
        <f t="shared" si="20"/>
        <v>0</v>
      </c>
      <c r="J206" s="38">
        <v>50000</v>
      </c>
      <c r="K206" s="38"/>
      <c r="L206" s="38">
        <f t="shared" si="18"/>
        <v>50000</v>
      </c>
      <c r="M206" s="10">
        <f t="shared" si="21"/>
        <v>50</v>
      </c>
      <c r="N206" s="103"/>
      <c r="S206" s="39"/>
      <c r="W206" s="61"/>
    </row>
    <row r="207" spans="1:23" ht="34.5" customHeight="1">
      <c r="A207" s="68"/>
      <c r="B207" s="68"/>
      <c r="C207" s="67" t="s">
        <v>150</v>
      </c>
      <c r="D207" s="67" t="s">
        <v>150</v>
      </c>
      <c r="E207" s="32"/>
      <c r="F207" s="8">
        <f t="shared" si="19"/>
        <v>0</v>
      </c>
      <c r="G207" s="60"/>
      <c r="H207" s="32"/>
      <c r="I207" s="8">
        <f t="shared" si="20"/>
        <v>0</v>
      </c>
      <c r="J207" s="38">
        <f>981000+350000</f>
        <v>1331000</v>
      </c>
      <c r="K207" s="38"/>
      <c r="L207" s="38">
        <f t="shared" si="18"/>
        <v>1331000</v>
      </c>
      <c r="M207" s="10">
        <f t="shared" si="21"/>
        <v>1331</v>
      </c>
      <c r="N207" s="103"/>
      <c r="S207" s="39"/>
      <c r="W207" s="61"/>
    </row>
    <row r="208" spans="1:23" ht="34.5" customHeight="1">
      <c r="A208" s="68"/>
      <c r="B208" s="68"/>
      <c r="C208" s="67" t="s">
        <v>170</v>
      </c>
      <c r="D208" s="67" t="s">
        <v>170</v>
      </c>
      <c r="E208" s="32"/>
      <c r="F208" s="8">
        <f t="shared" si="19"/>
        <v>0</v>
      </c>
      <c r="G208" s="60"/>
      <c r="H208" s="32"/>
      <c r="I208" s="8">
        <f t="shared" si="20"/>
        <v>0</v>
      </c>
      <c r="J208" s="38">
        <f>200000+500000+520000</f>
        <v>1220000</v>
      </c>
      <c r="K208" s="38"/>
      <c r="L208" s="38">
        <f t="shared" si="18"/>
        <v>1220000</v>
      </c>
      <c r="M208" s="10">
        <f t="shared" si="21"/>
        <v>1220</v>
      </c>
      <c r="N208" s="103"/>
      <c r="S208" s="39"/>
      <c r="W208" s="61"/>
    </row>
    <row r="209" spans="1:23" ht="34.5" customHeight="1">
      <c r="A209" s="68"/>
      <c r="B209" s="68"/>
      <c r="C209" s="67" t="s">
        <v>149</v>
      </c>
      <c r="D209" s="67" t="s">
        <v>149</v>
      </c>
      <c r="E209" s="32"/>
      <c r="F209" s="8">
        <f t="shared" si="19"/>
        <v>0</v>
      </c>
      <c r="G209" s="60"/>
      <c r="H209" s="32"/>
      <c r="I209" s="8">
        <f t="shared" si="20"/>
        <v>0</v>
      </c>
      <c r="J209" s="38">
        <v>530000</v>
      </c>
      <c r="K209" s="38"/>
      <c r="L209" s="38">
        <f t="shared" si="18"/>
        <v>530000</v>
      </c>
      <c r="M209" s="10">
        <f t="shared" si="21"/>
        <v>530</v>
      </c>
      <c r="N209" s="103"/>
      <c r="S209" s="39"/>
      <c r="W209" s="61"/>
    </row>
    <row r="210" spans="1:23" ht="45" customHeight="1">
      <c r="A210" s="68"/>
      <c r="B210" s="68"/>
      <c r="C210" s="67" t="s">
        <v>164</v>
      </c>
      <c r="D210" s="67" t="s">
        <v>164</v>
      </c>
      <c r="E210" s="32"/>
      <c r="F210" s="8">
        <f t="shared" si="19"/>
        <v>0</v>
      </c>
      <c r="G210" s="60"/>
      <c r="H210" s="32"/>
      <c r="I210" s="8">
        <f t="shared" si="20"/>
        <v>0</v>
      </c>
      <c r="J210" s="38">
        <f>500000+69000</f>
        <v>569000</v>
      </c>
      <c r="K210" s="38">
        <v>100000</v>
      </c>
      <c r="L210" s="38">
        <f t="shared" si="18"/>
        <v>669000</v>
      </c>
      <c r="M210" s="10">
        <f t="shared" si="21"/>
        <v>669</v>
      </c>
      <c r="N210" s="103"/>
      <c r="S210" s="56"/>
      <c r="W210" s="61"/>
    </row>
    <row r="211" spans="1:23" ht="45" customHeight="1">
      <c r="A211" s="68"/>
      <c r="B211" s="68"/>
      <c r="C211" s="67" t="s">
        <v>195</v>
      </c>
      <c r="D211" s="67" t="s">
        <v>195</v>
      </c>
      <c r="E211" s="32"/>
      <c r="F211" s="8">
        <f t="shared" si="19"/>
        <v>0</v>
      </c>
      <c r="G211" s="60"/>
      <c r="H211" s="32"/>
      <c r="I211" s="8">
        <f t="shared" si="20"/>
        <v>0</v>
      </c>
      <c r="J211" s="38">
        <v>100000</v>
      </c>
      <c r="K211" s="38"/>
      <c r="L211" s="38">
        <f t="shared" si="18"/>
        <v>100000</v>
      </c>
      <c r="M211" s="10">
        <f t="shared" si="21"/>
        <v>100</v>
      </c>
      <c r="N211" s="103"/>
      <c r="S211" s="39"/>
      <c r="W211" s="61"/>
    </row>
    <row r="212" spans="1:23" ht="45" customHeight="1">
      <c r="A212" s="68"/>
      <c r="B212" s="68"/>
      <c r="C212" s="67" t="s">
        <v>153</v>
      </c>
      <c r="D212" s="67" t="s">
        <v>153</v>
      </c>
      <c r="E212" s="32"/>
      <c r="F212" s="8">
        <f t="shared" si="19"/>
        <v>0</v>
      </c>
      <c r="G212" s="60"/>
      <c r="H212" s="32"/>
      <c r="I212" s="8">
        <f t="shared" si="20"/>
        <v>0</v>
      </c>
      <c r="J212" s="38">
        <v>40000</v>
      </c>
      <c r="K212" s="38"/>
      <c r="L212" s="38">
        <f t="shared" si="18"/>
        <v>40000</v>
      </c>
      <c r="M212" s="10">
        <f t="shared" si="21"/>
        <v>40</v>
      </c>
      <c r="N212" s="103"/>
      <c r="S212" s="39"/>
      <c r="W212" s="61"/>
    </row>
    <row r="213" spans="1:23" ht="37.5" customHeight="1">
      <c r="A213" s="68"/>
      <c r="B213" s="68"/>
      <c r="C213" s="67" t="s">
        <v>276</v>
      </c>
      <c r="D213" s="67"/>
      <c r="E213" s="32"/>
      <c r="F213" s="8"/>
      <c r="G213" s="60"/>
      <c r="H213" s="32"/>
      <c r="I213" s="8"/>
      <c r="J213" s="38"/>
      <c r="K213" s="38"/>
      <c r="L213" s="38"/>
      <c r="M213" s="10">
        <v>50</v>
      </c>
      <c r="N213" s="103"/>
      <c r="S213" s="39"/>
      <c r="W213" s="61"/>
    </row>
    <row r="214" spans="1:23" ht="90" customHeight="1">
      <c r="A214" s="68"/>
      <c r="B214" s="68"/>
      <c r="C214" s="67" t="s">
        <v>213</v>
      </c>
      <c r="D214" s="67" t="s">
        <v>213</v>
      </c>
      <c r="E214" s="32"/>
      <c r="F214" s="8">
        <f t="shared" si="19"/>
        <v>0</v>
      </c>
      <c r="G214" s="60"/>
      <c r="H214" s="32"/>
      <c r="I214" s="8">
        <f t="shared" si="20"/>
        <v>0</v>
      </c>
      <c r="J214" s="38">
        <v>40000</v>
      </c>
      <c r="K214" s="38"/>
      <c r="L214" s="38">
        <f t="shared" si="18"/>
        <v>40000</v>
      </c>
      <c r="M214" s="10">
        <f t="shared" si="21"/>
        <v>40</v>
      </c>
      <c r="N214" s="103"/>
      <c r="S214" s="39"/>
      <c r="W214" s="61"/>
    </row>
    <row r="215" spans="1:23" ht="40.5" customHeight="1">
      <c r="A215" s="68"/>
      <c r="B215" s="68"/>
      <c r="C215" s="67" t="s">
        <v>185</v>
      </c>
      <c r="D215" s="67" t="s">
        <v>185</v>
      </c>
      <c r="E215" s="32"/>
      <c r="F215" s="8">
        <f t="shared" si="19"/>
        <v>0</v>
      </c>
      <c r="G215" s="60"/>
      <c r="H215" s="32"/>
      <c r="I215" s="8">
        <f t="shared" si="20"/>
        <v>0</v>
      </c>
      <c r="J215" s="38">
        <v>11500</v>
      </c>
      <c r="K215" s="38"/>
      <c r="L215" s="38">
        <f t="shared" si="18"/>
        <v>11500</v>
      </c>
      <c r="M215" s="10">
        <f t="shared" si="21"/>
        <v>11.5</v>
      </c>
      <c r="N215" s="103"/>
      <c r="S215" s="39"/>
      <c r="W215" s="74"/>
    </row>
    <row r="216" spans="1:23" ht="29.25" customHeight="1">
      <c r="A216" s="28">
        <v>150118</v>
      </c>
      <c r="B216" s="36">
        <v>1062</v>
      </c>
      <c r="C216" s="30" t="s">
        <v>231</v>
      </c>
      <c r="D216" s="37" t="s">
        <v>11</v>
      </c>
      <c r="E216" s="32"/>
      <c r="F216" s="8">
        <f t="shared" si="19"/>
        <v>0</v>
      </c>
      <c r="G216" s="60"/>
      <c r="H216" s="32"/>
      <c r="I216" s="8">
        <f t="shared" si="20"/>
        <v>0</v>
      </c>
      <c r="J216" s="38">
        <v>500000</v>
      </c>
      <c r="K216" s="38"/>
      <c r="L216" s="38">
        <f t="shared" si="18"/>
        <v>500000</v>
      </c>
      <c r="M216" s="9">
        <f t="shared" si="21"/>
        <v>500</v>
      </c>
      <c r="N216" s="103"/>
      <c r="S216" s="39"/>
      <c r="W216" s="75"/>
    </row>
    <row r="217" spans="1:152" s="26" customFormat="1" ht="27.75" customHeight="1">
      <c r="A217" s="24">
        <v>150201</v>
      </c>
      <c r="B217" s="29" t="s">
        <v>75</v>
      </c>
      <c r="C217" s="30" t="s">
        <v>249</v>
      </c>
      <c r="D217" s="76"/>
      <c r="E217" s="16"/>
      <c r="F217" s="8">
        <f t="shared" si="19"/>
        <v>0</v>
      </c>
      <c r="G217" s="72"/>
      <c r="H217" s="16"/>
      <c r="I217" s="8">
        <f t="shared" si="20"/>
        <v>0</v>
      </c>
      <c r="J217" s="33">
        <f>J218+J219</f>
        <v>270000</v>
      </c>
      <c r="K217" s="33">
        <f>K218+K219</f>
        <v>0</v>
      </c>
      <c r="L217" s="33">
        <f>L218+L219</f>
        <v>270000</v>
      </c>
      <c r="M217" s="9">
        <f>M218+M219</f>
        <v>270</v>
      </c>
      <c r="N217" s="103"/>
      <c r="O217" s="18"/>
      <c r="P217" s="18"/>
      <c r="Q217" s="18"/>
      <c r="R217" s="25"/>
      <c r="S217" s="39"/>
      <c r="T217" s="25"/>
      <c r="U217" s="25"/>
      <c r="V217" s="25"/>
      <c r="W217" s="7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</row>
    <row r="218" spans="1:152" s="82" customFormat="1" ht="29.25" customHeight="1">
      <c r="A218" s="42"/>
      <c r="B218" s="77"/>
      <c r="C218" s="78" t="s">
        <v>175</v>
      </c>
      <c r="D218" s="78" t="s">
        <v>175</v>
      </c>
      <c r="E218" s="79"/>
      <c r="F218" s="45">
        <f t="shared" si="19"/>
        <v>0</v>
      </c>
      <c r="G218" s="80"/>
      <c r="H218" s="79"/>
      <c r="I218" s="45">
        <f t="shared" si="20"/>
        <v>0</v>
      </c>
      <c r="J218" s="46">
        <v>200000</v>
      </c>
      <c r="K218" s="46"/>
      <c r="L218" s="46">
        <v>200000</v>
      </c>
      <c r="M218" s="11">
        <f t="shared" si="21"/>
        <v>200</v>
      </c>
      <c r="N218" s="103"/>
      <c r="O218" s="25"/>
      <c r="P218" s="25"/>
      <c r="Q218" s="25"/>
      <c r="R218" s="81"/>
      <c r="S218" s="39"/>
      <c r="T218" s="81"/>
      <c r="U218" s="81"/>
      <c r="V218" s="81"/>
      <c r="W218" s="6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  <c r="DQ218" s="81"/>
      <c r="DR218" s="81"/>
      <c r="DS218" s="81"/>
      <c r="DT218" s="81"/>
      <c r="DU218" s="81"/>
      <c r="DV218" s="81"/>
      <c r="DW218" s="81"/>
      <c r="DX218" s="81"/>
      <c r="DY218" s="81"/>
      <c r="DZ218" s="81"/>
      <c r="EA218" s="81"/>
      <c r="EB218" s="81"/>
      <c r="EC218" s="81"/>
      <c r="ED218" s="81"/>
      <c r="EE218" s="81"/>
      <c r="EF218" s="81"/>
      <c r="EG218" s="81"/>
      <c r="EH218" s="81"/>
      <c r="EI218" s="81"/>
      <c r="EJ218" s="81"/>
      <c r="EK218" s="81"/>
      <c r="EL218" s="81"/>
      <c r="EM218" s="81"/>
      <c r="EN218" s="81"/>
      <c r="EO218" s="81"/>
      <c r="EP218" s="81"/>
      <c r="EQ218" s="81"/>
      <c r="ER218" s="81"/>
      <c r="ES218" s="81"/>
      <c r="ET218" s="81"/>
      <c r="EU218" s="81"/>
      <c r="EV218" s="81"/>
    </row>
    <row r="219" spans="1:152" s="82" customFormat="1" ht="27" customHeight="1">
      <c r="A219" s="42"/>
      <c r="B219" s="77"/>
      <c r="C219" s="78" t="s">
        <v>223</v>
      </c>
      <c r="D219" s="78" t="s">
        <v>223</v>
      </c>
      <c r="E219" s="79"/>
      <c r="F219" s="45">
        <f t="shared" si="19"/>
        <v>0</v>
      </c>
      <c r="G219" s="80"/>
      <c r="H219" s="79"/>
      <c r="I219" s="45">
        <f t="shared" si="20"/>
        <v>0</v>
      </c>
      <c r="J219" s="46">
        <v>70000</v>
      </c>
      <c r="K219" s="46"/>
      <c r="L219" s="46">
        <f>K219+J219</f>
        <v>70000</v>
      </c>
      <c r="M219" s="11">
        <f t="shared" si="21"/>
        <v>70</v>
      </c>
      <c r="N219" s="103"/>
      <c r="O219" s="81"/>
      <c r="P219" s="81"/>
      <c r="Q219" s="81"/>
      <c r="R219" s="81"/>
      <c r="S219" s="39"/>
      <c r="T219" s="81"/>
      <c r="U219" s="81"/>
      <c r="V219" s="81"/>
      <c r="W219" s="75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  <c r="DK219" s="81"/>
      <c r="DL219" s="81"/>
      <c r="DM219" s="81"/>
      <c r="DN219" s="81"/>
      <c r="DO219" s="81"/>
      <c r="DP219" s="81"/>
      <c r="DQ219" s="81"/>
      <c r="DR219" s="81"/>
      <c r="DS219" s="81"/>
      <c r="DT219" s="81"/>
      <c r="DU219" s="81"/>
      <c r="DV219" s="81"/>
      <c r="DW219" s="81"/>
      <c r="DX219" s="81"/>
      <c r="DY219" s="81"/>
      <c r="DZ219" s="81"/>
      <c r="EA219" s="81"/>
      <c r="EB219" s="81"/>
      <c r="EC219" s="81"/>
      <c r="ED219" s="81"/>
      <c r="EE219" s="81"/>
      <c r="EF219" s="81"/>
      <c r="EG219" s="81"/>
      <c r="EH219" s="81"/>
      <c r="EI219" s="81"/>
      <c r="EJ219" s="81"/>
      <c r="EK219" s="81"/>
      <c r="EL219" s="81"/>
      <c r="EM219" s="81"/>
      <c r="EN219" s="81"/>
      <c r="EO219" s="81"/>
      <c r="EP219" s="81"/>
      <c r="EQ219" s="81"/>
      <c r="ER219" s="81"/>
      <c r="ES219" s="81"/>
      <c r="ET219" s="81"/>
      <c r="EU219" s="81"/>
      <c r="EV219" s="81"/>
    </row>
    <row r="220" spans="1:23" ht="45" customHeight="1">
      <c r="A220" s="28">
        <v>180409</v>
      </c>
      <c r="B220" s="36" t="s">
        <v>77</v>
      </c>
      <c r="C220" s="31" t="s">
        <v>242</v>
      </c>
      <c r="D220" s="67" t="s">
        <v>139</v>
      </c>
      <c r="E220" s="32"/>
      <c r="F220" s="8">
        <f t="shared" si="19"/>
        <v>0</v>
      </c>
      <c r="G220" s="60"/>
      <c r="H220" s="32"/>
      <c r="I220" s="8">
        <f t="shared" si="20"/>
        <v>0</v>
      </c>
      <c r="J220" s="38">
        <f>12000000+5798800</f>
        <v>17798800</v>
      </c>
      <c r="K220" s="38"/>
      <c r="L220" s="38">
        <f>K220+J220</f>
        <v>17798800</v>
      </c>
      <c r="M220" s="10">
        <f t="shared" si="21"/>
        <v>17798.8</v>
      </c>
      <c r="N220" s="103"/>
      <c r="O220" s="81"/>
      <c r="P220" s="81"/>
      <c r="Q220" s="81"/>
      <c r="S220" s="39"/>
      <c r="W220" s="14"/>
    </row>
    <row r="221" spans="1:152" s="82" customFormat="1" ht="26.25" customHeight="1">
      <c r="A221" s="42"/>
      <c r="B221" s="77"/>
      <c r="C221" s="78" t="s">
        <v>139</v>
      </c>
      <c r="D221" s="78"/>
      <c r="E221" s="79"/>
      <c r="F221" s="45">
        <f t="shared" si="19"/>
        <v>0</v>
      </c>
      <c r="G221" s="80"/>
      <c r="H221" s="79"/>
      <c r="I221" s="45">
        <f t="shared" si="20"/>
        <v>0</v>
      </c>
      <c r="J221" s="46">
        <f>12000000+5798800</f>
        <v>17798800</v>
      </c>
      <c r="K221" s="46"/>
      <c r="L221" s="46">
        <f>K221+J221</f>
        <v>17798800</v>
      </c>
      <c r="M221" s="11">
        <f t="shared" si="21"/>
        <v>17798.8</v>
      </c>
      <c r="N221" s="103"/>
      <c r="O221" s="18"/>
      <c r="P221" s="18"/>
      <c r="Q221" s="18"/>
      <c r="R221" s="81"/>
      <c r="S221" s="39"/>
      <c r="T221" s="81"/>
      <c r="U221" s="81"/>
      <c r="V221" s="81"/>
      <c r="W221" s="14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  <c r="DO221" s="81"/>
      <c r="DP221" s="81"/>
      <c r="DQ221" s="81"/>
      <c r="DR221" s="81"/>
      <c r="DS221" s="81"/>
      <c r="DT221" s="81"/>
      <c r="DU221" s="81"/>
      <c r="DV221" s="81"/>
      <c r="DW221" s="81"/>
      <c r="DX221" s="81"/>
      <c r="DY221" s="81"/>
      <c r="DZ221" s="81"/>
      <c r="EA221" s="81"/>
      <c r="EB221" s="81"/>
      <c r="EC221" s="81"/>
      <c r="ED221" s="81"/>
      <c r="EE221" s="81"/>
      <c r="EF221" s="81"/>
      <c r="EG221" s="81"/>
      <c r="EH221" s="81"/>
      <c r="EI221" s="81"/>
      <c r="EJ221" s="81"/>
      <c r="EK221" s="81"/>
      <c r="EL221" s="81"/>
      <c r="EM221" s="81"/>
      <c r="EN221" s="81"/>
      <c r="EO221" s="81"/>
      <c r="EP221" s="81"/>
      <c r="EQ221" s="81"/>
      <c r="ER221" s="81"/>
      <c r="ES221" s="81"/>
      <c r="ET221" s="81"/>
      <c r="EU221" s="81"/>
      <c r="EV221" s="81"/>
    </row>
    <row r="222" spans="1:153" s="41" customFormat="1" ht="27.75" customHeight="1">
      <c r="A222" s="29"/>
      <c r="B222" s="29"/>
      <c r="C222" s="83" t="s">
        <v>250</v>
      </c>
      <c r="D222" s="64"/>
      <c r="E222" s="16"/>
      <c r="F222" s="8">
        <f t="shared" si="19"/>
        <v>0</v>
      </c>
      <c r="G222" s="72"/>
      <c r="H222" s="16"/>
      <c r="I222" s="8">
        <f t="shared" si="20"/>
        <v>0</v>
      </c>
      <c r="J222" s="33">
        <f>J223+J224</f>
        <v>37000</v>
      </c>
      <c r="K222" s="33">
        <f>K223+K224</f>
        <v>0</v>
      </c>
      <c r="L222" s="33">
        <f>L223+L224</f>
        <v>37000</v>
      </c>
      <c r="M222" s="12">
        <f>M223+M224</f>
        <v>37</v>
      </c>
      <c r="N222" s="103"/>
      <c r="O222" s="81"/>
      <c r="P222" s="81"/>
      <c r="Q222" s="81"/>
      <c r="R222" s="7"/>
      <c r="S222" s="39"/>
      <c r="T222" s="7"/>
      <c r="U222" s="7"/>
      <c r="V222" s="7"/>
      <c r="W222" s="14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52"/>
    </row>
    <row r="223" spans="1:153" s="41" customFormat="1" ht="20.25" customHeight="1">
      <c r="A223" s="36" t="s">
        <v>9</v>
      </c>
      <c r="B223" s="36" t="s">
        <v>74</v>
      </c>
      <c r="C223" s="31" t="s">
        <v>10</v>
      </c>
      <c r="D223" s="37" t="s">
        <v>11</v>
      </c>
      <c r="E223" s="32"/>
      <c r="F223" s="8">
        <f t="shared" si="19"/>
        <v>0</v>
      </c>
      <c r="G223" s="60"/>
      <c r="H223" s="32"/>
      <c r="I223" s="8">
        <f t="shared" si="20"/>
        <v>0</v>
      </c>
      <c r="J223" s="38">
        <f>250000-220000</f>
        <v>30000</v>
      </c>
      <c r="K223" s="84"/>
      <c r="L223" s="38">
        <f>K223+J223</f>
        <v>30000</v>
      </c>
      <c r="M223" s="10">
        <f t="shared" si="21"/>
        <v>30</v>
      </c>
      <c r="N223" s="103"/>
      <c r="O223" s="7"/>
      <c r="P223" s="7"/>
      <c r="Q223" s="7"/>
      <c r="R223" s="7"/>
      <c r="S223" s="39"/>
      <c r="T223" s="7"/>
      <c r="U223" s="7"/>
      <c r="V223" s="7"/>
      <c r="W223" s="14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52"/>
    </row>
    <row r="224" spans="1:23" s="7" customFormat="1" ht="20.25" customHeight="1">
      <c r="A224" s="36" t="s">
        <v>21</v>
      </c>
      <c r="B224" s="36" t="s">
        <v>93</v>
      </c>
      <c r="C224" s="31" t="s">
        <v>37</v>
      </c>
      <c r="D224" s="37" t="s">
        <v>11</v>
      </c>
      <c r="E224" s="32"/>
      <c r="F224" s="8">
        <f t="shared" si="19"/>
        <v>0</v>
      </c>
      <c r="G224" s="60"/>
      <c r="H224" s="32"/>
      <c r="I224" s="8">
        <f t="shared" si="20"/>
        <v>0</v>
      </c>
      <c r="J224" s="38">
        <f>148000-141000</f>
        <v>7000</v>
      </c>
      <c r="K224" s="84"/>
      <c r="L224" s="38">
        <f>K224+J224</f>
        <v>7000</v>
      </c>
      <c r="M224" s="10">
        <f t="shared" si="21"/>
        <v>7</v>
      </c>
      <c r="N224" s="103"/>
      <c r="S224" s="39"/>
      <c r="W224" s="14"/>
    </row>
    <row r="225" spans="1:153" s="41" customFormat="1" ht="26.25" customHeight="1">
      <c r="A225" s="29"/>
      <c r="B225" s="29"/>
      <c r="C225" s="83" t="s">
        <v>251</v>
      </c>
      <c r="D225" s="64"/>
      <c r="E225" s="16"/>
      <c r="F225" s="8">
        <f t="shared" si="19"/>
        <v>0</v>
      </c>
      <c r="G225" s="72"/>
      <c r="H225" s="16"/>
      <c r="I225" s="8">
        <f t="shared" si="20"/>
        <v>0</v>
      </c>
      <c r="J225" s="33">
        <f>J228+J226</f>
        <v>381500</v>
      </c>
      <c r="K225" s="33">
        <f>K228+K226</f>
        <v>0</v>
      </c>
      <c r="L225" s="33">
        <f>L228+L226</f>
        <v>381500</v>
      </c>
      <c r="M225" s="9">
        <f>M228+M226</f>
        <v>381.5</v>
      </c>
      <c r="N225" s="103"/>
      <c r="O225" s="7"/>
      <c r="P225" s="7"/>
      <c r="Q225" s="7"/>
      <c r="R225" s="7"/>
      <c r="S225" s="39"/>
      <c r="T225" s="7"/>
      <c r="U225" s="7"/>
      <c r="V225" s="7"/>
      <c r="W225" s="14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52"/>
    </row>
    <row r="226" spans="1:23" s="7" customFormat="1" ht="40.5" customHeight="1">
      <c r="A226" s="36" t="s">
        <v>171</v>
      </c>
      <c r="B226" s="36" t="s">
        <v>77</v>
      </c>
      <c r="C226" s="31" t="s">
        <v>242</v>
      </c>
      <c r="D226" s="31" t="s">
        <v>174</v>
      </c>
      <c r="E226" s="32"/>
      <c r="F226" s="8">
        <f t="shared" si="19"/>
        <v>0</v>
      </c>
      <c r="G226" s="60"/>
      <c r="H226" s="32"/>
      <c r="I226" s="8">
        <f t="shared" si="20"/>
        <v>0</v>
      </c>
      <c r="J226" s="38">
        <v>39000</v>
      </c>
      <c r="K226" s="38"/>
      <c r="L226" s="38">
        <f>K226+J226</f>
        <v>39000</v>
      </c>
      <c r="M226" s="10">
        <f t="shared" si="21"/>
        <v>39</v>
      </c>
      <c r="N226" s="103"/>
      <c r="S226" s="39"/>
      <c r="W226" s="48"/>
    </row>
    <row r="227" spans="1:23" s="47" customFormat="1" ht="34.5" customHeight="1">
      <c r="A227" s="77"/>
      <c r="B227" s="77"/>
      <c r="C227" s="43" t="s">
        <v>174</v>
      </c>
      <c r="D227" s="43"/>
      <c r="E227" s="79"/>
      <c r="F227" s="45">
        <f t="shared" si="19"/>
        <v>0</v>
      </c>
      <c r="G227" s="80"/>
      <c r="H227" s="79"/>
      <c r="I227" s="45">
        <f t="shared" si="20"/>
        <v>0</v>
      </c>
      <c r="J227" s="46">
        <v>39000</v>
      </c>
      <c r="K227" s="46"/>
      <c r="L227" s="46">
        <f>K227+J227</f>
        <v>39000</v>
      </c>
      <c r="M227" s="11">
        <f t="shared" si="21"/>
        <v>39</v>
      </c>
      <c r="N227" s="103"/>
      <c r="O227" s="7"/>
      <c r="P227" s="7"/>
      <c r="Q227" s="7"/>
      <c r="S227" s="39"/>
      <c r="W227" s="48"/>
    </row>
    <row r="228" spans="1:23" s="7" customFormat="1" ht="20.25" customHeight="1">
      <c r="A228" s="36" t="s">
        <v>169</v>
      </c>
      <c r="B228" s="36" t="s">
        <v>94</v>
      </c>
      <c r="C228" s="37" t="s">
        <v>20</v>
      </c>
      <c r="D228" s="37" t="s">
        <v>11</v>
      </c>
      <c r="E228" s="32"/>
      <c r="F228" s="8">
        <f t="shared" si="19"/>
        <v>0</v>
      </c>
      <c r="G228" s="60"/>
      <c r="H228" s="32"/>
      <c r="I228" s="8">
        <f t="shared" si="20"/>
        <v>0</v>
      </c>
      <c r="J228" s="38">
        <f>99500+243000</f>
        <v>342500</v>
      </c>
      <c r="K228" s="38"/>
      <c r="L228" s="38">
        <f>K228+J228</f>
        <v>342500</v>
      </c>
      <c r="M228" s="10">
        <f t="shared" si="21"/>
        <v>342.5</v>
      </c>
      <c r="N228" s="103"/>
      <c r="O228" s="47"/>
      <c r="P228" s="47"/>
      <c r="Q228" s="47"/>
      <c r="S228" s="39"/>
      <c r="W228" s="14"/>
    </row>
    <row r="229" spans="1:23" s="85" customFormat="1" ht="24" customHeight="1">
      <c r="A229" s="29"/>
      <c r="B229" s="29"/>
      <c r="C229" s="30" t="s">
        <v>252</v>
      </c>
      <c r="D229" s="64"/>
      <c r="E229" s="16"/>
      <c r="F229" s="8">
        <f t="shared" si="19"/>
        <v>0</v>
      </c>
      <c r="G229" s="72"/>
      <c r="H229" s="16"/>
      <c r="I229" s="8">
        <f t="shared" si="20"/>
        <v>0</v>
      </c>
      <c r="J229" s="33">
        <f>J230</f>
        <v>30000</v>
      </c>
      <c r="K229" s="33">
        <f>K230</f>
        <v>0</v>
      </c>
      <c r="L229" s="33">
        <f>L230</f>
        <v>30000</v>
      </c>
      <c r="M229" s="9">
        <f>M230</f>
        <v>30</v>
      </c>
      <c r="N229" s="103"/>
      <c r="O229" s="7"/>
      <c r="P229" s="7"/>
      <c r="Q229" s="7"/>
      <c r="S229" s="39"/>
      <c r="W229" s="86"/>
    </row>
    <row r="230" spans="1:23" s="7" customFormat="1" ht="20.25" customHeight="1">
      <c r="A230" s="36" t="s">
        <v>9</v>
      </c>
      <c r="B230" s="36" t="s">
        <v>74</v>
      </c>
      <c r="C230" s="31" t="s">
        <v>10</v>
      </c>
      <c r="D230" s="37" t="s">
        <v>11</v>
      </c>
      <c r="E230" s="32"/>
      <c r="F230" s="8">
        <f t="shared" si="19"/>
        <v>0</v>
      </c>
      <c r="G230" s="60"/>
      <c r="H230" s="32"/>
      <c r="I230" s="8">
        <f t="shared" si="20"/>
        <v>0</v>
      </c>
      <c r="J230" s="38">
        <v>30000</v>
      </c>
      <c r="K230" s="38"/>
      <c r="L230" s="38">
        <f>K230+J230</f>
        <v>30000</v>
      </c>
      <c r="M230" s="10">
        <f t="shared" si="21"/>
        <v>30</v>
      </c>
      <c r="N230" s="103"/>
      <c r="O230" s="85"/>
      <c r="P230" s="85"/>
      <c r="Q230" s="85"/>
      <c r="S230" s="39"/>
      <c r="W230" s="14"/>
    </row>
    <row r="231" spans="1:23" ht="29.25" customHeight="1">
      <c r="A231" s="87"/>
      <c r="B231" s="87"/>
      <c r="C231" s="83" t="s">
        <v>253</v>
      </c>
      <c r="D231" s="37"/>
      <c r="E231" s="88"/>
      <c r="F231" s="8">
        <f t="shared" si="19"/>
        <v>0</v>
      </c>
      <c r="G231" s="89"/>
      <c r="H231" s="88"/>
      <c r="I231" s="8">
        <f t="shared" si="20"/>
        <v>0</v>
      </c>
      <c r="J231" s="33">
        <f>J232</f>
        <v>64070</v>
      </c>
      <c r="K231" s="33">
        <f>K232</f>
        <v>0</v>
      </c>
      <c r="L231" s="33">
        <f>L232</f>
        <v>64070</v>
      </c>
      <c r="M231" s="12">
        <f>M232</f>
        <v>64.1</v>
      </c>
      <c r="N231" s="103"/>
      <c r="O231" s="7"/>
      <c r="P231" s="7"/>
      <c r="Q231" s="7"/>
      <c r="S231" s="39"/>
      <c r="W231" s="61"/>
    </row>
    <row r="232" spans="1:23" ht="20.25" customHeight="1">
      <c r="A232" s="36" t="s">
        <v>9</v>
      </c>
      <c r="B232" s="36" t="s">
        <v>74</v>
      </c>
      <c r="C232" s="37" t="s">
        <v>10</v>
      </c>
      <c r="D232" s="37" t="s">
        <v>19</v>
      </c>
      <c r="E232" s="88"/>
      <c r="F232" s="8">
        <f t="shared" si="19"/>
        <v>0</v>
      </c>
      <c r="G232" s="89"/>
      <c r="H232" s="88"/>
      <c r="I232" s="8">
        <f t="shared" si="20"/>
        <v>0</v>
      </c>
      <c r="J232" s="38">
        <f>52400+4670+7000</f>
        <v>64070</v>
      </c>
      <c r="K232" s="38"/>
      <c r="L232" s="38">
        <f>K232+J232</f>
        <v>64070</v>
      </c>
      <c r="M232" s="10">
        <f t="shared" si="21"/>
        <v>64.1</v>
      </c>
      <c r="N232" s="103"/>
      <c r="S232" s="39"/>
      <c r="W232" s="61"/>
    </row>
    <row r="233" spans="1:23" ht="44.25" customHeight="1">
      <c r="A233" s="87"/>
      <c r="B233" s="87"/>
      <c r="C233" s="83" t="s">
        <v>254</v>
      </c>
      <c r="D233" s="37"/>
      <c r="E233" s="88"/>
      <c r="F233" s="8">
        <f t="shared" si="19"/>
        <v>0</v>
      </c>
      <c r="G233" s="89"/>
      <c r="H233" s="88"/>
      <c r="I233" s="8">
        <f t="shared" si="20"/>
        <v>0</v>
      </c>
      <c r="J233" s="33">
        <f>J234</f>
        <v>709900</v>
      </c>
      <c r="K233" s="33">
        <f>K234</f>
        <v>0</v>
      </c>
      <c r="L233" s="33">
        <f>L234</f>
        <v>709900</v>
      </c>
      <c r="M233" s="12">
        <f>M234</f>
        <v>709.9</v>
      </c>
      <c r="N233" s="103"/>
      <c r="S233" s="39"/>
      <c r="W233" s="61"/>
    </row>
    <row r="234" spans="1:23" ht="20.25" customHeight="1">
      <c r="A234" s="90">
        <v>250380</v>
      </c>
      <c r="B234" s="36" t="s">
        <v>94</v>
      </c>
      <c r="C234" s="37" t="s">
        <v>20</v>
      </c>
      <c r="D234" s="37" t="s">
        <v>11</v>
      </c>
      <c r="E234" s="88"/>
      <c r="F234" s="8">
        <f t="shared" si="19"/>
        <v>0</v>
      </c>
      <c r="G234" s="88"/>
      <c r="H234" s="88"/>
      <c r="I234" s="8">
        <f t="shared" si="20"/>
        <v>0</v>
      </c>
      <c r="J234" s="38">
        <f>700000+9900</f>
        <v>709900</v>
      </c>
      <c r="K234" s="38"/>
      <c r="L234" s="38">
        <f>K234+J234</f>
        <v>709900</v>
      </c>
      <c r="M234" s="10">
        <f t="shared" si="21"/>
        <v>709.9</v>
      </c>
      <c r="S234" s="39"/>
      <c r="W234" s="61"/>
    </row>
    <row r="235" spans="1:152" s="26" customFormat="1" ht="26.25" customHeight="1">
      <c r="A235" s="91"/>
      <c r="B235" s="91"/>
      <c r="C235" s="1" t="s">
        <v>272</v>
      </c>
      <c r="D235" s="91"/>
      <c r="E235" s="92"/>
      <c r="F235" s="8">
        <f t="shared" si="19"/>
        <v>0</v>
      </c>
      <c r="G235" s="92"/>
      <c r="H235" s="92"/>
      <c r="I235" s="8">
        <f t="shared" si="20"/>
        <v>0</v>
      </c>
      <c r="J235" s="33" t="e">
        <f>J233+J231+J229+J225+J88+J83+J59+J54+J49+J40+J30+J17+J86+J222</f>
        <v>#REF!</v>
      </c>
      <c r="K235" s="33" t="e">
        <f>K233+K231+K229+K225+K88+K83+K59+K54+K49+K40+K30+K17+K86+K222</f>
        <v>#REF!</v>
      </c>
      <c r="L235" s="33" t="e">
        <f>L233+L231+L229+L225+L88+L83+L59+L54+L49+L40+L30+L17+L86+L222</f>
        <v>#REF!</v>
      </c>
      <c r="M235" s="9">
        <f>M233+M231+M229+M225+M88+M83+M59+M54+M49+M40+M30+M17+M86+M222</f>
        <v>515166.6999999999</v>
      </c>
      <c r="N235" s="102"/>
      <c r="O235" s="18"/>
      <c r="P235" s="18"/>
      <c r="Q235" s="18"/>
      <c r="R235" s="25"/>
      <c r="S235" s="56"/>
      <c r="T235" s="25"/>
      <c r="U235" s="25"/>
      <c r="V235" s="25"/>
      <c r="W235" s="74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</row>
    <row r="236" spans="3:19" s="25" customFormat="1" ht="20.25" customHeight="1">
      <c r="C236" s="1" t="s">
        <v>273</v>
      </c>
      <c r="D236" s="93"/>
      <c r="E236" s="92"/>
      <c r="F236" s="92"/>
      <c r="G236" s="107"/>
      <c r="H236" s="107"/>
      <c r="I236" s="92"/>
      <c r="J236" s="33"/>
      <c r="K236" s="84"/>
      <c r="L236" s="91"/>
      <c r="M236" s="4">
        <v>8721</v>
      </c>
      <c r="N236" s="102"/>
      <c r="S236" s="39"/>
    </row>
    <row r="237" spans="1:152" ht="60.75" customHeight="1">
      <c r="A237" s="109"/>
      <c r="B237" s="109"/>
      <c r="C237" s="2" t="s">
        <v>274</v>
      </c>
      <c r="D237" s="88"/>
      <c r="E237" s="90"/>
      <c r="F237" s="90"/>
      <c r="G237" s="88"/>
      <c r="H237" s="88"/>
      <c r="I237" s="88"/>
      <c r="J237" s="41"/>
      <c r="K237" s="84"/>
      <c r="L237" s="90"/>
      <c r="M237" s="5">
        <f>M238</f>
        <v>63.4</v>
      </c>
      <c r="O237" s="25"/>
      <c r="P237" s="25"/>
      <c r="Q237" s="25"/>
      <c r="R237" s="17"/>
      <c r="S237" s="39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</row>
    <row r="238" spans="3:19" ht="29.25" customHeight="1">
      <c r="C238" s="3" t="s">
        <v>26</v>
      </c>
      <c r="D238" s="31"/>
      <c r="E238" s="32"/>
      <c r="F238" s="32"/>
      <c r="G238" s="88"/>
      <c r="H238" s="88"/>
      <c r="I238" s="88"/>
      <c r="K238" s="84"/>
      <c r="L238" s="88"/>
      <c r="M238" s="6">
        <v>63.4</v>
      </c>
      <c r="O238" s="17"/>
      <c r="P238" s="17"/>
      <c r="Q238" s="17"/>
      <c r="S238" s="39"/>
    </row>
    <row r="239" spans="4:11" ht="20.25" customHeight="1">
      <c r="D239" s="95"/>
      <c r="E239" s="96"/>
      <c r="F239" s="96"/>
      <c r="G239" s="18"/>
      <c r="J239" s="97"/>
      <c r="K239" s="98"/>
    </row>
    <row r="240" spans="4:10" ht="20.25" customHeight="1">
      <c r="D240" s="95"/>
      <c r="E240" s="96"/>
      <c r="F240" s="96"/>
      <c r="J240" s="97"/>
    </row>
    <row r="241" spans="4:10" ht="20.25" customHeight="1">
      <c r="D241" s="95"/>
      <c r="E241" s="96"/>
      <c r="F241" s="96"/>
      <c r="J241" s="97"/>
    </row>
    <row r="242" spans="3:13" ht="27">
      <c r="C242" s="20" t="s">
        <v>279</v>
      </c>
      <c r="D242" s="95"/>
      <c r="E242" s="96"/>
      <c r="F242" s="96"/>
      <c r="I242" s="105" t="s">
        <v>280</v>
      </c>
      <c r="J242" s="105"/>
      <c r="K242" s="105"/>
      <c r="L242" s="105"/>
      <c r="M242" s="105"/>
    </row>
    <row r="243" spans="4:10" ht="20.25" customHeight="1">
      <c r="D243" s="95"/>
      <c r="E243" s="96"/>
      <c r="F243" s="96"/>
      <c r="J243" s="97"/>
    </row>
    <row r="244" spans="4:152" s="26" customFormat="1" ht="20.25" customHeight="1">
      <c r="D244" s="100"/>
      <c r="E244" s="101"/>
      <c r="F244" s="101"/>
      <c r="J244" s="25"/>
      <c r="L244" s="25"/>
      <c r="M244" s="7"/>
      <c r="N244" s="102"/>
      <c r="O244" s="18"/>
      <c r="P244" s="18"/>
      <c r="Q244" s="18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</row>
    <row r="245" spans="3:17" ht="20.25" customHeight="1">
      <c r="C245" s="17" t="s">
        <v>281</v>
      </c>
      <c r="J245" s="97"/>
      <c r="O245" s="25"/>
      <c r="P245" s="25"/>
      <c r="Q245" s="25"/>
    </row>
    <row r="246" spans="3:13" ht="36.75" customHeight="1">
      <c r="C246" s="17" t="s">
        <v>282</v>
      </c>
      <c r="J246" s="97"/>
      <c r="M246" s="14"/>
    </row>
    <row r="247" ht="20.25" customHeight="1">
      <c r="J247" s="97"/>
    </row>
    <row r="248" ht="20.25" customHeight="1">
      <c r="J248" s="97"/>
    </row>
    <row r="249" ht="20.25" customHeight="1">
      <c r="J249" s="97"/>
    </row>
    <row r="250" ht="20.25" customHeight="1">
      <c r="J250" s="97"/>
    </row>
    <row r="251" ht="20.25" customHeight="1">
      <c r="J251" s="97"/>
    </row>
    <row r="252" ht="20.25" customHeight="1">
      <c r="J252" s="97"/>
    </row>
    <row r="253" ht="20.25" customHeight="1">
      <c r="J253" s="97"/>
    </row>
    <row r="254" ht="20.25" customHeight="1">
      <c r="J254" s="97"/>
    </row>
    <row r="255" ht="20.25" customHeight="1">
      <c r="J255" s="97"/>
    </row>
    <row r="256" ht="20.25" customHeight="1">
      <c r="J256" s="97"/>
    </row>
    <row r="257" ht="20.25" customHeight="1">
      <c r="J257" s="97"/>
    </row>
    <row r="258" ht="20.25" customHeight="1">
      <c r="J258" s="97"/>
    </row>
    <row r="259" ht="20.25" customHeight="1">
      <c r="J259" s="97"/>
    </row>
    <row r="260" ht="20.25" customHeight="1">
      <c r="J260" s="97"/>
    </row>
    <row r="261" ht="20.25" customHeight="1">
      <c r="J261" s="97"/>
    </row>
    <row r="262" ht="20.25" customHeight="1">
      <c r="J262" s="97"/>
    </row>
    <row r="263" ht="20.25" customHeight="1">
      <c r="J263" s="97"/>
    </row>
    <row r="264" ht="20.25" customHeight="1">
      <c r="J264" s="97"/>
    </row>
    <row r="265" ht="20.25" customHeight="1">
      <c r="J265" s="97"/>
    </row>
    <row r="266" ht="20.25" customHeight="1">
      <c r="J266" s="97"/>
    </row>
    <row r="267" ht="20.25" customHeight="1">
      <c r="J267" s="97"/>
    </row>
    <row r="268" ht="20.25" customHeight="1">
      <c r="J268" s="97"/>
    </row>
    <row r="269" ht="20.25" customHeight="1">
      <c r="J269" s="97"/>
    </row>
    <row r="270" ht="20.25" customHeight="1">
      <c r="J270" s="97"/>
    </row>
    <row r="271" ht="20.25" customHeight="1">
      <c r="J271" s="97"/>
    </row>
    <row r="272" ht="23.25" customHeight="1">
      <c r="J272" s="97"/>
    </row>
    <row r="273" ht="23.25" customHeight="1">
      <c r="J273" s="97"/>
    </row>
    <row r="274" ht="23.25" customHeight="1">
      <c r="J274" s="97"/>
    </row>
    <row r="275" ht="23.25" customHeight="1">
      <c r="J275" s="97"/>
    </row>
    <row r="276" ht="23.25" customHeight="1">
      <c r="J276" s="97"/>
    </row>
    <row r="277" ht="23.25" customHeight="1">
      <c r="J277" s="97"/>
    </row>
    <row r="278" ht="23.25" customHeight="1">
      <c r="J278" s="97"/>
    </row>
    <row r="279" ht="23.25">
      <c r="J279" s="97"/>
    </row>
    <row r="280" ht="23.25">
      <c r="J280" s="97"/>
    </row>
    <row r="281" ht="23.25">
      <c r="J281" s="97"/>
    </row>
    <row r="282" ht="23.25">
      <c r="J282" s="97"/>
    </row>
    <row r="283" ht="23.25">
      <c r="J283" s="97"/>
    </row>
    <row r="284" ht="23.25">
      <c r="J284" s="97"/>
    </row>
    <row r="285" ht="23.25">
      <c r="J285" s="97"/>
    </row>
    <row r="286" ht="23.25">
      <c r="J286" s="97"/>
    </row>
    <row r="287" ht="23.25">
      <c r="J287" s="97"/>
    </row>
    <row r="288" ht="23.25">
      <c r="J288" s="97"/>
    </row>
    <row r="289" ht="23.25">
      <c r="J289" s="97"/>
    </row>
    <row r="290" ht="23.25">
      <c r="J290" s="97"/>
    </row>
    <row r="291" ht="23.25">
      <c r="J291" s="97"/>
    </row>
    <row r="292" ht="23.25">
      <c r="J292" s="97"/>
    </row>
    <row r="293" ht="23.25">
      <c r="J293" s="97"/>
    </row>
    <row r="294" ht="23.25">
      <c r="J294" s="97"/>
    </row>
    <row r="295" ht="23.25">
      <c r="J295" s="97"/>
    </row>
    <row r="296" ht="23.25">
      <c r="J296" s="97"/>
    </row>
    <row r="297" ht="23.25">
      <c r="J297" s="97"/>
    </row>
    <row r="298" ht="23.25">
      <c r="J298" s="97"/>
    </row>
    <row r="299" ht="23.25">
      <c r="J299" s="97"/>
    </row>
    <row r="300" ht="23.25">
      <c r="J300" s="97"/>
    </row>
    <row r="301" ht="23.25">
      <c r="J301" s="97"/>
    </row>
    <row r="302" ht="23.25">
      <c r="J302" s="97"/>
    </row>
    <row r="303" ht="23.25">
      <c r="J303" s="97"/>
    </row>
    <row r="304" ht="23.25">
      <c r="J304" s="97"/>
    </row>
    <row r="305" ht="23.25">
      <c r="J305" s="97"/>
    </row>
    <row r="306" ht="23.25">
      <c r="J306" s="97"/>
    </row>
    <row r="307" ht="23.25">
      <c r="J307" s="97"/>
    </row>
    <row r="308" ht="23.25">
      <c r="J308" s="97"/>
    </row>
    <row r="309" ht="23.25">
      <c r="J309" s="97"/>
    </row>
    <row r="310" ht="23.25">
      <c r="J310" s="97"/>
    </row>
    <row r="311" ht="23.25">
      <c r="J311" s="97"/>
    </row>
    <row r="312" ht="23.25">
      <c r="J312" s="97"/>
    </row>
    <row r="313" ht="23.25">
      <c r="J313" s="97"/>
    </row>
    <row r="314" ht="23.25">
      <c r="J314" s="97"/>
    </row>
    <row r="315" ht="23.25">
      <c r="J315" s="97"/>
    </row>
    <row r="316" ht="23.25">
      <c r="J316" s="97"/>
    </row>
    <row r="317" ht="23.25">
      <c r="J317" s="97"/>
    </row>
    <row r="318" ht="23.25">
      <c r="J318" s="97"/>
    </row>
    <row r="319" ht="23.25">
      <c r="J319" s="97"/>
    </row>
    <row r="320" ht="23.25">
      <c r="J320" s="97"/>
    </row>
    <row r="321" ht="23.25">
      <c r="J321" s="97"/>
    </row>
    <row r="322" ht="23.25">
      <c r="J322" s="97"/>
    </row>
    <row r="323" ht="23.25">
      <c r="J323" s="97"/>
    </row>
    <row r="324" ht="23.25">
      <c r="J324" s="97"/>
    </row>
    <row r="325" ht="23.25">
      <c r="J325" s="97"/>
    </row>
    <row r="326" ht="23.25">
      <c r="J326" s="97"/>
    </row>
    <row r="327" ht="23.25">
      <c r="J327" s="97"/>
    </row>
    <row r="328" ht="23.25">
      <c r="J328" s="97"/>
    </row>
    <row r="329" ht="23.25">
      <c r="J329" s="97"/>
    </row>
    <row r="330" ht="23.25">
      <c r="J330" s="97"/>
    </row>
    <row r="331" ht="23.25">
      <c r="J331" s="97"/>
    </row>
    <row r="332" ht="23.25">
      <c r="J332" s="97"/>
    </row>
    <row r="333" ht="23.25">
      <c r="J333" s="97"/>
    </row>
    <row r="334" ht="23.25">
      <c r="J334" s="97"/>
    </row>
    <row r="335" ht="23.25">
      <c r="J335" s="97"/>
    </row>
    <row r="336" ht="23.25">
      <c r="J336" s="97"/>
    </row>
    <row r="337" ht="23.25">
      <c r="J337" s="97"/>
    </row>
    <row r="338" ht="23.25">
      <c r="J338" s="97"/>
    </row>
    <row r="339" ht="23.25">
      <c r="J339" s="97"/>
    </row>
    <row r="340" ht="23.25">
      <c r="J340" s="97"/>
    </row>
    <row r="341" ht="23.25">
      <c r="J341" s="97"/>
    </row>
  </sheetData>
  <sheetProtection/>
  <mergeCells count="25">
    <mergeCell ref="F1:M1"/>
    <mergeCell ref="F2:M2"/>
    <mergeCell ref="F3:M3"/>
    <mergeCell ref="I242:M242"/>
    <mergeCell ref="B14:B15"/>
    <mergeCell ref="I14:I15"/>
    <mergeCell ref="E14:E15"/>
    <mergeCell ref="A237:B237"/>
    <mergeCell ref="D14:D15"/>
    <mergeCell ref="A14:A15"/>
    <mergeCell ref="C14:C15"/>
    <mergeCell ref="L14:L15"/>
    <mergeCell ref="K14:K15"/>
    <mergeCell ref="C11:M11"/>
    <mergeCell ref="M14:M15"/>
    <mergeCell ref="G236:H236"/>
    <mergeCell ref="G14:G15"/>
    <mergeCell ref="F14:F15"/>
    <mergeCell ref="J14:J15"/>
    <mergeCell ref="H14:H15"/>
    <mergeCell ref="F4:M4"/>
    <mergeCell ref="F5:M5"/>
    <mergeCell ref="F6:M6"/>
    <mergeCell ref="C10:M10"/>
    <mergeCell ref="G9:L9"/>
  </mergeCells>
  <printOptions horizontalCentered="1"/>
  <pageMargins left="0.3937007874015748" right="0.3937007874015748" top="1.1811023622047245" bottom="0.3937007874015748" header="0.4330708661417323" footer="0.1968503937007874"/>
  <pageSetup firstPageNumber="11" useFirstPageNumber="1" fitToHeight="15" fitToWidth="1" horizontalDpi="600" verticalDpi="600" orientation="landscape" paperSize="9" scale="51" r:id="rId1"/>
  <headerFooter alignWithMargins="0">
    <oddFooter>&amp;R&amp;"Times New Roman,обычный"&amp;18&amp;P</oddFooter>
  </headerFooter>
  <rowBreaks count="1" manualBreakCount="1">
    <brk id="224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Users</cp:lastModifiedBy>
  <cp:lastPrinted>2016-12-23T11:17:04Z</cp:lastPrinted>
  <dcterms:created xsi:type="dcterms:W3CDTF">2011-11-24T09:09:31Z</dcterms:created>
  <dcterms:modified xsi:type="dcterms:W3CDTF">2016-12-23T13:33:01Z</dcterms:modified>
  <cp:category/>
  <cp:version/>
  <cp:contentType/>
  <cp:contentStatus/>
</cp:coreProperties>
</file>