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60" windowWidth="9300" windowHeight="4095" tabRatio="0" activeTab="1"/>
  </bookViews>
  <sheets>
    <sheet name="Диаграмма1" sheetId="1" r:id="rId1"/>
    <sheet name="Sheet1" sheetId="2" r:id="rId2"/>
  </sheets>
  <definedNames>
    <definedName name="_xlnm.Print_Area" localSheetId="1">'Sheet1'!$A$1:$Q$765</definedName>
  </definedNames>
  <calcPr fullCalcOnLoad="1"/>
</workbook>
</file>

<file path=xl/sharedStrings.xml><?xml version="1.0" encoding="utf-8"?>
<sst xmlns="http://schemas.openxmlformats.org/spreadsheetml/2006/main" count="706" uniqueCount="424">
  <si>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</si>
  <si>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</si>
  <si>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</si>
  <si>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</si>
  <si>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</si>
  <si>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</si>
  <si>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</si>
  <si>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</si>
  <si>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</si>
  <si>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</si>
  <si>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</si>
  <si>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</si>
  <si>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</si>
  <si>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</si>
  <si>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</si>
  <si>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</si>
  <si>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</si>
  <si>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</si>
  <si>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</si>
  <si>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</si>
  <si>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</si>
  <si>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</si>
  <si>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</si>
  <si>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</si>
  <si>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</si>
  <si>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 xml:space="preserve">    Показник: % електромереж зовнішнього освітлення з проведеним капітальним ремонтом від їх загальної довжини</t>
  </si>
  <si>
    <t xml:space="preserve">    Показник: кількість видалених дерев, од.</t>
  </si>
  <si>
    <t xml:space="preserve">    Показник: середня вартість видалення 1 дерева, грн.</t>
  </si>
  <si>
    <t xml:space="preserve">    Показник: кількість спецслужб, од.</t>
  </si>
  <si>
    <t xml:space="preserve">    Показник: загальна протяжність водопроводу, пог. м</t>
  </si>
  <si>
    <t xml:space="preserve">    Показник: кількість контейнерів на кладовищах, які підлягають поточному ремонту, од.</t>
  </si>
  <si>
    <t xml:space="preserve">    Показник: кількість похованих безрідних громадян, чол.</t>
  </si>
  <si>
    <t xml:space="preserve">    Показник: кількість встановлених додаткових контейнерів на кладовищах, од.</t>
  </si>
  <si>
    <t xml:space="preserve">    Показник: кількість відремонтованих контейнерів (поточний ремонт), од.</t>
  </si>
  <si>
    <t xml:space="preserve">    Показник: довжина відновленого водопроводу на кладовищі, пог. м</t>
  </si>
  <si>
    <t xml:space="preserve">    Показник: середня вартість встановлення 1 додаткового контейнера на кладовищах, грн</t>
  </si>
  <si>
    <t xml:space="preserve">    Показник: середня вартість монтажу та демонтажу  1 пог.м водопроводу, грн.</t>
  </si>
  <si>
    <t xml:space="preserve">    Показник: середня вартість поточного ремонту 1 контейнера, грн.</t>
  </si>
  <si>
    <t xml:space="preserve">    Показник: кількість вивезених ТПВ з озера Чеха, куб. м</t>
  </si>
  <si>
    <t xml:space="preserve">    Показник: % зменшення скарг населення, пов"язаних з бродячими тваринами в порівнянні з минулим роком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</si>
  <si>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</si>
  <si>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</si>
  <si>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</si>
  <si>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</si>
  <si>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</si>
  <si>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</si>
  <si>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</si>
  <si>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</si>
  <si>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</si>
  <si>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 xml:space="preserve">  Завдання: 7. Забезпечення проведення ремонту та утримання зелених насаджень</t>
  </si>
  <si>
    <t xml:space="preserve">  Завдання: 9. Забезпечення проведення утримання кладовищта  об"єктів благоустрою міста </t>
  </si>
  <si>
    <t xml:space="preserve">  Завдання: 10. Забезпечення санітарного стану місць загального користування громадян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</si>
  <si>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</si>
  <si>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</si>
  <si>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</si>
  <si>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середня вартість вивезення 1 куб. м ТПВ з озера Чеха, грн.</t>
  </si>
  <si>
    <t xml:space="preserve">    Показник: середня вартість капітального ремонту 1 шахтного колодязя, грн.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</si>
  <si>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</si>
  <si>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</si>
  <si>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</si>
  <si>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</si>
  <si>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</si>
  <si>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</si>
  <si>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</si>
  <si>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 xml:space="preserve">    Показник: кількість підприємств водопровідно-каналізаційного господарства, яким планується надання фінансової підтримки, од.</t>
  </si>
  <si>
    <t xml:space="preserve">    Показник: загальна кількість святкових днів</t>
  </si>
  <si>
    <t xml:space="preserve">    Показник: кількість святкових днів, які підлягають оформленню до свят</t>
  </si>
  <si>
    <t xml:space="preserve">    Показник: середня вартість святкового оформлення одного дня, грн.</t>
  </si>
  <si>
    <t>В т.ч:</t>
  </si>
  <si>
    <t xml:space="preserve">    Показник: кількість незаконно встановлених тимчасових споруд, які підлягають демонтажу</t>
  </si>
  <si>
    <t xml:space="preserve">    Показник: середня вартість демонтажу однієї незаконно встановленої тимчасової споруди, грн.</t>
  </si>
  <si>
    <t xml:space="preserve">    Показник: середній обсяг спожитої електроенергії на одну світлоточку в рік, кВт/год.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</si>
  <si>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</si>
  <si>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</si>
  <si>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</si>
  <si>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Виконавчий комітет Сумської міської ради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</si>
  <si>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</si>
  <si>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</si>
  <si>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</si>
  <si>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   Показник: середня вартість 1 заходу в рік, який буде виконуватися  з проведенням оплачуваних громадських робіт, грн.</t>
  </si>
  <si>
    <t xml:space="preserve">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</si>
  <si>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</si>
  <si>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>до рішення Сумської міської ради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</si>
  <si>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</si>
  <si>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</si>
  <si>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</si>
  <si>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</si>
  <si>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комунального господарства міста Суми </t>
  </si>
  <si>
    <t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на 2015-2017 роки</t>
  </si>
  <si>
    <t>2015 рік</t>
  </si>
  <si>
    <t>2016 рік</t>
  </si>
  <si>
    <t>2017 рік</t>
  </si>
  <si>
    <t xml:space="preserve">  Завдання: 2. Забезпечення проведення поточного ремонту вулично-дорожньої мережі та штучних споруд</t>
  </si>
  <si>
    <t>Показник: загальна площа проїздів, тротуарів і внутрішньоквартальних доріг,  що потребує поточного ремонту, кв. м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</si>
  <si>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</si>
  <si>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</si>
  <si>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</si>
  <si>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</si>
  <si>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</si>
  <si>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обсяг видатків на будівництво, грн.</t>
  </si>
  <si>
    <t>Показник: кількість об'єктів, які планується побудувати, од.</t>
  </si>
  <si>
    <t xml:space="preserve"> Показник: середні витрати на будівництво одного  об'єкту, грн.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</si>
  <si>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</si>
  <si>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</si>
  <si>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</si>
  <si>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</si>
  <si>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</si>
  <si>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</si>
  <si>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</si>
  <si>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</si>
  <si>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</si>
  <si>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</si>
  <si>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</si>
  <si>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</si>
  <si>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</si>
  <si>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</si>
  <si>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</si>
  <si>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</si>
  <si>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</si>
  <si>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</si>
  <si>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</si>
  <si>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</si>
  <si>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</si>
  <si>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середня вартість 1 кВт/год електроенергії необхідної для безперебійної роботи вуличного освітлення, кВт/год.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</si>
  <si>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</si>
  <si>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</si>
  <si>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</si>
  <si>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</si>
  <si>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</si>
  <si>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</si>
  <si>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</si>
  <si>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</si>
  <si>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</si>
  <si>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</si>
  <si>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</si>
  <si>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кількість заходів із санітарної очистки території, од.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</si>
  <si>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</si>
  <si>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</si>
  <si>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</si>
  <si>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</si>
  <si>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</si>
  <si>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середня вартість одного заходу із санітарної очистки території,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</si>
  <si>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</si>
  <si>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</si>
  <si>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</si>
  <si>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</si>
  <si>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</si>
  <si>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Показник: кількість громадських вбиралень, од.</t>
  </si>
  <si>
    <t>Показник: загальна площа кладовищ, що потребує благоустрою, га</t>
  </si>
  <si>
    <t xml:space="preserve">    Показник: площа кладовищ, благоустрій яких планується здійснюваати, га</t>
  </si>
  <si>
    <t xml:space="preserve">    Показник: кількість громадських вбиралень, які планується утримувати, од.</t>
  </si>
  <si>
    <t xml:space="preserve">    Показник: середньорічні витрати на благоустрій 1 га кладовища, грн.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</si>
  <si>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</si>
  <si>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</si>
  <si>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</si>
  <si>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</si>
  <si>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</si>
  <si>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</si>
  <si>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</si>
  <si>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</si>
  <si>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</si>
  <si>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>Показник: темп зростання середніх витрат на прибирання, ліквідацію 1 м3 сміття на об'єктах благоустрою загального користування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</si>
  <si>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</si>
  <si>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</si>
  <si>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</si>
  <si>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</si>
  <si>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</si>
  <si>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</si>
  <si>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</si>
  <si>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</si>
  <si>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</si>
  <si>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</si>
  <si>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</si>
  <si>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</si>
  <si>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</si>
  <si>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</si>
  <si>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Показник: кількість ліфтів, що потребують заміни, грн.</t>
  </si>
  <si>
    <t>Показник: кількість ліфтів, що потребують капітального ремонту та модернізації, грн.</t>
  </si>
  <si>
    <t>Показник: кількість ліфтів, що потребують капітального ремонту  системи ОДС, грн.</t>
  </si>
  <si>
    <t>Показник: кількість ліфтів, що потребують експертного обстеження (технічного діагностування), грн.</t>
  </si>
  <si>
    <t>Показник: кількість ліфтів, системи ОДС яких планується капітально відремонтувати , грн.</t>
  </si>
  <si>
    <t>Показник: кількість ліфтів, на яких планується провести експертне обстеження (технічне діагностування), грн.</t>
  </si>
  <si>
    <t>Показник: середня вартість проведення заміни одного ліфта, грн.</t>
  </si>
  <si>
    <t>Показник: середня вартість проведення капітального ремонту та модернізації одного ліфта, грн.</t>
  </si>
  <si>
    <t>Показник: середня вартість проведення капітального ремонту системи ОДС одного ліфта, грн.</t>
  </si>
  <si>
    <t>Показник: середня вартість проведення експертного обстеження (технічне діагностування) одного ліфта, грн.</t>
  </si>
  <si>
    <t>Показник: кількість ліфтів, що планується  капітально відремонтувати та провести  модернізацію, грн.</t>
  </si>
  <si>
    <t xml:space="preserve">    Показник: Питома вага кількості ліфтів, які планується замінити, до кількості ліфтів, що потребують заміни, %</t>
  </si>
  <si>
    <t xml:space="preserve">    Показник: Питома вага кількості ліфтів, які планується капітально відремонтувати та модернізувати  до кількості ліфтів, що потребують капітального ремонту та модернізації , %</t>
  </si>
  <si>
    <t xml:space="preserve">    Показник: Питома вага кількості ліфтів, які на яких планується  проведення капітального ремонту системи ОДС  до кількості ліфтів, що потребують капітального ремонту системи ОДС , %</t>
  </si>
  <si>
    <t xml:space="preserve">    Показник: Питома вага кількості ліфтів, які на яких планується  проведення експертного обстеження (технічного діагностування)  до кількості ліфтів, що потребують експертного обстеження (технічного діагностування) , %</t>
  </si>
  <si>
    <t>Підпрограма 2. Капітальний ремонт житлового фонду об'єднань співвласників багатоквартирних будинків</t>
  </si>
  <si>
    <t>КТКВК 100102, 100106</t>
  </si>
  <si>
    <t>Підпрограма 1. Капітальний ремонт житлового фонду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</si>
  <si>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ремонту, %</t>
  </si>
  <si>
    <t>КТКВК 250404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</si>
  <si>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</si>
  <si>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загальна кількість святкових заходів, які підлягають святковому оформленню </t>
  </si>
  <si>
    <t xml:space="preserve">    Показник: середня вартість 1 святкового заходу, грн.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</si>
  <si>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</si>
  <si>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</si>
  <si>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</si>
  <si>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Показник: кількість рекламних засобів, що підлягають демонтажу, од. всього;</t>
  </si>
  <si>
    <t>Рекламні засоби, розміщені на висоті до 3 м (сіті-лайт, штендер, щит)</t>
  </si>
  <si>
    <t>Рекламні засоби, розміщені на висоті більше 3 м (біг-борд, банер на фасаді, перетяг, вказівник)</t>
  </si>
  <si>
    <t xml:space="preserve">   Показник: середня вартість демонтажу одного рекламного засобу, розміщеного самовільно та з порушенням порядку розміщення зовнішньої реклами, грн.</t>
  </si>
  <si>
    <t xml:space="preserve">    Показник: кількість законно встановлених тимчасових споруд</t>
  </si>
  <si>
    <t xml:space="preserve">    Показник: % демонтованих тимчасових споруд до законно встановлених споруд, %</t>
  </si>
  <si>
    <t xml:space="preserve">    Показник: загальна площа території для зберігання демонтованих тимчасових споруд та рекламних засобів, кв.м</t>
  </si>
  <si>
    <t xml:space="preserve">    Показник: загальні витрати на зберігання демонтованих тимчасових споруд та рекламних засобів, грн.</t>
  </si>
  <si>
    <t xml:space="preserve">    Мета:  Забезпечення належної та безперебійної роботи об'єктів комунального господарства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</si>
  <si>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</si>
  <si>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</si>
  <si>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середня сума  підпримки  одного підприємства,  грн.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</si>
  <si>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</si>
  <si>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зелених насаджень, що потребують заміни, од.</t>
  </si>
  <si>
    <t xml:space="preserve">    Показник: кількість зелених насаджень, що планується висадити, од.</t>
  </si>
  <si>
    <t xml:space="preserve">    Показник: середні витрати на  висадження одного дерева,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</si>
  <si>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</si>
  <si>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</si>
  <si>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>виконавчий комітет</t>
  </si>
  <si>
    <t xml:space="preserve">РАЗОМ </t>
  </si>
  <si>
    <t xml:space="preserve">    Мета:  Підвищення рівня благоустрою, забезпечення проведення ремонту доріг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</si>
  <si>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</si>
  <si>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</si>
  <si>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</si>
  <si>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</si>
  <si>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</si>
  <si>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</si>
  <si>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</si>
  <si>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</si>
  <si>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</si>
  <si>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</si>
  <si>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</si>
  <si>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 xml:space="preserve">Міський голова </t>
  </si>
  <si>
    <t>О.М.Лисенко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</si>
  <si>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</si>
  <si>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</si>
  <si>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</si>
  <si>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</si>
  <si>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підприємств, яким планується надання фінансової підтримки, од.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</si>
  <si>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</si>
  <si>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</si>
  <si>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</si>
  <si>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</si>
  <si>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«Про внесення змін до  Комплексної цільової </t>
  </si>
  <si>
    <t xml:space="preserve">    Мета: Забезпечення виконання заходів із землеустрою міста Суми</t>
  </si>
  <si>
    <t xml:space="preserve">    Показник: середня вартість обслуговування одного місяця,  грн.</t>
  </si>
  <si>
    <t xml:space="preserve">    Показник: кількість місяців обслуговування каналізаційно-насосної станції, шт.</t>
  </si>
  <si>
    <t>Програма  реформування і розвиткужитлово-комунального господарства м. Суми на 2015-2017 роки</t>
  </si>
  <si>
    <t xml:space="preserve">    Показник: вартість розробки 1  проекту відведення земельної ділянки,  грн.</t>
  </si>
  <si>
    <t xml:space="preserve">    Показник: кількість проектів відведення земельної ділянки , од.</t>
  </si>
  <si>
    <t>на 2015 - 2017 роки» (зі змінами)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</si>
  <si>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</si>
  <si>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</si>
  <si>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</si>
  <si>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Показник: кількість камер відеоспостереження, якими необхідно облаштувати Алею Почесних громадян на Центральному кладовищі, од.</t>
  </si>
  <si>
    <t>Показник: середня вартість облаштування Алеї Почесних громадян на Центральному кладовищі 1 камерою відеоспостереження, грн.</t>
  </si>
  <si>
    <t>Показник: кількість об'єктів житлового фонду (будинків), що потребують ремонту покрівель, грн.</t>
  </si>
  <si>
    <t xml:space="preserve">    Показник: кількість об'єктів житлового фонду (будинків), що планується відремонтувати покрівлю,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</si>
  <si>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</si>
  <si>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</si>
  <si>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</si>
  <si>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>Виконавець: Яременко Г.І.</t>
  </si>
  <si>
    <t xml:space="preserve">    Показник: кількість проектів землеустрою щодо відведення земельних ділянок, од.</t>
  </si>
  <si>
    <t xml:space="preserve">  Показник: вартість розробки 1  проекту землеустрою щодо відведення земельних ділянок,  грн.</t>
  </si>
  <si>
    <t xml:space="preserve">    Показник: обсяг видатків, передбачений на надання фінансової підтримки підприємствам, грн.</t>
  </si>
  <si>
    <t xml:space="preserve"> 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</si>
  <si>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</si>
  <si>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Підпрограма 3. Капітальний ремонт житлового фонду </t>
  </si>
  <si>
    <t xml:space="preserve">  Завдання: 16.5. Встановлення індивідуального опалення в квартирах житлового будинку №110 по вул.Роменській</t>
  </si>
  <si>
    <t>Показник: кількість квартир житлового будинку, що потребують встановлення індивідуального  опалення, грн.</t>
  </si>
  <si>
    <t xml:space="preserve">    Показник: середня вартість встановлення індивідуального  опалення в одній квартирі, грн.</t>
  </si>
  <si>
    <t xml:space="preserve">    Показник: Питома вага кількості квартир житлового будинку, на яких планується встановити індивідуальне опалення, до кількості квартир, що потребують встановлення індивідуального опалення, %</t>
  </si>
  <si>
    <t xml:space="preserve">    Показник: кількість квартир у житловому будинку, в яких планується встановити індивідуальне  опалення, грн.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</si>
  <si>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</si>
  <si>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</si>
  <si>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</si>
  <si>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Мета:Встановлення лічильників теплової енергії в житлових будинках</t>
  </si>
  <si>
    <t xml:space="preserve">    Показник: кількість лічильників, які планується встановити, шт.</t>
  </si>
  <si>
    <t xml:space="preserve">    Показник: середня вартість встановлення одного лічильника,  грн.</t>
  </si>
  <si>
    <t xml:space="preserve">    Показник:кількість схем, шт.</t>
  </si>
  <si>
    <t xml:space="preserve">    Показник: вартість розробки схеми,  грн.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</si>
  <si>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</si>
  <si>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</si>
  <si>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</si>
  <si>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</si>
  <si>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</si>
  <si>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кількість нових урн які планується придбати і встановити  по місту Суми, од.</t>
  </si>
  <si>
    <t xml:space="preserve">    Показник: середня вартість однієї нової урни яку планується придбати і встановити по місту Суми на рік, грн.</t>
  </si>
  <si>
    <t xml:space="preserve">    Показник: кількість заходів з реконструкції об'єктів благоустрою, од.</t>
  </si>
  <si>
    <t xml:space="preserve">    Показник: середня вартість одного заходу з реконструкції об'єктів благоустрою, грн.</t>
  </si>
  <si>
    <t>Показник: кількість місяців, за які сплачується орендна плата за землю по вул.Боженко (майданчик для складування рослинних відходів, деревини та опалого листя), од</t>
  </si>
  <si>
    <t xml:space="preserve">    Показник: середня вартість 1 місяця оплати орендної плати за землю по вул.Боженко (майданчик для складування рослинних відходів, деревини та опалого листя), грн.</t>
  </si>
  <si>
    <t>Показник: кількість місяців, за які сплачується податку на земельну ділянку за адресою: м.Суми, вул.Привокзальна, 4/13 (каналізаційно-насосна станція), од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</si>
  <si>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</si>
  <si>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</si>
  <si>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</si>
  <si>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кількість виготовлених технічних документацій на земельну ділянку, од.</t>
  </si>
  <si>
    <t xml:space="preserve">  Показник: вартість виготовлення 1  технічної документації на земельну ділянку,  грн.</t>
  </si>
  <si>
    <t xml:space="preserve">    Показник: кількість науково-технічної продукції, шт.</t>
  </si>
  <si>
    <t xml:space="preserve">    Показник: середня вартість однієї науково-технічної продукції,  грн.</t>
  </si>
  <si>
    <t xml:space="preserve">    Мета: Розробка ткхнічних паспортів на багатоквартирні житлові будинки</t>
  </si>
  <si>
    <t xml:space="preserve">    Мета: Розробка схеми теплопостачання м.Суми </t>
  </si>
  <si>
    <t xml:space="preserve">    Показник: кількість безпритульних тварин, які планується регулювати, од.</t>
  </si>
  <si>
    <t xml:space="preserve">    Показник: середні витрати на проведення регулювання тварини,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</si>
  <si>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</si>
  <si>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</si>
  <si>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пунктів приймання тварин (центрів гуманного поводження з тваринами), які планується провести облаштування, од.</t>
  </si>
  <si>
    <t xml:space="preserve">    Показник: середні витрати на проведення облаштування пункту приймання тварин (центрів гуманного поводження з тваринами), грн.</t>
  </si>
  <si>
    <t xml:space="preserve">    Мета: Передача іншої субвенції  Краснопільському районому бюджету для Великобобрицької сільської ради та об'єктів, що знаходяться на території Великобобрицької сільської ради згідно з їх пропозиціями</t>
  </si>
  <si>
    <t xml:space="preserve">    Показник: вартість розробки Комплексної схеми і зонування розміщення рекламних засобів на території м. Суми</t>
  </si>
  <si>
    <t xml:space="preserve">    Показник: середня вартість розробки однієї Комплексної схеми і зонування розміщення рекламних засобів на території м. Суми, грн.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</si>
  <si>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</si>
  <si>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</si>
  <si>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 xml:space="preserve">    Показник: загальна кількість підприємств, яким надається бюджетна позичка, шт.</t>
  </si>
  <si>
    <t xml:space="preserve">    Показник: середня вартість однієї бюджетної позички,  грн.</t>
  </si>
  <si>
    <t>090501</t>
  </si>
  <si>
    <t xml:space="preserve">    Мета:  Забезпечення демонтажу та зберігання незаконно встановлених тимчасових споруд та рекламних засобів; виготовлення та розміщення рекламних матеріалів до святкових та урочистих подій; збереження стилю, притаманного урочистому упорядженню об'єктів забудови історичної частини міста, упорядкування розміщення тимчасових споруд та зовнішньої реклами на території м. Суми</t>
  </si>
  <si>
    <t>Тип показника: Продукту</t>
  </si>
  <si>
    <t>Показник: кількість комплексних схем розміщення тимчасових споруд для провадження підприємницької діяльності у місті Суми</t>
  </si>
  <si>
    <t>Тип показника: Витрати</t>
  </si>
  <si>
    <t>Показник: вартість розробки Комплексної схеми розміщення тимчасових споруд для провадження підприємницької діяльності у місті Суми</t>
  </si>
  <si>
    <t xml:space="preserve">Тип показника: Ефективності </t>
  </si>
  <si>
    <t>Показник: середня вартість розробки однієї Комплексної схеми розміщення тимчасових споруд для провадження підприємницької діяльності у місті Суми</t>
  </si>
  <si>
    <t>Показник: кількість об'єктів, що планується відремонтувати, грн.</t>
  </si>
  <si>
    <t xml:space="preserve">    Мета: Забезпечення підготовки житлових будинків до опалювального періоду, забезпечення придбання дорожньо-будівельних матеріалів для забезпечення проведення поточного ремонту проїздів, тротуарів, внутрішньоквартальних проїзних доріг та погашення заборгованості перед міським бюджетом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</si>
  <si>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</si>
  <si>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</si>
  <si>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 xml:space="preserve">Показник: кількість комплексних схем і зонування розміщення рекламних засобів на території 
м. Суми
</t>
  </si>
  <si>
    <t>власні кошти підприємства</t>
  </si>
  <si>
    <t xml:space="preserve">    Показник: обсяг сміття, несанкціонованих звалищ, який планується ліквідувати на об'єктах благоустрою загального користування управління "Інспекція з благоустрою міста Суми" СМР, м3</t>
  </si>
  <si>
    <t xml:space="preserve">    Показник: середні витрати на прибирання, ліквідацію 1 м3 сміття на об'єктах благоустрою загального користування управлінням "Інспекція з благоустрою міста Суми" СМР, грн.</t>
  </si>
  <si>
    <t>Показник: темп зростання середніх витрат на прибирання, ліквідацію 1 м3 сміття на об'єктах благоустрою загального користування порівняно з попереднім роком управлінням "Інспекція з благоустрою міста Суми" СМР, %</t>
  </si>
  <si>
    <t>управління "Інспекція з благоустрою міста Суми" СМР</t>
  </si>
  <si>
    <t xml:space="preserve">    Показник:кількість науково-технічної продукції, од.</t>
  </si>
  <si>
    <t xml:space="preserve">    Показник: середня вартість одиниці науково-технічної продукції,  грн.</t>
  </si>
  <si>
    <t xml:space="preserve">    Показник:кількість об'єктів, шт.</t>
  </si>
  <si>
    <t xml:space="preserve">    Показник: середня вартість розробки проектно-кошторисної документації для одного об'єкта,  грн.</t>
  </si>
  <si>
    <t xml:space="preserve">    Показник: обсяг сміття, несанкціонованих звалищ, який планується ліквідувати на об'єктах благоустрою загального користування ДІМ, м3</t>
  </si>
  <si>
    <t xml:space="preserve">    Показник: середні витрати на прибирання, ліквідацію             1 м3 сміття на об'єктах благоустрою загального користування ДІМ, грн.</t>
  </si>
  <si>
    <t xml:space="preserve">    Показник: середня вартість реконструкції для одного об'єкта,  грн.</t>
  </si>
  <si>
    <t>Програма  реформування і розвитку житлово-комунального господарства м. Суми на 2015-2017 роки</t>
  </si>
  <si>
    <t>КТКВК 100203, 170703, 150101</t>
  </si>
  <si>
    <t>Управління  архітектури та містобудування Сумської міської ради</t>
  </si>
  <si>
    <t>Департамент містобудування та земельних відносин Сумської міської ради;</t>
  </si>
  <si>
    <t>ДМтаЗВ СМР</t>
  </si>
  <si>
    <t>УАМ СМР</t>
  </si>
  <si>
    <t>КТКВК 240900</t>
  </si>
  <si>
    <t xml:space="preserve">  Завдання: 3. Забезпечення проведення ремонту мостів і шляхопроводів по місту</t>
  </si>
  <si>
    <t xml:space="preserve">    Показник:кількість об'ктів, яка охоплена поточним ремонтом, шт.</t>
  </si>
  <si>
    <t xml:space="preserve">    Показник: загальна кількість об'єктів, що потребує поточного ремонту, шт.</t>
  </si>
  <si>
    <t xml:space="preserve">    Показник: середня вартість ремонту 1 об'єкта, грн.</t>
  </si>
  <si>
    <t xml:space="preserve">    Показник: питома вага об'ктів, що зазнали ремонту до кількості, що потребувала поточного ремонту</t>
  </si>
  <si>
    <t xml:space="preserve">  Завдання: 4.  Забезпечення проведення утримання вулично-дорожньої мережі та штучних споруд</t>
  </si>
  <si>
    <t xml:space="preserve">  Завдання: 5. Забезпечення проведення поточного ремонту проїздів, тротуарів, внутрішньоквартальних проїзних доріг</t>
  </si>
  <si>
    <t xml:space="preserve">  Завдання: 6. Забезпечення проведення капітального ремонту проїздів, тротуарів, внутрішньоквартальних проїзних доріг</t>
  </si>
  <si>
    <t xml:space="preserve">  Завдання: 7. Забезпечення проведення обстеження об'єктів транспортної інфраструктури</t>
  </si>
  <si>
    <t xml:space="preserve">  Завдання: 8. Будівництво об'єктів транспортної інфраструктури</t>
  </si>
  <si>
    <t xml:space="preserve">  Завдання: 9.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</si>
  <si>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10. Забезпечення функціонування мереж зовнішнього освітлення </t>
  </si>
  <si>
    <t xml:space="preserve">  Завдання: 11. Збереження та утримання на належному рівні зеленої зони міста Суми та поліпшення його екологічних умов </t>
  </si>
  <si>
    <t>Показник: площа пішохідних доріжок на кладовищі, що потребують капітального ремонту, м.кв.</t>
  </si>
  <si>
    <t xml:space="preserve">    Показник: середня вартість проведення капітального ремонту 1 кв.м. пішохідних доріжок, грн</t>
  </si>
  <si>
    <t>Показник: середня вартість поховання 1 безрідного, грн.</t>
  </si>
  <si>
    <t xml:space="preserve">    Показник: середня вартість проведення поточного ремонту 1 кв.м. пішохідних доріжок, грн</t>
  </si>
  <si>
    <t>Показник: площа пішохідних доріжок на кладовищі, що потребуютьпоточного ремонту, м.кв.</t>
  </si>
  <si>
    <t xml:space="preserve">  Завдання: 12.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</si>
  <si>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13. Забезпечення санітарної очистки території</t>
  </si>
  <si>
    <t xml:space="preserve">  Завдання: 14. Поточний ремонт та утримання в належному стані об'єктів благоустрою</t>
  </si>
  <si>
    <t xml:space="preserve">  Завдання: 15. Забезпечення сприятливих умов для співіснування людей та тварин</t>
  </si>
  <si>
    <t xml:space="preserve">  Завдання: 16. Капітальний ремонт та утримання в належному стані об'єктів благоустрою </t>
  </si>
  <si>
    <t xml:space="preserve">  Завдання: 17. 1 Проведення капітального ремонту житлових будинків</t>
  </si>
  <si>
    <t xml:space="preserve">  Завдання: 17.2. Проведення капітального ремонту покрівель житлових будинків</t>
  </si>
  <si>
    <t>Показник: кількість ліфтів, що планується замінити, грн.</t>
  </si>
  <si>
    <t xml:space="preserve">  Завдання: 17.3. Проведення капітального ремонту, модернізації, заміни, експертного обстеження (технічного діагностування) ліфтів</t>
  </si>
  <si>
    <t xml:space="preserve">  Завдання: 17.4. Встановлення індивідуального опалення в квартирах житлового будинку №110 по вул.Роменській</t>
  </si>
  <si>
    <t xml:space="preserve">  Завдання: 17.5. Проведення капітального ремонту житлових будинків об'єднань співвласників багатоквартирних будинків</t>
  </si>
  <si>
    <t xml:space="preserve">  Завдання: 18. Забезпечення святкового оформлення міста</t>
  </si>
  <si>
    <t xml:space="preserve">  Завдання: 19. Придбання та монтаж покажчиків вулиць</t>
  </si>
  <si>
    <t xml:space="preserve">  Завдання: 20. Виготовлення та розміщення соціальної реклами, рекламних матеріалів до святкових та урочистих подій  (ДМтаЗВ СМР)</t>
  </si>
  <si>
    <t xml:space="preserve">  Завдання: 21. Виготовлення та розміщення соціальної реклами, рекламних матеріалів до святкових та урочистих подій (УАМ СМР)</t>
  </si>
  <si>
    <t xml:space="preserve">  Завдання: 22. Демонтаж  рекламних засобів, розміщених самовільно та з порушенням порядку розміщення зовнішньої реклами (ДМтаЗВ СМР)</t>
  </si>
  <si>
    <t xml:space="preserve">  Завдання: 23. Демонтаж  рекламних засобів, розміщених самовільно та з порушенням порядку розміщення зовнішньої реклами (УАМ СМР)</t>
  </si>
  <si>
    <t xml:space="preserve">  Завдання: 24. Забезпечення постачання природного газу монументу "Вічна Слава"</t>
  </si>
  <si>
    <t xml:space="preserve">  Завдання: 25. Орендна плата за землю по вул.Боженко (майданчик для складування рослинних відходів, деревини та опалого листя)</t>
  </si>
  <si>
    <t xml:space="preserve">  Завдання: 26. Оплата податку на земельну ділянку за адресою: м.Суми, вул.Привокзальна, 4/13 (каналізаційно-насосна станція)</t>
  </si>
  <si>
    <t xml:space="preserve">  Завдання: 27. Демонтаж незаконно встановлених тимчасових споруд (ДМтаЗВ СМР та УАМ СМР)</t>
  </si>
  <si>
    <t xml:space="preserve">  Завдання: 28. Зберігання демонтованих тимчасових споруд та рекламних засобів (ДМтаЗВ СМР та УАМ СМР)</t>
  </si>
  <si>
    <t xml:space="preserve">  Завдання: 29. Виготовлення та розміщення соціальної реклами,  рекламних матеріалів до святкових та урочистих подій (ДМтаЗВ СМР)</t>
  </si>
  <si>
    <t xml:space="preserve">  Завдання: 30. Виготовлення та розміщення соціальної реклами,  рекламних матеріалів до святкових та урочистих подій (УАМ СМР)</t>
  </si>
  <si>
    <t xml:space="preserve">  Завдання: 31. Розроблення  Комплексної схеми і зонування розміщення рекламних засобів на території м. Суми (УАМ СМР)</t>
  </si>
  <si>
    <t>Завдання: 32. Розроблення  Комплексної схеми розміщення тимчасових споруд для провадження підприємницької діяльності у місті Суми (УАМ СМР)</t>
  </si>
  <si>
    <t xml:space="preserve">  Завдання: 33. Забезпечення функціонування об'єктів комунального господарства</t>
  </si>
  <si>
    <t xml:space="preserve">  Завдання: 34. Запобігання знищення чи пошкодження Алеї Почесних громадян на Центральному кладовищі</t>
  </si>
  <si>
    <t xml:space="preserve">  Завдання: 35. Забезпечення функціонування водопровідно-каналізаційного господарства</t>
  </si>
  <si>
    <t xml:space="preserve">  Завдання: 36. Розробка нормативів питного водопостачання для населення м. Суми </t>
  </si>
  <si>
    <t xml:space="preserve">  Завдання: 37. Вимоги пожежної безпеки</t>
  </si>
  <si>
    <t>Завдання: 38. Забезпечення належного облуговування каналізаційно-насосної станції за адресою: м. Суми, вул. Привокзальна,4/13</t>
  </si>
  <si>
    <t>Завдання: 39. Придбання водопровідних та каналізаційних люків</t>
  </si>
  <si>
    <t>Завдання: 40. Розрахунок допустимих  концентрацій (ДК) забруднюючих речовин в скидах стічних вод споживачів у каналізаційну мережу м.Суми</t>
  </si>
  <si>
    <t>Завдання: 41. Коригування Правил приймання стічних вод в систему каналізації м.Суми</t>
  </si>
  <si>
    <t>Завдання: 42. Проведення капітального ремонту колекторів та каналізаційних мереж"</t>
  </si>
  <si>
    <t xml:space="preserve">  Завдання: 43. Заходи із землеутрою міста Суми</t>
  </si>
  <si>
    <t xml:space="preserve">  Завдання: 44. Забезпечення належного утримання житлового фонду та забезпечення населення якісними послугами з утримання будинків, споруд та прибудинкових територій, забезпечення придбання дорожньо-будівельних матеріалів для забезпечення проведення поточного ремонту проїздів, тротуарів, внутрішньоквартальних проїзних доріг, погашення заборгованості перед міським бюджетом</t>
  </si>
  <si>
    <t>Завдання: 45. Впровадження енергозберігаючих заходів</t>
  </si>
  <si>
    <t xml:space="preserve">  Завдання: 46.  Встановлення лічильників теплової енергії</t>
  </si>
  <si>
    <t xml:space="preserve">  Завдання: 47. Розробка схем та проектних рішень масового застосування міста Суми</t>
  </si>
  <si>
    <t xml:space="preserve">  Завдання: 48. Розробка єдиної дислокації технічних засобів регулювання дорожнього руху</t>
  </si>
  <si>
    <t xml:space="preserve">  Завдання: 49. Забезпечення зміцнення матеріально-технічної бази підприємств комунальної форми власності</t>
  </si>
  <si>
    <t xml:space="preserve">  Завдання: 50. Створення сприятливих умов проживання населення та забезпечення надання життєво необхідних послуг</t>
  </si>
  <si>
    <t xml:space="preserve">  Завдання: 51. Забезпечення надійного та безперебійного функціонування житлово-експлуатаційного господарства</t>
  </si>
  <si>
    <t xml:space="preserve">  Завдання: 52. Організація та проведення громадських робіт</t>
  </si>
  <si>
    <t xml:space="preserve">    Мета: Проведення реконструкції об'єктів комунального господарства та розробка проектно-кошторисної документації</t>
  </si>
  <si>
    <t xml:space="preserve">  Завдання: 54. Реконструкція І та ІІ черги полігону для складування ТПВ на території В.Бобрицької сільської ради Краснопільського району</t>
  </si>
  <si>
    <t xml:space="preserve">  Завдання: 17.6. Співфінансування капітального ремонту житлових будинків об'єднань співвласників багатоквартирних будинків та ЖБК</t>
  </si>
  <si>
    <t xml:space="preserve">    Показник: кількість об'єктів житлового фонду (будинків), що планується відремонтувати, шт.</t>
  </si>
  <si>
    <t xml:space="preserve">    Показник: Питома вага кількості об'єктів житлового фонду (будинків), на яких планується проведення співфінансування капітального ремонту, до кількості об'єктів (будинків), що потребують капітального ремонту, %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</si>
  <si>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</si>
  <si>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</si>
  <si>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</si>
  <si>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                 Додаток 9</t>
  </si>
  <si>
    <t xml:space="preserve">  Завдання: 53. Розробка проектно-кошторисної документації, в тому числі по реконструкції колекторів міста Суми</t>
  </si>
  <si>
    <t xml:space="preserve">від 30 листопада 2016 року № 1512-МР 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</si>
</sst>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;[Red]\-#,##0.00"/>
    <numFmt numFmtId="181" formatCode="0.0000"/>
    <numFmt numFmtId="182" formatCode="0.00000"/>
    <numFmt numFmtId="183" formatCode="0.000"/>
    <numFmt numFmtId="184" formatCode="0.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#,##0.0"/>
    <numFmt numFmtId="191" formatCode="#,##0.000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[Red]\-#,##0.00\ "/>
    <numFmt numFmtId="198" formatCode="#,##0;\-#,##0"/>
    <numFmt numFmtId="199" formatCode="#,##0;[Red]\-#,##0"/>
    <numFmt numFmtId="200" formatCode="#"/>
    <numFmt numFmtId="201" formatCode="#,##0.000_₴"/>
    <numFmt numFmtId="202" formatCode="#,##0.00000"/>
    <numFmt numFmtId="203" formatCode="#,##0.000000"/>
  </numFmts>
  <fonts count="63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sz val="7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8"/>
      <color indexed="11"/>
      <name val="Times New Roman"/>
      <family val="1"/>
    </font>
    <font>
      <sz val="8"/>
      <color indexed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8"/>
      <name val="Arial"/>
      <family val="2"/>
    </font>
    <font>
      <b/>
      <i/>
      <sz val="8"/>
      <color indexed="10"/>
      <name val="Times New Roman"/>
      <family val="1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14" fontId="12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/>
    </xf>
    <xf numFmtId="0" fontId="2" fillId="34" borderId="11" xfId="0" applyFont="1" applyFill="1" applyBorder="1" applyAlignment="1">
      <alignment horizontal="left" wrapText="1"/>
    </xf>
    <xf numFmtId="0" fontId="2" fillId="35" borderId="11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 wrapText="1"/>
    </xf>
    <xf numFmtId="0" fontId="1" fillId="35" borderId="11" xfId="0" applyFont="1" applyFill="1" applyBorder="1" applyAlignment="1">
      <alignment horizontal="left" wrapText="1"/>
    </xf>
    <xf numFmtId="4" fontId="1" fillId="35" borderId="11" xfId="0" applyNumberFormat="1" applyFont="1" applyFill="1" applyBorder="1" applyAlignment="1">
      <alignment horizontal="center" vertical="center"/>
    </xf>
    <xf numFmtId="4" fontId="8" fillId="35" borderId="11" xfId="0" applyNumberFormat="1" applyFont="1" applyFill="1" applyBorder="1" applyAlignment="1">
      <alignment horizontal="center" vertical="center"/>
    </xf>
    <xf numFmtId="4" fontId="8" fillId="34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4" fontId="1" fillId="0" borderId="0" xfId="0" applyNumberFormat="1" applyFont="1" applyAlignment="1">
      <alignment/>
    </xf>
    <xf numFmtId="0" fontId="2" fillId="36" borderId="11" xfId="0" applyFont="1" applyFill="1" applyBorder="1" applyAlignment="1">
      <alignment horizontal="left" wrapText="1"/>
    </xf>
    <xf numFmtId="0" fontId="1" fillId="36" borderId="11" xfId="0" applyFont="1" applyFill="1" applyBorder="1" applyAlignment="1">
      <alignment horizontal="left" wrapText="1"/>
    </xf>
    <xf numFmtId="0" fontId="1" fillId="36" borderId="11" xfId="0" applyFont="1" applyFill="1" applyBorder="1" applyAlignment="1">
      <alignment horizontal="left" vertical="top" wrapText="1"/>
    </xf>
    <xf numFmtId="0" fontId="1" fillId="36" borderId="12" xfId="0" applyFont="1" applyFill="1" applyBorder="1" applyAlignment="1">
      <alignment horizontal="left" wrapText="1"/>
    </xf>
    <xf numFmtId="0" fontId="1" fillId="34" borderId="12" xfId="0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4" fontId="1" fillId="37" borderId="10" xfId="0" applyNumberFormat="1" applyFont="1" applyFill="1" applyBorder="1" applyAlignment="1">
      <alignment horizontal="center" vertical="center" wrapText="1"/>
    </xf>
    <xf numFmtId="4" fontId="3" fillId="37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2" fontId="15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center"/>
    </xf>
    <xf numFmtId="4" fontId="1" fillId="35" borderId="10" xfId="0" applyNumberFormat="1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wrapText="1"/>
    </xf>
    <xf numFmtId="0" fontId="1" fillId="38" borderId="10" xfId="0" applyFont="1" applyFill="1" applyBorder="1" applyAlignment="1">
      <alignment horizontal="center" vertical="center" wrapText="1"/>
    </xf>
    <xf numFmtId="4" fontId="1" fillId="38" borderId="10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wrapText="1"/>
    </xf>
    <xf numFmtId="4" fontId="1" fillId="35" borderId="12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wrapText="1"/>
    </xf>
    <xf numFmtId="0" fontId="5" fillId="38" borderId="10" xfId="0" applyFont="1" applyFill="1" applyBorder="1" applyAlignment="1">
      <alignment horizontal="left" vertical="center" wrapText="1"/>
    </xf>
    <xf numFmtId="49" fontId="24" fillId="38" borderId="10" xfId="0" applyNumberFormat="1" applyFont="1" applyFill="1" applyBorder="1" applyAlignment="1">
      <alignment horizontal="center" vertical="center" wrapText="1"/>
    </xf>
    <xf numFmtId="2" fontId="1" fillId="38" borderId="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1" fillId="36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left" wrapText="1"/>
    </xf>
    <xf numFmtId="0" fontId="5" fillId="38" borderId="10" xfId="0" applyFont="1" applyFill="1" applyBorder="1" applyAlignment="1">
      <alignment horizontal="center" vertical="center" wrapText="1"/>
    </xf>
    <xf numFmtId="4" fontId="5" fillId="38" borderId="10" xfId="0" applyNumberFormat="1" applyFont="1" applyFill="1" applyBorder="1" applyAlignment="1">
      <alignment horizontal="center" vertical="center" wrapText="1"/>
    </xf>
    <xf numFmtId="2" fontId="5" fillId="38" borderId="10" xfId="0" applyNumberFormat="1" applyFont="1" applyFill="1" applyBorder="1" applyAlignment="1">
      <alignment horizontal="center" vertical="center" wrapText="1"/>
    </xf>
    <xf numFmtId="0" fontId="5" fillId="38" borderId="0" xfId="0" applyFont="1" applyFill="1" applyAlignment="1">
      <alignment/>
    </xf>
    <xf numFmtId="0" fontId="25" fillId="38" borderId="0" xfId="0" applyFont="1" applyFill="1" applyAlignment="1">
      <alignment/>
    </xf>
    <xf numFmtId="0" fontId="1" fillId="37" borderId="10" xfId="0" applyFont="1" applyFill="1" applyBorder="1" applyAlignment="1">
      <alignment wrapText="1"/>
    </xf>
    <xf numFmtId="0" fontId="15" fillId="0" borderId="0" xfId="0" applyFont="1" applyBorder="1" applyAlignment="1">
      <alignment horizontal="left" vertical="center" wrapText="1"/>
    </xf>
    <xf numFmtId="4" fontId="4" fillId="38" borderId="10" xfId="0" applyNumberFormat="1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left" wrapText="1"/>
    </xf>
    <xf numFmtId="0" fontId="5" fillId="39" borderId="14" xfId="0" applyFont="1" applyFill="1" applyBorder="1" applyAlignment="1">
      <alignment horizontal="left" wrapText="1"/>
    </xf>
    <xf numFmtId="2" fontId="5" fillId="40" borderId="10" xfId="0" applyNumberFormat="1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left" wrapText="1"/>
    </xf>
    <xf numFmtId="4" fontId="5" fillId="40" borderId="11" xfId="0" applyNumberFormat="1" applyFont="1" applyFill="1" applyBorder="1" applyAlignment="1">
      <alignment horizontal="center" vertical="center"/>
    </xf>
    <xf numFmtId="0" fontId="26" fillId="38" borderId="0" xfId="0" applyFont="1" applyFill="1" applyAlignment="1">
      <alignment/>
    </xf>
    <xf numFmtId="0" fontId="27" fillId="38" borderId="0" xfId="0" applyFont="1" applyFill="1" applyAlignment="1">
      <alignment/>
    </xf>
    <xf numFmtId="4" fontId="5" fillId="39" borderId="11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left" wrapText="1"/>
    </xf>
    <xf numFmtId="4" fontId="5" fillId="40" borderId="10" xfId="0" applyNumberFormat="1" applyFont="1" applyFill="1" applyBorder="1" applyAlignment="1">
      <alignment horizontal="center" vertical="center"/>
    </xf>
    <xf numFmtId="2" fontId="5" fillId="38" borderId="0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left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left" vertical="center" wrapText="1"/>
    </xf>
    <xf numFmtId="0" fontId="1" fillId="41" borderId="10" xfId="0" applyFont="1" applyFill="1" applyBorder="1" applyAlignment="1">
      <alignment horizontal="center" vertical="center" wrapText="1"/>
    </xf>
    <xf numFmtId="4" fontId="3" fillId="41" borderId="10" xfId="0" applyNumberFormat="1" applyFont="1" applyFill="1" applyBorder="1" applyAlignment="1">
      <alignment horizontal="center" vertical="center" wrapText="1"/>
    </xf>
    <xf numFmtId="0" fontId="1" fillId="41" borderId="0" xfId="0" applyFont="1" applyFill="1" applyAlignment="1">
      <alignment/>
    </xf>
    <xf numFmtId="0" fontId="0" fillId="41" borderId="0" xfId="0" applyFill="1" applyAlignment="1">
      <alignment/>
    </xf>
    <xf numFmtId="4" fontId="1" fillId="41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1" fillId="41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23" fillId="38" borderId="10" xfId="0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4" fontId="1" fillId="38" borderId="0" xfId="0" applyNumberFormat="1" applyFont="1" applyFill="1" applyAlignment="1">
      <alignment/>
    </xf>
    <xf numFmtId="0" fontId="1" fillId="38" borderId="0" xfId="0" applyFont="1" applyFill="1" applyAlignment="1">
      <alignment/>
    </xf>
    <xf numFmtId="0" fontId="11" fillId="39" borderId="11" xfId="0" applyFont="1" applyFill="1" applyBorder="1" applyAlignment="1">
      <alignment horizontal="center" wrapText="1"/>
    </xf>
    <xf numFmtId="4" fontId="11" fillId="40" borderId="11" xfId="0" applyNumberFormat="1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left"/>
    </xf>
    <xf numFmtId="4" fontId="61" fillId="41" borderId="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5" fillId="38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5" fillId="40" borderId="15" xfId="0" applyNumberFormat="1" applyFont="1" applyFill="1" applyBorder="1" applyAlignment="1">
      <alignment horizontal="center" vertical="center"/>
    </xf>
    <xf numFmtId="4" fontId="2" fillId="35" borderId="11" xfId="0" applyNumberFormat="1" applyFont="1" applyFill="1" applyBorder="1" applyAlignment="1">
      <alignment horizontal="center" vertical="center"/>
    </xf>
    <xf numFmtId="4" fontId="5" fillId="35" borderId="11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40" borderId="11" xfId="0" applyNumberFormat="1" applyFont="1" applyFill="1" applyBorder="1" applyAlignment="1">
      <alignment horizontal="center" vertical="center"/>
    </xf>
    <xf numFmtId="4" fontId="4" fillId="4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2" fillId="35" borderId="12" xfId="0" applyNumberFormat="1" applyFont="1" applyFill="1" applyBorder="1" applyAlignment="1">
      <alignment horizontal="center" vertical="center"/>
    </xf>
    <xf numFmtId="4" fontId="2" fillId="35" borderId="15" xfId="0" applyNumberFormat="1" applyFont="1" applyFill="1" applyBorder="1" applyAlignment="1">
      <alignment horizontal="center" vertical="center"/>
    </xf>
    <xf numFmtId="4" fontId="1" fillId="35" borderId="15" xfId="0" applyNumberFormat="1" applyFont="1" applyFill="1" applyBorder="1" applyAlignment="1">
      <alignment horizontal="center" vertical="center"/>
    </xf>
    <xf numFmtId="4" fontId="5" fillId="38" borderId="10" xfId="0" applyNumberFormat="1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37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4" fontId="1" fillId="37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" fontId="1" fillId="37" borderId="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left" vertical="center" wrapText="1"/>
    </xf>
    <xf numFmtId="4" fontId="10" fillId="0" borderId="0" xfId="0" applyNumberFormat="1" applyFont="1" applyFill="1" applyAlignment="1">
      <alignment horizontal="left" wrapText="1"/>
    </xf>
    <xf numFmtId="4" fontId="15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10" fillId="0" borderId="0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/>
    </xf>
    <xf numFmtId="4" fontId="12" fillId="0" borderId="0" xfId="0" applyNumberFormat="1" applyFont="1" applyAlignment="1">
      <alignment/>
    </xf>
    <xf numFmtId="4" fontId="16" fillId="0" borderId="0" xfId="0" applyNumberFormat="1" applyFont="1" applyAlignment="1">
      <alignment vertical="center" wrapText="1"/>
    </xf>
    <xf numFmtId="4" fontId="0" fillId="0" borderId="0" xfId="0" applyNumberFormat="1" applyAlignment="1">
      <alignment/>
    </xf>
    <xf numFmtId="4" fontId="12" fillId="0" borderId="0" xfId="0" applyNumberFormat="1" applyFont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4" fontId="2" fillId="41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/>
    </xf>
    <xf numFmtId="2" fontId="2" fillId="38" borderId="0" xfId="0" applyNumberFormat="1" applyFont="1" applyFill="1" applyBorder="1" applyAlignment="1">
      <alignment horizontal="center" vertical="center" wrapText="1"/>
    </xf>
    <xf numFmtId="0" fontId="28" fillId="38" borderId="0" xfId="0" applyFont="1" applyFill="1" applyAlignment="1">
      <alignment/>
    </xf>
    <xf numFmtId="0" fontId="2" fillId="38" borderId="10" xfId="0" applyFont="1" applyFill="1" applyBorder="1" applyAlignment="1">
      <alignment horizontal="left" vertical="center" wrapText="1"/>
    </xf>
    <xf numFmtId="0" fontId="11" fillId="41" borderId="10" xfId="0" applyFont="1" applyFill="1" applyBorder="1" applyAlignment="1">
      <alignment horizontal="center" vertical="center" wrapText="1"/>
    </xf>
    <xf numFmtId="0" fontId="24" fillId="41" borderId="10" xfId="0" applyFont="1" applyFill="1" applyBorder="1" applyAlignment="1">
      <alignment horizontal="center" vertical="center" wrapText="1"/>
    </xf>
    <xf numFmtId="4" fontId="24" fillId="41" borderId="10" xfId="0" applyNumberFormat="1" applyFont="1" applyFill="1" applyBorder="1" applyAlignment="1">
      <alignment horizontal="center" vertical="center" wrapText="1"/>
    </xf>
    <xf numFmtId="4" fontId="1" fillId="41" borderId="0" xfId="0" applyNumberFormat="1" applyFont="1" applyFill="1" applyAlignment="1">
      <alignment/>
    </xf>
    <xf numFmtId="4" fontId="3" fillId="38" borderId="10" xfId="0" applyNumberFormat="1" applyFont="1" applyFill="1" applyBorder="1" applyAlignment="1">
      <alignment horizontal="center" vertical="center" wrapText="1"/>
    </xf>
    <xf numFmtId="0" fontId="19" fillId="38" borderId="0" xfId="0" applyFont="1" applyFill="1" applyAlignment="1">
      <alignment/>
    </xf>
    <xf numFmtId="0" fontId="20" fillId="38" borderId="0" xfId="0" applyFont="1" applyFill="1" applyAlignment="1">
      <alignment/>
    </xf>
    <xf numFmtId="0" fontId="2" fillId="41" borderId="10" xfId="0" applyFont="1" applyFill="1" applyBorder="1" applyAlignment="1">
      <alignment horizontal="left" vertical="center" wrapText="1"/>
    </xf>
    <xf numFmtId="4" fontId="5" fillId="41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62" fillId="40" borderId="15" xfId="0" applyNumberFormat="1" applyFont="1" applyFill="1" applyBorder="1" applyAlignment="1">
      <alignment horizontal="center" vertical="center"/>
    </xf>
    <xf numFmtId="4" fontId="13" fillId="0" borderId="0" xfId="0" applyNumberFormat="1" applyFont="1" applyAlignment="1">
      <alignment horizontal="left"/>
    </xf>
    <xf numFmtId="0" fontId="14" fillId="0" borderId="0" xfId="0" applyFont="1" applyAlignment="1">
      <alignment horizontal="center" wrapText="1"/>
    </xf>
    <xf numFmtId="4" fontId="15" fillId="0" borderId="0" xfId="0" applyNumberFormat="1" applyFont="1" applyAlignment="1">
      <alignment horizontal="center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7375"/>
          <c:h val="0.96575"/>
        </c:manualLayout>
      </c:layout>
      <c:barChart>
        <c:barDir val="col"/>
        <c:grouping val="clustered"/>
        <c:varyColors val="0"/>
        <c:axId val="14323116"/>
        <c:axId val="61799181"/>
      </c:barChart>
      <c:catAx>
        <c:axId val="1432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99181"/>
        <c:crosses val="autoZero"/>
        <c:auto val="1"/>
        <c:lblOffset val="100"/>
        <c:tickLblSkip val="1"/>
        <c:noMultiLvlLbl val="0"/>
      </c:catAx>
      <c:valAx>
        <c:axId val="61799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23116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862"/>
  <sheetViews>
    <sheetView tabSelected="1" view="pageBreakPreview" zoomScale="115" zoomScaleNormal="85" zoomScaleSheetLayoutView="115" workbookViewId="0" topLeftCell="A1">
      <selection activeCell="N7" sqref="N7:P7"/>
    </sheetView>
  </sheetViews>
  <sheetFormatPr defaultColWidth="9.33203125" defaultRowHeight="11.25"/>
  <cols>
    <col min="1" max="1" width="45.33203125" style="1" customWidth="1"/>
    <col min="2" max="2" width="9.5" style="1" hidden="1" customWidth="1"/>
    <col min="3" max="3" width="9.66015625" style="1" hidden="1" customWidth="1"/>
    <col min="4" max="4" width="17.16015625" style="42" customWidth="1"/>
    <col min="5" max="5" width="16.66015625" style="42" customWidth="1"/>
    <col min="6" max="6" width="17.66015625" style="42" customWidth="1"/>
    <col min="7" max="7" width="17.5" style="42" customWidth="1"/>
    <col min="8" max="9" width="16.16015625" style="42" customWidth="1"/>
    <col min="10" max="10" width="17.16015625" style="42" customWidth="1"/>
    <col min="11" max="13" width="16" style="42" hidden="1" customWidth="1"/>
    <col min="14" max="14" width="15.83203125" style="42" customWidth="1"/>
    <col min="15" max="15" width="17.5" style="42" customWidth="1"/>
    <col min="16" max="16" width="16.16015625" style="42" customWidth="1"/>
    <col min="17" max="17" width="0.328125" style="1" customWidth="1"/>
    <col min="18" max="235" width="10.33203125" style="1" customWidth="1"/>
  </cols>
  <sheetData>
    <row r="1" spans="14:16" ht="12.75">
      <c r="N1" s="189" t="s">
        <v>421</v>
      </c>
      <c r="O1" s="189"/>
      <c r="P1" s="189"/>
    </row>
    <row r="2" spans="1:16" ht="12.75">
      <c r="A2" s="115"/>
      <c r="B2" s="115"/>
      <c r="C2" s="115"/>
      <c r="D2" s="117"/>
      <c r="E2" s="117"/>
      <c r="F2" s="117"/>
      <c r="G2" s="117"/>
      <c r="H2" s="117"/>
      <c r="I2" s="117"/>
      <c r="N2" s="189" t="s">
        <v>82</v>
      </c>
      <c r="O2" s="189"/>
      <c r="P2" s="189"/>
    </row>
    <row r="3" spans="1:16" ht="12.75">
      <c r="A3" s="115"/>
      <c r="B3" s="115"/>
      <c r="C3" s="115"/>
      <c r="D3" s="116"/>
      <c r="E3" s="116"/>
      <c r="F3" s="116"/>
      <c r="G3" s="116"/>
      <c r="H3" s="116"/>
      <c r="I3" s="117"/>
      <c r="N3" s="189" t="s">
        <v>245</v>
      </c>
      <c r="O3" s="189"/>
      <c r="P3" s="189"/>
    </row>
    <row r="4" spans="1:16" ht="12.75">
      <c r="A4" s="115"/>
      <c r="B4" s="115"/>
      <c r="C4" s="115"/>
      <c r="D4" s="116"/>
      <c r="E4" s="127"/>
      <c r="F4" s="116"/>
      <c r="G4" s="116"/>
      <c r="H4" s="116"/>
      <c r="I4" s="117"/>
      <c r="N4" s="189" t="s">
        <v>62</v>
      </c>
      <c r="O4" s="189"/>
      <c r="P4" s="189"/>
    </row>
    <row r="5" spans="1:16" ht="12.75">
      <c r="A5" s="115"/>
      <c r="B5" s="115"/>
      <c r="C5" s="115"/>
      <c r="D5" s="116"/>
      <c r="E5" s="127"/>
      <c r="F5" s="116"/>
      <c r="G5" s="116"/>
      <c r="H5" s="116"/>
      <c r="I5" s="117"/>
      <c r="N5" s="189" t="s">
        <v>87</v>
      </c>
      <c r="O5" s="189"/>
      <c r="P5" s="189"/>
    </row>
    <row r="6" spans="1:16" ht="12.75">
      <c r="A6" s="115"/>
      <c r="B6" s="115"/>
      <c r="C6" s="115"/>
      <c r="D6" s="116"/>
      <c r="E6" s="116"/>
      <c r="F6" s="116"/>
      <c r="G6" s="116"/>
      <c r="H6" s="116"/>
      <c r="I6" s="117"/>
      <c r="N6" s="189" t="s">
        <v>252</v>
      </c>
      <c r="O6" s="189"/>
      <c r="P6" s="189"/>
    </row>
    <row r="7" spans="1:17" ht="15.75">
      <c r="A7" s="115"/>
      <c r="B7" s="115"/>
      <c r="C7" s="115"/>
      <c r="D7" s="116"/>
      <c r="E7" s="116"/>
      <c r="F7" s="116"/>
      <c r="G7" s="116"/>
      <c r="H7" s="116"/>
      <c r="I7" s="117"/>
      <c r="N7" s="189" t="s">
        <v>423</v>
      </c>
      <c r="O7" s="189"/>
      <c r="P7" s="189"/>
      <c r="Q7" s="27"/>
    </row>
    <row r="8" spans="1:17" ht="15.75">
      <c r="A8" s="115"/>
      <c r="B8" s="115"/>
      <c r="C8" s="115"/>
      <c r="D8" s="116"/>
      <c r="E8" s="116"/>
      <c r="F8" s="116"/>
      <c r="G8" s="116"/>
      <c r="H8" s="116"/>
      <c r="I8" s="117"/>
      <c r="N8" s="126"/>
      <c r="O8" s="126"/>
      <c r="P8" s="126"/>
      <c r="Q8" s="27"/>
    </row>
    <row r="9" spans="1:9" ht="11.25">
      <c r="A9" s="115"/>
      <c r="B9" s="115"/>
      <c r="C9" s="115"/>
      <c r="D9" s="116"/>
      <c r="E9" s="116"/>
      <c r="F9" s="116"/>
      <c r="G9" s="116"/>
      <c r="H9" s="116"/>
      <c r="I9" s="117"/>
    </row>
    <row r="10" spans="1:16" ht="31.5" customHeight="1">
      <c r="A10" s="190" t="s">
        <v>88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</row>
    <row r="11" spans="1:16" ht="16.5" customHeight="1">
      <c r="A11" s="3"/>
      <c r="B11" s="3"/>
      <c r="C11" s="3"/>
      <c r="D11" s="74"/>
      <c r="E11" s="74"/>
      <c r="F11" s="74"/>
      <c r="G11" s="74"/>
      <c r="H11" s="74"/>
      <c r="I11" s="74"/>
      <c r="K11" s="74"/>
      <c r="P11" s="74" t="s">
        <v>59</v>
      </c>
    </row>
    <row r="12" spans="1:241" ht="11.25" customHeight="1">
      <c r="A12" s="200"/>
      <c r="B12" s="203" t="s">
        <v>52</v>
      </c>
      <c r="C12" s="203" t="s">
        <v>53</v>
      </c>
      <c r="D12" s="192" t="s">
        <v>89</v>
      </c>
      <c r="E12" s="193"/>
      <c r="F12" s="194"/>
      <c r="G12" s="199" t="s">
        <v>90</v>
      </c>
      <c r="H12" s="199"/>
      <c r="I12" s="199"/>
      <c r="J12" s="199"/>
      <c r="K12" s="128"/>
      <c r="L12" s="128"/>
      <c r="M12" s="128"/>
      <c r="N12" s="192" t="s">
        <v>91</v>
      </c>
      <c r="O12" s="193"/>
      <c r="P12" s="194"/>
      <c r="IB12" s="1"/>
      <c r="IC12" s="1"/>
      <c r="ID12" s="1"/>
      <c r="IE12" s="1"/>
      <c r="IF12" s="1"/>
      <c r="IG12" s="1"/>
    </row>
    <row r="13" spans="1:241" ht="12" customHeight="1">
      <c r="A13" s="201"/>
      <c r="B13" s="204"/>
      <c r="C13" s="204"/>
      <c r="D13" s="195" t="s">
        <v>54</v>
      </c>
      <c r="E13" s="196"/>
      <c r="F13" s="197" t="s">
        <v>41</v>
      </c>
      <c r="G13" s="208" t="s">
        <v>54</v>
      </c>
      <c r="H13" s="208"/>
      <c r="I13" s="208"/>
      <c r="J13" s="199" t="s">
        <v>41</v>
      </c>
      <c r="K13" s="192" t="s">
        <v>40</v>
      </c>
      <c r="L13" s="193"/>
      <c r="M13" s="194"/>
      <c r="N13" s="195" t="s">
        <v>54</v>
      </c>
      <c r="O13" s="196"/>
      <c r="P13" s="197" t="s">
        <v>41</v>
      </c>
      <c r="IB13" s="1"/>
      <c r="IC13" s="1"/>
      <c r="ID13" s="1"/>
      <c r="IE13" s="1"/>
      <c r="IF13" s="1"/>
      <c r="IG13" s="1"/>
    </row>
    <row r="14" spans="1:241" ht="24.75" customHeight="1">
      <c r="A14" s="202"/>
      <c r="B14" s="205"/>
      <c r="C14" s="205"/>
      <c r="D14" s="128" t="s">
        <v>0</v>
      </c>
      <c r="E14" s="128" t="s">
        <v>1</v>
      </c>
      <c r="F14" s="198"/>
      <c r="G14" s="128" t="s">
        <v>0</v>
      </c>
      <c r="H14" s="128" t="s">
        <v>1</v>
      </c>
      <c r="I14" s="128" t="s">
        <v>330</v>
      </c>
      <c r="J14" s="199"/>
      <c r="K14" s="128" t="s">
        <v>0</v>
      </c>
      <c r="L14" s="128" t="s">
        <v>1</v>
      </c>
      <c r="M14" s="128" t="s">
        <v>41</v>
      </c>
      <c r="N14" s="128" t="s">
        <v>0</v>
      </c>
      <c r="O14" s="128" t="s">
        <v>1</v>
      </c>
      <c r="P14" s="198"/>
      <c r="IB14" s="1"/>
      <c r="IC14" s="1"/>
      <c r="ID14" s="1"/>
      <c r="IE14" s="1"/>
      <c r="IF14" s="1"/>
      <c r="IG14" s="1"/>
    </row>
    <row r="15" spans="1:241" s="171" customFormat="1" ht="11.25">
      <c r="A15" s="169">
        <v>1</v>
      </c>
      <c r="B15" s="169"/>
      <c r="C15" s="169"/>
      <c r="D15" s="169" t="s">
        <v>2</v>
      </c>
      <c r="E15" s="169" t="s">
        <v>3</v>
      </c>
      <c r="F15" s="169">
        <v>7</v>
      </c>
      <c r="G15" s="169">
        <v>8</v>
      </c>
      <c r="H15" s="169">
        <v>9</v>
      </c>
      <c r="I15" s="169">
        <v>10</v>
      </c>
      <c r="J15" s="169">
        <v>11</v>
      </c>
      <c r="K15" s="169">
        <v>12</v>
      </c>
      <c r="L15" s="169">
        <v>13</v>
      </c>
      <c r="M15" s="169">
        <v>14</v>
      </c>
      <c r="N15" s="169">
        <v>12</v>
      </c>
      <c r="O15" s="169">
        <v>13</v>
      </c>
      <c r="P15" s="169">
        <v>14</v>
      </c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0"/>
      <c r="FO15" s="170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T15" s="170"/>
      <c r="GU15" s="170"/>
      <c r="GV15" s="170"/>
      <c r="GW15" s="170"/>
      <c r="GX15" s="170"/>
      <c r="GY15" s="170"/>
      <c r="GZ15" s="170"/>
      <c r="HA15" s="170"/>
      <c r="HB15" s="170"/>
      <c r="HC15" s="170"/>
      <c r="HD15" s="170"/>
      <c r="HE15" s="170"/>
      <c r="HF15" s="170"/>
      <c r="HG15" s="170"/>
      <c r="HH15" s="170"/>
      <c r="HI15" s="170"/>
      <c r="HJ15" s="170"/>
      <c r="HK15" s="170"/>
      <c r="HL15" s="170"/>
      <c r="HM15" s="170"/>
      <c r="HN15" s="170"/>
      <c r="HO15" s="170"/>
      <c r="HP15" s="170"/>
      <c r="HQ15" s="170"/>
      <c r="HR15" s="170"/>
      <c r="HS15" s="170"/>
      <c r="HT15" s="170"/>
      <c r="HU15" s="170"/>
      <c r="HV15" s="170"/>
      <c r="HW15" s="170"/>
      <c r="HX15" s="170"/>
      <c r="HY15" s="170"/>
      <c r="HZ15" s="170"/>
      <c r="IA15" s="170"/>
      <c r="IB15" s="170"/>
      <c r="IC15" s="170"/>
      <c r="ID15" s="170"/>
      <c r="IE15" s="170"/>
      <c r="IF15" s="170"/>
      <c r="IG15" s="170"/>
    </row>
    <row r="16" spans="1:16" s="1" customFormat="1" ht="28.5" customHeight="1">
      <c r="A16" s="57" t="s">
        <v>76</v>
      </c>
      <c r="B16" s="57"/>
      <c r="C16" s="57"/>
      <c r="D16" s="58">
        <f>D25+D301+D388+D508+D524+D584+D598+D610+D625</f>
        <v>42115300.002</v>
      </c>
      <c r="E16" s="58">
        <f>E25+E301+E388+E508+E524+E584+E628</f>
        <v>42792920</v>
      </c>
      <c r="F16" s="58">
        <f>F25+F301+F388+F508+F524+F584+F598+F610+F628</f>
        <v>84908220.002</v>
      </c>
      <c r="G16" s="180">
        <f>G25+G301+G388+G508+G524+G584+G610+G625+G637+G664+G680+G689+G707+G715</f>
        <v>67771849.99272124</v>
      </c>
      <c r="H16" s="180">
        <f>H25+H301+H388+H508+H524+H610+H637+H680+H584+H689+H707+H625+H664+H715</f>
        <v>213129973.4998994</v>
      </c>
      <c r="I16" s="180">
        <f>I25+I301+I388+I508+I524+I625+I664+I680</f>
        <v>47000</v>
      </c>
      <c r="J16" s="180">
        <f>G16+H16+I16</f>
        <v>280948823.49262065</v>
      </c>
      <c r="K16" s="58" t="e">
        <f>K25+K301+K388+K508+K524</f>
        <v>#REF!</v>
      </c>
      <c r="L16" s="58" t="e">
        <f>L25+L301+L388+L508+L524</f>
        <v>#REF!</v>
      </c>
      <c r="M16" s="58" t="e">
        <f>M25+M301+M388+M508+M524</f>
        <v>#REF!</v>
      </c>
      <c r="N16" s="180">
        <f>N25+N301+N388+N508+N524+N584+N610+N625+N637+N664+N680+N689+N707+N715</f>
        <v>87544059.99991064</v>
      </c>
      <c r="O16" s="180">
        <f>O25+O301+O388+O508+O524+O584+O610+O625+O637+O664+O680+O689+O707+O715</f>
        <v>276391121.001838</v>
      </c>
      <c r="P16" s="180">
        <f aca="true" t="shared" si="0" ref="P16:P21">N16+O16</f>
        <v>363935181.0017487</v>
      </c>
    </row>
    <row r="17" spans="1:16" s="1" customFormat="1" ht="41.25" customHeight="1">
      <c r="A17" s="57" t="s">
        <v>61</v>
      </c>
      <c r="B17" s="57"/>
      <c r="C17" s="57"/>
      <c r="D17" s="58">
        <f>D26</f>
        <v>50736000</v>
      </c>
      <c r="E17" s="58">
        <f>E26</f>
        <v>58817800</v>
      </c>
      <c r="F17" s="58">
        <f>D17+E17</f>
        <v>109553800</v>
      </c>
      <c r="G17" s="180">
        <f>G26+G598</f>
        <v>71963199.997529</v>
      </c>
      <c r="H17" s="180">
        <f>H26+H598</f>
        <v>131508929</v>
      </c>
      <c r="I17" s="180">
        <f>I26+I598</f>
        <v>0</v>
      </c>
      <c r="J17" s="180">
        <f>G17+H17</f>
        <v>203472128.997529</v>
      </c>
      <c r="K17" s="58">
        <f>K26</f>
        <v>0</v>
      </c>
      <c r="L17" s="58">
        <f>L26</f>
        <v>0</v>
      </c>
      <c r="M17" s="58">
        <f>M26</f>
        <v>0</v>
      </c>
      <c r="N17" s="180">
        <f>N26+N598</f>
        <v>73227999.99998</v>
      </c>
      <c r="O17" s="180">
        <f>O26+O598</f>
        <v>80795600</v>
      </c>
      <c r="P17" s="180">
        <f t="shared" si="0"/>
        <v>154023599.99998</v>
      </c>
    </row>
    <row r="18" spans="1:17" ht="51" customHeight="1">
      <c r="A18" s="57" t="s">
        <v>345</v>
      </c>
      <c r="B18" s="57"/>
      <c r="C18" s="57"/>
      <c r="D18" s="58">
        <f>D389+D464</f>
        <v>353680</v>
      </c>
      <c r="E18" s="58">
        <f>E389+E464</f>
        <v>534080</v>
      </c>
      <c r="F18" s="58">
        <f>D18+E18</f>
        <v>887760</v>
      </c>
      <c r="G18" s="180">
        <f aca="true" t="shared" si="1" ref="G18:I19">G389+G464</f>
        <v>0</v>
      </c>
      <c r="H18" s="180">
        <f t="shared" si="1"/>
        <v>64399.99999992592</v>
      </c>
      <c r="I18" s="180">
        <f t="shared" si="1"/>
        <v>0</v>
      </c>
      <c r="J18" s="180">
        <f>G18+H18+I18</f>
        <v>64399.99999992592</v>
      </c>
      <c r="K18" s="58">
        <f>K389+K464</f>
        <v>0</v>
      </c>
      <c r="L18" s="58">
        <f>L389+L464</f>
        <v>0</v>
      </c>
      <c r="M18" s="58">
        <f>M389+M464</f>
        <v>0</v>
      </c>
      <c r="N18" s="58">
        <f>N389+N464</f>
        <v>0</v>
      </c>
      <c r="O18" s="58">
        <f>O389+O464</f>
        <v>0</v>
      </c>
      <c r="P18" s="58">
        <f t="shared" si="0"/>
        <v>0</v>
      </c>
      <c r="Q18" s="42"/>
    </row>
    <row r="19" spans="1:17" ht="51" customHeight="1">
      <c r="A19" s="57" t="s">
        <v>344</v>
      </c>
      <c r="B19" s="57"/>
      <c r="C19" s="57"/>
      <c r="D19" s="58">
        <f>D390+D465</f>
        <v>0</v>
      </c>
      <c r="E19" s="58">
        <f aca="true" t="shared" si="2" ref="E19:O19">E390+E465</f>
        <v>0</v>
      </c>
      <c r="F19" s="58">
        <f>D19+E19</f>
        <v>0</v>
      </c>
      <c r="G19" s="180">
        <f t="shared" si="1"/>
        <v>219999.99999799998</v>
      </c>
      <c r="H19" s="180">
        <f t="shared" si="1"/>
        <v>814109.999999774</v>
      </c>
      <c r="I19" s="180">
        <f t="shared" si="1"/>
        <v>0</v>
      </c>
      <c r="J19" s="180">
        <f>G19+H19+I19</f>
        <v>1034109.999997774</v>
      </c>
      <c r="K19" s="58">
        <f t="shared" si="2"/>
        <v>0</v>
      </c>
      <c r="L19" s="58">
        <f t="shared" si="2"/>
        <v>0</v>
      </c>
      <c r="M19" s="58">
        <f t="shared" si="2"/>
        <v>0</v>
      </c>
      <c r="N19" s="58">
        <f t="shared" si="2"/>
        <v>419213.19999932</v>
      </c>
      <c r="O19" s="58">
        <f t="shared" si="2"/>
        <v>569509.9999997</v>
      </c>
      <c r="P19" s="58">
        <f t="shared" si="0"/>
        <v>988723.19999902</v>
      </c>
      <c r="Q19" s="42"/>
    </row>
    <row r="20" spans="1:17" ht="29.25" customHeight="1">
      <c r="A20" s="57" t="s">
        <v>75</v>
      </c>
      <c r="B20" s="57"/>
      <c r="C20" s="57"/>
      <c r="D20" s="58">
        <f>D28</f>
        <v>132300</v>
      </c>
      <c r="E20" s="58">
        <f>E28</f>
        <v>0</v>
      </c>
      <c r="F20" s="58">
        <f>D20+E20</f>
        <v>132300</v>
      </c>
      <c r="G20" s="180">
        <f>G28</f>
        <v>172439.79</v>
      </c>
      <c r="H20" s="180">
        <f>H28</f>
        <v>0</v>
      </c>
      <c r="I20" s="180">
        <f>I28</f>
        <v>0</v>
      </c>
      <c r="J20" s="180">
        <f>G20+H20</f>
        <v>172439.79</v>
      </c>
      <c r="K20" s="58">
        <f>K28</f>
        <v>0</v>
      </c>
      <c r="L20" s="58">
        <f>L28</f>
        <v>0</v>
      </c>
      <c r="M20" s="58">
        <f>M28</f>
        <v>0</v>
      </c>
      <c r="N20" s="58">
        <f>N28</f>
        <v>0</v>
      </c>
      <c r="O20" s="58">
        <f>O28</f>
        <v>0</v>
      </c>
      <c r="P20" s="58">
        <f t="shared" si="0"/>
        <v>0</v>
      </c>
      <c r="Q20" s="42"/>
    </row>
    <row r="21" spans="1:235" s="113" customFormat="1" ht="29.25" customHeight="1">
      <c r="A21" s="178" t="s">
        <v>334</v>
      </c>
      <c r="B21" s="179"/>
      <c r="C21" s="179"/>
      <c r="D21" s="180"/>
      <c r="E21" s="180"/>
      <c r="F21" s="180"/>
      <c r="G21" s="180">
        <f>G29</f>
        <v>365080.002</v>
      </c>
      <c r="H21" s="180">
        <f aca="true" t="shared" si="3" ref="H21:O21">H29</f>
        <v>0</v>
      </c>
      <c r="I21" s="180">
        <f t="shared" si="3"/>
        <v>0</v>
      </c>
      <c r="J21" s="180">
        <f>G21+H21+I21</f>
        <v>365080.002</v>
      </c>
      <c r="K21" s="180">
        <f t="shared" si="3"/>
        <v>0</v>
      </c>
      <c r="L21" s="180">
        <f t="shared" si="3"/>
        <v>0</v>
      </c>
      <c r="M21" s="180">
        <f t="shared" si="3"/>
        <v>0</v>
      </c>
      <c r="N21" s="180">
        <f t="shared" si="3"/>
        <v>789999.9999959131</v>
      </c>
      <c r="O21" s="180">
        <f t="shared" si="3"/>
        <v>0</v>
      </c>
      <c r="P21" s="180">
        <f t="shared" si="0"/>
        <v>789999.9999959131</v>
      </c>
      <c r="Q21" s="181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</row>
    <row r="22" spans="1:17" ht="20.25" customHeight="1">
      <c r="A22" s="57" t="s">
        <v>221</v>
      </c>
      <c r="B22" s="57"/>
      <c r="C22" s="57"/>
      <c r="D22" s="58">
        <f>D16+D17+D18+D20</f>
        <v>93337280.002</v>
      </c>
      <c r="E22" s="58">
        <f>E16+E17+E18+E20</f>
        <v>102144800</v>
      </c>
      <c r="F22" s="58">
        <f>F16+F17+F18+F20</f>
        <v>195482080.002</v>
      </c>
      <c r="G22" s="58">
        <f>G16+G17+G18+G20+G21+G19</f>
        <v>140492569.78224823</v>
      </c>
      <c r="H22" s="58">
        <f>H16+H17+H18+H20+H21+H19</f>
        <v>345517412.4998991</v>
      </c>
      <c r="I22" s="58">
        <f>I16+I17+I18+I20+I21+I19</f>
        <v>47000</v>
      </c>
      <c r="J22" s="58">
        <f>J16+J17+J18+J20+J21+J19</f>
        <v>486056982.28214735</v>
      </c>
      <c r="K22" s="58" t="e">
        <f>K16+K17+K18+K20</f>
        <v>#REF!</v>
      </c>
      <c r="L22" s="58" t="e">
        <f>L16+L17+L18+L20</f>
        <v>#REF!</v>
      </c>
      <c r="M22" s="58" t="e">
        <f>M16+M17+M18+M20</f>
        <v>#REF!</v>
      </c>
      <c r="N22" s="58">
        <f>N16+N17+N18+N20+N19+N21</f>
        <v>161981273.19988587</v>
      </c>
      <c r="O22" s="58">
        <f>O16+O17+O18+O20+O19+O21</f>
        <v>357756231.00183773</v>
      </c>
      <c r="P22" s="58">
        <f>P16+P17+P18+P20+P19+P21</f>
        <v>519737504.2017236</v>
      </c>
      <c r="Q22" s="42"/>
    </row>
    <row r="23" spans="1:235" s="85" customFormat="1" ht="18.75" customHeight="1">
      <c r="A23" s="118" t="s">
        <v>343</v>
      </c>
      <c r="B23" s="88"/>
      <c r="C23" s="88"/>
      <c r="D23" s="119">
        <f>D25+D26+D28</f>
        <v>85352300</v>
      </c>
      <c r="E23" s="119">
        <f aca="true" t="shared" si="4" ref="E23:M23">E25+E26+E28</f>
        <v>73485300</v>
      </c>
      <c r="F23" s="119">
        <f>F25+F26+F28</f>
        <v>158837600</v>
      </c>
      <c r="G23" s="119">
        <f>G25+G26+G28+G29</f>
        <v>117508019.7841344</v>
      </c>
      <c r="H23" s="119">
        <f>H25+H26+H28+H29</f>
        <v>155248611.5</v>
      </c>
      <c r="I23" s="119">
        <f>I25+I26+I28+I29</f>
        <v>0</v>
      </c>
      <c r="J23" s="119">
        <f t="shared" si="4"/>
        <v>272391551.2821344</v>
      </c>
      <c r="K23" s="119">
        <f t="shared" si="4"/>
        <v>-1039.33</v>
      </c>
      <c r="L23" s="119">
        <f t="shared" si="4"/>
        <v>-1039.33</v>
      </c>
      <c r="M23" s="119">
        <f t="shared" si="4"/>
        <v>-1039.33</v>
      </c>
      <c r="N23" s="119">
        <f>N25+N26+N28+N29</f>
        <v>139652799.99991316</v>
      </c>
      <c r="O23" s="119">
        <f>O25+O26+O28+O29</f>
        <v>121692700.00186001</v>
      </c>
      <c r="P23" s="119">
        <f>N23+O23</f>
        <v>261345500.00177318</v>
      </c>
      <c r="Q23" s="120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</row>
    <row r="24" spans="1:17" ht="27" customHeight="1">
      <c r="A24" s="18" t="s">
        <v>222</v>
      </c>
      <c r="B24" s="8"/>
      <c r="C24" s="8"/>
      <c r="D24" s="10"/>
      <c r="E24" s="10"/>
      <c r="F24" s="10"/>
      <c r="G24" s="10"/>
      <c r="H24" s="10"/>
      <c r="I24" s="10"/>
      <c r="J24" s="10"/>
      <c r="K24" s="11"/>
      <c r="L24" s="11"/>
      <c r="M24" s="11"/>
      <c r="N24" s="10"/>
      <c r="O24" s="10"/>
      <c r="P24" s="10"/>
      <c r="Q24" s="42"/>
    </row>
    <row r="25" spans="1:235" s="85" customFormat="1" ht="15" customHeight="1">
      <c r="A25" s="108" t="s">
        <v>97</v>
      </c>
      <c r="B25" s="108"/>
      <c r="C25" s="108"/>
      <c r="D25" s="119">
        <f>D77+(D92*D95)+D141+D169+D206+D247+D262+D282+D292+D99</f>
        <v>34484000</v>
      </c>
      <c r="E25" s="119">
        <f>E77+(E92*E95)+E141+E169+E206+E247+E262+E282+E292</f>
        <v>14667500</v>
      </c>
      <c r="F25" s="119">
        <f>D25+E25</f>
        <v>49151500</v>
      </c>
      <c r="G25" s="119">
        <f>G77+(G92*G95)+G141+G169+G206+G247+G262+G282+G292+G99-G29+G50</f>
        <v>53087299.994605385</v>
      </c>
      <c r="H25" s="119">
        <f>H77+(H92*H95)+H141+H169+H206+H247+H262+H282+H292-H298</f>
        <v>23739682.5</v>
      </c>
      <c r="I25" s="119">
        <f>I77+(I92*I95)+I141+I169+I206+I247+I262+I282+I292-I298</f>
        <v>0</v>
      </c>
      <c r="J25" s="119">
        <f>G25+H25</f>
        <v>76826982.49460539</v>
      </c>
      <c r="K25" s="119">
        <f>K77+(K92*K95)+K141+K169+K206+K247+K262+K282+K292</f>
        <v>-1039.33</v>
      </c>
      <c r="L25" s="119">
        <f>L77+(L92*L95)+L141+L169+L206+L247+L262+L282+L292</f>
        <v>-1039.33</v>
      </c>
      <c r="M25" s="119">
        <f>M77+(M92*M95)+M141+M169+M206+M247+M262+M282+M292</f>
        <v>-1039.33</v>
      </c>
      <c r="N25" s="119">
        <f>N77+(N92*N95)+N141+N169+N206+N247+N262+N282+N292+N99+N50-N29</f>
        <v>65634799.99993723</v>
      </c>
      <c r="O25" s="119">
        <f>O77+(O92*O95)+O141+O169+O206+O247+O262+O282+O292-O298</f>
        <v>40897100.00186001</v>
      </c>
      <c r="P25" s="119">
        <f>N25+O25</f>
        <v>106531900.00179723</v>
      </c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</row>
    <row r="26" spans="1:235" s="85" customFormat="1" ht="13.5" customHeight="1">
      <c r="A26" s="108" t="s">
        <v>98</v>
      </c>
      <c r="B26" s="108"/>
      <c r="C26" s="108"/>
      <c r="D26" s="119">
        <f>D30+D41+D59+D106+D113-D28</f>
        <v>50736000</v>
      </c>
      <c r="E26" s="119">
        <f>E30+E41+E59+E106+E113-E28+(E91*E94)</f>
        <v>58817800</v>
      </c>
      <c r="F26" s="119">
        <f>D26+E26</f>
        <v>109553800</v>
      </c>
      <c r="G26" s="119">
        <f>G30+G41+G59+G106+G113-G28</f>
        <v>63883199.997529</v>
      </c>
      <c r="H26" s="119">
        <f>H30+H41+H59+H106+H113-H28+(J91*J94)+H298-600180</f>
        <v>131508929</v>
      </c>
      <c r="I26" s="119">
        <f>I30+I41+I59+I106+I113-I28+(K91*K94)+I298</f>
        <v>0</v>
      </c>
      <c r="J26" s="119">
        <f>G26+H26</f>
        <v>195392128.997529</v>
      </c>
      <c r="K26" s="119">
        <f>K30+K41+K59+K106+K113-K28+(L91*L94)</f>
        <v>0</v>
      </c>
      <c r="L26" s="119">
        <f>L30+L41+L59+L106+L113-L28+(M91*M94)</f>
        <v>0</v>
      </c>
      <c r="M26" s="119">
        <f>M30+M41+M59+M106+M113-M28+(N91*N94)</f>
        <v>0</v>
      </c>
      <c r="N26" s="119">
        <f>N30+N41+N59+N106+N113+N28</f>
        <v>73227999.99998</v>
      </c>
      <c r="O26" s="119">
        <f>O30+O41+O59+O106+O113-O28+O91*O94+O298</f>
        <v>80795600</v>
      </c>
      <c r="P26" s="119">
        <f>N26+O26</f>
        <v>154023599.99998</v>
      </c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</row>
    <row r="27" spans="1:235" s="85" customFormat="1" ht="30.75" customHeight="1" hidden="1">
      <c r="A27" s="108"/>
      <c r="B27" s="108"/>
      <c r="C27" s="108"/>
      <c r="D27" s="119">
        <f>D30+D41+D77+D59+D113</f>
        <v>57221000</v>
      </c>
      <c r="E27" s="119">
        <f>E30+E41+E77+E59+E113</f>
        <v>25700000</v>
      </c>
      <c r="F27" s="119">
        <f>D27+E27</f>
        <v>82921000</v>
      </c>
      <c r="G27" s="119">
        <f>G30+G41+G77+G59+G113</f>
        <v>73655639.78602898</v>
      </c>
      <c r="H27" s="119">
        <f>H30+H41+H77+H59+H113</f>
        <v>72700000</v>
      </c>
      <c r="I27" s="119"/>
      <c r="J27" s="119">
        <f>G27+H27</f>
        <v>146355639.78602898</v>
      </c>
      <c r="K27" s="119">
        <f>K30+K41+K77+K59+K113</f>
        <v>0</v>
      </c>
      <c r="L27" s="119">
        <f>L30+L41+L77+L59+L113</f>
        <v>0</v>
      </c>
      <c r="M27" s="119">
        <f>M30+M41+M77+M59+M113</f>
        <v>0</v>
      </c>
      <c r="N27" s="119">
        <f>N30+N41+N77+N59+N113</f>
        <v>84727999.99998</v>
      </c>
      <c r="O27" s="119" t="e">
        <f>O31+O42+#REF!+#REF!</f>
        <v>#REF!</v>
      </c>
      <c r="P27" s="119" t="e">
        <f>N27+O27</f>
        <v>#REF!</v>
      </c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</row>
    <row r="28" spans="1:235" s="85" customFormat="1" ht="13.5" customHeight="1">
      <c r="A28" s="108" t="s">
        <v>220</v>
      </c>
      <c r="B28" s="108"/>
      <c r="C28" s="108"/>
      <c r="D28" s="119">
        <v>132300</v>
      </c>
      <c r="E28" s="119"/>
      <c r="F28" s="119">
        <f>D28+E28</f>
        <v>132300</v>
      </c>
      <c r="G28" s="119">
        <f>135000+37439.79</f>
        <v>172439.79</v>
      </c>
      <c r="H28" s="119"/>
      <c r="I28" s="119"/>
      <c r="J28" s="119">
        <f>G28+H28</f>
        <v>172439.79</v>
      </c>
      <c r="K28" s="119"/>
      <c r="L28" s="119"/>
      <c r="M28" s="119"/>
      <c r="N28" s="119">
        <f>165000-165000</f>
        <v>0</v>
      </c>
      <c r="O28" s="119"/>
      <c r="P28" s="119">
        <f>N28+O28</f>
        <v>0</v>
      </c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</row>
    <row r="29" spans="1:235" s="85" customFormat="1" ht="24">
      <c r="A29" s="108" t="s">
        <v>334</v>
      </c>
      <c r="B29" s="108"/>
      <c r="C29" s="108"/>
      <c r="D29" s="119"/>
      <c r="E29" s="119"/>
      <c r="F29" s="119"/>
      <c r="G29" s="119">
        <f>G252*G257</f>
        <v>365080.002</v>
      </c>
      <c r="H29" s="119">
        <f aca="true" t="shared" si="5" ref="H29:O29">H252*H257</f>
        <v>0</v>
      </c>
      <c r="I29" s="119">
        <f t="shared" si="5"/>
        <v>0</v>
      </c>
      <c r="J29" s="119">
        <f>G29+H29+I29</f>
        <v>365080.002</v>
      </c>
      <c r="K29" s="119">
        <f t="shared" si="5"/>
        <v>0</v>
      </c>
      <c r="L29" s="119">
        <f t="shared" si="5"/>
        <v>0</v>
      </c>
      <c r="M29" s="119">
        <f t="shared" si="5"/>
        <v>0</v>
      </c>
      <c r="N29" s="119">
        <f t="shared" si="5"/>
        <v>789999.9999959131</v>
      </c>
      <c r="O29" s="119">
        <f t="shared" si="5"/>
        <v>0</v>
      </c>
      <c r="P29" s="119">
        <f>N29+O29</f>
        <v>789999.9999959131</v>
      </c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1"/>
    </row>
    <row r="30" spans="1:235" s="102" customFormat="1" ht="33.75">
      <c r="A30" s="82" t="s">
        <v>44</v>
      </c>
      <c r="B30" s="88"/>
      <c r="C30" s="88"/>
      <c r="D30" s="89"/>
      <c r="E30" s="89">
        <f>E37*E35</f>
        <v>22500000</v>
      </c>
      <c r="F30" s="89">
        <f>F37*F35</f>
        <v>22500000</v>
      </c>
      <c r="G30" s="89"/>
      <c r="H30" s="89">
        <f>H35*H37</f>
        <v>71500000</v>
      </c>
      <c r="I30" s="89"/>
      <c r="J30" s="89">
        <f>H30</f>
        <v>71500000</v>
      </c>
      <c r="K30" s="95"/>
      <c r="L30" s="95"/>
      <c r="M30" s="95"/>
      <c r="N30" s="89"/>
      <c r="O30" s="89">
        <f>(O37*O35)</f>
        <v>32400000</v>
      </c>
      <c r="P30" s="89">
        <f>(P37*P35)</f>
        <v>32400000</v>
      </c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</row>
    <row r="31" spans="1:235" s="50" customFormat="1" ht="12">
      <c r="A31" s="54" t="s">
        <v>4</v>
      </c>
      <c r="B31" s="61"/>
      <c r="C31" s="61"/>
      <c r="D31" s="64"/>
      <c r="E31" s="64"/>
      <c r="F31" s="64"/>
      <c r="G31" s="64"/>
      <c r="H31" s="64"/>
      <c r="I31" s="64"/>
      <c r="J31" s="64"/>
      <c r="K31" s="63"/>
      <c r="L31" s="63"/>
      <c r="M31" s="63"/>
      <c r="N31" s="64"/>
      <c r="O31" s="64"/>
      <c r="P31" s="64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</row>
    <row r="32" spans="1:235" s="50" customFormat="1" ht="27" customHeight="1">
      <c r="A32" s="55" t="s">
        <v>9</v>
      </c>
      <c r="B32" s="59"/>
      <c r="C32" s="59"/>
      <c r="D32" s="62"/>
      <c r="E32" s="62">
        <v>270000</v>
      </c>
      <c r="F32" s="62">
        <f>E32</f>
        <v>270000</v>
      </c>
      <c r="G32" s="62"/>
      <c r="H32" s="62">
        <v>270000</v>
      </c>
      <c r="I32" s="62"/>
      <c r="J32" s="62">
        <f>H32</f>
        <v>270000</v>
      </c>
      <c r="K32" s="63"/>
      <c r="L32" s="63"/>
      <c r="M32" s="63"/>
      <c r="N32" s="62"/>
      <c r="O32" s="62">
        <v>300000</v>
      </c>
      <c r="P32" s="62">
        <f>O32</f>
        <v>300000</v>
      </c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</row>
    <row r="33" spans="1:235" s="50" customFormat="1" ht="27" customHeight="1">
      <c r="A33" s="55" t="s">
        <v>223</v>
      </c>
      <c r="B33" s="59"/>
      <c r="C33" s="59"/>
      <c r="D33" s="62"/>
      <c r="E33" s="62"/>
      <c r="F33" s="62"/>
      <c r="G33" s="62"/>
      <c r="H33" s="62"/>
      <c r="I33" s="62"/>
      <c r="J33" s="62"/>
      <c r="K33" s="63"/>
      <c r="L33" s="63"/>
      <c r="M33" s="63"/>
      <c r="N33" s="62"/>
      <c r="O33" s="62"/>
      <c r="P33" s="62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</row>
    <row r="34" spans="1:235" s="50" customFormat="1" ht="12">
      <c r="A34" s="54" t="s">
        <v>5</v>
      </c>
      <c r="B34" s="61"/>
      <c r="C34" s="61"/>
      <c r="D34" s="62"/>
      <c r="E34" s="64"/>
      <c r="F34" s="64"/>
      <c r="G34" s="62"/>
      <c r="H34" s="64"/>
      <c r="I34" s="64"/>
      <c r="J34" s="64"/>
      <c r="K34" s="63"/>
      <c r="L34" s="63"/>
      <c r="M34" s="63"/>
      <c r="N34" s="62"/>
      <c r="O34" s="64"/>
      <c r="P34" s="64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</row>
    <row r="35" spans="1:235" s="50" customFormat="1" ht="22.5">
      <c r="A35" s="55" t="s">
        <v>12</v>
      </c>
      <c r="B35" s="59"/>
      <c r="C35" s="59"/>
      <c r="D35" s="62"/>
      <c r="E35" s="62">
        <f>50000+25000</f>
        <v>75000</v>
      </c>
      <c r="F35" s="62">
        <f>E35</f>
        <v>75000</v>
      </c>
      <c r="G35" s="62"/>
      <c r="H35" s="62">
        <f>50000+25000+103750</f>
        <v>178750</v>
      </c>
      <c r="I35" s="62"/>
      <c r="J35" s="62">
        <f>H35</f>
        <v>178750</v>
      </c>
      <c r="K35" s="63"/>
      <c r="L35" s="63"/>
      <c r="M35" s="63"/>
      <c r="N35" s="62"/>
      <c r="O35" s="62">
        <f>54000+27000</f>
        <v>81000</v>
      </c>
      <c r="P35" s="62">
        <f>O35</f>
        <v>81000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</row>
    <row r="36" spans="1:235" s="50" customFormat="1" ht="12">
      <c r="A36" s="54" t="s">
        <v>7</v>
      </c>
      <c r="B36" s="61"/>
      <c r="C36" s="61"/>
      <c r="D36" s="62"/>
      <c r="E36" s="64"/>
      <c r="F36" s="64"/>
      <c r="G36" s="62"/>
      <c r="H36" s="64"/>
      <c r="I36" s="64"/>
      <c r="J36" s="64"/>
      <c r="K36" s="63"/>
      <c r="L36" s="63"/>
      <c r="M36" s="63"/>
      <c r="N36" s="62"/>
      <c r="O36" s="64"/>
      <c r="P36" s="64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</row>
    <row r="37" spans="1:235" s="50" customFormat="1" ht="22.5">
      <c r="A37" s="55" t="s">
        <v>17</v>
      </c>
      <c r="B37" s="59"/>
      <c r="C37" s="59"/>
      <c r="D37" s="62"/>
      <c r="E37" s="62">
        <v>300</v>
      </c>
      <c r="F37" s="62">
        <f>E37</f>
        <v>300</v>
      </c>
      <c r="G37" s="62"/>
      <c r="H37" s="62">
        <v>400</v>
      </c>
      <c r="I37" s="62"/>
      <c r="J37" s="62">
        <f>H37</f>
        <v>400</v>
      </c>
      <c r="K37" s="63"/>
      <c r="L37" s="63"/>
      <c r="M37" s="63"/>
      <c r="N37" s="62"/>
      <c r="O37" s="62">
        <v>400</v>
      </c>
      <c r="P37" s="62">
        <f>O37</f>
        <v>400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</row>
    <row r="38" spans="1:235" s="50" customFormat="1" ht="12">
      <c r="A38" s="54" t="s">
        <v>6</v>
      </c>
      <c r="B38" s="61"/>
      <c r="C38" s="61"/>
      <c r="D38" s="62"/>
      <c r="E38" s="64"/>
      <c r="F38" s="64"/>
      <c r="G38" s="62"/>
      <c r="H38" s="64"/>
      <c r="I38" s="64"/>
      <c r="J38" s="64"/>
      <c r="K38" s="63"/>
      <c r="L38" s="63"/>
      <c r="M38" s="63"/>
      <c r="N38" s="62"/>
      <c r="O38" s="64"/>
      <c r="P38" s="64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</row>
    <row r="39" spans="1:235" s="50" customFormat="1" ht="22.5">
      <c r="A39" s="55" t="s">
        <v>23</v>
      </c>
      <c r="B39" s="59"/>
      <c r="C39" s="59"/>
      <c r="D39" s="62"/>
      <c r="E39" s="62">
        <f>E35/E32*100</f>
        <v>27.77777777777778</v>
      </c>
      <c r="F39" s="62">
        <f>F35/F32*100</f>
        <v>27.77777777777778</v>
      </c>
      <c r="G39" s="62"/>
      <c r="H39" s="62">
        <f>H35/H32*100</f>
        <v>66.20370370370371</v>
      </c>
      <c r="I39" s="62"/>
      <c r="J39" s="62">
        <f>J35/J32*100</f>
        <v>66.20370370370371</v>
      </c>
      <c r="K39" s="63"/>
      <c r="L39" s="63"/>
      <c r="M39" s="63"/>
      <c r="N39" s="62"/>
      <c r="O39" s="62">
        <f>O35/O32*100</f>
        <v>27</v>
      </c>
      <c r="P39" s="62">
        <f>P35/P32*100</f>
        <v>27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</row>
    <row r="40" spans="1:235" s="184" customFormat="1" ht="15.75" customHeight="1">
      <c r="A40" s="108" t="s">
        <v>343</v>
      </c>
      <c r="B40" s="77"/>
      <c r="C40" s="77"/>
      <c r="D40" s="78"/>
      <c r="E40" s="78"/>
      <c r="F40" s="78"/>
      <c r="G40" s="78"/>
      <c r="H40" s="78"/>
      <c r="I40" s="78"/>
      <c r="J40" s="78"/>
      <c r="K40" s="182"/>
      <c r="L40" s="182"/>
      <c r="M40" s="182"/>
      <c r="N40" s="78"/>
      <c r="O40" s="78"/>
      <c r="P40" s="78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N40" s="183"/>
      <c r="DO40" s="183"/>
      <c r="DP40" s="183"/>
      <c r="DQ40" s="183"/>
      <c r="DR40" s="183"/>
      <c r="DS40" s="183"/>
      <c r="DT40" s="183"/>
      <c r="DU40" s="183"/>
      <c r="DV40" s="183"/>
      <c r="DW40" s="183"/>
      <c r="DX40" s="183"/>
      <c r="DY40" s="183"/>
      <c r="DZ40" s="183"/>
      <c r="EA40" s="183"/>
      <c r="EB40" s="183"/>
      <c r="EC40" s="183"/>
      <c r="ED40" s="183"/>
      <c r="EE40" s="183"/>
      <c r="EF40" s="183"/>
      <c r="EG40" s="183"/>
      <c r="EH40" s="183"/>
      <c r="EI40" s="183"/>
      <c r="EJ40" s="183"/>
      <c r="EK40" s="183"/>
      <c r="EL40" s="183"/>
      <c r="EM40" s="183"/>
      <c r="EN40" s="183"/>
      <c r="EO40" s="183"/>
      <c r="EP40" s="183"/>
      <c r="EQ40" s="183"/>
      <c r="ER40" s="183"/>
      <c r="ES40" s="183"/>
      <c r="ET40" s="183"/>
      <c r="EU40" s="183"/>
      <c r="EV40" s="183"/>
      <c r="EW40" s="183"/>
      <c r="EX40" s="183"/>
      <c r="EY40" s="183"/>
      <c r="EZ40" s="183"/>
      <c r="FA40" s="183"/>
      <c r="FB40" s="183"/>
      <c r="FC40" s="183"/>
      <c r="FD40" s="183"/>
      <c r="FE40" s="183"/>
      <c r="FF40" s="183"/>
      <c r="FG40" s="183"/>
      <c r="FH40" s="183"/>
      <c r="FI40" s="183"/>
      <c r="FJ40" s="183"/>
      <c r="FK40" s="183"/>
      <c r="FL40" s="183"/>
      <c r="FM40" s="183"/>
      <c r="FN40" s="183"/>
      <c r="FO40" s="183"/>
      <c r="FP40" s="183"/>
      <c r="FQ40" s="183"/>
      <c r="FR40" s="183"/>
      <c r="FS40" s="183"/>
      <c r="FT40" s="183"/>
      <c r="FU40" s="183"/>
      <c r="FV40" s="183"/>
      <c r="FW40" s="183"/>
      <c r="FX40" s="183"/>
      <c r="FY40" s="183"/>
      <c r="FZ40" s="183"/>
      <c r="GA40" s="183"/>
      <c r="GB40" s="183"/>
      <c r="GC40" s="183"/>
      <c r="GD40" s="183"/>
      <c r="GE40" s="183"/>
      <c r="GF40" s="183"/>
      <c r="GG40" s="183"/>
      <c r="GH40" s="183"/>
      <c r="GI40" s="183"/>
      <c r="GJ40" s="183"/>
      <c r="GK40" s="183"/>
      <c r="GL40" s="183"/>
      <c r="GM40" s="183"/>
      <c r="GN40" s="183"/>
      <c r="GO40" s="183"/>
      <c r="GP40" s="183"/>
      <c r="GQ40" s="183"/>
      <c r="GR40" s="183"/>
      <c r="GS40" s="183"/>
      <c r="GT40" s="183"/>
      <c r="GU40" s="183"/>
      <c r="GV40" s="183"/>
      <c r="GW40" s="183"/>
      <c r="GX40" s="183"/>
      <c r="GY40" s="183"/>
      <c r="GZ40" s="183"/>
      <c r="HA40" s="183"/>
      <c r="HB40" s="183"/>
      <c r="HC40" s="183"/>
      <c r="HD40" s="183"/>
      <c r="HE40" s="183"/>
      <c r="HF40" s="183"/>
      <c r="HG40" s="183"/>
      <c r="HH40" s="183"/>
      <c r="HI40" s="183"/>
      <c r="HJ40" s="183"/>
      <c r="HK40" s="183"/>
      <c r="HL40" s="183"/>
      <c r="HM40" s="183"/>
      <c r="HN40" s="183"/>
      <c r="HO40" s="183"/>
      <c r="HP40" s="183"/>
      <c r="HQ40" s="183"/>
      <c r="HR40" s="183"/>
      <c r="HS40" s="183"/>
      <c r="HT40" s="183"/>
      <c r="HU40" s="183"/>
      <c r="HV40" s="183"/>
      <c r="HW40" s="183"/>
      <c r="HX40" s="183"/>
      <c r="HY40" s="183"/>
      <c r="HZ40" s="183"/>
      <c r="IA40" s="183"/>
    </row>
    <row r="41" spans="1:235" s="102" customFormat="1" ht="35.25" customHeight="1">
      <c r="A41" s="82" t="s">
        <v>92</v>
      </c>
      <c r="B41" s="88"/>
      <c r="C41" s="88"/>
      <c r="D41" s="89">
        <f>D47*D45+100</f>
        <v>29500000</v>
      </c>
      <c r="E41" s="89"/>
      <c r="F41" s="89">
        <f>F47*F45+100</f>
        <v>29500000</v>
      </c>
      <c r="G41" s="89">
        <f>G45*G47</f>
        <v>38399999.9985</v>
      </c>
      <c r="H41" s="89"/>
      <c r="I41" s="89"/>
      <c r="J41" s="89">
        <f>G41</f>
        <v>38399999.9985</v>
      </c>
      <c r="K41" s="95"/>
      <c r="L41" s="95"/>
      <c r="M41" s="95"/>
      <c r="N41" s="89">
        <f>N45*N47</f>
        <v>42480000</v>
      </c>
      <c r="O41" s="89"/>
      <c r="P41" s="89">
        <f>N41</f>
        <v>42480000</v>
      </c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</row>
    <row r="42" spans="1:235" s="50" customFormat="1" ht="12">
      <c r="A42" s="54" t="s">
        <v>4</v>
      </c>
      <c r="B42" s="61"/>
      <c r="C42" s="61"/>
      <c r="D42" s="62"/>
      <c r="E42" s="62"/>
      <c r="F42" s="62"/>
      <c r="G42" s="62"/>
      <c r="H42" s="62"/>
      <c r="I42" s="62"/>
      <c r="J42" s="62"/>
      <c r="K42" s="63"/>
      <c r="L42" s="63"/>
      <c r="M42" s="63"/>
      <c r="N42" s="62"/>
      <c r="O42" s="62"/>
      <c r="P42" s="62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</row>
    <row r="43" spans="1:235" s="50" customFormat="1" ht="22.5">
      <c r="A43" s="55" t="s">
        <v>10</v>
      </c>
      <c r="B43" s="59"/>
      <c r="C43" s="59"/>
      <c r="D43" s="62">
        <v>292000</v>
      </c>
      <c r="E43" s="62"/>
      <c r="F43" s="62">
        <f>D43</f>
        <v>292000</v>
      </c>
      <c r="G43" s="62">
        <v>292000</v>
      </c>
      <c r="H43" s="62"/>
      <c r="I43" s="62"/>
      <c r="J43" s="62">
        <f>G43</f>
        <v>292000</v>
      </c>
      <c r="K43" s="63"/>
      <c r="L43" s="63"/>
      <c r="M43" s="63"/>
      <c r="N43" s="62">
        <v>300000</v>
      </c>
      <c r="O43" s="62"/>
      <c r="P43" s="62">
        <f>N43</f>
        <v>300000</v>
      </c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</row>
    <row r="44" spans="1:235" s="50" customFormat="1" ht="12">
      <c r="A44" s="54" t="s">
        <v>5</v>
      </c>
      <c r="B44" s="61"/>
      <c r="C44" s="61"/>
      <c r="D44" s="62"/>
      <c r="E44" s="62"/>
      <c r="F44" s="62"/>
      <c r="G44" s="62"/>
      <c r="H44" s="62"/>
      <c r="I44" s="62"/>
      <c r="J44" s="62"/>
      <c r="K44" s="63"/>
      <c r="L44" s="63"/>
      <c r="M44" s="63"/>
      <c r="N44" s="62"/>
      <c r="O44" s="62"/>
      <c r="P44" s="62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</row>
    <row r="45" spans="1:235" s="50" customFormat="1" ht="22.5">
      <c r="A45" s="55" t="s">
        <v>11</v>
      </c>
      <c r="B45" s="59"/>
      <c r="C45" s="59"/>
      <c r="D45" s="62">
        <f>73333+25000</f>
        <v>98333</v>
      </c>
      <c r="E45" s="62"/>
      <c r="F45" s="62">
        <f>D45</f>
        <v>98333</v>
      </c>
      <c r="G45" s="62">
        <f>73333+25000+8333</f>
        <v>106666</v>
      </c>
      <c r="H45" s="62"/>
      <c r="I45" s="62"/>
      <c r="J45" s="62">
        <f>G45</f>
        <v>106666</v>
      </c>
      <c r="K45" s="63"/>
      <c r="L45" s="63"/>
      <c r="M45" s="63"/>
      <c r="N45" s="62">
        <f>79200+27000</f>
        <v>106200</v>
      </c>
      <c r="O45" s="62"/>
      <c r="P45" s="62">
        <f>N45</f>
        <v>106200</v>
      </c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</row>
    <row r="46" spans="1:235" s="50" customFormat="1" ht="12">
      <c r="A46" s="54" t="s">
        <v>7</v>
      </c>
      <c r="B46" s="61"/>
      <c r="C46" s="61"/>
      <c r="D46" s="62"/>
      <c r="E46" s="62"/>
      <c r="F46" s="62"/>
      <c r="G46" s="62"/>
      <c r="H46" s="62"/>
      <c r="I46" s="62"/>
      <c r="J46" s="62"/>
      <c r="K46" s="63"/>
      <c r="L46" s="63"/>
      <c r="M46" s="63"/>
      <c r="N46" s="62"/>
      <c r="O46" s="62"/>
      <c r="P46" s="62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</row>
    <row r="47" spans="1:235" s="50" customFormat="1" ht="24" customHeight="1">
      <c r="A47" s="55" t="s">
        <v>20</v>
      </c>
      <c r="B47" s="59"/>
      <c r="C47" s="59"/>
      <c r="D47" s="62">
        <v>300</v>
      </c>
      <c r="E47" s="62"/>
      <c r="F47" s="62">
        <f>D47</f>
        <v>300</v>
      </c>
      <c r="G47" s="62">
        <v>360.00225</v>
      </c>
      <c r="H47" s="62"/>
      <c r="I47" s="62"/>
      <c r="J47" s="62">
        <f>G47</f>
        <v>360.00225</v>
      </c>
      <c r="K47" s="63"/>
      <c r="L47" s="63"/>
      <c r="M47" s="63"/>
      <c r="N47" s="62">
        <v>400</v>
      </c>
      <c r="O47" s="62"/>
      <c r="P47" s="62">
        <f>N47</f>
        <v>400</v>
      </c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</row>
    <row r="48" spans="1:235" s="50" customFormat="1" ht="12">
      <c r="A48" s="54" t="s">
        <v>6</v>
      </c>
      <c r="B48" s="61"/>
      <c r="C48" s="61"/>
      <c r="D48" s="62"/>
      <c r="E48" s="62"/>
      <c r="F48" s="62"/>
      <c r="G48" s="62"/>
      <c r="H48" s="62"/>
      <c r="I48" s="62"/>
      <c r="J48" s="62"/>
      <c r="K48" s="63"/>
      <c r="L48" s="63"/>
      <c r="M48" s="63"/>
      <c r="N48" s="62"/>
      <c r="O48" s="62"/>
      <c r="P48" s="62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</row>
    <row r="49" spans="1:235" s="50" customFormat="1" ht="21.75" customHeight="1">
      <c r="A49" s="55" t="s">
        <v>22</v>
      </c>
      <c r="B49" s="59"/>
      <c r="C49" s="59"/>
      <c r="D49" s="62">
        <f aca="true" t="shared" si="6" ref="D49:J49">D45/D43*100</f>
        <v>33.67568493150685</v>
      </c>
      <c r="E49" s="62"/>
      <c r="F49" s="62">
        <f t="shared" si="6"/>
        <v>33.67568493150685</v>
      </c>
      <c r="G49" s="62">
        <f t="shared" si="6"/>
        <v>36.52945205479452</v>
      </c>
      <c r="H49" s="62"/>
      <c r="I49" s="62"/>
      <c r="J49" s="62">
        <f t="shared" si="6"/>
        <v>36.52945205479452</v>
      </c>
      <c r="K49" s="63"/>
      <c r="L49" s="63"/>
      <c r="M49" s="63"/>
      <c r="N49" s="62">
        <f>N45/N43*100</f>
        <v>35.4</v>
      </c>
      <c r="O49" s="62"/>
      <c r="P49" s="62">
        <f>P45/P43*100</f>
        <v>35.4</v>
      </c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</row>
    <row r="50" spans="1:235" s="102" customFormat="1" ht="35.25" customHeight="1">
      <c r="A50" s="82" t="s">
        <v>349</v>
      </c>
      <c r="B50" s="88"/>
      <c r="C50" s="88"/>
      <c r="D50" s="89">
        <f>D56*D54+100</f>
        <v>29500000</v>
      </c>
      <c r="E50" s="89"/>
      <c r="F50" s="89">
        <f>F56*F54</f>
        <v>0</v>
      </c>
      <c r="G50" s="89">
        <f>G54*G56</f>
        <v>150000</v>
      </c>
      <c r="H50" s="89"/>
      <c r="I50" s="89"/>
      <c r="J50" s="89">
        <f>G50</f>
        <v>150000</v>
      </c>
      <c r="K50" s="95"/>
      <c r="L50" s="95"/>
      <c r="M50" s="95"/>
      <c r="N50" s="89">
        <f>N54*N56</f>
        <v>800000</v>
      </c>
      <c r="O50" s="89"/>
      <c r="P50" s="89">
        <f>N50</f>
        <v>800000</v>
      </c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  <c r="GW50" s="101"/>
      <c r="GX50" s="101"/>
      <c r="GY50" s="101"/>
      <c r="GZ50" s="101"/>
      <c r="HA50" s="101"/>
      <c r="HB50" s="101"/>
      <c r="HC50" s="101"/>
      <c r="HD50" s="101"/>
      <c r="HE50" s="101"/>
      <c r="HF50" s="101"/>
      <c r="HG50" s="101"/>
      <c r="HH50" s="101"/>
      <c r="HI50" s="101"/>
      <c r="HJ50" s="101"/>
      <c r="HK50" s="101"/>
      <c r="HL50" s="101"/>
      <c r="HM50" s="101"/>
      <c r="HN50" s="101"/>
      <c r="HO50" s="101"/>
      <c r="HP50" s="101"/>
      <c r="HQ50" s="101"/>
      <c r="HR50" s="101"/>
      <c r="HS50" s="101"/>
      <c r="HT50" s="101"/>
      <c r="HU50" s="101"/>
      <c r="HV50" s="101"/>
      <c r="HW50" s="101"/>
      <c r="HX50" s="101"/>
      <c r="HY50" s="101"/>
      <c r="HZ50" s="101"/>
      <c r="IA50" s="101"/>
    </row>
    <row r="51" spans="1:235" s="50" customFormat="1" ht="12">
      <c r="A51" s="54" t="s">
        <v>4</v>
      </c>
      <c r="B51" s="61"/>
      <c r="C51" s="61"/>
      <c r="D51" s="62"/>
      <c r="E51" s="62"/>
      <c r="F51" s="62"/>
      <c r="G51" s="62"/>
      <c r="H51" s="62"/>
      <c r="I51" s="62"/>
      <c r="J51" s="62"/>
      <c r="K51" s="63"/>
      <c r="L51" s="63"/>
      <c r="M51" s="63"/>
      <c r="N51" s="62"/>
      <c r="O51" s="62"/>
      <c r="P51" s="62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</row>
    <row r="52" spans="1:235" s="50" customFormat="1" ht="22.5">
      <c r="A52" s="55" t="s">
        <v>351</v>
      </c>
      <c r="B52" s="59"/>
      <c r="C52" s="59"/>
      <c r="D52" s="62">
        <v>292000</v>
      </c>
      <c r="E52" s="62"/>
      <c r="F52" s="62"/>
      <c r="G52" s="62">
        <v>4</v>
      </c>
      <c r="H52" s="62"/>
      <c r="I52" s="62"/>
      <c r="J52" s="62">
        <f>G52</f>
        <v>4</v>
      </c>
      <c r="K52" s="63"/>
      <c r="L52" s="63"/>
      <c r="M52" s="63"/>
      <c r="N52" s="62">
        <v>3</v>
      </c>
      <c r="O52" s="62"/>
      <c r="P52" s="62">
        <f>N52</f>
        <v>3</v>
      </c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</row>
    <row r="53" spans="1:235" s="50" customFormat="1" ht="12">
      <c r="A53" s="54" t="s">
        <v>5</v>
      </c>
      <c r="B53" s="61"/>
      <c r="C53" s="61"/>
      <c r="D53" s="62"/>
      <c r="E53" s="62"/>
      <c r="F53" s="62"/>
      <c r="G53" s="62"/>
      <c r="H53" s="62"/>
      <c r="I53" s="62"/>
      <c r="J53" s="62"/>
      <c r="K53" s="63"/>
      <c r="L53" s="63"/>
      <c r="M53" s="63"/>
      <c r="N53" s="62"/>
      <c r="O53" s="62"/>
      <c r="P53" s="62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</row>
    <row r="54" spans="1:235" s="50" customFormat="1" ht="22.5">
      <c r="A54" s="55" t="s">
        <v>350</v>
      </c>
      <c r="B54" s="59"/>
      <c r="C54" s="59"/>
      <c r="D54" s="62">
        <f>73333+25000</f>
        <v>98333</v>
      </c>
      <c r="E54" s="62"/>
      <c r="F54" s="62"/>
      <c r="G54" s="62">
        <v>1</v>
      </c>
      <c r="H54" s="62"/>
      <c r="I54" s="62"/>
      <c r="J54" s="62">
        <f>G54</f>
        <v>1</v>
      </c>
      <c r="K54" s="63"/>
      <c r="L54" s="63"/>
      <c r="M54" s="63"/>
      <c r="N54" s="62">
        <v>3</v>
      </c>
      <c r="O54" s="62"/>
      <c r="P54" s="62">
        <f>N54</f>
        <v>3</v>
      </c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</row>
    <row r="55" spans="1:235" s="50" customFormat="1" ht="12">
      <c r="A55" s="54" t="s">
        <v>7</v>
      </c>
      <c r="B55" s="61"/>
      <c r="C55" s="61"/>
      <c r="D55" s="62"/>
      <c r="E55" s="62"/>
      <c r="F55" s="62"/>
      <c r="G55" s="62"/>
      <c r="H55" s="62"/>
      <c r="I55" s="62"/>
      <c r="J55" s="62"/>
      <c r="K55" s="63"/>
      <c r="L55" s="63"/>
      <c r="M55" s="63"/>
      <c r="N55" s="62"/>
      <c r="O55" s="62"/>
      <c r="P55" s="62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</row>
    <row r="56" spans="1:235" s="50" customFormat="1" ht="22.5">
      <c r="A56" s="55" t="s">
        <v>352</v>
      </c>
      <c r="B56" s="59"/>
      <c r="C56" s="59"/>
      <c r="D56" s="62">
        <v>300</v>
      </c>
      <c r="E56" s="62"/>
      <c r="F56" s="62"/>
      <c r="G56" s="62">
        <v>150000</v>
      </c>
      <c r="H56" s="62"/>
      <c r="I56" s="62"/>
      <c r="J56" s="62">
        <f>G56</f>
        <v>150000</v>
      </c>
      <c r="K56" s="63"/>
      <c r="L56" s="63"/>
      <c r="M56" s="63"/>
      <c r="N56" s="62">
        <f>800000/3</f>
        <v>266666.6666666667</v>
      </c>
      <c r="O56" s="62"/>
      <c r="P56" s="62">
        <f>N56</f>
        <v>266666.6666666667</v>
      </c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</row>
    <row r="57" spans="1:235" s="50" customFormat="1" ht="12">
      <c r="A57" s="54" t="s">
        <v>6</v>
      </c>
      <c r="B57" s="61"/>
      <c r="C57" s="61"/>
      <c r="D57" s="62"/>
      <c r="E57" s="62"/>
      <c r="F57" s="62"/>
      <c r="G57" s="62"/>
      <c r="H57" s="62"/>
      <c r="I57" s="62"/>
      <c r="J57" s="62"/>
      <c r="K57" s="63"/>
      <c r="L57" s="63"/>
      <c r="M57" s="63"/>
      <c r="N57" s="62"/>
      <c r="O57" s="62"/>
      <c r="P57" s="62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</row>
    <row r="58" spans="1:235" s="50" customFormat="1" ht="21.75" customHeight="1">
      <c r="A58" s="55" t="s">
        <v>353</v>
      </c>
      <c r="B58" s="59"/>
      <c r="C58" s="59"/>
      <c r="D58" s="62">
        <f>D54/D52*100</f>
        <v>33.67568493150685</v>
      </c>
      <c r="E58" s="62"/>
      <c r="F58" s="62"/>
      <c r="G58" s="62">
        <f>G54/G52</f>
        <v>0.25</v>
      </c>
      <c r="H58" s="62"/>
      <c r="I58" s="62"/>
      <c r="J58" s="62">
        <f>J54/J52*100</f>
        <v>25</v>
      </c>
      <c r="K58" s="63"/>
      <c r="L58" s="63"/>
      <c r="M58" s="63"/>
      <c r="N58" s="62">
        <f>N54/N52</f>
        <v>1</v>
      </c>
      <c r="O58" s="62"/>
      <c r="P58" s="62">
        <f>P54/P52*100</f>
        <v>100</v>
      </c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</row>
    <row r="59" spans="1:235" s="102" customFormat="1" ht="28.5" customHeight="1">
      <c r="A59" s="82" t="s">
        <v>354</v>
      </c>
      <c r="B59" s="88"/>
      <c r="C59" s="88"/>
      <c r="D59" s="89">
        <f>(D63*D65)+0.4</f>
        <v>19000000</v>
      </c>
      <c r="E59" s="89"/>
      <c r="F59" s="89">
        <f>(F63*F65)+0.4</f>
        <v>19000000</v>
      </c>
      <c r="G59" s="89">
        <f>G63*G65</f>
        <v>22799999.9995862</v>
      </c>
      <c r="H59" s="89"/>
      <c r="I59" s="89"/>
      <c r="J59" s="89">
        <f>G59</f>
        <v>22799999.9995862</v>
      </c>
      <c r="K59" s="95"/>
      <c r="L59" s="95"/>
      <c r="M59" s="95"/>
      <c r="N59" s="89">
        <f>N63*N65</f>
        <v>27360000</v>
      </c>
      <c r="O59" s="89"/>
      <c r="P59" s="89">
        <f>N59</f>
        <v>27360000</v>
      </c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  <c r="FU59" s="101"/>
      <c r="FV59" s="101"/>
      <c r="FW59" s="101"/>
      <c r="FX59" s="101"/>
      <c r="FY59" s="101"/>
      <c r="FZ59" s="101"/>
      <c r="GA59" s="101"/>
      <c r="GB59" s="101"/>
      <c r="GC59" s="101"/>
      <c r="GD59" s="101"/>
      <c r="GE59" s="101"/>
      <c r="GF59" s="101"/>
      <c r="GG59" s="101"/>
      <c r="GH59" s="101"/>
      <c r="GI59" s="101"/>
      <c r="GJ59" s="101"/>
      <c r="GK59" s="101"/>
      <c r="GL59" s="101"/>
      <c r="GM59" s="101"/>
      <c r="GN59" s="101"/>
      <c r="GO59" s="101"/>
      <c r="GP59" s="101"/>
      <c r="GQ59" s="101"/>
      <c r="GR59" s="101"/>
      <c r="GS59" s="101"/>
      <c r="GT59" s="101"/>
      <c r="GU59" s="101"/>
      <c r="GV59" s="101"/>
      <c r="GW59" s="101"/>
      <c r="GX59" s="101"/>
      <c r="GY59" s="101"/>
      <c r="GZ59" s="101"/>
      <c r="HA59" s="101"/>
      <c r="HB59" s="101"/>
      <c r="HC59" s="101"/>
      <c r="HD59" s="101"/>
      <c r="HE59" s="101"/>
      <c r="HF59" s="101"/>
      <c r="HG59" s="101"/>
      <c r="HH59" s="101"/>
      <c r="HI59" s="101"/>
      <c r="HJ59" s="101"/>
      <c r="HK59" s="101"/>
      <c r="HL59" s="101"/>
      <c r="HM59" s="101"/>
      <c r="HN59" s="101"/>
      <c r="HO59" s="101"/>
      <c r="HP59" s="101"/>
      <c r="HQ59" s="101"/>
      <c r="HR59" s="101"/>
      <c r="HS59" s="101"/>
      <c r="HT59" s="101"/>
      <c r="HU59" s="101"/>
      <c r="HV59" s="101"/>
      <c r="HW59" s="101"/>
      <c r="HX59" s="101"/>
      <c r="HY59" s="101"/>
      <c r="HZ59" s="101"/>
      <c r="IA59" s="101"/>
    </row>
    <row r="60" spans="1:235" s="50" customFormat="1" ht="12">
      <c r="A60" s="54" t="s">
        <v>4</v>
      </c>
      <c r="B60" s="61"/>
      <c r="C60" s="61"/>
      <c r="D60" s="62"/>
      <c r="E60" s="62"/>
      <c r="F60" s="62"/>
      <c r="G60" s="62"/>
      <c r="H60" s="62"/>
      <c r="I60" s="62"/>
      <c r="J60" s="62"/>
      <c r="K60" s="63"/>
      <c r="L60" s="63"/>
      <c r="M60" s="63"/>
      <c r="N60" s="62"/>
      <c r="O60" s="62"/>
      <c r="P60" s="62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</row>
    <row r="61" spans="1:235" s="50" customFormat="1" ht="22.5">
      <c r="A61" s="55" t="s">
        <v>83</v>
      </c>
      <c r="B61" s="59"/>
      <c r="C61" s="59"/>
      <c r="D61" s="62">
        <v>3372600</v>
      </c>
      <c r="E61" s="62"/>
      <c r="F61" s="62">
        <f>D61</f>
        <v>3372600</v>
      </c>
      <c r="G61" s="62">
        <v>3372600</v>
      </c>
      <c r="H61" s="62"/>
      <c r="I61" s="62"/>
      <c r="J61" s="62">
        <f>G61</f>
        <v>3372600</v>
      </c>
      <c r="K61" s="63"/>
      <c r="L61" s="63"/>
      <c r="M61" s="63"/>
      <c r="N61" s="62">
        <v>3372600</v>
      </c>
      <c r="O61" s="62"/>
      <c r="P61" s="62">
        <f>N61</f>
        <v>3372600</v>
      </c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</row>
    <row r="62" spans="1:235" s="50" customFormat="1" ht="12">
      <c r="A62" s="54" t="s">
        <v>5</v>
      </c>
      <c r="B62" s="61"/>
      <c r="C62" s="61"/>
      <c r="D62" s="62"/>
      <c r="E62" s="62"/>
      <c r="F62" s="62"/>
      <c r="G62" s="62"/>
      <c r="H62" s="62"/>
      <c r="I62" s="62"/>
      <c r="J62" s="62"/>
      <c r="K62" s="63"/>
      <c r="L62" s="63"/>
      <c r="M62" s="63"/>
      <c r="N62" s="62"/>
      <c r="O62" s="62"/>
      <c r="P62" s="62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</row>
    <row r="63" spans="1:235" s="50" customFormat="1" ht="21.75" customHeight="1">
      <c r="A63" s="55" t="s">
        <v>84</v>
      </c>
      <c r="B63" s="59"/>
      <c r="C63" s="59"/>
      <c r="D63" s="62">
        <v>1310344.8</v>
      </c>
      <c r="E63" s="62"/>
      <c r="F63" s="62">
        <f>D63</f>
        <v>1310344.8</v>
      </c>
      <c r="G63" s="62">
        <v>1310344.8</v>
      </c>
      <c r="H63" s="62"/>
      <c r="I63" s="62"/>
      <c r="J63" s="62">
        <f>G63</f>
        <v>1310344.8</v>
      </c>
      <c r="K63" s="63"/>
      <c r="L63" s="63"/>
      <c r="M63" s="63"/>
      <c r="N63" s="62">
        <v>1425000</v>
      </c>
      <c r="O63" s="62"/>
      <c r="P63" s="62">
        <f>N63</f>
        <v>1425000</v>
      </c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</row>
    <row r="64" spans="1:235" s="50" customFormat="1" ht="12">
      <c r="A64" s="54" t="s">
        <v>7</v>
      </c>
      <c r="B64" s="61"/>
      <c r="C64" s="61"/>
      <c r="D64" s="62"/>
      <c r="E64" s="62"/>
      <c r="F64" s="62"/>
      <c r="G64" s="62"/>
      <c r="H64" s="62"/>
      <c r="I64" s="62"/>
      <c r="J64" s="62"/>
      <c r="K64" s="63"/>
      <c r="L64" s="63"/>
      <c r="M64" s="63"/>
      <c r="N64" s="62"/>
      <c r="O64" s="62"/>
      <c r="P64" s="62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</row>
    <row r="65" spans="1:235" s="50" customFormat="1" ht="21.75" customHeight="1">
      <c r="A65" s="55" t="s">
        <v>18</v>
      </c>
      <c r="B65" s="59"/>
      <c r="C65" s="59"/>
      <c r="D65" s="62">
        <v>14.5</v>
      </c>
      <c r="E65" s="62"/>
      <c r="F65" s="62">
        <f>D65</f>
        <v>14.5</v>
      </c>
      <c r="G65" s="62">
        <v>17.400000366</v>
      </c>
      <c r="H65" s="62"/>
      <c r="I65" s="62"/>
      <c r="J65" s="62">
        <f>G65</f>
        <v>17.400000366</v>
      </c>
      <c r="K65" s="63"/>
      <c r="L65" s="63"/>
      <c r="M65" s="63"/>
      <c r="N65" s="62">
        <v>19.2</v>
      </c>
      <c r="O65" s="62"/>
      <c r="P65" s="62">
        <f>N65</f>
        <v>19.2</v>
      </c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</row>
    <row r="66" spans="1:235" s="50" customFormat="1" ht="12">
      <c r="A66" s="54" t="s">
        <v>6</v>
      </c>
      <c r="B66" s="61"/>
      <c r="C66" s="61"/>
      <c r="D66" s="62"/>
      <c r="E66" s="62"/>
      <c r="F66" s="62"/>
      <c r="G66" s="62"/>
      <c r="H66" s="62"/>
      <c r="I66" s="62"/>
      <c r="J66" s="62"/>
      <c r="K66" s="63"/>
      <c r="L66" s="63"/>
      <c r="M66" s="63"/>
      <c r="N66" s="62"/>
      <c r="O66" s="62"/>
      <c r="P66" s="62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</row>
    <row r="67" spans="1:235" s="50" customFormat="1" ht="26.25" customHeight="1">
      <c r="A67" s="55" t="s">
        <v>85</v>
      </c>
      <c r="B67" s="59"/>
      <c r="C67" s="59"/>
      <c r="D67" s="62">
        <f>D63/D61*100</f>
        <v>38.852659669098024</v>
      </c>
      <c r="E67" s="62"/>
      <c r="F67" s="62">
        <f>F63/F61*100</f>
        <v>38.852659669098024</v>
      </c>
      <c r="G67" s="62">
        <f>G63/G61*100</f>
        <v>38.852659669098024</v>
      </c>
      <c r="H67" s="62"/>
      <c r="I67" s="62"/>
      <c r="J67" s="62">
        <f>J63/J61*100</f>
        <v>38.852659669098024</v>
      </c>
      <c r="K67" s="63"/>
      <c r="L67" s="63"/>
      <c r="M67" s="63"/>
      <c r="N67" s="62">
        <f>N63/N61*100</f>
        <v>42.252268279665536</v>
      </c>
      <c r="O67" s="62"/>
      <c r="P67" s="62">
        <f>P63/P61*100</f>
        <v>42.252268279665536</v>
      </c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</row>
    <row r="68" spans="1:235" s="50" customFormat="1" ht="0.75" customHeight="1" hidden="1">
      <c r="A68" s="55"/>
      <c r="B68" s="59"/>
      <c r="C68" s="59"/>
      <c r="D68" s="62"/>
      <c r="E68" s="62"/>
      <c r="F68" s="62"/>
      <c r="G68" s="62"/>
      <c r="H68" s="62"/>
      <c r="I68" s="62"/>
      <c r="J68" s="62"/>
      <c r="K68" s="63"/>
      <c r="L68" s="63"/>
      <c r="M68" s="63"/>
      <c r="N68" s="62"/>
      <c r="O68" s="62"/>
      <c r="P68" s="62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</row>
    <row r="69" spans="1:235" s="50" customFormat="1" ht="21.75" customHeight="1" hidden="1">
      <c r="A69" s="55"/>
      <c r="B69" s="59"/>
      <c r="C69" s="59"/>
      <c r="D69" s="62"/>
      <c r="E69" s="62"/>
      <c r="F69" s="62"/>
      <c r="G69" s="62"/>
      <c r="H69" s="62"/>
      <c r="I69" s="62"/>
      <c r="J69" s="62"/>
      <c r="K69" s="63"/>
      <c r="L69" s="63"/>
      <c r="M69" s="63"/>
      <c r="N69" s="62"/>
      <c r="O69" s="62"/>
      <c r="P69" s="62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</row>
    <row r="70" spans="1:235" s="50" customFormat="1" ht="21.75" customHeight="1" hidden="1">
      <c r="A70" s="55"/>
      <c r="B70" s="59"/>
      <c r="C70" s="59"/>
      <c r="D70" s="62"/>
      <c r="E70" s="62"/>
      <c r="F70" s="62"/>
      <c r="G70" s="62"/>
      <c r="H70" s="62"/>
      <c r="I70" s="62"/>
      <c r="J70" s="62"/>
      <c r="K70" s="63"/>
      <c r="L70" s="63"/>
      <c r="M70" s="63"/>
      <c r="N70" s="62"/>
      <c r="O70" s="62"/>
      <c r="P70" s="62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</row>
    <row r="71" spans="1:235" s="50" customFormat="1" ht="1.5" customHeight="1" hidden="1">
      <c r="A71" s="55"/>
      <c r="B71" s="59"/>
      <c r="C71" s="59"/>
      <c r="D71" s="62"/>
      <c r="E71" s="62"/>
      <c r="F71" s="62"/>
      <c r="G71" s="62"/>
      <c r="H71" s="62"/>
      <c r="I71" s="62"/>
      <c r="J71" s="62"/>
      <c r="K71" s="63"/>
      <c r="L71" s="63"/>
      <c r="M71" s="63"/>
      <c r="N71" s="62"/>
      <c r="O71" s="62"/>
      <c r="P71" s="62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</row>
    <row r="72" spans="1:235" s="50" customFormat="1" ht="21.75" customHeight="1" hidden="1">
      <c r="A72" s="55"/>
      <c r="B72" s="59"/>
      <c r="C72" s="59"/>
      <c r="D72" s="62"/>
      <c r="E72" s="62"/>
      <c r="F72" s="62"/>
      <c r="G72" s="62"/>
      <c r="H72" s="62"/>
      <c r="I72" s="62"/>
      <c r="J72" s="62"/>
      <c r="K72" s="63"/>
      <c r="L72" s="63"/>
      <c r="M72" s="63"/>
      <c r="N72" s="62"/>
      <c r="O72" s="62"/>
      <c r="P72" s="62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</row>
    <row r="73" spans="1:235" s="50" customFormat="1" ht="21.75" customHeight="1" hidden="1">
      <c r="A73" s="55"/>
      <c r="B73" s="59"/>
      <c r="C73" s="59"/>
      <c r="D73" s="62"/>
      <c r="E73" s="62"/>
      <c r="F73" s="62"/>
      <c r="G73" s="62"/>
      <c r="H73" s="62"/>
      <c r="I73" s="62"/>
      <c r="J73" s="62"/>
      <c r="K73" s="63"/>
      <c r="L73" s="63"/>
      <c r="M73" s="63"/>
      <c r="N73" s="62"/>
      <c r="O73" s="62"/>
      <c r="P73" s="62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</row>
    <row r="74" spans="1:235" s="50" customFormat="1" ht="21.75" customHeight="1" hidden="1">
      <c r="A74" s="55"/>
      <c r="B74" s="59"/>
      <c r="C74" s="59"/>
      <c r="D74" s="62"/>
      <c r="E74" s="62"/>
      <c r="F74" s="62"/>
      <c r="G74" s="62"/>
      <c r="H74" s="62"/>
      <c r="I74" s="62"/>
      <c r="J74" s="62"/>
      <c r="K74" s="63"/>
      <c r="L74" s="63"/>
      <c r="M74" s="63"/>
      <c r="N74" s="62"/>
      <c r="O74" s="62"/>
      <c r="P74" s="62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49"/>
      <c r="HZ74" s="49"/>
      <c r="IA74" s="49"/>
    </row>
    <row r="75" spans="1:235" s="50" customFormat="1" ht="21.75" customHeight="1" hidden="1">
      <c r="A75" s="55"/>
      <c r="B75" s="59"/>
      <c r="C75" s="59"/>
      <c r="D75" s="62"/>
      <c r="E75" s="62"/>
      <c r="F75" s="62"/>
      <c r="G75" s="62"/>
      <c r="H75" s="62"/>
      <c r="I75" s="62"/>
      <c r="J75" s="62"/>
      <c r="K75" s="63"/>
      <c r="L75" s="63"/>
      <c r="M75" s="63"/>
      <c r="N75" s="62"/>
      <c r="O75" s="62"/>
      <c r="P75" s="62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</row>
    <row r="76" spans="1:235" s="50" customFormat="1" ht="0.75" customHeight="1" hidden="1">
      <c r="A76" s="55"/>
      <c r="B76" s="59"/>
      <c r="C76" s="59"/>
      <c r="D76" s="62"/>
      <c r="E76" s="62"/>
      <c r="F76" s="62"/>
      <c r="G76" s="62"/>
      <c r="H76" s="62"/>
      <c r="I76" s="62"/>
      <c r="J76" s="62"/>
      <c r="K76" s="63"/>
      <c r="L76" s="63"/>
      <c r="M76" s="63"/>
      <c r="N76" s="62"/>
      <c r="O76" s="62"/>
      <c r="P76" s="62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</row>
    <row r="77" spans="1:235" s="92" customFormat="1" ht="38.25" customHeight="1">
      <c r="A77" s="82" t="s">
        <v>355</v>
      </c>
      <c r="B77" s="88"/>
      <c r="C77" s="88"/>
      <c r="D77" s="89">
        <f>(D81*D83)</f>
        <v>6352700</v>
      </c>
      <c r="E77" s="89"/>
      <c r="F77" s="89">
        <f>(F83*F81)</f>
        <v>6352700</v>
      </c>
      <c r="G77" s="89">
        <f>(G83*G81)</f>
        <v>9599999.9985</v>
      </c>
      <c r="H77" s="89"/>
      <c r="I77" s="89"/>
      <c r="J77" s="89">
        <f>G77+H77</f>
        <v>9599999.9985</v>
      </c>
      <c r="K77" s="95"/>
      <c r="L77" s="95"/>
      <c r="M77" s="95"/>
      <c r="N77" s="89">
        <f>(N81*N83)</f>
        <v>11500000</v>
      </c>
      <c r="O77" s="89"/>
      <c r="P77" s="89">
        <f>(P81*P83)</f>
        <v>11500000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91"/>
      <c r="HJ77" s="91"/>
      <c r="HK77" s="91"/>
      <c r="HL77" s="91"/>
      <c r="HM77" s="91"/>
      <c r="HN77" s="91"/>
      <c r="HO77" s="91"/>
      <c r="HP77" s="91"/>
      <c r="HQ77" s="91"/>
      <c r="HR77" s="91"/>
      <c r="HS77" s="91"/>
      <c r="HT77" s="91"/>
      <c r="HU77" s="91"/>
      <c r="HV77" s="91"/>
      <c r="HW77" s="91"/>
      <c r="HX77" s="91"/>
      <c r="HY77" s="91"/>
      <c r="HZ77" s="91"/>
      <c r="IA77" s="91"/>
    </row>
    <row r="78" spans="1:16" ht="12">
      <c r="A78" s="54" t="s">
        <v>4</v>
      </c>
      <c r="B78" s="61"/>
      <c r="C78" s="61"/>
      <c r="D78" s="62"/>
      <c r="E78" s="62"/>
      <c r="F78" s="62"/>
      <c r="G78" s="62"/>
      <c r="H78" s="62"/>
      <c r="I78" s="62"/>
      <c r="J78" s="62"/>
      <c r="K78" s="63"/>
      <c r="L78" s="63"/>
      <c r="M78" s="63"/>
      <c r="N78" s="62"/>
      <c r="O78" s="62"/>
      <c r="P78" s="62"/>
    </row>
    <row r="79" spans="1:16" ht="33" customHeight="1">
      <c r="A79" s="55" t="s">
        <v>93</v>
      </c>
      <c r="B79" s="59"/>
      <c r="C79" s="59"/>
      <c r="D79" s="62">
        <v>500000</v>
      </c>
      <c r="E79" s="62"/>
      <c r="F79" s="62">
        <f>D79</f>
        <v>500000</v>
      </c>
      <c r="G79" s="62">
        <f>D79</f>
        <v>500000</v>
      </c>
      <c r="H79" s="62"/>
      <c r="I79" s="62"/>
      <c r="J79" s="62">
        <f>G79</f>
        <v>500000</v>
      </c>
      <c r="K79" s="63"/>
      <c r="L79" s="63"/>
      <c r="M79" s="63"/>
      <c r="N79" s="62">
        <f>D79</f>
        <v>500000</v>
      </c>
      <c r="O79" s="62"/>
      <c r="P79" s="62">
        <f>N79</f>
        <v>500000</v>
      </c>
    </row>
    <row r="80" spans="1:16" ht="12">
      <c r="A80" s="54" t="s">
        <v>5</v>
      </c>
      <c r="B80" s="61"/>
      <c r="C80" s="61"/>
      <c r="D80" s="62"/>
      <c r="E80" s="62"/>
      <c r="F80" s="62"/>
      <c r="G80" s="62"/>
      <c r="H80" s="62"/>
      <c r="I80" s="62"/>
      <c r="J80" s="62"/>
      <c r="K80" s="63"/>
      <c r="L80" s="63"/>
      <c r="M80" s="63"/>
      <c r="N80" s="62"/>
      <c r="O80" s="62"/>
      <c r="P80" s="62"/>
    </row>
    <row r="81" spans="1:16" ht="34.5" customHeight="1">
      <c r="A81" s="55" t="s">
        <v>94</v>
      </c>
      <c r="B81" s="59"/>
      <c r="C81" s="59"/>
      <c r="D81" s="14">
        <v>15881.75</v>
      </c>
      <c r="E81" s="62"/>
      <c r="F81" s="62">
        <f>D81</f>
        <v>15881.75</v>
      </c>
      <c r="G81" s="62">
        <v>21333.33333</v>
      </c>
      <c r="H81" s="62"/>
      <c r="I81" s="62"/>
      <c r="J81" s="62">
        <f>G81</f>
        <v>21333.33333</v>
      </c>
      <c r="K81" s="63"/>
      <c r="L81" s="63"/>
      <c r="M81" s="63"/>
      <c r="N81" s="62">
        <v>23000</v>
      </c>
      <c r="O81" s="62"/>
      <c r="P81" s="62">
        <f>N81</f>
        <v>23000</v>
      </c>
    </row>
    <row r="82" spans="1:16" ht="12">
      <c r="A82" s="54" t="s">
        <v>7</v>
      </c>
      <c r="B82" s="61"/>
      <c r="C82" s="61"/>
      <c r="D82" s="62"/>
      <c r="E82" s="62"/>
      <c r="F82" s="62"/>
      <c r="G82" s="62"/>
      <c r="H82" s="62"/>
      <c r="I82" s="62"/>
      <c r="J82" s="62"/>
      <c r="K82" s="63"/>
      <c r="L82" s="63"/>
      <c r="M82" s="63"/>
      <c r="N82" s="62"/>
      <c r="O82" s="62"/>
      <c r="P82" s="62"/>
    </row>
    <row r="83" spans="1:16" ht="33.75">
      <c r="A83" s="55" t="s">
        <v>95</v>
      </c>
      <c r="B83" s="59"/>
      <c r="C83" s="59"/>
      <c r="D83" s="62">
        <v>400</v>
      </c>
      <c r="E83" s="62"/>
      <c r="F83" s="62">
        <f>D83</f>
        <v>400</v>
      </c>
      <c r="G83" s="62">
        <v>450</v>
      </c>
      <c r="H83" s="62"/>
      <c r="I83" s="62"/>
      <c r="J83" s="62">
        <f>G83</f>
        <v>450</v>
      </c>
      <c r="K83" s="63"/>
      <c r="L83" s="63"/>
      <c r="M83" s="63"/>
      <c r="N83" s="62">
        <v>500</v>
      </c>
      <c r="O83" s="62"/>
      <c r="P83" s="62">
        <f>N83</f>
        <v>500</v>
      </c>
    </row>
    <row r="84" spans="1:16" ht="12">
      <c r="A84" s="54" t="s">
        <v>6</v>
      </c>
      <c r="B84" s="61"/>
      <c r="C84" s="61"/>
      <c r="D84" s="62"/>
      <c r="E84" s="62"/>
      <c r="F84" s="62"/>
      <c r="G84" s="62"/>
      <c r="H84" s="62"/>
      <c r="I84" s="62"/>
      <c r="J84" s="62"/>
      <c r="K84" s="63"/>
      <c r="L84" s="63"/>
      <c r="M84" s="63"/>
      <c r="N84" s="62"/>
      <c r="O84" s="62"/>
      <c r="P84" s="62"/>
    </row>
    <row r="85" spans="1:16" ht="45">
      <c r="A85" s="55" t="s">
        <v>96</v>
      </c>
      <c r="B85" s="59"/>
      <c r="C85" s="59"/>
      <c r="D85" s="62">
        <f>D81/D79*100</f>
        <v>3.1763500000000002</v>
      </c>
      <c r="E85" s="62"/>
      <c r="F85" s="62">
        <f>F81/F79*100</f>
        <v>3.1763500000000002</v>
      </c>
      <c r="G85" s="62">
        <f>G81/G79*100</f>
        <v>4.266666666000001</v>
      </c>
      <c r="H85" s="62"/>
      <c r="I85" s="62"/>
      <c r="J85" s="62">
        <f>J81/J79*100</f>
        <v>4.266666666000001</v>
      </c>
      <c r="K85" s="63"/>
      <c r="L85" s="63"/>
      <c r="M85" s="63"/>
      <c r="N85" s="62">
        <f>N81/N79*100</f>
        <v>4.6</v>
      </c>
      <c r="O85" s="62"/>
      <c r="P85" s="62">
        <f>P81/P79*100</f>
        <v>4.6</v>
      </c>
    </row>
    <row r="86" spans="1:235" s="92" customFormat="1" ht="39" customHeight="1">
      <c r="A86" s="82" t="s">
        <v>356</v>
      </c>
      <c r="B86" s="88"/>
      <c r="C86" s="88"/>
      <c r="D86" s="89"/>
      <c r="E86" s="89">
        <f>(E91*E94)+(E92*E95)</f>
        <v>32417800</v>
      </c>
      <c r="F86" s="89">
        <f>E86</f>
        <v>32417800</v>
      </c>
      <c r="G86" s="89"/>
      <c r="H86" s="89">
        <f>(H91*H94)+(H92*H95)-600781.39+599.89</f>
        <v>56164110</v>
      </c>
      <c r="I86" s="89"/>
      <c r="J86" s="89">
        <f>H86</f>
        <v>56164110</v>
      </c>
      <c r="K86" s="89">
        <f aca="true" t="shared" si="7" ref="K86:P86">(K91*K94)+(K92*K95)</f>
        <v>0</v>
      </c>
      <c r="L86" s="89">
        <f t="shared" si="7"/>
        <v>0</v>
      </c>
      <c r="M86" s="89">
        <f t="shared" si="7"/>
        <v>0</v>
      </c>
      <c r="N86" s="89"/>
      <c r="O86" s="89">
        <f>(O91*O94)+(O92*O95)</f>
        <v>44600000</v>
      </c>
      <c r="P86" s="89">
        <f t="shared" si="7"/>
        <v>44600000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1"/>
      <c r="CV86" s="91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/>
      <c r="DH86" s="91"/>
      <c r="DI86" s="91"/>
      <c r="DJ86" s="91"/>
      <c r="DK86" s="91"/>
      <c r="DL86" s="91"/>
      <c r="DM86" s="91"/>
      <c r="DN86" s="91"/>
      <c r="DO86" s="91"/>
      <c r="DP86" s="91"/>
      <c r="DQ86" s="91"/>
      <c r="DR86" s="91"/>
      <c r="DS86" s="91"/>
      <c r="DT86" s="91"/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91"/>
      <c r="EF86" s="91"/>
      <c r="EG86" s="91"/>
      <c r="EH86" s="91"/>
      <c r="EI86" s="91"/>
      <c r="EJ86" s="91"/>
      <c r="EK86" s="91"/>
      <c r="EL86" s="91"/>
      <c r="EM86" s="91"/>
      <c r="EN86" s="91"/>
      <c r="EO86" s="91"/>
      <c r="EP86" s="91"/>
      <c r="EQ86" s="91"/>
      <c r="ER86" s="91"/>
      <c r="ES86" s="91"/>
      <c r="ET86" s="91"/>
      <c r="EU86" s="91"/>
      <c r="EV86" s="91"/>
      <c r="EW86" s="91"/>
      <c r="EX86" s="91"/>
      <c r="EY86" s="91"/>
      <c r="EZ86" s="91"/>
      <c r="FA86" s="91"/>
      <c r="FB86" s="91"/>
      <c r="FC86" s="91"/>
      <c r="FD86" s="91"/>
      <c r="FE86" s="91"/>
      <c r="FF86" s="91"/>
      <c r="FG86" s="91"/>
      <c r="FH86" s="91"/>
      <c r="FI86" s="91"/>
      <c r="FJ86" s="91"/>
      <c r="FK86" s="91"/>
      <c r="FL86" s="91"/>
      <c r="FM86" s="91"/>
      <c r="FN86" s="91"/>
      <c r="FO86" s="91"/>
      <c r="FP86" s="91"/>
      <c r="FQ86" s="91"/>
      <c r="FR86" s="91"/>
      <c r="FS86" s="91"/>
      <c r="FT86" s="91"/>
      <c r="FU86" s="91"/>
      <c r="FV86" s="91"/>
      <c r="FW86" s="91"/>
      <c r="FX86" s="91"/>
      <c r="FY86" s="91"/>
      <c r="FZ86" s="91"/>
      <c r="GA86" s="91"/>
      <c r="GB86" s="91"/>
      <c r="GC86" s="91"/>
      <c r="GD86" s="91"/>
      <c r="GE86" s="91"/>
      <c r="GF86" s="91"/>
      <c r="GG86" s="91"/>
      <c r="GH86" s="91"/>
      <c r="GI86" s="91"/>
      <c r="GJ86" s="91"/>
      <c r="GK86" s="91"/>
      <c r="GL86" s="91"/>
      <c r="GM86" s="91"/>
      <c r="GN86" s="91"/>
      <c r="GO86" s="91"/>
      <c r="GP86" s="91"/>
      <c r="GQ86" s="91"/>
      <c r="GR86" s="91"/>
      <c r="GS86" s="91"/>
      <c r="GT86" s="91"/>
      <c r="GU86" s="91"/>
      <c r="GV86" s="91"/>
      <c r="GW86" s="91"/>
      <c r="GX86" s="91"/>
      <c r="GY86" s="91"/>
      <c r="GZ86" s="91"/>
      <c r="HA86" s="91"/>
      <c r="HB86" s="91"/>
      <c r="HC86" s="91"/>
      <c r="HD86" s="91"/>
      <c r="HE86" s="91"/>
      <c r="HF86" s="91"/>
      <c r="HG86" s="91"/>
      <c r="HH86" s="91"/>
      <c r="HI86" s="91"/>
      <c r="HJ86" s="91"/>
      <c r="HK86" s="91"/>
      <c r="HL86" s="91"/>
      <c r="HM86" s="91"/>
      <c r="HN86" s="91"/>
      <c r="HO86" s="91"/>
      <c r="HP86" s="91"/>
      <c r="HQ86" s="91"/>
      <c r="HR86" s="91"/>
      <c r="HS86" s="91"/>
      <c r="HT86" s="91"/>
      <c r="HU86" s="91"/>
      <c r="HV86" s="91"/>
      <c r="HW86" s="91"/>
      <c r="HX86" s="91"/>
      <c r="HY86" s="91"/>
      <c r="HZ86" s="91"/>
      <c r="IA86" s="91"/>
    </row>
    <row r="87" spans="1:16" ht="12">
      <c r="A87" s="54" t="s">
        <v>4</v>
      </c>
      <c r="B87" s="59"/>
      <c r="C87" s="59"/>
      <c r="D87" s="62"/>
      <c r="E87" s="62"/>
      <c r="F87" s="62"/>
      <c r="G87" s="62"/>
      <c r="H87" s="62"/>
      <c r="I87" s="62"/>
      <c r="J87" s="64"/>
      <c r="K87" s="63"/>
      <c r="L87" s="63"/>
      <c r="M87" s="63"/>
      <c r="N87" s="62"/>
      <c r="O87" s="62"/>
      <c r="P87" s="62"/>
    </row>
    <row r="88" spans="1:16" ht="33.75">
      <c r="A88" s="55" t="s">
        <v>223</v>
      </c>
      <c r="B88" s="59"/>
      <c r="C88" s="59"/>
      <c r="D88" s="62"/>
      <c r="E88" s="62">
        <v>380000</v>
      </c>
      <c r="F88" s="62">
        <f>E88</f>
        <v>380000</v>
      </c>
      <c r="G88" s="62"/>
      <c r="H88" s="62">
        <f>E88</f>
        <v>380000</v>
      </c>
      <c r="I88" s="62"/>
      <c r="J88" s="64">
        <f aca="true" t="shared" si="8" ref="J88:J94">H88</f>
        <v>380000</v>
      </c>
      <c r="K88" s="63"/>
      <c r="L88" s="63"/>
      <c r="M88" s="63"/>
      <c r="N88" s="62"/>
      <c r="O88" s="62">
        <f>H88</f>
        <v>380000</v>
      </c>
      <c r="P88" s="64">
        <f>O88</f>
        <v>380000</v>
      </c>
    </row>
    <row r="89" spans="1:16" ht="29.25" customHeight="1">
      <c r="A89" s="55" t="s">
        <v>224</v>
      </c>
      <c r="B89" s="59"/>
      <c r="C89" s="59"/>
      <c r="D89" s="62"/>
      <c r="E89" s="62">
        <v>76000</v>
      </c>
      <c r="F89" s="62">
        <f>E89</f>
        <v>76000</v>
      </c>
      <c r="G89" s="62"/>
      <c r="H89" s="62">
        <f>E89</f>
        <v>76000</v>
      </c>
      <c r="I89" s="62"/>
      <c r="J89" s="64">
        <f>H89</f>
        <v>76000</v>
      </c>
      <c r="K89" s="63"/>
      <c r="L89" s="63"/>
      <c r="M89" s="63"/>
      <c r="N89" s="62"/>
      <c r="O89" s="62">
        <f>H89</f>
        <v>76000</v>
      </c>
      <c r="P89" s="64">
        <f>O89</f>
        <v>76000</v>
      </c>
    </row>
    <row r="90" spans="1:235" s="113" customFormat="1" ht="12">
      <c r="A90" s="185" t="s">
        <v>5</v>
      </c>
      <c r="B90" s="110"/>
      <c r="C90" s="110"/>
      <c r="D90" s="114"/>
      <c r="E90" s="114"/>
      <c r="F90" s="114"/>
      <c r="G90" s="114"/>
      <c r="H90" s="114"/>
      <c r="I90" s="114"/>
      <c r="J90" s="186"/>
      <c r="K90" s="111"/>
      <c r="L90" s="111"/>
      <c r="M90" s="111"/>
      <c r="N90" s="114"/>
      <c r="O90" s="114"/>
      <c r="P90" s="114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112"/>
      <c r="DL90" s="112"/>
      <c r="DM90" s="112"/>
      <c r="DN90" s="112"/>
      <c r="DO90" s="112"/>
      <c r="DP90" s="112"/>
      <c r="DQ90" s="112"/>
      <c r="DR90" s="112"/>
      <c r="DS90" s="112"/>
      <c r="DT90" s="112"/>
      <c r="DU90" s="112"/>
      <c r="DV90" s="112"/>
      <c r="DW90" s="112"/>
      <c r="DX90" s="112"/>
      <c r="DY90" s="112"/>
      <c r="DZ90" s="112"/>
      <c r="EA90" s="112"/>
      <c r="EB90" s="112"/>
      <c r="EC90" s="112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2"/>
      <c r="FE90" s="112"/>
      <c r="FF90" s="112"/>
      <c r="FG90" s="112"/>
      <c r="FH90" s="112"/>
      <c r="FI90" s="112"/>
      <c r="FJ90" s="112"/>
      <c r="FK90" s="112"/>
      <c r="FL90" s="112"/>
      <c r="FM90" s="112"/>
      <c r="FN90" s="112"/>
      <c r="FO90" s="112"/>
      <c r="FP90" s="112"/>
      <c r="FQ90" s="112"/>
      <c r="FR90" s="112"/>
      <c r="FS90" s="112"/>
      <c r="FT90" s="112"/>
      <c r="FU90" s="112"/>
      <c r="FV90" s="112"/>
      <c r="FW90" s="112"/>
      <c r="FX90" s="112"/>
      <c r="FY90" s="112"/>
      <c r="FZ90" s="112"/>
      <c r="GA90" s="112"/>
      <c r="GB90" s="112"/>
      <c r="GC90" s="112"/>
      <c r="GD90" s="112"/>
      <c r="GE90" s="112"/>
      <c r="GF90" s="112"/>
      <c r="GG90" s="112"/>
      <c r="GH90" s="112"/>
      <c r="GI90" s="112"/>
      <c r="GJ90" s="112"/>
      <c r="GK90" s="112"/>
      <c r="GL90" s="112"/>
      <c r="GM90" s="112"/>
      <c r="GN90" s="112"/>
      <c r="GO90" s="112"/>
      <c r="GP90" s="112"/>
      <c r="GQ90" s="112"/>
      <c r="GR90" s="112"/>
      <c r="GS90" s="112"/>
      <c r="GT90" s="112"/>
      <c r="GU90" s="112"/>
      <c r="GV90" s="112"/>
      <c r="GW90" s="112"/>
      <c r="GX90" s="112"/>
      <c r="GY90" s="112"/>
      <c r="GZ90" s="112"/>
      <c r="HA90" s="112"/>
      <c r="HB90" s="112"/>
      <c r="HC90" s="112"/>
      <c r="HD90" s="112"/>
      <c r="HE90" s="112"/>
      <c r="HF90" s="112"/>
      <c r="HG90" s="112"/>
      <c r="HH90" s="112"/>
      <c r="HI90" s="112"/>
      <c r="HJ90" s="112"/>
      <c r="HK90" s="112"/>
      <c r="HL90" s="112"/>
      <c r="HM90" s="112"/>
      <c r="HN90" s="112"/>
      <c r="HO90" s="112"/>
      <c r="HP90" s="112"/>
      <c r="HQ90" s="112"/>
      <c r="HR90" s="112"/>
      <c r="HS90" s="112"/>
      <c r="HT90" s="112"/>
      <c r="HU90" s="112"/>
      <c r="HV90" s="112"/>
      <c r="HW90" s="112"/>
      <c r="HX90" s="112"/>
      <c r="HY90" s="112"/>
      <c r="HZ90" s="112"/>
      <c r="IA90" s="112"/>
    </row>
    <row r="91" spans="1:235" s="113" customFormat="1" ht="34.5" customHeight="1">
      <c r="A91" s="109" t="s">
        <v>225</v>
      </c>
      <c r="B91" s="110"/>
      <c r="C91" s="110"/>
      <c r="D91" s="114"/>
      <c r="E91" s="114">
        <f>65000+5294.5</f>
        <v>70294.5</v>
      </c>
      <c r="F91" s="114">
        <f>E91</f>
        <v>70294.5</v>
      </c>
      <c r="G91" s="114"/>
      <c r="H91" s="114">
        <v>109798.02</v>
      </c>
      <c r="I91" s="114"/>
      <c r="J91" s="186">
        <f t="shared" si="8"/>
        <v>109798.02</v>
      </c>
      <c r="K91" s="111"/>
      <c r="L91" s="111"/>
      <c r="M91" s="111"/>
      <c r="N91" s="114"/>
      <c r="O91" s="114">
        <v>74800</v>
      </c>
      <c r="P91" s="186">
        <f>O91</f>
        <v>74800</v>
      </c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112"/>
      <c r="DM91" s="112"/>
      <c r="DN91" s="112"/>
      <c r="DO91" s="112"/>
      <c r="DP91" s="112"/>
      <c r="DQ91" s="112"/>
      <c r="DR91" s="112"/>
      <c r="DS91" s="112"/>
      <c r="DT91" s="112"/>
      <c r="DU91" s="112"/>
      <c r="DV91" s="112"/>
      <c r="DW91" s="112"/>
      <c r="DX91" s="112"/>
      <c r="DY91" s="112"/>
      <c r="DZ91" s="112"/>
      <c r="EA91" s="112"/>
      <c r="EB91" s="112"/>
      <c r="EC91" s="112"/>
      <c r="ED91" s="112"/>
      <c r="EE91" s="112"/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12"/>
      <c r="FF91" s="112"/>
      <c r="FG91" s="112"/>
      <c r="FH91" s="112"/>
      <c r="FI91" s="112"/>
      <c r="FJ91" s="112"/>
      <c r="FK91" s="112"/>
      <c r="FL91" s="112"/>
      <c r="FM91" s="112"/>
      <c r="FN91" s="112"/>
      <c r="FO91" s="112"/>
      <c r="FP91" s="112"/>
      <c r="FQ91" s="112"/>
      <c r="FR91" s="112"/>
      <c r="FS91" s="112"/>
      <c r="FT91" s="112"/>
      <c r="FU91" s="112"/>
      <c r="FV91" s="112"/>
      <c r="FW91" s="112"/>
      <c r="FX91" s="112"/>
      <c r="FY91" s="112"/>
      <c r="FZ91" s="112"/>
      <c r="GA91" s="112"/>
      <c r="GB91" s="112"/>
      <c r="GC91" s="112"/>
      <c r="GD91" s="112"/>
      <c r="GE91" s="112"/>
      <c r="GF91" s="112"/>
      <c r="GG91" s="112"/>
      <c r="GH91" s="112"/>
      <c r="GI91" s="112"/>
      <c r="GJ91" s="112"/>
      <c r="GK91" s="112"/>
      <c r="GL91" s="112"/>
      <c r="GM91" s="112"/>
      <c r="GN91" s="112"/>
      <c r="GO91" s="112"/>
      <c r="GP91" s="112"/>
      <c r="GQ91" s="112"/>
      <c r="GR91" s="112"/>
      <c r="GS91" s="112"/>
      <c r="GT91" s="112"/>
      <c r="GU91" s="112"/>
      <c r="GV91" s="112"/>
      <c r="GW91" s="112"/>
      <c r="GX91" s="112"/>
      <c r="GY91" s="112"/>
      <c r="GZ91" s="112"/>
      <c r="HA91" s="112"/>
      <c r="HB91" s="112"/>
      <c r="HC91" s="112"/>
      <c r="HD91" s="112"/>
      <c r="HE91" s="112"/>
      <c r="HF91" s="112"/>
      <c r="HG91" s="112"/>
      <c r="HH91" s="112"/>
      <c r="HI91" s="112"/>
      <c r="HJ91" s="112"/>
      <c r="HK91" s="112"/>
      <c r="HL91" s="112"/>
      <c r="HM91" s="112"/>
      <c r="HN91" s="112"/>
      <c r="HO91" s="112"/>
      <c r="HP91" s="112"/>
      <c r="HQ91" s="112"/>
      <c r="HR91" s="112"/>
      <c r="HS91" s="112"/>
      <c r="HT91" s="112"/>
      <c r="HU91" s="112"/>
      <c r="HV91" s="112"/>
      <c r="HW91" s="112"/>
      <c r="HX91" s="112"/>
      <c r="HY91" s="112"/>
      <c r="HZ91" s="112"/>
      <c r="IA91" s="112"/>
    </row>
    <row r="92" spans="1:235" s="113" customFormat="1" ht="26.25" customHeight="1">
      <c r="A92" s="109" t="s">
        <v>226</v>
      </c>
      <c r="B92" s="110"/>
      <c r="C92" s="110"/>
      <c r="D92" s="114"/>
      <c r="E92" s="114">
        <v>10750</v>
      </c>
      <c r="F92" s="114">
        <f>E92</f>
        <v>10750</v>
      </c>
      <c r="G92" s="114"/>
      <c r="H92" s="114">
        <v>16344.85</v>
      </c>
      <c r="I92" s="114"/>
      <c r="J92" s="186">
        <f>H92</f>
        <v>16344.85</v>
      </c>
      <c r="K92" s="111"/>
      <c r="L92" s="111"/>
      <c r="M92" s="111"/>
      <c r="N92" s="114"/>
      <c r="O92" s="114">
        <v>14400</v>
      </c>
      <c r="P92" s="186">
        <f>O92</f>
        <v>14400</v>
      </c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/>
      <c r="DB92" s="112"/>
      <c r="DC92" s="112"/>
      <c r="DD92" s="112"/>
      <c r="DE92" s="112"/>
      <c r="DF92" s="112"/>
      <c r="DG92" s="112"/>
      <c r="DH92" s="112"/>
      <c r="DI92" s="112"/>
      <c r="DJ92" s="112"/>
      <c r="DK92" s="112"/>
      <c r="DL92" s="112"/>
      <c r="DM92" s="112"/>
      <c r="DN92" s="112"/>
      <c r="DO92" s="112"/>
      <c r="DP92" s="112"/>
      <c r="DQ92" s="112"/>
      <c r="DR92" s="112"/>
      <c r="DS92" s="112"/>
      <c r="DT92" s="112"/>
      <c r="DU92" s="112"/>
      <c r="DV92" s="112"/>
      <c r="DW92" s="112"/>
      <c r="DX92" s="112"/>
      <c r="DY92" s="112"/>
      <c r="DZ92" s="112"/>
      <c r="EA92" s="112"/>
      <c r="EB92" s="112"/>
      <c r="EC92" s="112"/>
      <c r="ED92" s="112"/>
      <c r="EE92" s="112"/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12"/>
      <c r="EU92" s="112"/>
      <c r="EV92" s="112"/>
      <c r="EW92" s="112"/>
      <c r="EX92" s="112"/>
      <c r="EY92" s="112"/>
      <c r="EZ92" s="112"/>
      <c r="FA92" s="112"/>
      <c r="FB92" s="112"/>
      <c r="FC92" s="112"/>
      <c r="FD92" s="112"/>
      <c r="FE92" s="112"/>
      <c r="FF92" s="112"/>
      <c r="FG92" s="112"/>
      <c r="FH92" s="112"/>
      <c r="FI92" s="112"/>
      <c r="FJ92" s="112"/>
      <c r="FK92" s="112"/>
      <c r="FL92" s="112"/>
      <c r="FM92" s="112"/>
      <c r="FN92" s="112"/>
      <c r="FO92" s="112"/>
      <c r="FP92" s="112"/>
      <c r="FQ92" s="112"/>
      <c r="FR92" s="112"/>
      <c r="FS92" s="112"/>
      <c r="FT92" s="112"/>
      <c r="FU92" s="112"/>
      <c r="FV92" s="112"/>
      <c r="FW92" s="112"/>
      <c r="FX92" s="112"/>
      <c r="FY92" s="112"/>
      <c r="FZ92" s="112"/>
      <c r="GA92" s="112"/>
      <c r="GB92" s="112"/>
      <c r="GC92" s="112"/>
      <c r="GD92" s="112"/>
      <c r="GE92" s="112"/>
      <c r="GF92" s="112"/>
      <c r="GG92" s="112"/>
      <c r="GH92" s="112"/>
      <c r="GI92" s="112"/>
      <c r="GJ92" s="112"/>
      <c r="GK92" s="112"/>
      <c r="GL92" s="112"/>
      <c r="GM92" s="112"/>
      <c r="GN92" s="112"/>
      <c r="GO92" s="112"/>
      <c r="GP92" s="112"/>
      <c r="GQ92" s="112"/>
      <c r="GR92" s="112"/>
      <c r="GS92" s="112"/>
      <c r="GT92" s="112"/>
      <c r="GU92" s="112"/>
      <c r="GV92" s="112"/>
      <c r="GW92" s="112"/>
      <c r="GX92" s="112"/>
      <c r="GY92" s="112"/>
      <c r="GZ92" s="112"/>
      <c r="HA92" s="112"/>
      <c r="HB92" s="112"/>
      <c r="HC92" s="112"/>
      <c r="HD92" s="112"/>
      <c r="HE92" s="112"/>
      <c r="HF92" s="112"/>
      <c r="HG92" s="112"/>
      <c r="HH92" s="112"/>
      <c r="HI92" s="112"/>
      <c r="HJ92" s="112"/>
      <c r="HK92" s="112"/>
      <c r="HL92" s="112"/>
      <c r="HM92" s="112"/>
      <c r="HN92" s="112"/>
      <c r="HO92" s="112"/>
      <c r="HP92" s="112"/>
      <c r="HQ92" s="112"/>
      <c r="HR92" s="112"/>
      <c r="HS92" s="112"/>
      <c r="HT92" s="112"/>
      <c r="HU92" s="112"/>
      <c r="HV92" s="112"/>
      <c r="HW92" s="112"/>
      <c r="HX92" s="112"/>
      <c r="HY92" s="112"/>
      <c r="HZ92" s="112"/>
      <c r="IA92" s="112"/>
    </row>
    <row r="93" spans="1:235" s="113" customFormat="1" ht="12">
      <c r="A93" s="185" t="s">
        <v>7</v>
      </c>
      <c r="B93" s="110"/>
      <c r="C93" s="110"/>
      <c r="D93" s="114"/>
      <c r="E93" s="114"/>
      <c r="F93" s="114"/>
      <c r="G93" s="114"/>
      <c r="H93" s="114"/>
      <c r="I93" s="114"/>
      <c r="J93" s="186"/>
      <c r="K93" s="111"/>
      <c r="L93" s="111"/>
      <c r="M93" s="111"/>
      <c r="N93" s="114"/>
      <c r="O93" s="114"/>
      <c r="P93" s="114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2"/>
      <c r="CP93" s="112"/>
      <c r="CQ93" s="112"/>
      <c r="CR93" s="112"/>
      <c r="CS93" s="112"/>
      <c r="CT93" s="112"/>
      <c r="CU93" s="112"/>
      <c r="CV93" s="112"/>
      <c r="CW93" s="112"/>
      <c r="CX93" s="112"/>
      <c r="CY93" s="112"/>
      <c r="CZ93" s="112"/>
      <c r="DA93" s="112"/>
      <c r="DB93" s="112"/>
      <c r="DC93" s="112"/>
      <c r="DD93" s="112"/>
      <c r="DE93" s="112"/>
      <c r="DF93" s="112"/>
      <c r="DG93" s="112"/>
      <c r="DH93" s="112"/>
      <c r="DI93" s="112"/>
      <c r="DJ93" s="112"/>
      <c r="DK93" s="112"/>
      <c r="DL93" s="112"/>
      <c r="DM93" s="112"/>
      <c r="DN93" s="112"/>
      <c r="DO93" s="112"/>
      <c r="DP93" s="112"/>
      <c r="DQ93" s="112"/>
      <c r="DR93" s="112"/>
      <c r="DS93" s="112"/>
      <c r="DT93" s="112"/>
      <c r="DU93" s="112"/>
      <c r="DV93" s="112"/>
      <c r="DW93" s="112"/>
      <c r="DX93" s="112"/>
      <c r="DY93" s="112"/>
      <c r="DZ93" s="112"/>
      <c r="EA93" s="112"/>
      <c r="EB93" s="112"/>
      <c r="EC93" s="112"/>
      <c r="ED93" s="112"/>
      <c r="EE93" s="112"/>
      <c r="EF93" s="112"/>
      <c r="EG93" s="112"/>
      <c r="EH93" s="112"/>
      <c r="EI93" s="112"/>
      <c r="EJ93" s="112"/>
      <c r="EK93" s="112"/>
      <c r="EL93" s="112"/>
      <c r="EM93" s="112"/>
      <c r="EN93" s="112"/>
      <c r="EO93" s="112"/>
      <c r="EP93" s="112"/>
      <c r="EQ93" s="112"/>
      <c r="ER93" s="112"/>
      <c r="ES93" s="112"/>
      <c r="ET93" s="112"/>
      <c r="EU93" s="112"/>
      <c r="EV93" s="112"/>
      <c r="EW93" s="112"/>
      <c r="EX93" s="112"/>
      <c r="EY93" s="112"/>
      <c r="EZ93" s="112"/>
      <c r="FA93" s="112"/>
      <c r="FB93" s="112"/>
      <c r="FC93" s="112"/>
      <c r="FD93" s="112"/>
      <c r="FE93" s="112"/>
      <c r="FF93" s="112"/>
      <c r="FG93" s="112"/>
      <c r="FH93" s="112"/>
      <c r="FI93" s="112"/>
      <c r="FJ93" s="112"/>
      <c r="FK93" s="112"/>
      <c r="FL93" s="112"/>
      <c r="FM93" s="112"/>
      <c r="FN93" s="112"/>
      <c r="FO93" s="112"/>
      <c r="FP93" s="112"/>
      <c r="FQ93" s="112"/>
      <c r="FR93" s="112"/>
      <c r="FS93" s="112"/>
      <c r="FT93" s="112"/>
      <c r="FU93" s="112"/>
      <c r="FV93" s="112"/>
      <c r="FW93" s="112"/>
      <c r="FX93" s="112"/>
      <c r="FY93" s="112"/>
      <c r="FZ93" s="112"/>
      <c r="GA93" s="112"/>
      <c r="GB93" s="112"/>
      <c r="GC93" s="112"/>
      <c r="GD93" s="112"/>
      <c r="GE93" s="112"/>
      <c r="GF93" s="112"/>
      <c r="GG93" s="112"/>
      <c r="GH93" s="112"/>
      <c r="GI93" s="112"/>
      <c r="GJ93" s="112"/>
      <c r="GK93" s="112"/>
      <c r="GL93" s="112"/>
      <c r="GM93" s="112"/>
      <c r="GN93" s="112"/>
      <c r="GO93" s="112"/>
      <c r="GP93" s="112"/>
      <c r="GQ93" s="112"/>
      <c r="GR93" s="112"/>
      <c r="GS93" s="112"/>
      <c r="GT93" s="112"/>
      <c r="GU93" s="112"/>
      <c r="GV93" s="112"/>
      <c r="GW93" s="112"/>
      <c r="GX93" s="112"/>
      <c r="GY93" s="112"/>
      <c r="GZ93" s="112"/>
      <c r="HA93" s="112"/>
      <c r="HB93" s="112"/>
      <c r="HC93" s="112"/>
      <c r="HD93" s="112"/>
      <c r="HE93" s="112"/>
      <c r="HF93" s="112"/>
      <c r="HG93" s="112"/>
      <c r="HH93" s="112"/>
      <c r="HI93" s="112"/>
      <c r="HJ93" s="112"/>
      <c r="HK93" s="112"/>
      <c r="HL93" s="112"/>
      <c r="HM93" s="112"/>
      <c r="HN93" s="112"/>
      <c r="HO93" s="112"/>
      <c r="HP93" s="112"/>
      <c r="HQ93" s="112"/>
      <c r="HR93" s="112"/>
      <c r="HS93" s="112"/>
      <c r="HT93" s="112"/>
      <c r="HU93" s="112"/>
      <c r="HV93" s="112"/>
      <c r="HW93" s="112"/>
      <c r="HX93" s="112"/>
      <c r="HY93" s="112"/>
      <c r="HZ93" s="112"/>
      <c r="IA93" s="112"/>
    </row>
    <row r="94" spans="1:235" s="113" customFormat="1" ht="22.5" customHeight="1">
      <c r="A94" s="109" t="s">
        <v>229</v>
      </c>
      <c r="B94" s="110"/>
      <c r="C94" s="110"/>
      <c r="D94" s="114"/>
      <c r="E94" s="114">
        <v>400</v>
      </c>
      <c r="F94" s="114">
        <f>E94</f>
        <v>400</v>
      </c>
      <c r="G94" s="114"/>
      <c r="H94" s="114">
        <v>450</v>
      </c>
      <c r="I94" s="114"/>
      <c r="J94" s="186">
        <f t="shared" si="8"/>
        <v>450</v>
      </c>
      <c r="K94" s="111"/>
      <c r="L94" s="111"/>
      <c r="M94" s="111"/>
      <c r="N94" s="114"/>
      <c r="O94" s="114">
        <v>500</v>
      </c>
      <c r="P94" s="186">
        <v>500</v>
      </c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  <c r="CC94" s="112"/>
      <c r="CD94" s="112"/>
      <c r="CE94" s="112"/>
      <c r="CF94" s="112"/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2"/>
      <c r="ED94" s="112"/>
      <c r="EE94" s="112"/>
      <c r="EF94" s="112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12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2"/>
      <c r="FF94" s="112"/>
      <c r="FG94" s="112"/>
      <c r="FH94" s="112"/>
      <c r="FI94" s="112"/>
      <c r="FJ94" s="112"/>
      <c r="FK94" s="112"/>
      <c r="FL94" s="112"/>
      <c r="FM94" s="112"/>
      <c r="FN94" s="112"/>
      <c r="FO94" s="112"/>
      <c r="FP94" s="112"/>
      <c r="FQ94" s="112"/>
      <c r="FR94" s="112"/>
      <c r="FS94" s="112"/>
      <c r="FT94" s="112"/>
      <c r="FU94" s="112"/>
      <c r="FV94" s="112"/>
      <c r="FW94" s="112"/>
      <c r="FX94" s="112"/>
      <c r="FY94" s="112"/>
      <c r="FZ94" s="112"/>
      <c r="GA94" s="112"/>
      <c r="GB94" s="112"/>
      <c r="GC94" s="112"/>
      <c r="GD94" s="112"/>
      <c r="GE94" s="112"/>
      <c r="GF94" s="112"/>
      <c r="GG94" s="112"/>
      <c r="GH94" s="112"/>
      <c r="GI94" s="112"/>
      <c r="GJ94" s="112"/>
      <c r="GK94" s="112"/>
      <c r="GL94" s="112"/>
      <c r="GM94" s="112"/>
      <c r="GN94" s="112"/>
      <c r="GO94" s="112"/>
      <c r="GP94" s="112"/>
      <c r="GQ94" s="112"/>
      <c r="GR94" s="112"/>
      <c r="GS94" s="112"/>
      <c r="GT94" s="112"/>
      <c r="GU94" s="112"/>
      <c r="GV94" s="112"/>
      <c r="GW94" s="112"/>
      <c r="GX94" s="112"/>
      <c r="GY94" s="112"/>
      <c r="GZ94" s="112"/>
      <c r="HA94" s="112"/>
      <c r="HB94" s="112"/>
      <c r="HC94" s="112"/>
      <c r="HD94" s="112"/>
      <c r="HE94" s="112"/>
      <c r="HF94" s="112"/>
      <c r="HG94" s="112"/>
      <c r="HH94" s="112"/>
      <c r="HI94" s="112"/>
      <c r="HJ94" s="112"/>
      <c r="HK94" s="112"/>
      <c r="HL94" s="112"/>
      <c r="HM94" s="112"/>
      <c r="HN94" s="112"/>
      <c r="HO94" s="112"/>
      <c r="HP94" s="112"/>
      <c r="HQ94" s="112"/>
      <c r="HR94" s="112"/>
      <c r="HS94" s="112"/>
      <c r="HT94" s="112"/>
      <c r="HU94" s="112"/>
      <c r="HV94" s="112"/>
      <c r="HW94" s="112"/>
      <c r="HX94" s="112"/>
      <c r="HY94" s="112"/>
      <c r="HZ94" s="112"/>
      <c r="IA94" s="112"/>
    </row>
    <row r="95" spans="1:235" s="113" customFormat="1" ht="22.5" customHeight="1">
      <c r="A95" s="109" t="s">
        <v>230</v>
      </c>
      <c r="B95" s="110"/>
      <c r="C95" s="110"/>
      <c r="D95" s="114"/>
      <c r="E95" s="114">
        <v>400</v>
      </c>
      <c r="F95" s="114">
        <f>E95</f>
        <v>400</v>
      </c>
      <c r="G95" s="114"/>
      <c r="H95" s="114">
        <v>450</v>
      </c>
      <c r="I95" s="114"/>
      <c r="J95" s="186">
        <f>H95</f>
        <v>450</v>
      </c>
      <c r="K95" s="111"/>
      <c r="L95" s="111"/>
      <c r="M95" s="111"/>
      <c r="N95" s="114"/>
      <c r="O95" s="114">
        <v>500</v>
      </c>
      <c r="P95" s="186">
        <f>O95</f>
        <v>500</v>
      </c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12"/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12"/>
      <c r="EU95" s="112"/>
      <c r="EV95" s="112"/>
      <c r="EW95" s="112"/>
      <c r="EX95" s="112"/>
      <c r="EY95" s="112"/>
      <c r="EZ95" s="112"/>
      <c r="FA95" s="112"/>
      <c r="FB95" s="112"/>
      <c r="FC95" s="112"/>
      <c r="FD95" s="112"/>
      <c r="FE95" s="112"/>
      <c r="FF95" s="112"/>
      <c r="FG95" s="112"/>
      <c r="FH95" s="112"/>
      <c r="FI95" s="112"/>
      <c r="FJ95" s="112"/>
      <c r="FK95" s="112"/>
      <c r="FL95" s="112"/>
      <c r="FM95" s="112"/>
      <c r="FN95" s="112"/>
      <c r="FO95" s="112"/>
      <c r="FP95" s="112"/>
      <c r="FQ95" s="112"/>
      <c r="FR95" s="112"/>
      <c r="FS95" s="112"/>
      <c r="FT95" s="112"/>
      <c r="FU95" s="112"/>
      <c r="FV95" s="112"/>
      <c r="FW95" s="112"/>
      <c r="FX95" s="112"/>
      <c r="FY95" s="112"/>
      <c r="FZ95" s="112"/>
      <c r="GA95" s="112"/>
      <c r="GB95" s="112"/>
      <c r="GC95" s="112"/>
      <c r="GD95" s="112"/>
      <c r="GE95" s="112"/>
      <c r="GF95" s="112"/>
      <c r="GG95" s="112"/>
      <c r="GH95" s="112"/>
      <c r="GI95" s="112"/>
      <c r="GJ95" s="112"/>
      <c r="GK95" s="112"/>
      <c r="GL95" s="112"/>
      <c r="GM95" s="112"/>
      <c r="GN95" s="112"/>
      <c r="GO95" s="112"/>
      <c r="GP95" s="112"/>
      <c r="GQ95" s="112"/>
      <c r="GR95" s="112"/>
      <c r="GS95" s="112"/>
      <c r="GT95" s="112"/>
      <c r="GU95" s="112"/>
      <c r="GV95" s="112"/>
      <c r="GW95" s="112"/>
      <c r="GX95" s="112"/>
      <c r="GY95" s="112"/>
      <c r="GZ95" s="112"/>
      <c r="HA95" s="112"/>
      <c r="HB95" s="112"/>
      <c r="HC95" s="112"/>
      <c r="HD95" s="112"/>
      <c r="HE95" s="112"/>
      <c r="HF95" s="112"/>
      <c r="HG95" s="112"/>
      <c r="HH95" s="112"/>
      <c r="HI95" s="112"/>
      <c r="HJ95" s="112"/>
      <c r="HK95" s="112"/>
      <c r="HL95" s="112"/>
      <c r="HM95" s="112"/>
      <c r="HN95" s="112"/>
      <c r="HO95" s="112"/>
      <c r="HP95" s="112"/>
      <c r="HQ95" s="112"/>
      <c r="HR95" s="112"/>
      <c r="HS95" s="112"/>
      <c r="HT95" s="112"/>
      <c r="HU95" s="112"/>
      <c r="HV95" s="112"/>
      <c r="HW95" s="112"/>
      <c r="HX95" s="112"/>
      <c r="HY95" s="112"/>
      <c r="HZ95" s="112"/>
      <c r="IA95" s="112"/>
    </row>
    <row r="96" spans="1:235" s="113" customFormat="1" ht="12">
      <c r="A96" s="185" t="s">
        <v>6</v>
      </c>
      <c r="B96" s="110"/>
      <c r="C96" s="110"/>
      <c r="D96" s="114"/>
      <c r="E96" s="114"/>
      <c r="F96" s="114"/>
      <c r="G96" s="114"/>
      <c r="H96" s="114"/>
      <c r="I96" s="114"/>
      <c r="J96" s="186"/>
      <c r="K96" s="111"/>
      <c r="L96" s="111"/>
      <c r="M96" s="111"/>
      <c r="N96" s="114"/>
      <c r="O96" s="114"/>
      <c r="P96" s="114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Y96" s="112"/>
      <c r="CZ96" s="112"/>
      <c r="DA96" s="112"/>
      <c r="DB96" s="112"/>
      <c r="DC96" s="112"/>
      <c r="DD96" s="112"/>
      <c r="DE96" s="112"/>
      <c r="DF96" s="112"/>
      <c r="DG96" s="112"/>
      <c r="DH96" s="112"/>
      <c r="DI96" s="112"/>
      <c r="DJ96" s="112"/>
      <c r="DK96" s="112"/>
      <c r="DL96" s="112"/>
      <c r="DM96" s="112"/>
      <c r="DN96" s="112"/>
      <c r="DO96" s="112"/>
      <c r="DP96" s="112"/>
      <c r="DQ96" s="112"/>
      <c r="DR96" s="112"/>
      <c r="DS96" s="112"/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12"/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12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2"/>
      <c r="FF96" s="112"/>
      <c r="FG96" s="112"/>
      <c r="FH96" s="112"/>
      <c r="FI96" s="112"/>
      <c r="FJ96" s="112"/>
      <c r="FK96" s="112"/>
      <c r="FL96" s="112"/>
      <c r="FM96" s="112"/>
      <c r="FN96" s="112"/>
      <c r="FO96" s="112"/>
      <c r="FP96" s="112"/>
      <c r="FQ96" s="112"/>
      <c r="FR96" s="112"/>
      <c r="FS96" s="112"/>
      <c r="FT96" s="112"/>
      <c r="FU96" s="112"/>
      <c r="FV96" s="112"/>
      <c r="FW96" s="112"/>
      <c r="FX96" s="112"/>
      <c r="FY96" s="112"/>
      <c r="FZ96" s="112"/>
      <c r="GA96" s="112"/>
      <c r="GB96" s="112"/>
      <c r="GC96" s="112"/>
      <c r="GD96" s="112"/>
      <c r="GE96" s="112"/>
      <c r="GF96" s="112"/>
      <c r="GG96" s="112"/>
      <c r="GH96" s="112"/>
      <c r="GI96" s="112"/>
      <c r="GJ96" s="112"/>
      <c r="GK96" s="112"/>
      <c r="GL96" s="112"/>
      <c r="GM96" s="112"/>
      <c r="GN96" s="112"/>
      <c r="GO96" s="112"/>
      <c r="GP96" s="112"/>
      <c r="GQ96" s="112"/>
      <c r="GR96" s="112"/>
      <c r="GS96" s="112"/>
      <c r="GT96" s="112"/>
      <c r="GU96" s="112"/>
      <c r="GV96" s="112"/>
      <c r="GW96" s="112"/>
      <c r="GX96" s="112"/>
      <c r="GY96" s="112"/>
      <c r="GZ96" s="112"/>
      <c r="HA96" s="112"/>
      <c r="HB96" s="112"/>
      <c r="HC96" s="112"/>
      <c r="HD96" s="112"/>
      <c r="HE96" s="112"/>
      <c r="HF96" s="112"/>
      <c r="HG96" s="112"/>
      <c r="HH96" s="112"/>
      <c r="HI96" s="112"/>
      <c r="HJ96" s="112"/>
      <c r="HK96" s="112"/>
      <c r="HL96" s="112"/>
      <c r="HM96" s="112"/>
      <c r="HN96" s="112"/>
      <c r="HO96" s="112"/>
      <c r="HP96" s="112"/>
      <c r="HQ96" s="112"/>
      <c r="HR96" s="112"/>
      <c r="HS96" s="112"/>
      <c r="HT96" s="112"/>
      <c r="HU96" s="112"/>
      <c r="HV96" s="112"/>
      <c r="HW96" s="112"/>
      <c r="HX96" s="112"/>
      <c r="HY96" s="112"/>
      <c r="HZ96" s="112"/>
      <c r="IA96" s="112"/>
    </row>
    <row r="97" spans="1:235" s="113" customFormat="1" ht="38.25" customHeight="1">
      <c r="A97" s="109" t="s">
        <v>227</v>
      </c>
      <c r="B97" s="110"/>
      <c r="C97" s="110"/>
      <c r="D97" s="114"/>
      <c r="E97" s="114">
        <f>E91/E88*100</f>
        <v>18.498552631578946</v>
      </c>
      <c r="F97" s="114">
        <f aca="true" t="shared" si="9" ref="F97:P97">F91/F88*100</f>
        <v>18.498552631578946</v>
      </c>
      <c r="G97" s="114"/>
      <c r="H97" s="114">
        <f t="shared" si="9"/>
        <v>28.894215789473687</v>
      </c>
      <c r="I97" s="114"/>
      <c r="J97" s="114">
        <f t="shared" si="9"/>
        <v>28.894215789473687</v>
      </c>
      <c r="K97" s="114" t="e">
        <f t="shared" si="9"/>
        <v>#DIV/0!</v>
      </c>
      <c r="L97" s="114" t="e">
        <f t="shared" si="9"/>
        <v>#DIV/0!</v>
      </c>
      <c r="M97" s="114" t="e">
        <f t="shared" si="9"/>
        <v>#DIV/0!</v>
      </c>
      <c r="N97" s="114"/>
      <c r="O97" s="114">
        <f t="shared" si="9"/>
        <v>19.68421052631579</v>
      </c>
      <c r="P97" s="114">
        <f t="shared" si="9"/>
        <v>19.68421052631579</v>
      </c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  <c r="CC97" s="112"/>
      <c r="CD97" s="112"/>
      <c r="CE97" s="112"/>
      <c r="CF97" s="112"/>
      <c r="CG97" s="112"/>
      <c r="CH97" s="112"/>
      <c r="CI97" s="112"/>
      <c r="CJ97" s="112"/>
      <c r="CK97" s="112"/>
      <c r="CL97" s="112"/>
      <c r="CM97" s="112"/>
      <c r="CN97" s="112"/>
      <c r="CO97" s="112"/>
      <c r="CP97" s="112"/>
      <c r="CQ97" s="112"/>
      <c r="CR97" s="112"/>
      <c r="CS97" s="112"/>
      <c r="CT97" s="112"/>
      <c r="CU97" s="112"/>
      <c r="CV97" s="112"/>
      <c r="CW97" s="112"/>
      <c r="CX97" s="112"/>
      <c r="CY97" s="112"/>
      <c r="CZ97" s="112"/>
      <c r="DA97" s="112"/>
      <c r="DB97" s="112"/>
      <c r="DC97" s="112"/>
      <c r="DD97" s="112"/>
      <c r="DE97" s="112"/>
      <c r="DF97" s="112"/>
      <c r="DG97" s="112"/>
      <c r="DH97" s="112"/>
      <c r="DI97" s="112"/>
      <c r="DJ97" s="112"/>
      <c r="DK97" s="112"/>
      <c r="DL97" s="112"/>
      <c r="DM97" s="112"/>
      <c r="DN97" s="112"/>
      <c r="DO97" s="112"/>
      <c r="DP97" s="112"/>
      <c r="DQ97" s="112"/>
      <c r="DR97" s="112"/>
      <c r="DS97" s="112"/>
      <c r="DT97" s="112"/>
      <c r="DU97" s="112"/>
      <c r="DV97" s="112"/>
      <c r="DW97" s="112"/>
      <c r="DX97" s="112"/>
      <c r="DY97" s="112"/>
      <c r="DZ97" s="112"/>
      <c r="EA97" s="112"/>
      <c r="EB97" s="112"/>
      <c r="EC97" s="112"/>
      <c r="ED97" s="112"/>
      <c r="EE97" s="112"/>
      <c r="EF97" s="112"/>
      <c r="EG97" s="112"/>
      <c r="EH97" s="112"/>
      <c r="EI97" s="112"/>
      <c r="EJ97" s="112"/>
      <c r="EK97" s="112"/>
      <c r="EL97" s="112"/>
      <c r="EM97" s="112"/>
      <c r="EN97" s="112"/>
      <c r="EO97" s="112"/>
      <c r="EP97" s="112"/>
      <c r="EQ97" s="112"/>
      <c r="ER97" s="112"/>
      <c r="ES97" s="112"/>
      <c r="ET97" s="112"/>
      <c r="EU97" s="112"/>
      <c r="EV97" s="112"/>
      <c r="EW97" s="112"/>
      <c r="EX97" s="112"/>
      <c r="EY97" s="112"/>
      <c r="EZ97" s="112"/>
      <c r="FA97" s="112"/>
      <c r="FB97" s="112"/>
      <c r="FC97" s="112"/>
      <c r="FD97" s="112"/>
      <c r="FE97" s="112"/>
      <c r="FF97" s="112"/>
      <c r="FG97" s="112"/>
      <c r="FH97" s="112"/>
      <c r="FI97" s="112"/>
      <c r="FJ97" s="112"/>
      <c r="FK97" s="112"/>
      <c r="FL97" s="112"/>
      <c r="FM97" s="112"/>
      <c r="FN97" s="112"/>
      <c r="FO97" s="112"/>
      <c r="FP97" s="112"/>
      <c r="FQ97" s="112"/>
      <c r="FR97" s="112"/>
      <c r="FS97" s="112"/>
      <c r="FT97" s="112"/>
      <c r="FU97" s="112"/>
      <c r="FV97" s="112"/>
      <c r="FW97" s="112"/>
      <c r="FX97" s="112"/>
      <c r="FY97" s="112"/>
      <c r="FZ97" s="112"/>
      <c r="GA97" s="112"/>
      <c r="GB97" s="112"/>
      <c r="GC97" s="112"/>
      <c r="GD97" s="112"/>
      <c r="GE97" s="112"/>
      <c r="GF97" s="112"/>
      <c r="GG97" s="112"/>
      <c r="GH97" s="112"/>
      <c r="GI97" s="112"/>
      <c r="GJ97" s="112"/>
      <c r="GK97" s="112"/>
      <c r="GL97" s="112"/>
      <c r="GM97" s="112"/>
      <c r="GN97" s="112"/>
      <c r="GO97" s="112"/>
      <c r="GP97" s="112"/>
      <c r="GQ97" s="112"/>
      <c r="GR97" s="112"/>
      <c r="GS97" s="112"/>
      <c r="GT97" s="112"/>
      <c r="GU97" s="112"/>
      <c r="GV97" s="112"/>
      <c r="GW97" s="112"/>
      <c r="GX97" s="112"/>
      <c r="GY97" s="112"/>
      <c r="GZ97" s="112"/>
      <c r="HA97" s="112"/>
      <c r="HB97" s="112"/>
      <c r="HC97" s="112"/>
      <c r="HD97" s="112"/>
      <c r="HE97" s="112"/>
      <c r="HF97" s="112"/>
      <c r="HG97" s="112"/>
      <c r="HH97" s="112"/>
      <c r="HI97" s="112"/>
      <c r="HJ97" s="112"/>
      <c r="HK97" s="112"/>
      <c r="HL97" s="112"/>
      <c r="HM97" s="112"/>
      <c r="HN97" s="112"/>
      <c r="HO97" s="112"/>
      <c r="HP97" s="112"/>
      <c r="HQ97" s="112"/>
      <c r="HR97" s="112"/>
      <c r="HS97" s="112"/>
      <c r="HT97" s="112"/>
      <c r="HU97" s="112"/>
      <c r="HV97" s="112"/>
      <c r="HW97" s="112"/>
      <c r="HX97" s="112"/>
      <c r="HY97" s="112"/>
      <c r="HZ97" s="112"/>
      <c r="IA97" s="112"/>
    </row>
    <row r="98" spans="1:16" ht="38.25" customHeight="1">
      <c r="A98" s="55" t="s">
        <v>228</v>
      </c>
      <c r="B98" s="59"/>
      <c r="C98" s="59"/>
      <c r="D98" s="62"/>
      <c r="E98" s="62">
        <f>E92/E89*100</f>
        <v>14.144736842105262</v>
      </c>
      <c r="F98" s="62">
        <f aca="true" t="shared" si="10" ref="F98:P98">F92/F89*100</f>
        <v>14.144736842105262</v>
      </c>
      <c r="G98" s="62"/>
      <c r="H98" s="62">
        <f t="shared" si="10"/>
        <v>21.50638157894737</v>
      </c>
      <c r="I98" s="62"/>
      <c r="J98" s="62">
        <f t="shared" si="10"/>
        <v>21.50638157894737</v>
      </c>
      <c r="K98" s="62" t="e">
        <f t="shared" si="10"/>
        <v>#DIV/0!</v>
      </c>
      <c r="L98" s="62" t="e">
        <f t="shared" si="10"/>
        <v>#DIV/0!</v>
      </c>
      <c r="M98" s="62" t="e">
        <f t="shared" si="10"/>
        <v>#DIV/0!</v>
      </c>
      <c r="N98" s="62"/>
      <c r="O98" s="62">
        <f t="shared" si="10"/>
        <v>18.947368421052634</v>
      </c>
      <c r="P98" s="62">
        <f t="shared" si="10"/>
        <v>18.947368421052634</v>
      </c>
    </row>
    <row r="99" spans="1:235" s="92" customFormat="1" ht="33.75">
      <c r="A99" s="82" t="s">
        <v>357</v>
      </c>
      <c r="B99" s="88"/>
      <c r="C99" s="88"/>
      <c r="D99" s="89">
        <f>D101</f>
        <v>37000</v>
      </c>
      <c r="E99" s="89"/>
      <c r="F99" s="89">
        <f>D99</f>
        <v>37000</v>
      </c>
      <c r="G99" s="89">
        <f>G101</f>
        <v>200000</v>
      </c>
      <c r="H99" s="89"/>
      <c r="I99" s="89"/>
      <c r="J99" s="89">
        <f>G99</f>
        <v>200000</v>
      </c>
      <c r="K99" s="89"/>
      <c r="L99" s="89"/>
      <c r="M99" s="89"/>
      <c r="N99" s="89">
        <f>N105*N103</f>
        <v>50000</v>
      </c>
      <c r="O99" s="89"/>
      <c r="P99" s="89">
        <f>N99+O99</f>
        <v>50000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91"/>
      <c r="CV99" s="91"/>
      <c r="CW99" s="91"/>
      <c r="CX99" s="91"/>
      <c r="CY99" s="91"/>
      <c r="CZ99" s="91"/>
      <c r="DA99" s="91"/>
      <c r="DB99" s="91"/>
      <c r="DC99" s="91"/>
      <c r="DD99" s="91"/>
      <c r="DE99" s="91"/>
      <c r="DF99" s="91"/>
      <c r="DG99" s="91"/>
      <c r="DH99" s="91"/>
      <c r="DI99" s="91"/>
      <c r="DJ99" s="91"/>
      <c r="DK99" s="91"/>
      <c r="DL99" s="91"/>
      <c r="DM99" s="91"/>
      <c r="DN99" s="91"/>
      <c r="DO99" s="91"/>
      <c r="DP99" s="91"/>
      <c r="DQ99" s="91"/>
      <c r="DR99" s="91"/>
      <c r="DS99" s="91"/>
      <c r="DT99" s="91"/>
      <c r="DU99" s="91"/>
      <c r="DV99" s="91"/>
      <c r="DW99" s="91"/>
      <c r="DX99" s="91"/>
      <c r="DY99" s="91"/>
      <c r="DZ99" s="91"/>
      <c r="EA99" s="91"/>
      <c r="EB99" s="91"/>
      <c r="EC99" s="91"/>
      <c r="ED99" s="91"/>
      <c r="EE99" s="91"/>
      <c r="EF99" s="91"/>
      <c r="EG99" s="91"/>
      <c r="EH99" s="91"/>
      <c r="EI99" s="91"/>
      <c r="EJ99" s="91"/>
      <c r="EK99" s="91"/>
      <c r="EL99" s="91"/>
      <c r="EM99" s="91"/>
      <c r="EN99" s="91"/>
      <c r="EO99" s="91"/>
      <c r="EP99" s="91"/>
      <c r="EQ99" s="91"/>
      <c r="ER99" s="91"/>
      <c r="ES99" s="91"/>
      <c r="ET99" s="91"/>
      <c r="EU99" s="91"/>
      <c r="EV99" s="91"/>
      <c r="EW99" s="91"/>
      <c r="EX99" s="91"/>
      <c r="EY99" s="91"/>
      <c r="EZ99" s="91"/>
      <c r="FA99" s="91"/>
      <c r="FB99" s="91"/>
      <c r="FC99" s="91"/>
      <c r="FD99" s="91"/>
      <c r="FE99" s="91"/>
      <c r="FF99" s="91"/>
      <c r="FG99" s="91"/>
      <c r="FH99" s="91"/>
      <c r="FI99" s="91"/>
      <c r="FJ99" s="91"/>
      <c r="FK99" s="91"/>
      <c r="FL99" s="91"/>
      <c r="FM99" s="91"/>
      <c r="FN99" s="91"/>
      <c r="FO99" s="91"/>
      <c r="FP99" s="91"/>
      <c r="FQ99" s="91"/>
      <c r="FR99" s="91"/>
      <c r="FS99" s="91"/>
      <c r="FT99" s="91"/>
      <c r="FU99" s="91"/>
      <c r="FV99" s="91"/>
      <c r="FW99" s="91"/>
      <c r="FX99" s="91"/>
      <c r="FY99" s="91"/>
      <c r="FZ99" s="91"/>
      <c r="GA99" s="91"/>
      <c r="GB99" s="91"/>
      <c r="GC99" s="91"/>
      <c r="GD99" s="91"/>
      <c r="GE99" s="91"/>
      <c r="GF99" s="91"/>
      <c r="GG99" s="91"/>
      <c r="GH99" s="91"/>
      <c r="GI99" s="91"/>
      <c r="GJ99" s="91"/>
      <c r="GK99" s="91"/>
      <c r="GL99" s="91"/>
      <c r="GM99" s="91"/>
      <c r="GN99" s="91"/>
      <c r="GO99" s="91"/>
      <c r="GP99" s="91"/>
      <c r="GQ99" s="91"/>
      <c r="GR99" s="91"/>
      <c r="GS99" s="91"/>
      <c r="GT99" s="91"/>
      <c r="GU99" s="91"/>
      <c r="GV99" s="91"/>
      <c r="GW99" s="91"/>
      <c r="GX99" s="91"/>
      <c r="GY99" s="91"/>
      <c r="GZ99" s="91"/>
      <c r="HA99" s="91"/>
      <c r="HB99" s="91"/>
      <c r="HC99" s="91"/>
      <c r="HD99" s="91"/>
      <c r="HE99" s="91"/>
      <c r="HF99" s="91"/>
      <c r="HG99" s="91"/>
      <c r="HH99" s="91"/>
      <c r="HI99" s="91"/>
      <c r="HJ99" s="91"/>
      <c r="HK99" s="91"/>
      <c r="HL99" s="91"/>
      <c r="HM99" s="91"/>
      <c r="HN99" s="91"/>
      <c r="HO99" s="91"/>
      <c r="HP99" s="91"/>
      <c r="HQ99" s="91"/>
      <c r="HR99" s="91"/>
      <c r="HS99" s="91"/>
      <c r="HT99" s="91"/>
      <c r="HU99" s="91"/>
      <c r="HV99" s="91"/>
      <c r="HW99" s="91"/>
      <c r="HX99" s="91"/>
      <c r="HY99" s="91"/>
      <c r="HZ99" s="91"/>
      <c r="IA99" s="91"/>
    </row>
    <row r="100" spans="1:16" ht="11.25">
      <c r="A100" s="54" t="s">
        <v>4</v>
      </c>
      <c r="B100" s="59"/>
      <c r="C100" s="59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</row>
    <row r="101" spans="1:16" ht="27" customHeight="1">
      <c r="A101" s="55" t="s">
        <v>253</v>
      </c>
      <c r="B101" s="59"/>
      <c r="C101" s="59"/>
      <c r="D101" s="14">
        <v>37000</v>
      </c>
      <c r="E101" s="62"/>
      <c r="F101" s="62">
        <f>D101</f>
        <v>37000</v>
      </c>
      <c r="G101" s="14">
        <v>200000</v>
      </c>
      <c r="H101" s="62"/>
      <c r="I101" s="62"/>
      <c r="J101" s="62">
        <f>G101</f>
        <v>200000</v>
      </c>
      <c r="K101" s="62"/>
      <c r="L101" s="62"/>
      <c r="M101" s="62"/>
      <c r="N101" s="62">
        <v>50000</v>
      </c>
      <c r="O101" s="62"/>
      <c r="P101" s="62">
        <f>N101+O101</f>
        <v>50000</v>
      </c>
    </row>
    <row r="102" spans="1:16" ht="11.25">
      <c r="A102" s="54" t="s">
        <v>5</v>
      </c>
      <c r="B102" s="59"/>
      <c r="C102" s="59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</row>
    <row r="103" spans="1:16" ht="25.5" customHeight="1">
      <c r="A103" s="55" t="s">
        <v>254</v>
      </c>
      <c r="B103" s="59"/>
      <c r="C103" s="59"/>
      <c r="D103" s="62">
        <v>1</v>
      </c>
      <c r="E103" s="62"/>
      <c r="F103" s="62">
        <f>D103</f>
        <v>1</v>
      </c>
      <c r="G103" s="62">
        <v>3</v>
      </c>
      <c r="H103" s="62"/>
      <c r="I103" s="62"/>
      <c r="J103" s="62">
        <f>G103</f>
        <v>3</v>
      </c>
      <c r="K103" s="62"/>
      <c r="L103" s="62"/>
      <c r="M103" s="62"/>
      <c r="N103" s="62">
        <v>1</v>
      </c>
      <c r="O103" s="62"/>
      <c r="P103" s="62">
        <f>N103+O103</f>
        <v>1</v>
      </c>
    </row>
    <row r="104" spans="1:16" ht="11.25">
      <c r="A104" s="54" t="s">
        <v>7</v>
      </c>
      <c r="B104" s="59"/>
      <c r="C104" s="59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</row>
    <row r="105" spans="1:16" ht="23.25" customHeight="1">
      <c r="A105" s="55" t="s">
        <v>255</v>
      </c>
      <c r="B105" s="59"/>
      <c r="C105" s="59"/>
      <c r="D105" s="62">
        <f>D101/D103</f>
        <v>37000</v>
      </c>
      <c r="E105" s="62"/>
      <c r="F105" s="62">
        <f>D105</f>
        <v>37000</v>
      </c>
      <c r="G105" s="62">
        <f>G101/G103</f>
        <v>66666.66666666667</v>
      </c>
      <c r="H105" s="62"/>
      <c r="I105" s="62"/>
      <c r="J105" s="62">
        <f>G105</f>
        <v>66666.66666666667</v>
      </c>
      <c r="K105" s="62"/>
      <c r="L105" s="62"/>
      <c r="M105" s="62"/>
      <c r="N105" s="62">
        <f>N101/N103</f>
        <v>50000</v>
      </c>
      <c r="O105" s="62"/>
      <c r="P105" s="62">
        <f>N105+O105</f>
        <v>50000</v>
      </c>
    </row>
    <row r="106" spans="1:235" s="92" customFormat="1" ht="31.5" customHeight="1">
      <c r="A106" s="82" t="s">
        <v>358</v>
      </c>
      <c r="B106" s="88"/>
      <c r="C106" s="88"/>
      <c r="D106" s="89"/>
      <c r="E106" s="89">
        <f>E110*E112</f>
        <v>5000000</v>
      </c>
      <c r="F106" s="89">
        <f>E106</f>
        <v>5000000</v>
      </c>
      <c r="G106" s="89"/>
      <c r="H106" s="89">
        <f>H110*H112</f>
        <v>10000000</v>
      </c>
      <c r="I106" s="89"/>
      <c r="J106" s="89">
        <f>H106</f>
        <v>10000000</v>
      </c>
      <c r="K106" s="95"/>
      <c r="L106" s="95"/>
      <c r="M106" s="95"/>
      <c r="N106" s="89"/>
      <c r="O106" s="89">
        <f>O110*O112</f>
        <v>7200000</v>
      </c>
      <c r="P106" s="89">
        <f>O106</f>
        <v>7200000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1"/>
      <c r="HT106" s="91"/>
      <c r="HU106" s="91"/>
      <c r="HV106" s="91"/>
      <c r="HW106" s="91"/>
      <c r="HX106" s="91"/>
      <c r="HY106" s="91"/>
      <c r="HZ106" s="91"/>
      <c r="IA106" s="91"/>
    </row>
    <row r="107" spans="1:16" ht="12">
      <c r="A107" s="54" t="s">
        <v>4</v>
      </c>
      <c r="B107" s="59"/>
      <c r="C107" s="59"/>
      <c r="D107" s="62"/>
      <c r="E107" s="62"/>
      <c r="F107" s="62"/>
      <c r="G107" s="62"/>
      <c r="H107" s="62"/>
      <c r="I107" s="62"/>
      <c r="J107" s="64"/>
      <c r="K107" s="63"/>
      <c r="L107" s="63"/>
      <c r="M107" s="63"/>
      <c r="N107" s="62"/>
      <c r="O107" s="62"/>
      <c r="P107" s="62"/>
    </row>
    <row r="108" spans="1:16" ht="20.25" customHeight="1">
      <c r="A108" s="55" t="s">
        <v>99</v>
      </c>
      <c r="B108" s="59"/>
      <c r="C108" s="59"/>
      <c r="D108" s="62"/>
      <c r="E108" s="62">
        <v>5000000</v>
      </c>
      <c r="F108" s="64">
        <f>E108</f>
        <v>5000000</v>
      </c>
      <c r="G108" s="62"/>
      <c r="H108" s="62">
        <v>10000000</v>
      </c>
      <c r="I108" s="62"/>
      <c r="J108" s="64">
        <f>H108</f>
        <v>10000000</v>
      </c>
      <c r="K108" s="63"/>
      <c r="L108" s="63"/>
      <c r="M108" s="63"/>
      <c r="N108" s="62"/>
      <c r="O108" s="62">
        <v>7200000</v>
      </c>
      <c r="P108" s="64">
        <f>O108</f>
        <v>7200000</v>
      </c>
    </row>
    <row r="109" spans="1:16" ht="12">
      <c r="A109" s="54" t="s">
        <v>5</v>
      </c>
      <c r="B109" s="59"/>
      <c r="C109" s="59"/>
      <c r="D109" s="62"/>
      <c r="E109" s="62"/>
      <c r="F109" s="64"/>
      <c r="G109" s="62"/>
      <c r="H109" s="62"/>
      <c r="I109" s="62"/>
      <c r="J109" s="64"/>
      <c r="K109" s="63"/>
      <c r="L109" s="63"/>
      <c r="M109" s="63"/>
      <c r="N109" s="62"/>
      <c r="O109" s="62"/>
      <c r="P109" s="64"/>
    </row>
    <row r="110" spans="1:16" ht="21" customHeight="1">
      <c r="A110" s="55" t="s">
        <v>100</v>
      </c>
      <c r="B110" s="59"/>
      <c r="C110" s="59"/>
      <c r="D110" s="62"/>
      <c r="E110" s="62">
        <v>1</v>
      </c>
      <c r="F110" s="64">
        <f>E110</f>
        <v>1</v>
      </c>
      <c r="G110" s="62"/>
      <c r="H110" s="62">
        <v>2</v>
      </c>
      <c r="I110" s="62"/>
      <c r="J110" s="64">
        <v>2</v>
      </c>
      <c r="K110" s="63"/>
      <c r="L110" s="63"/>
      <c r="M110" s="63"/>
      <c r="N110" s="62"/>
      <c r="O110" s="62">
        <v>1</v>
      </c>
      <c r="P110" s="64">
        <f>O110</f>
        <v>1</v>
      </c>
    </row>
    <row r="111" spans="1:16" ht="12">
      <c r="A111" s="54" t="s">
        <v>7</v>
      </c>
      <c r="B111" s="59"/>
      <c r="C111" s="59"/>
      <c r="D111" s="62"/>
      <c r="E111" s="62"/>
      <c r="F111" s="64"/>
      <c r="G111" s="62"/>
      <c r="H111" s="62"/>
      <c r="I111" s="62"/>
      <c r="J111" s="64"/>
      <c r="K111" s="63"/>
      <c r="L111" s="63"/>
      <c r="M111" s="63"/>
      <c r="N111" s="62"/>
      <c r="O111" s="62"/>
      <c r="P111" s="64"/>
    </row>
    <row r="112" spans="1:16" ht="27" customHeight="1">
      <c r="A112" s="55" t="s">
        <v>101</v>
      </c>
      <c r="B112" s="59"/>
      <c r="C112" s="59"/>
      <c r="D112" s="62"/>
      <c r="E112" s="62">
        <f>E108/E110</f>
        <v>5000000</v>
      </c>
      <c r="F112" s="64">
        <f>E112</f>
        <v>5000000</v>
      </c>
      <c r="G112" s="62"/>
      <c r="H112" s="62">
        <f>H108/H110</f>
        <v>5000000</v>
      </c>
      <c r="I112" s="62"/>
      <c r="J112" s="64">
        <f>H112</f>
        <v>5000000</v>
      </c>
      <c r="K112" s="63"/>
      <c r="L112" s="63"/>
      <c r="M112" s="63"/>
      <c r="N112" s="62"/>
      <c r="O112" s="62">
        <f>O108/O110</f>
        <v>7200000</v>
      </c>
      <c r="P112" s="64">
        <f>P108/P110</f>
        <v>7200000</v>
      </c>
    </row>
    <row r="113" spans="1:235" s="92" customFormat="1" ht="48" customHeight="1">
      <c r="A113" s="82" t="s">
        <v>359</v>
      </c>
      <c r="B113" s="88"/>
      <c r="C113" s="88"/>
      <c r="D113" s="89">
        <f>(D121*D128)+(D122*D129)+(D123*D130)+(D124*D131)+(D125*D132)+(D133*D122*D134)</f>
        <v>2368300</v>
      </c>
      <c r="E113" s="89">
        <f aca="true" t="shared" si="11" ref="E113:O113">(E121*E128)+(E122*E129)+(E123*E130)+(E124*E131)+(E125*E132)+(E133*E122*E134)</f>
        <v>3200000</v>
      </c>
      <c r="F113" s="89">
        <f>D113+E113</f>
        <v>5568300</v>
      </c>
      <c r="G113" s="89">
        <f>(G121*G128)+(G122*G129)+(G123*G130)+(G124*G131)+(G125*G132)+(G133*G122*G134)</f>
        <v>2855639.7894428</v>
      </c>
      <c r="H113" s="89">
        <f t="shared" si="11"/>
        <v>1200000</v>
      </c>
      <c r="I113" s="89"/>
      <c r="J113" s="89">
        <f>G113+H113</f>
        <v>4055639.7894428</v>
      </c>
      <c r="K113" s="89">
        <f t="shared" si="11"/>
        <v>0</v>
      </c>
      <c r="L113" s="89">
        <f t="shared" si="11"/>
        <v>0</v>
      </c>
      <c r="M113" s="89">
        <f t="shared" si="11"/>
        <v>0</v>
      </c>
      <c r="N113" s="89">
        <f>(N121*N128)+(N122*N129)+(N123*N130)+(N124*N131)+(N125*N132)+(N133*N122*N134)+3000</f>
        <v>3387999.99998</v>
      </c>
      <c r="O113" s="89">
        <f t="shared" si="11"/>
        <v>2250000</v>
      </c>
      <c r="P113" s="89">
        <f>N113+O113</f>
        <v>5637999.99998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  <c r="CG113" s="91"/>
      <c r="CH113" s="91"/>
      <c r="CI113" s="91"/>
      <c r="CJ113" s="91"/>
      <c r="CK113" s="91"/>
      <c r="CL113" s="91"/>
      <c r="CM113" s="91"/>
      <c r="CN113" s="91"/>
      <c r="CO113" s="91"/>
      <c r="CP113" s="91"/>
      <c r="CQ113" s="91"/>
      <c r="CR113" s="91"/>
      <c r="CS113" s="91"/>
      <c r="CT113" s="91"/>
      <c r="CU113" s="91"/>
      <c r="CV113" s="91"/>
      <c r="CW113" s="91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1"/>
      <c r="HF113" s="91"/>
      <c r="HG113" s="91"/>
      <c r="HH113" s="91"/>
      <c r="HI113" s="91"/>
      <c r="HJ113" s="91"/>
      <c r="HK113" s="91"/>
      <c r="HL113" s="91"/>
      <c r="HM113" s="91"/>
      <c r="HN113" s="91"/>
      <c r="HO113" s="91"/>
      <c r="HP113" s="91"/>
      <c r="HQ113" s="91"/>
      <c r="HR113" s="91"/>
      <c r="HS113" s="91"/>
      <c r="HT113" s="91"/>
      <c r="HU113" s="91"/>
      <c r="HV113" s="91"/>
      <c r="HW113" s="91"/>
      <c r="HX113" s="91"/>
      <c r="HY113" s="91"/>
      <c r="HZ113" s="91"/>
      <c r="IA113" s="91"/>
    </row>
    <row r="114" spans="1:235" s="50" customFormat="1" ht="12">
      <c r="A114" s="54" t="s">
        <v>4</v>
      </c>
      <c r="B114" s="61"/>
      <c r="C114" s="61"/>
      <c r="D114" s="62"/>
      <c r="E114" s="62"/>
      <c r="F114" s="62"/>
      <c r="G114" s="62"/>
      <c r="H114" s="62"/>
      <c r="I114" s="62"/>
      <c r="J114" s="62"/>
      <c r="K114" s="63"/>
      <c r="L114" s="63"/>
      <c r="M114" s="63"/>
      <c r="N114" s="62"/>
      <c r="O114" s="62"/>
      <c r="P114" s="62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49"/>
      <c r="GA114" s="49"/>
      <c r="GB114" s="49"/>
      <c r="GC114" s="49"/>
      <c r="GD114" s="49"/>
      <c r="GE114" s="49"/>
      <c r="GF114" s="49"/>
      <c r="GG114" s="49"/>
      <c r="GH114" s="49"/>
      <c r="GI114" s="49"/>
      <c r="GJ114" s="49"/>
      <c r="GK114" s="49"/>
      <c r="GL114" s="49"/>
      <c r="GM114" s="49"/>
      <c r="GN114" s="49"/>
      <c r="GO114" s="49"/>
      <c r="GP114" s="49"/>
      <c r="GQ114" s="49"/>
      <c r="GR114" s="49"/>
      <c r="GS114" s="49"/>
      <c r="GT114" s="49"/>
      <c r="GU114" s="49"/>
      <c r="GV114" s="49"/>
      <c r="GW114" s="49"/>
      <c r="GX114" s="49"/>
      <c r="GY114" s="49"/>
      <c r="GZ114" s="49"/>
      <c r="HA114" s="49"/>
      <c r="HB114" s="49"/>
      <c r="HC114" s="49"/>
      <c r="HD114" s="49"/>
      <c r="HE114" s="49"/>
      <c r="HF114" s="49"/>
      <c r="HG114" s="49"/>
      <c r="HH114" s="49"/>
      <c r="HI114" s="49"/>
      <c r="HJ114" s="49"/>
      <c r="HK114" s="49"/>
      <c r="HL114" s="49"/>
      <c r="HM114" s="49"/>
      <c r="HN114" s="49"/>
      <c r="HO114" s="49"/>
      <c r="HP114" s="49"/>
      <c r="HQ114" s="49"/>
      <c r="HR114" s="49"/>
      <c r="HS114" s="49"/>
      <c r="HT114" s="49"/>
      <c r="HU114" s="49"/>
      <c r="HV114" s="49"/>
      <c r="HW114" s="49"/>
      <c r="HX114" s="49"/>
      <c r="HY114" s="49"/>
      <c r="HZ114" s="49"/>
      <c r="IA114" s="49"/>
    </row>
    <row r="115" spans="1:235" s="50" customFormat="1" ht="12">
      <c r="A115" s="55" t="s">
        <v>102</v>
      </c>
      <c r="B115" s="59"/>
      <c r="C115" s="59"/>
      <c r="D115" s="62">
        <v>56</v>
      </c>
      <c r="E115" s="62"/>
      <c r="F115" s="62">
        <f>D115</f>
        <v>56</v>
      </c>
      <c r="G115" s="62">
        <v>42</v>
      </c>
      <c r="H115" s="62"/>
      <c r="I115" s="62"/>
      <c r="J115" s="62">
        <f>G115</f>
        <v>42</v>
      </c>
      <c r="K115" s="63"/>
      <c r="L115" s="63"/>
      <c r="M115" s="63"/>
      <c r="N115" s="62">
        <v>67</v>
      </c>
      <c r="O115" s="62"/>
      <c r="P115" s="62">
        <f>N115</f>
        <v>67</v>
      </c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9"/>
      <c r="FZ115" s="49"/>
      <c r="GA115" s="49"/>
      <c r="GB115" s="49"/>
      <c r="GC115" s="49"/>
      <c r="GD115" s="49"/>
      <c r="GE115" s="49"/>
      <c r="GF115" s="49"/>
      <c r="GG115" s="49"/>
      <c r="GH115" s="49"/>
      <c r="GI115" s="49"/>
      <c r="GJ115" s="49"/>
      <c r="GK115" s="49"/>
      <c r="GL115" s="49"/>
      <c r="GM115" s="49"/>
      <c r="GN115" s="49"/>
      <c r="GO115" s="49"/>
      <c r="GP115" s="49"/>
      <c r="GQ115" s="49"/>
      <c r="GR115" s="49"/>
      <c r="GS115" s="49"/>
      <c r="GT115" s="49"/>
      <c r="GU115" s="49"/>
      <c r="GV115" s="49"/>
      <c r="GW115" s="49"/>
      <c r="GX115" s="49"/>
      <c r="GY115" s="49"/>
      <c r="GZ115" s="49"/>
      <c r="HA115" s="49"/>
      <c r="HB115" s="49"/>
      <c r="HC115" s="49"/>
      <c r="HD115" s="49"/>
      <c r="HE115" s="49"/>
      <c r="HF115" s="49"/>
      <c r="HG115" s="49"/>
      <c r="HH115" s="49"/>
      <c r="HI115" s="49"/>
      <c r="HJ115" s="49"/>
      <c r="HK115" s="49"/>
      <c r="HL115" s="49"/>
      <c r="HM115" s="49"/>
      <c r="HN115" s="49"/>
      <c r="HO115" s="49"/>
      <c r="HP115" s="49"/>
      <c r="HQ115" s="49"/>
      <c r="HR115" s="49"/>
      <c r="HS115" s="49"/>
      <c r="HT115" s="49"/>
      <c r="HU115" s="49"/>
      <c r="HV115" s="49"/>
      <c r="HW115" s="49"/>
      <c r="HX115" s="49"/>
      <c r="HY115" s="49"/>
      <c r="HZ115" s="49"/>
      <c r="IA115" s="49"/>
    </row>
    <row r="116" spans="1:235" s="50" customFormat="1" ht="12">
      <c r="A116" s="55" t="s">
        <v>8</v>
      </c>
      <c r="B116" s="59"/>
      <c r="C116" s="59"/>
      <c r="D116" s="62">
        <v>37000</v>
      </c>
      <c r="E116" s="62"/>
      <c r="F116" s="62">
        <f>D116</f>
        <v>37000</v>
      </c>
      <c r="G116" s="62">
        <v>37400</v>
      </c>
      <c r="H116" s="62"/>
      <c r="I116" s="62"/>
      <c r="J116" s="62">
        <f>G116</f>
        <v>37400</v>
      </c>
      <c r="K116" s="63"/>
      <c r="L116" s="63"/>
      <c r="M116" s="63"/>
      <c r="N116" s="62">
        <v>37400</v>
      </c>
      <c r="O116" s="62"/>
      <c r="P116" s="62">
        <f>N116</f>
        <v>37400</v>
      </c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  <c r="FL116" s="49"/>
      <c r="FM116" s="49"/>
      <c r="FN116" s="49"/>
      <c r="FO116" s="49"/>
      <c r="FP116" s="49"/>
      <c r="FQ116" s="49"/>
      <c r="FR116" s="49"/>
      <c r="FS116" s="49"/>
      <c r="FT116" s="49"/>
      <c r="FU116" s="49"/>
      <c r="FV116" s="49"/>
      <c r="FW116" s="49"/>
      <c r="FX116" s="49"/>
      <c r="FY116" s="49"/>
      <c r="FZ116" s="49"/>
      <c r="GA116" s="49"/>
      <c r="GB116" s="49"/>
      <c r="GC116" s="49"/>
      <c r="GD116" s="49"/>
      <c r="GE116" s="49"/>
      <c r="GF116" s="49"/>
      <c r="GG116" s="49"/>
      <c r="GH116" s="49"/>
      <c r="GI116" s="49"/>
      <c r="GJ116" s="49"/>
      <c r="GK116" s="49"/>
      <c r="GL116" s="49"/>
      <c r="GM116" s="49"/>
      <c r="GN116" s="49"/>
      <c r="GO116" s="49"/>
      <c r="GP116" s="49"/>
      <c r="GQ116" s="49"/>
      <c r="GR116" s="49"/>
      <c r="GS116" s="49"/>
      <c r="GT116" s="49"/>
      <c r="GU116" s="49"/>
      <c r="GV116" s="49"/>
      <c r="GW116" s="49"/>
      <c r="GX116" s="49"/>
      <c r="GY116" s="49"/>
      <c r="GZ116" s="49"/>
      <c r="HA116" s="49"/>
      <c r="HB116" s="49"/>
      <c r="HC116" s="49"/>
      <c r="HD116" s="49"/>
      <c r="HE116" s="49"/>
      <c r="HF116" s="49"/>
      <c r="HG116" s="49"/>
      <c r="HH116" s="49"/>
      <c r="HI116" s="49"/>
      <c r="HJ116" s="49"/>
      <c r="HK116" s="49"/>
      <c r="HL116" s="49"/>
      <c r="HM116" s="49"/>
      <c r="HN116" s="49"/>
      <c r="HO116" s="49"/>
      <c r="HP116" s="49"/>
      <c r="HQ116" s="49"/>
      <c r="HR116" s="49"/>
      <c r="HS116" s="49"/>
      <c r="HT116" s="49"/>
      <c r="HU116" s="49"/>
      <c r="HV116" s="49"/>
      <c r="HW116" s="49"/>
      <c r="HX116" s="49"/>
      <c r="HY116" s="49"/>
      <c r="HZ116" s="49"/>
      <c r="IA116" s="49"/>
    </row>
    <row r="117" spans="1:235" s="50" customFormat="1" ht="33.75">
      <c r="A117" s="55" t="s">
        <v>108</v>
      </c>
      <c r="B117" s="59"/>
      <c r="C117" s="59"/>
      <c r="D117" s="62">
        <v>37400</v>
      </c>
      <c r="E117" s="62"/>
      <c r="F117" s="62">
        <v>37400</v>
      </c>
      <c r="G117" s="62">
        <v>37400</v>
      </c>
      <c r="H117" s="62"/>
      <c r="I117" s="62"/>
      <c r="J117" s="62">
        <v>37400</v>
      </c>
      <c r="K117" s="63"/>
      <c r="L117" s="63"/>
      <c r="M117" s="63"/>
      <c r="N117" s="62">
        <v>37400</v>
      </c>
      <c r="O117" s="62"/>
      <c r="P117" s="62">
        <v>37400</v>
      </c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  <c r="FL117" s="49"/>
      <c r="FM117" s="49"/>
      <c r="FN117" s="49"/>
      <c r="FO117" s="49"/>
      <c r="FP117" s="49"/>
      <c r="FQ117" s="49"/>
      <c r="FR117" s="49"/>
      <c r="FS117" s="49"/>
      <c r="FT117" s="49"/>
      <c r="FU117" s="49"/>
      <c r="FV117" s="49"/>
      <c r="FW117" s="49"/>
      <c r="FX117" s="49"/>
      <c r="FY117" s="49"/>
      <c r="FZ117" s="49"/>
      <c r="GA117" s="49"/>
      <c r="GB117" s="49"/>
      <c r="GC117" s="49"/>
      <c r="GD117" s="49"/>
      <c r="GE117" s="49"/>
      <c r="GF117" s="49"/>
      <c r="GG117" s="49"/>
      <c r="GH117" s="49"/>
      <c r="GI117" s="49"/>
      <c r="GJ117" s="49"/>
      <c r="GK117" s="49"/>
      <c r="GL117" s="49"/>
      <c r="GM117" s="49"/>
      <c r="GN117" s="49"/>
      <c r="GO117" s="49"/>
      <c r="GP117" s="49"/>
      <c r="GQ117" s="49"/>
      <c r="GR117" s="49"/>
      <c r="GS117" s="49"/>
      <c r="GT117" s="49"/>
      <c r="GU117" s="49"/>
      <c r="GV117" s="49"/>
      <c r="GW117" s="49"/>
      <c r="GX117" s="49"/>
      <c r="GY117" s="49"/>
      <c r="GZ117" s="49"/>
      <c r="HA117" s="49"/>
      <c r="HB117" s="49"/>
      <c r="HC117" s="49"/>
      <c r="HD117" s="49"/>
      <c r="HE117" s="49"/>
      <c r="HF117" s="49"/>
      <c r="HG117" s="49"/>
      <c r="HH117" s="49"/>
      <c r="HI117" s="49"/>
      <c r="HJ117" s="49"/>
      <c r="HK117" s="49"/>
      <c r="HL117" s="49"/>
      <c r="HM117" s="49"/>
      <c r="HN117" s="49"/>
      <c r="HO117" s="49"/>
      <c r="HP117" s="49"/>
      <c r="HQ117" s="49"/>
      <c r="HR117" s="49"/>
      <c r="HS117" s="49"/>
      <c r="HT117" s="49"/>
      <c r="HU117" s="49"/>
      <c r="HV117" s="49"/>
      <c r="HW117" s="49"/>
      <c r="HX117" s="49"/>
      <c r="HY117" s="49"/>
      <c r="HZ117" s="49"/>
      <c r="IA117" s="49"/>
    </row>
    <row r="118" spans="1:235" s="52" customFormat="1" ht="22.5">
      <c r="A118" s="21" t="s">
        <v>72</v>
      </c>
      <c r="B118" s="7"/>
      <c r="C118" s="7"/>
      <c r="D118" s="14">
        <v>73500</v>
      </c>
      <c r="E118" s="14"/>
      <c r="F118" s="14">
        <f>D118</f>
        <v>73500</v>
      </c>
      <c r="G118" s="14">
        <v>81756</v>
      </c>
      <c r="H118" s="14"/>
      <c r="I118" s="14"/>
      <c r="J118" s="14">
        <f>G118</f>
        <v>81756</v>
      </c>
      <c r="K118" s="16"/>
      <c r="L118" s="16"/>
      <c r="M118" s="16"/>
      <c r="N118" s="14">
        <v>89932</v>
      </c>
      <c r="O118" s="14"/>
      <c r="P118" s="14">
        <f>N118</f>
        <v>89932</v>
      </c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  <c r="HL118" s="51"/>
      <c r="HM118" s="51"/>
      <c r="HN118" s="51"/>
      <c r="HO118" s="51"/>
      <c r="HP118" s="51"/>
      <c r="HQ118" s="51"/>
      <c r="HR118" s="51"/>
      <c r="HS118" s="51"/>
      <c r="HT118" s="51"/>
      <c r="HU118" s="51"/>
      <c r="HV118" s="51"/>
      <c r="HW118" s="51"/>
      <c r="HX118" s="51"/>
      <c r="HY118" s="51"/>
      <c r="HZ118" s="51"/>
      <c r="IA118" s="51"/>
    </row>
    <row r="119" spans="1:241" s="49" customFormat="1" ht="12" customHeight="1">
      <c r="A119" s="54" t="s">
        <v>5</v>
      </c>
      <c r="B119" s="61"/>
      <c r="C119" s="61"/>
      <c r="D119" s="62"/>
      <c r="E119" s="62"/>
      <c r="F119" s="62"/>
      <c r="G119" s="62"/>
      <c r="H119" s="62"/>
      <c r="I119" s="62"/>
      <c r="J119" s="62"/>
      <c r="K119" s="63"/>
      <c r="L119" s="63"/>
      <c r="M119" s="63"/>
      <c r="N119" s="62"/>
      <c r="O119" s="62"/>
      <c r="P119" s="62"/>
      <c r="IB119" s="50"/>
      <c r="IC119" s="50"/>
      <c r="ID119" s="50"/>
      <c r="IE119" s="50"/>
      <c r="IF119" s="50"/>
      <c r="IG119" s="50"/>
    </row>
    <row r="120" spans="1:241" s="49" customFormat="1" ht="22.5">
      <c r="A120" s="55" t="s">
        <v>14</v>
      </c>
      <c r="B120" s="59"/>
      <c r="C120" s="59"/>
      <c r="D120" s="62"/>
      <c r="E120" s="62"/>
      <c r="F120" s="62">
        <f>D120</f>
        <v>0</v>
      </c>
      <c r="G120" s="62"/>
      <c r="H120" s="62"/>
      <c r="I120" s="62"/>
      <c r="J120" s="62">
        <f>G120</f>
        <v>0</v>
      </c>
      <c r="K120" s="63"/>
      <c r="L120" s="63"/>
      <c r="M120" s="63"/>
      <c r="N120" s="62"/>
      <c r="O120" s="62"/>
      <c r="P120" s="62">
        <f>N120</f>
        <v>0</v>
      </c>
      <c r="IB120" s="50"/>
      <c r="IC120" s="50"/>
      <c r="ID120" s="50"/>
      <c r="IE120" s="50"/>
      <c r="IF120" s="50"/>
      <c r="IG120" s="50"/>
    </row>
    <row r="121" spans="1:241" s="49" customFormat="1" ht="27.75" customHeight="1">
      <c r="A121" s="55" t="s">
        <v>103</v>
      </c>
      <c r="B121" s="59"/>
      <c r="C121" s="61"/>
      <c r="D121" s="62"/>
      <c r="E121" s="62">
        <v>8</v>
      </c>
      <c r="F121" s="62">
        <f>E121</f>
        <v>8</v>
      </c>
      <c r="G121" s="62"/>
      <c r="H121" s="62">
        <v>3</v>
      </c>
      <c r="I121" s="62"/>
      <c r="J121" s="62">
        <v>3</v>
      </c>
      <c r="K121" s="63"/>
      <c r="L121" s="63"/>
      <c r="M121" s="63"/>
      <c r="N121" s="62"/>
      <c r="O121" s="62">
        <v>5</v>
      </c>
      <c r="P121" s="62">
        <f>O121</f>
        <v>5</v>
      </c>
      <c r="IB121" s="50"/>
      <c r="IC121" s="50"/>
      <c r="ID121" s="50"/>
      <c r="IE121" s="50"/>
      <c r="IF121" s="50"/>
      <c r="IG121" s="50"/>
    </row>
    <row r="122" spans="1:241" s="49" customFormat="1" ht="27" customHeight="1">
      <c r="A122" s="55" t="s">
        <v>104</v>
      </c>
      <c r="B122" s="59"/>
      <c r="C122" s="61"/>
      <c r="D122" s="62">
        <v>56</v>
      </c>
      <c r="E122" s="62"/>
      <c r="F122" s="62">
        <f>D122</f>
        <v>56</v>
      </c>
      <c r="G122" s="62">
        <v>42</v>
      </c>
      <c r="H122" s="62"/>
      <c r="I122" s="62"/>
      <c r="J122" s="62">
        <f>G122</f>
        <v>42</v>
      </c>
      <c r="K122" s="63"/>
      <c r="L122" s="63"/>
      <c r="M122" s="63"/>
      <c r="N122" s="62">
        <v>67</v>
      </c>
      <c r="O122" s="62"/>
      <c r="P122" s="62">
        <f>N122</f>
        <v>67</v>
      </c>
      <c r="IB122" s="50"/>
      <c r="IC122" s="50"/>
      <c r="ID122" s="50"/>
      <c r="IE122" s="50"/>
      <c r="IF122" s="50"/>
      <c r="IG122" s="50"/>
    </row>
    <row r="123" spans="1:241" s="49" customFormat="1" ht="22.5">
      <c r="A123" s="55" t="s">
        <v>42</v>
      </c>
      <c r="B123" s="59"/>
      <c r="C123" s="61"/>
      <c r="D123" s="62">
        <v>300</v>
      </c>
      <c r="E123" s="62"/>
      <c r="F123" s="62">
        <f>D123</f>
        <v>300</v>
      </c>
      <c r="G123" s="62">
        <v>300</v>
      </c>
      <c r="H123" s="62"/>
      <c r="I123" s="62"/>
      <c r="J123" s="62">
        <f>G123</f>
        <v>300</v>
      </c>
      <c r="K123" s="63"/>
      <c r="L123" s="63"/>
      <c r="M123" s="63"/>
      <c r="N123" s="62">
        <v>300</v>
      </c>
      <c r="O123" s="62"/>
      <c r="P123" s="62">
        <v>300</v>
      </c>
      <c r="IB123" s="50"/>
      <c r="IC123" s="50"/>
      <c r="ID123" s="50"/>
      <c r="IE123" s="50"/>
      <c r="IF123" s="50"/>
      <c r="IG123" s="50"/>
    </row>
    <row r="124" spans="1:241" s="49" customFormat="1" ht="22.5">
      <c r="A124" s="55" t="s">
        <v>46</v>
      </c>
      <c r="B124" s="59"/>
      <c r="C124" s="61"/>
      <c r="D124" s="62">
        <v>300</v>
      </c>
      <c r="E124" s="62"/>
      <c r="F124" s="62">
        <f>D124</f>
        <v>300</v>
      </c>
      <c r="G124" s="62">
        <v>300</v>
      </c>
      <c r="H124" s="62"/>
      <c r="I124" s="62"/>
      <c r="J124" s="62">
        <v>300</v>
      </c>
      <c r="K124" s="63"/>
      <c r="L124" s="63"/>
      <c r="M124" s="63"/>
      <c r="N124" s="62">
        <v>300</v>
      </c>
      <c r="O124" s="62"/>
      <c r="P124" s="62">
        <f>N124</f>
        <v>300</v>
      </c>
      <c r="IB124" s="50"/>
      <c r="IC124" s="50"/>
      <c r="ID124" s="50"/>
      <c r="IE124" s="50"/>
      <c r="IF124" s="50"/>
      <c r="IG124" s="50"/>
    </row>
    <row r="125" spans="1:241" s="49" customFormat="1" ht="22.5">
      <c r="A125" s="55" t="s">
        <v>13</v>
      </c>
      <c r="B125" s="59"/>
      <c r="C125" s="61"/>
      <c r="D125" s="62">
        <v>37400</v>
      </c>
      <c r="E125" s="62"/>
      <c r="F125" s="62">
        <f aca="true" t="shared" si="12" ref="F125:F140">D125</f>
        <v>37400</v>
      </c>
      <c r="G125" s="62">
        <v>37400</v>
      </c>
      <c r="H125" s="62"/>
      <c r="I125" s="62"/>
      <c r="J125" s="62">
        <f>G125</f>
        <v>37400</v>
      </c>
      <c r="K125" s="63"/>
      <c r="L125" s="63"/>
      <c r="M125" s="63"/>
      <c r="N125" s="62">
        <v>37400</v>
      </c>
      <c r="O125" s="62"/>
      <c r="P125" s="62">
        <f>N125</f>
        <v>37400</v>
      </c>
      <c r="IB125" s="50"/>
      <c r="IC125" s="50"/>
      <c r="ID125" s="50"/>
      <c r="IE125" s="50"/>
      <c r="IF125" s="50"/>
      <c r="IG125" s="50"/>
    </row>
    <row r="126" spans="1:241" s="49" customFormat="1" ht="12">
      <c r="A126" s="54" t="s">
        <v>7</v>
      </c>
      <c r="B126" s="61"/>
      <c r="C126" s="61"/>
      <c r="D126" s="62"/>
      <c r="E126" s="62"/>
      <c r="F126" s="62">
        <f t="shared" si="12"/>
        <v>0</v>
      </c>
      <c r="G126" s="62"/>
      <c r="H126" s="62"/>
      <c r="I126" s="62"/>
      <c r="J126" s="62"/>
      <c r="K126" s="63"/>
      <c r="L126" s="63"/>
      <c r="M126" s="63"/>
      <c r="N126" s="62"/>
      <c r="O126" s="62"/>
      <c r="P126" s="62"/>
      <c r="IB126" s="50"/>
      <c r="IC126" s="50"/>
      <c r="ID126" s="50"/>
      <c r="IE126" s="50"/>
      <c r="IF126" s="50"/>
      <c r="IG126" s="50"/>
    </row>
    <row r="127" spans="1:241" s="49" customFormat="1" ht="22.5" customHeight="1">
      <c r="A127" s="55" t="s">
        <v>16</v>
      </c>
      <c r="B127" s="59"/>
      <c r="C127" s="59"/>
      <c r="D127" s="62"/>
      <c r="E127" s="62"/>
      <c r="F127" s="62">
        <f t="shared" si="12"/>
        <v>0</v>
      </c>
      <c r="G127" s="62"/>
      <c r="H127" s="62"/>
      <c r="I127" s="62"/>
      <c r="J127" s="62">
        <f>G127</f>
        <v>0</v>
      </c>
      <c r="K127" s="63"/>
      <c r="L127" s="63"/>
      <c r="M127" s="63"/>
      <c r="N127" s="62"/>
      <c r="O127" s="62"/>
      <c r="P127" s="62">
        <f>N127</f>
        <v>0</v>
      </c>
      <c r="IB127" s="50"/>
      <c r="IC127" s="50"/>
      <c r="ID127" s="50"/>
      <c r="IE127" s="50"/>
      <c r="IF127" s="50"/>
      <c r="IG127" s="50"/>
    </row>
    <row r="128" spans="1:241" s="49" customFormat="1" ht="27" customHeight="1">
      <c r="A128" s="21" t="s">
        <v>105</v>
      </c>
      <c r="B128" s="7"/>
      <c r="C128" s="7"/>
      <c r="D128" s="14"/>
      <c r="E128" s="14">
        <v>400000</v>
      </c>
      <c r="F128" s="14">
        <f>E128</f>
        <v>400000</v>
      </c>
      <c r="G128" s="14"/>
      <c r="H128" s="14">
        <v>400000</v>
      </c>
      <c r="I128" s="14"/>
      <c r="J128" s="14">
        <f>H128</f>
        <v>400000</v>
      </c>
      <c r="K128" s="16"/>
      <c r="L128" s="16"/>
      <c r="M128" s="16"/>
      <c r="N128" s="14"/>
      <c r="O128" s="14">
        <v>450000</v>
      </c>
      <c r="P128" s="14">
        <f>O128</f>
        <v>450000</v>
      </c>
      <c r="IB128" s="50"/>
      <c r="IC128" s="50"/>
      <c r="ID128" s="50"/>
      <c r="IE128" s="50"/>
      <c r="IF128" s="50"/>
      <c r="IG128" s="50"/>
    </row>
    <row r="129" spans="1:241" s="49" customFormat="1" ht="22.5">
      <c r="A129" s="55" t="s">
        <v>106</v>
      </c>
      <c r="B129" s="59"/>
      <c r="C129" s="59"/>
      <c r="D129" s="62">
        <v>10000</v>
      </c>
      <c r="E129" s="62"/>
      <c r="F129" s="62">
        <f t="shared" si="12"/>
        <v>10000</v>
      </c>
      <c r="G129" s="62">
        <v>23980.9523809</v>
      </c>
      <c r="H129" s="62"/>
      <c r="I129" s="62"/>
      <c r="J129" s="62">
        <f aca="true" t="shared" si="13" ref="J129:J134">G129</f>
        <v>23980.9523809</v>
      </c>
      <c r="K129" s="63"/>
      <c r="L129" s="63"/>
      <c r="M129" s="63"/>
      <c r="N129" s="62">
        <v>17021.75194</v>
      </c>
      <c r="O129" s="62"/>
      <c r="P129" s="62">
        <f aca="true" t="shared" si="14" ref="P129:P134">N129</f>
        <v>17021.75194</v>
      </c>
      <c r="IB129" s="50"/>
      <c r="IC129" s="50"/>
      <c r="ID129" s="50"/>
      <c r="IE129" s="50"/>
      <c r="IF129" s="50"/>
      <c r="IG129" s="50"/>
    </row>
    <row r="130" spans="1:241" s="49" customFormat="1" ht="27" customHeight="1">
      <c r="A130" s="55" t="s">
        <v>43</v>
      </c>
      <c r="B130" s="59"/>
      <c r="C130" s="59"/>
      <c r="D130" s="62">
        <v>300</v>
      </c>
      <c r="E130" s="62"/>
      <c r="F130" s="62">
        <f>D130</f>
        <v>300</v>
      </c>
      <c r="G130" s="62">
        <v>300</v>
      </c>
      <c r="H130" s="62"/>
      <c r="I130" s="62"/>
      <c r="J130" s="62">
        <f t="shared" si="13"/>
        <v>300</v>
      </c>
      <c r="K130" s="63"/>
      <c r="L130" s="63"/>
      <c r="M130" s="63"/>
      <c r="N130" s="62">
        <v>350</v>
      </c>
      <c r="O130" s="62"/>
      <c r="P130" s="62">
        <f t="shared" si="14"/>
        <v>350</v>
      </c>
      <c r="IB130" s="50"/>
      <c r="IC130" s="50"/>
      <c r="ID130" s="50"/>
      <c r="IE130" s="50"/>
      <c r="IF130" s="50"/>
      <c r="IG130" s="50"/>
    </row>
    <row r="131" spans="1:241" s="49" customFormat="1" ht="27" customHeight="1">
      <c r="A131" s="55" t="s">
        <v>19</v>
      </c>
      <c r="B131" s="59"/>
      <c r="C131" s="59"/>
      <c r="D131" s="62">
        <v>300</v>
      </c>
      <c r="E131" s="62"/>
      <c r="F131" s="62">
        <f t="shared" si="12"/>
        <v>300</v>
      </c>
      <c r="G131" s="62">
        <v>300</v>
      </c>
      <c r="H131" s="62"/>
      <c r="I131" s="62"/>
      <c r="J131" s="62">
        <f t="shared" si="13"/>
        <v>300</v>
      </c>
      <c r="K131" s="63"/>
      <c r="L131" s="63"/>
      <c r="M131" s="63"/>
      <c r="N131" s="62">
        <v>350</v>
      </c>
      <c r="O131" s="62"/>
      <c r="P131" s="62">
        <f t="shared" si="14"/>
        <v>350</v>
      </c>
      <c r="IB131" s="50"/>
      <c r="IC131" s="50"/>
      <c r="ID131" s="50"/>
      <c r="IE131" s="50"/>
      <c r="IF131" s="50"/>
      <c r="IG131" s="50"/>
    </row>
    <row r="132" spans="1:241" s="49" customFormat="1" ht="22.5">
      <c r="A132" s="55" t="s">
        <v>15</v>
      </c>
      <c r="B132" s="59"/>
      <c r="C132" s="59"/>
      <c r="D132" s="62">
        <v>40</v>
      </c>
      <c r="E132" s="62"/>
      <c r="F132" s="62">
        <f t="shared" si="12"/>
        <v>40</v>
      </c>
      <c r="G132" s="62">
        <v>40</v>
      </c>
      <c r="H132" s="62"/>
      <c r="I132" s="62"/>
      <c r="J132" s="62">
        <f t="shared" si="13"/>
        <v>40</v>
      </c>
      <c r="K132" s="63"/>
      <c r="L132" s="63"/>
      <c r="M132" s="63"/>
      <c r="N132" s="62">
        <v>50</v>
      </c>
      <c r="O132" s="62"/>
      <c r="P132" s="62">
        <f t="shared" si="14"/>
        <v>50</v>
      </c>
      <c r="S132" s="49">
        <f>1277*64*1.65</f>
        <v>134851.19999999998</v>
      </c>
      <c r="IB132" s="50"/>
      <c r="IC132" s="50"/>
      <c r="ID132" s="50"/>
      <c r="IE132" s="50"/>
      <c r="IF132" s="50"/>
      <c r="IG132" s="50"/>
    </row>
    <row r="133" spans="1:241" s="49" customFormat="1" ht="22.5">
      <c r="A133" s="55" t="s">
        <v>73</v>
      </c>
      <c r="B133" s="59"/>
      <c r="C133" s="59"/>
      <c r="D133" s="62">
        <v>1312.5</v>
      </c>
      <c r="E133" s="62"/>
      <c r="F133" s="62">
        <f>D133</f>
        <v>1312.5</v>
      </c>
      <c r="G133" s="62">
        <v>2488.30865</v>
      </c>
      <c r="H133" s="62"/>
      <c r="I133" s="62"/>
      <c r="J133" s="62">
        <f t="shared" si="13"/>
        <v>2488.30865</v>
      </c>
      <c r="K133" s="63"/>
      <c r="L133" s="63"/>
      <c r="M133" s="63"/>
      <c r="N133" s="62">
        <v>1342</v>
      </c>
      <c r="O133" s="62"/>
      <c r="P133" s="62">
        <f t="shared" si="14"/>
        <v>1342</v>
      </c>
      <c r="S133" s="49">
        <f>21572/4</f>
        <v>5393</v>
      </c>
      <c r="IB133" s="50"/>
      <c r="IC133" s="50"/>
      <c r="ID133" s="50"/>
      <c r="IE133" s="50"/>
      <c r="IF133" s="50"/>
      <c r="IG133" s="50"/>
    </row>
    <row r="134" spans="1:241" s="49" customFormat="1" ht="22.5">
      <c r="A134" s="21" t="s">
        <v>74</v>
      </c>
      <c r="B134" s="7"/>
      <c r="C134" s="7"/>
      <c r="D134" s="14">
        <v>1.8</v>
      </c>
      <c r="E134" s="14"/>
      <c r="F134" s="14">
        <f>D134</f>
        <v>1.8</v>
      </c>
      <c r="G134" s="14">
        <v>1.65</v>
      </c>
      <c r="H134" s="14"/>
      <c r="I134" s="14"/>
      <c r="J134" s="14">
        <f t="shared" si="13"/>
        <v>1.65</v>
      </c>
      <c r="K134" s="16"/>
      <c r="L134" s="16"/>
      <c r="M134" s="16"/>
      <c r="N134" s="14">
        <v>1.83</v>
      </c>
      <c r="O134" s="14"/>
      <c r="P134" s="14">
        <f t="shared" si="14"/>
        <v>1.83</v>
      </c>
      <c r="IB134" s="50"/>
      <c r="IC134" s="50"/>
      <c r="ID134" s="50"/>
      <c r="IE134" s="50"/>
      <c r="IF134" s="50"/>
      <c r="IG134" s="50"/>
    </row>
    <row r="135" spans="1:241" s="49" customFormat="1" ht="12">
      <c r="A135" s="54" t="s">
        <v>6</v>
      </c>
      <c r="B135" s="61"/>
      <c r="C135" s="61"/>
      <c r="D135" s="62"/>
      <c r="E135" s="62"/>
      <c r="F135" s="62"/>
      <c r="G135" s="62"/>
      <c r="H135" s="62"/>
      <c r="I135" s="62"/>
      <c r="J135" s="62"/>
      <c r="K135" s="63"/>
      <c r="L135" s="63"/>
      <c r="M135" s="63"/>
      <c r="N135" s="62"/>
      <c r="O135" s="62"/>
      <c r="P135" s="62"/>
      <c r="IB135" s="50"/>
      <c r="IC135" s="50"/>
      <c r="ID135" s="50"/>
      <c r="IE135" s="50"/>
      <c r="IF135" s="50"/>
      <c r="IG135" s="50"/>
    </row>
    <row r="136" spans="1:241" s="49" customFormat="1" ht="22.5" customHeight="1">
      <c r="A136" s="55" t="s">
        <v>45</v>
      </c>
      <c r="B136" s="59"/>
      <c r="C136" s="59"/>
      <c r="D136" s="62"/>
      <c r="E136" s="62"/>
      <c r="F136" s="62">
        <f t="shared" si="12"/>
        <v>0</v>
      </c>
      <c r="G136" s="62"/>
      <c r="H136" s="62"/>
      <c r="I136" s="62"/>
      <c r="J136" s="62"/>
      <c r="K136" s="63"/>
      <c r="L136" s="63"/>
      <c r="M136" s="63"/>
      <c r="N136" s="62"/>
      <c r="O136" s="62"/>
      <c r="P136" s="62"/>
      <c r="IB136" s="50"/>
      <c r="IC136" s="50"/>
      <c r="ID136" s="50"/>
      <c r="IE136" s="50"/>
      <c r="IF136" s="50"/>
      <c r="IG136" s="50"/>
    </row>
    <row r="137" spans="1:241" s="49" customFormat="1" ht="30.75" customHeight="1">
      <c r="A137" s="55" t="s">
        <v>107</v>
      </c>
      <c r="B137" s="59"/>
      <c r="C137" s="59"/>
      <c r="D137" s="62">
        <v>100</v>
      </c>
      <c r="E137" s="62"/>
      <c r="F137" s="62">
        <f t="shared" si="12"/>
        <v>100</v>
      </c>
      <c r="G137" s="62">
        <v>100</v>
      </c>
      <c r="H137" s="62"/>
      <c r="I137" s="62"/>
      <c r="J137" s="62">
        <v>100</v>
      </c>
      <c r="K137" s="63"/>
      <c r="L137" s="63"/>
      <c r="M137" s="63"/>
      <c r="N137" s="62">
        <v>100</v>
      </c>
      <c r="O137" s="62"/>
      <c r="P137" s="62">
        <v>100</v>
      </c>
      <c r="IB137" s="50"/>
      <c r="IC137" s="50"/>
      <c r="ID137" s="50"/>
      <c r="IE137" s="50"/>
      <c r="IF137" s="50"/>
      <c r="IG137" s="50"/>
    </row>
    <row r="138" spans="1:241" s="49" customFormat="1" ht="22.5" customHeight="1">
      <c r="A138" s="55" t="s">
        <v>47</v>
      </c>
      <c r="B138" s="59"/>
      <c r="C138" s="59"/>
      <c r="D138" s="62"/>
      <c r="E138" s="62"/>
      <c r="F138" s="62">
        <f t="shared" si="12"/>
        <v>0</v>
      </c>
      <c r="G138" s="62"/>
      <c r="H138" s="62"/>
      <c r="I138" s="62"/>
      <c r="J138" s="62"/>
      <c r="K138" s="63"/>
      <c r="L138" s="63"/>
      <c r="M138" s="63"/>
      <c r="N138" s="62"/>
      <c r="O138" s="62"/>
      <c r="P138" s="62"/>
      <c r="IB138" s="50"/>
      <c r="IC138" s="50"/>
      <c r="ID138" s="50"/>
      <c r="IE138" s="50"/>
      <c r="IF138" s="50"/>
      <c r="IG138" s="50"/>
    </row>
    <row r="139" spans="1:241" s="49" customFormat="1" ht="23.25" customHeight="1">
      <c r="A139" s="55" t="s">
        <v>21</v>
      </c>
      <c r="B139" s="59"/>
      <c r="C139" s="59"/>
      <c r="D139" s="62">
        <v>100</v>
      </c>
      <c r="E139" s="62"/>
      <c r="F139" s="62">
        <f t="shared" si="12"/>
        <v>100</v>
      </c>
      <c r="G139" s="62">
        <v>100</v>
      </c>
      <c r="H139" s="62"/>
      <c r="I139" s="62"/>
      <c r="J139" s="62">
        <v>100</v>
      </c>
      <c r="K139" s="63"/>
      <c r="L139" s="63"/>
      <c r="M139" s="63"/>
      <c r="N139" s="62">
        <v>100</v>
      </c>
      <c r="O139" s="62"/>
      <c r="P139" s="62">
        <v>100</v>
      </c>
      <c r="IB139" s="50"/>
      <c r="IC139" s="50"/>
      <c r="ID139" s="50"/>
      <c r="IE139" s="50"/>
      <c r="IF139" s="50"/>
      <c r="IG139" s="50"/>
    </row>
    <row r="140" spans="1:241" s="49" customFormat="1" ht="30" customHeight="1">
      <c r="A140" s="55" t="s">
        <v>57</v>
      </c>
      <c r="B140" s="59"/>
      <c r="C140" s="59"/>
      <c r="D140" s="62">
        <v>100</v>
      </c>
      <c r="E140" s="62"/>
      <c r="F140" s="62">
        <f t="shared" si="12"/>
        <v>100</v>
      </c>
      <c r="G140" s="62">
        <f>G125/G117*100</f>
        <v>100</v>
      </c>
      <c r="H140" s="62"/>
      <c r="I140" s="62"/>
      <c r="J140" s="62">
        <f>J125/J117*100</f>
        <v>100</v>
      </c>
      <c r="K140" s="63"/>
      <c r="L140" s="63"/>
      <c r="M140" s="63"/>
      <c r="N140" s="62">
        <f>N125/N117*100</f>
        <v>100</v>
      </c>
      <c r="O140" s="62"/>
      <c r="P140" s="62">
        <f>P125/P117*100</f>
        <v>100</v>
      </c>
      <c r="IB140" s="50"/>
      <c r="IC140" s="50"/>
      <c r="ID140" s="50"/>
      <c r="IE140" s="50"/>
      <c r="IF140" s="50"/>
      <c r="IG140" s="50"/>
    </row>
    <row r="141" spans="1:241" s="91" customFormat="1" ht="24" customHeight="1">
      <c r="A141" s="82" t="s">
        <v>360</v>
      </c>
      <c r="B141" s="88"/>
      <c r="C141" s="88"/>
      <c r="D141" s="89">
        <f>(D152*D158)+(D153*D159)+(D155*D161)+(D154*D160)+(D156*D163)+100</f>
        <v>10575000</v>
      </c>
      <c r="E141" s="89">
        <f>(E152*E158)+(E153*E159)+(E155*E161)+(E154*E160)+(E156*E163)+4.4</f>
        <v>6200000.000000001</v>
      </c>
      <c r="F141" s="89">
        <f>D141+E141</f>
        <v>16775000</v>
      </c>
      <c r="G141" s="89">
        <f>(G152*G158)+(G153*G159)+(G155*G161)+(G154*G160)+(G156*G163)</f>
        <v>18319999.999072</v>
      </c>
      <c r="H141" s="89">
        <f>(H152*H158)+(H153*H159)+(H155*H161)+(H154*H160)+(H156*H163)+6.2-774.52+1700000</f>
        <v>11700000</v>
      </c>
      <c r="I141" s="89"/>
      <c r="J141" s="89">
        <f>G141+H141</f>
        <v>30019999.999072</v>
      </c>
      <c r="K141" s="89">
        <f>(K152*K158)+(K153*K159)+(K155*K161)+(K154*K160)+(K156*K163)+100</f>
        <v>100</v>
      </c>
      <c r="L141" s="89">
        <f>(L152*L158)+(L153*L159)+(L155*L161)+(L154*L160)+(L156*L163)+100</f>
        <v>100</v>
      </c>
      <c r="M141" s="89">
        <f>(M152*M158)+(M153*M159)+(M155*M161)+(M154*M160)+(M156*M163)+100</f>
        <v>100</v>
      </c>
      <c r="N141" s="89">
        <f>(N152*N158)+(N153*N159)+(N155*N161)+(N154*N160)+(N156*N163)-376000</f>
        <v>21999999.999990597</v>
      </c>
      <c r="O141" s="89">
        <f>(O152*O158)+(O153*O159)+(O155*O161)+(O154*O160)+(O156*O163)</f>
        <v>11000000.0019</v>
      </c>
      <c r="P141" s="89">
        <f>N141+O141</f>
        <v>33000000.0018906</v>
      </c>
      <c r="IB141" s="92"/>
      <c r="IC141" s="92"/>
      <c r="ID141" s="92"/>
      <c r="IE141" s="92"/>
      <c r="IF141" s="92"/>
      <c r="IG141" s="92"/>
    </row>
    <row r="142" spans="1:241" s="1" customFormat="1" ht="0.75" customHeight="1">
      <c r="A142" s="23" t="s">
        <v>48</v>
      </c>
      <c r="B142" s="15"/>
      <c r="C142" s="15"/>
      <c r="D142" s="14" t="e">
        <f>#REF!*D158+D155*D160+D154*D161</f>
        <v>#REF!</v>
      </c>
      <c r="E142" s="14" t="e">
        <f>#REF!*E158+E155*E160+E154*E161</f>
        <v>#REF!</v>
      </c>
      <c r="F142" s="14" t="e">
        <f>#REF!*F158+F155*F160+F154*F161</f>
        <v>#REF!</v>
      </c>
      <c r="G142" s="14" t="e">
        <f>#REF!*G158+G155*G160+G154*G161</f>
        <v>#REF!</v>
      </c>
      <c r="H142" s="14"/>
      <c r="I142" s="14"/>
      <c r="J142" s="14" t="e">
        <f>#REF!*J158+J155*J160+J154*J161</f>
        <v>#REF!</v>
      </c>
      <c r="K142" s="11"/>
      <c r="L142" s="11"/>
      <c r="M142" s="11"/>
      <c r="N142" s="14" t="e">
        <f>#REF!*N158+N155*N160+N154*N161</f>
        <v>#REF!</v>
      </c>
      <c r="O142" s="14"/>
      <c r="P142" s="14" t="e">
        <f>#REF!*P158+P155*P160+P154*P161</f>
        <v>#REF!</v>
      </c>
      <c r="IB142"/>
      <c r="IC142"/>
      <c r="ID142"/>
      <c r="IE142"/>
      <c r="IF142"/>
      <c r="IG142"/>
    </row>
    <row r="143" spans="1:241" s="1" customFormat="1" ht="12">
      <c r="A143" s="54" t="s">
        <v>4</v>
      </c>
      <c r="B143" s="61"/>
      <c r="C143" s="61"/>
      <c r="D143" s="129"/>
      <c r="E143" s="129"/>
      <c r="F143" s="129"/>
      <c r="G143" s="129"/>
      <c r="H143" s="129"/>
      <c r="I143" s="129"/>
      <c r="J143" s="129"/>
      <c r="K143" s="63"/>
      <c r="L143" s="63"/>
      <c r="M143" s="63"/>
      <c r="N143" s="129"/>
      <c r="O143" s="129"/>
      <c r="P143" s="129"/>
      <c r="IB143"/>
      <c r="IC143"/>
      <c r="ID143"/>
      <c r="IE143"/>
      <c r="IF143"/>
      <c r="IG143"/>
    </row>
    <row r="144" spans="1:241" s="1" customFormat="1" ht="21" customHeight="1">
      <c r="A144" s="55" t="s">
        <v>109</v>
      </c>
      <c r="B144" s="59"/>
      <c r="C144" s="59"/>
      <c r="D144" s="62">
        <v>600.663</v>
      </c>
      <c r="E144" s="62"/>
      <c r="F144" s="62">
        <f>D144</f>
        <v>600.663</v>
      </c>
      <c r="G144" s="62">
        <f>D144</f>
        <v>600.663</v>
      </c>
      <c r="H144" s="62"/>
      <c r="I144" s="62"/>
      <c r="J144" s="62">
        <f>G144</f>
        <v>600.663</v>
      </c>
      <c r="K144" s="63"/>
      <c r="L144" s="63"/>
      <c r="M144" s="63"/>
      <c r="N144" s="62">
        <f>J144</f>
        <v>600.663</v>
      </c>
      <c r="O144" s="62"/>
      <c r="P144" s="62">
        <f>N144</f>
        <v>600.663</v>
      </c>
      <c r="IB144"/>
      <c r="IC144"/>
      <c r="ID144"/>
      <c r="IE144"/>
      <c r="IF144"/>
      <c r="IG144"/>
    </row>
    <row r="145" spans="1:241" s="1" customFormat="1" ht="27" customHeight="1">
      <c r="A145" s="55" t="s">
        <v>110</v>
      </c>
      <c r="B145" s="59"/>
      <c r="C145" s="59"/>
      <c r="D145" s="62"/>
      <c r="E145" s="62">
        <v>427.5</v>
      </c>
      <c r="F145" s="62">
        <f>E145</f>
        <v>427.5</v>
      </c>
      <c r="G145" s="62"/>
      <c r="H145" s="62">
        <v>427.5</v>
      </c>
      <c r="I145" s="62"/>
      <c r="J145" s="62">
        <f>H145</f>
        <v>427.5</v>
      </c>
      <c r="K145" s="63"/>
      <c r="L145" s="63"/>
      <c r="M145" s="63"/>
      <c r="N145" s="62"/>
      <c r="O145" s="62">
        <v>427.5</v>
      </c>
      <c r="P145" s="62">
        <f>O145</f>
        <v>427.5</v>
      </c>
      <c r="IB145"/>
      <c r="IC145"/>
      <c r="ID145"/>
      <c r="IE145"/>
      <c r="IF145"/>
      <c r="IG145"/>
    </row>
    <row r="146" spans="1:241" s="1" customFormat="1" ht="30.75" customHeight="1">
      <c r="A146" s="55" t="s">
        <v>111</v>
      </c>
      <c r="B146" s="59"/>
      <c r="C146" s="59"/>
      <c r="D146" s="62">
        <v>97.9</v>
      </c>
      <c r="E146" s="62"/>
      <c r="F146" s="62">
        <f>D146</f>
        <v>97.9</v>
      </c>
      <c r="G146" s="62">
        <v>97.9</v>
      </c>
      <c r="H146" s="62"/>
      <c r="I146" s="62"/>
      <c r="J146" s="62">
        <f>G146</f>
        <v>97.9</v>
      </c>
      <c r="K146" s="63"/>
      <c r="L146" s="63"/>
      <c r="M146" s="63"/>
      <c r="N146" s="62">
        <v>97.9</v>
      </c>
      <c r="O146" s="62"/>
      <c r="P146" s="62">
        <f>N146</f>
        <v>97.9</v>
      </c>
      <c r="IB146"/>
      <c r="IC146"/>
      <c r="ID146"/>
      <c r="IE146"/>
      <c r="IF146"/>
      <c r="IG146"/>
    </row>
    <row r="147" spans="1:241" s="1" customFormat="1" ht="25.5" customHeight="1">
      <c r="A147" s="55" t="s">
        <v>112</v>
      </c>
      <c r="B147" s="59"/>
      <c r="C147" s="59"/>
      <c r="D147" s="62">
        <v>15870</v>
      </c>
      <c r="E147" s="62"/>
      <c r="F147" s="62">
        <f>D147</f>
        <v>15870</v>
      </c>
      <c r="G147" s="62">
        <v>15920</v>
      </c>
      <c r="H147" s="62"/>
      <c r="I147" s="62"/>
      <c r="J147" s="62">
        <f aca="true" t="shared" si="15" ref="J147:J165">G147</f>
        <v>15920</v>
      </c>
      <c r="K147" s="63"/>
      <c r="L147" s="63"/>
      <c r="M147" s="63"/>
      <c r="N147" s="62">
        <v>15920</v>
      </c>
      <c r="O147" s="62"/>
      <c r="P147" s="62">
        <f aca="true" t="shared" si="16" ref="P147:P165">N147</f>
        <v>15920</v>
      </c>
      <c r="IB147"/>
      <c r="IC147"/>
      <c r="ID147"/>
      <c r="IE147"/>
      <c r="IF147"/>
      <c r="IG147"/>
    </row>
    <row r="148" spans="1:241" s="1" customFormat="1" ht="22.5">
      <c r="A148" s="55" t="s">
        <v>113</v>
      </c>
      <c r="B148" s="59"/>
      <c r="C148" s="59"/>
      <c r="D148" s="62">
        <v>8286</v>
      </c>
      <c r="E148" s="62"/>
      <c r="F148" s="62">
        <f>D148</f>
        <v>8286</v>
      </c>
      <c r="G148" s="62">
        <f>F148</f>
        <v>8286</v>
      </c>
      <c r="H148" s="62"/>
      <c r="I148" s="62"/>
      <c r="J148" s="62">
        <f t="shared" si="15"/>
        <v>8286</v>
      </c>
      <c r="K148" s="63"/>
      <c r="L148" s="63"/>
      <c r="M148" s="63"/>
      <c r="N148" s="62">
        <f>G148</f>
        <v>8286</v>
      </c>
      <c r="O148" s="62"/>
      <c r="P148" s="62">
        <f t="shared" si="16"/>
        <v>8286</v>
      </c>
      <c r="IB148"/>
      <c r="IC148"/>
      <c r="ID148"/>
      <c r="IE148"/>
      <c r="IF148"/>
      <c r="IG148"/>
    </row>
    <row r="149" spans="1:241" s="1" customFormat="1" ht="29.25" customHeight="1">
      <c r="A149" s="55" t="s">
        <v>114</v>
      </c>
      <c r="B149" s="59"/>
      <c r="C149" s="59"/>
      <c r="D149" s="62">
        <v>7800</v>
      </c>
      <c r="E149" s="62"/>
      <c r="F149" s="62">
        <f>D149</f>
        <v>7800</v>
      </c>
      <c r="G149" s="62">
        <f>F149</f>
        <v>7800</v>
      </c>
      <c r="H149" s="62"/>
      <c r="I149" s="62"/>
      <c r="J149" s="62">
        <f>G149</f>
        <v>7800</v>
      </c>
      <c r="K149" s="63"/>
      <c r="L149" s="63"/>
      <c r="M149" s="63"/>
      <c r="N149" s="62">
        <v>7800</v>
      </c>
      <c r="O149" s="62"/>
      <c r="P149" s="62">
        <f>N149</f>
        <v>7800</v>
      </c>
      <c r="IB149"/>
      <c r="IC149"/>
      <c r="ID149"/>
      <c r="IE149"/>
      <c r="IF149"/>
      <c r="IG149"/>
    </row>
    <row r="150" spans="1:241" s="1" customFormat="1" ht="12">
      <c r="A150" s="54" t="s">
        <v>5</v>
      </c>
      <c r="B150" s="61"/>
      <c r="C150" s="61"/>
      <c r="D150" s="129"/>
      <c r="E150" s="129"/>
      <c r="F150" s="62"/>
      <c r="G150" s="129"/>
      <c r="H150" s="129"/>
      <c r="I150" s="129"/>
      <c r="J150" s="62">
        <f t="shared" si="15"/>
        <v>0</v>
      </c>
      <c r="K150" s="63"/>
      <c r="L150" s="63"/>
      <c r="M150" s="63"/>
      <c r="N150" s="129"/>
      <c r="O150" s="129"/>
      <c r="P150" s="62">
        <f t="shared" si="16"/>
        <v>0</v>
      </c>
      <c r="IB150"/>
      <c r="IC150"/>
      <c r="ID150"/>
      <c r="IE150"/>
      <c r="IF150"/>
      <c r="IG150"/>
    </row>
    <row r="151" spans="1:241" s="1" customFormat="1" ht="22.5" customHeight="1">
      <c r="A151" s="55" t="s">
        <v>24</v>
      </c>
      <c r="B151" s="59"/>
      <c r="C151" s="59"/>
      <c r="D151" s="62"/>
      <c r="E151" s="62"/>
      <c r="F151" s="62"/>
      <c r="G151" s="62"/>
      <c r="H151" s="62"/>
      <c r="I151" s="62"/>
      <c r="J151" s="62">
        <f t="shared" si="15"/>
        <v>0</v>
      </c>
      <c r="K151" s="63"/>
      <c r="L151" s="63"/>
      <c r="M151" s="63"/>
      <c r="N151" s="62"/>
      <c r="O151" s="62"/>
      <c r="P151" s="62">
        <f t="shared" si="16"/>
        <v>0</v>
      </c>
      <c r="IB151"/>
      <c r="IC151"/>
      <c r="ID151"/>
      <c r="IE151"/>
      <c r="IF151"/>
      <c r="IG151"/>
    </row>
    <row r="152" spans="1:241" s="1" customFormat="1" ht="29.25" customHeight="1">
      <c r="A152" s="55" t="s">
        <v>115</v>
      </c>
      <c r="B152" s="59"/>
      <c r="C152" s="59"/>
      <c r="D152" s="62">
        <v>3</v>
      </c>
      <c r="E152" s="62"/>
      <c r="F152" s="62">
        <f>D152</f>
        <v>3</v>
      </c>
      <c r="G152" s="62">
        <v>4</v>
      </c>
      <c r="H152" s="62"/>
      <c r="I152" s="62"/>
      <c r="J152" s="62">
        <f>G152</f>
        <v>4</v>
      </c>
      <c r="K152" s="63"/>
      <c r="L152" s="63"/>
      <c r="M152" s="63"/>
      <c r="N152" s="62">
        <v>5</v>
      </c>
      <c r="O152" s="62"/>
      <c r="P152" s="62">
        <f>N152</f>
        <v>5</v>
      </c>
      <c r="IB152"/>
      <c r="IC152"/>
      <c r="ID152"/>
      <c r="IE152"/>
      <c r="IF152"/>
      <c r="IG152"/>
    </row>
    <row r="153" spans="1:241" s="1" customFormat="1" ht="30" customHeight="1">
      <c r="A153" s="55" t="s">
        <v>116</v>
      </c>
      <c r="B153" s="59"/>
      <c r="C153" s="59"/>
      <c r="D153" s="62"/>
      <c r="E153" s="62">
        <v>18.8</v>
      </c>
      <c r="F153" s="62">
        <f>E153</f>
        <v>18.8</v>
      </c>
      <c r="G153" s="62"/>
      <c r="H153" s="62">
        <v>27.84</v>
      </c>
      <c r="I153" s="62"/>
      <c r="J153" s="62">
        <f>H153</f>
        <v>27.84</v>
      </c>
      <c r="K153" s="63"/>
      <c r="L153" s="63"/>
      <c r="M153" s="63"/>
      <c r="N153" s="62"/>
      <c r="O153" s="62">
        <v>27.3</v>
      </c>
      <c r="P153" s="62">
        <f>O153</f>
        <v>27.3</v>
      </c>
      <c r="IB153"/>
      <c r="IC153"/>
      <c r="ID153"/>
      <c r="IE153"/>
      <c r="IF153"/>
      <c r="IG153"/>
    </row>
    <row r="154" spans="1:241" s="1" customFormat="1" ht="26.25" customHeight="1">
      <c r="A154" s="55" t="s">
        <v>157</v>
      </c>
      <c r="B154" s="59"/>
      <c r="C154" s="59"/>
      <c r="D154" s="62">
        <v>15870</v>
      </c>
      <c r="E154" s="62"/>
      <c r="F154" s="62">
        <f>D154</f>
        <v>15870</v>
      </c>
      <c r="G154" s="62">
        <f>G147</f>
        <v>15920</v>
      </c>
      <c r="H154" s="62"/>
      <c r="I154" s="62"/>
      <c r="J154" s="62">
        <f>G154</f>
        <v>15920</v>
      </c>
      <c r="K154" s="63"/>
      <c r="L154" s="63"/>
      <c r="M154" s="63"/>
      <c r="N154" s="62">
        <f>N147</f>
        <v>15920</v>
      </c>
      <c r="O154" s="62"/>
      <c r="P154" s="62">
        <f>N154</f>
        <v>15920</v>
      </c>
      <c r="IB154"/>
      <c r="IC154"/>
      <c r="ID154"/>
      <c r="IE154"/>
      <c r="IF154"/>
      <c r="IG154"/>
    </row>
    <row r="155" spans="1:241" s="1" customFormat="1" ht="24.75" customHeight="1">
      <c r="A155" s="55" t="s">
        <v>117</v>
      </c>
      <c r="B155" s="59"/>
      <c r="C155" s="59"/>
      <c r="D155" s="62">
        <v>800</v>
      </c>
      <c r="E155" s="62"/>
      <c r="F155" s="62">
        <f aca="true" t="shared" si="17" ref="F155:F165">D155</f>
        <v>800</v>
      </c>
      <c r="G155" s="62">
        <v>900</v>
      </c>
      <c r="H155" s="62"/>
      <c r="I155" s="62"/>
      <c r="J155" s="62">
        <f t="shared" si="15"/>
        <v>900</v>
      </c>
      <c r="K155" s="63"/>
      <c r="L155" s="63"/>
      <c r="M155" s="63"/>
      <c r="N155" s="62">
        <v>1000</v>
      </c>
      <c r="O155" s="62"/>
      <c r="P155" s="62">
        <f t="shared" si="16"/>
        <v>1000</v>
      </c>
      <c r="IB155"/>
      <c r="IC155"/>
      <c r="ID155"/>
      <c r="IE155"/>
      <c r="IF155"/>
      <c r="IG155"/>
    </row>
    <row r="156" spans="1:241" s="1" customFormat="1" ht="24.75" customHeight="1">
      <c r="A156" s="55" t="s">
        <v>118</v>
      </c>
      <c r="B156" s="59"/>
      <c r="C156" s="59"/>
      <c r="D156" s="62">
        <v>7800000</v>
      </c>
      <c r="E156" s="62"/>
      <c r="F156" s="62">
        <f>D156</f>
        <v>7800000</v>
      </c>
      <c r="G156" s="62">
        <v>8316720</v>
      </c>
      <c r="H156" s="62"/>
      <c r="I156" s="62"/>
      <c r="J156" s="62">
        <f>G156</f>
        <v>8316720</v>
      </c>
      <c r="K156" s="63"/>
      <c r="L156" s="63"/>
      <c r="M156" s="63"/>
      <c r="N156" s="62">
        <v>8955223.88059</v>
      </c>
      <c r="O156" s="62"/>
      <c r="P156" s="62">
        <f>N156</f>
        <v>8955223.88059</v>
      </c>
      <c r="IB156"/>
      <c r="IC156"/>
      <c r="ID156"/>
      <c r="IE156"/>
      <c r="IF156"/>
      <c r="IG156"/>
    </row>
    <row r="157" spans="1:241" s="1" customFormat="1" ht="12">
      <c r="A157" s="54" t="s">
        <v>7</v>
      </c>
      <c r="B157" s="61"/>
      <c r="C157" s="61"/>
      <c r="D157" s="129"/>
      <c r="E157" s="129"/>
      <c r="F157" s="62">
        <f t="shared" si="17"/>
        <v>0</v>
      </c>
      <c r="G157" s="129"/>
      <c r="H157" s="129"/>
      <c r="I157" s="129"/>
      <c r="J157" s="62">
        <f t="shared" si="15"/>
        <v>0</v>
      </c>
      <c r="K157" s="63"/>
      <c r="L157" s="63"/>
      <c r="M157" s="63"/>
      <c r="N157" s="129"/>
      <c r="O157" s="129"/>
      <c r="P157" s="62">
        <f t="shared" si="16"/>
        <v>0</v>
      </c>
      <c r="IB157"/>
      <c r="IC157"/>
      <c r="ID157"/>
      <c r="IE157"/>
      <c r="IF157"/>
      <c r="IG157"/>
    </row>
    <row r="158" spans="1:241" s="1" customFormat="1" ht="33.75">
      <c r="A158" s="55" t="s">
        <v>119</v>
      </c>
      <c r="B158" s="59"/>
      <c r="C158" s="59"/>
      <c r="D158" s="62">
        <v>74500</v>
      </c>
      <c r="E158" s="62"/>
      <c r="F158" s="62">
        <f>D158</f>
        <v>74500</v>
      </c>
      <c r="G158" s="62">
        <v>85000</v>
      </c>
      <c r="H158" s="62"/>
      <c r="I158" s="62"/>
      <c r="J158" s="62">
        <f>G158</f>
        <v>85000</v>
      </c>
      <c r="K158" s="63"/>
      <c r="L158" s="63"/>
      <c r="M158" s="63"/>
      <c r="N158" s="62">
        <v>100000</v>
      </c>
      <c r="O158" s="62"/>
      <c r="P158" s="62">
        <f>N158</f>
        <v>100000</v>
      </c>
      <c r="IB158"/>
      <c r="IC158"/>
      <c r="ID158"/>
      <c r="IE158"/>
      <c r="IF158"/>
      <c r="IG158"/>
    </row>
    <row r="159" spans="1:241" s="1" customFormat="1" ht="33.75">
      <c r="A159" s="55" t="s">
        <v>120</v>
      </c>
      <c r="B159" s="59"/>
      <c r="C159" s="59"/>
      <c r="D159" s="62"/>
      <c r="E159" s="62">
        <v>329787</v>
      </c>
      <c r="F159" s="62">
        <f>E159</f>
        <v>329787</v>
      </c>
      <c r="G159" s="62"/>
      <c r="H159" s="62">
        <v>359223</v>
      </c>
      <c r="I159" s="62"/>
      <c r="J159" s="62">
        <f>H159</f>
        <v>359223</v>
      </c>
      <c r="K159" s="63"/>
      <c r="L159" s="63"/>
      <c r="M159" s="63"/>
      <c r="N159" s="62"/>
      <c r="O159" s="62">
        <v>402930.403</v>
      </c>
      <c r="P159" s="62">
        <f>O159</f>
        <v>402930.403</v>
      </c>
      <c r="IB159"/>
      <c r="IC159"/>
      <c r="ID159"/>
      <c r="IE159"/>
      <c r="IF159"/>
      <c r="IG159"/>
    </row>
    <row r="160" spans="1:241" s="1" customFormat="1" ht="23.25" customHeight="1">
      <c r="A160" s="55" t="s">
        <v>121</v>
      </c>
      <c r="B160" s="59"/>
      <c r="C160" s="59"/>
      <c r="D160" s="62">
        <v>220</v>
      </c>
      <c r="E160" s="62"/>
      <c r="F160" s="62">
        <f>D160</f>
        <v>220</v>
      </c>
      <c r="G160" s="62">
        <v>250.6763316</v>
      </c>
      <c r="H160" s="62"/>
      <c r="I160" s="62"/>
      <c r="J160" s="62">
        <f>G160</f>
        <v>250.6763316</v>
      </c>
      <c r="K160" s="63"/>
      <c r="L160" s="63"/>
      <c r="M160" s="63"/>
      <c r="N160" s="62">
        <v>300</v>
      </c>
      <c r="O160" s="62"/>
      <c r="P160" s="62">
        <f>N160</f>
        <v>300</v>
      </c>
      <c r="IB160"/>
      <c r="IC160"/>
      <c r="ID160"/>
      <c r="IE160"/>
      <c r="IF160"/>
      <c r="IG160"/>
    </row>
    <row r="161" spans="1:241" s="1" customFormat="1" ht="22.5">
      <c r="A161" s="55" t="s">
        <v>122</v>
      </c>
      <c r="B161" s="59"/>
      <c r="C161" s="59"/>
      <c r="D161" s="62">
        <v>3700</v>
      </c>
      <c r="E161" s="62"/>
      <c r="F161" s="62">
        <f t="shared" si="17"/>
        <v>3700</v>
      </c>
      <c r="G161" s="62">
        <v>4085</v>
      </c>
      <c r="H161" s="62"/>
      <c r="I161" s="62"/>
      <c r="J161" s="62">
        <f t="shared" si="15"/>
        <v>4085</v>
      </c>
      <c r="K161" s="63"/>
      <c r="L161" s="63"/>
      <c r="M161" s="63"/>
      <c r="N161" s="62">
        <v>5100</v>
      </c>
      <c r="O161" s="62"/>
      <c r="P161" s="62">
        <f t="shared" si="16"/>
        <v>5100</v>
      </c>
      <c r="IB161"/>
      <c r="IC161"/>
      <c r="ID161"/>
      <c r="IE161"/>
      <c r="IF161"/>
      <c r="IG161"/>
    </row>
    <row r="162" spans="1:241" s="1" customFormat="1" ht="22.5">
      <c r="A162" s="55" t="s">
        <v>71</v>
      </c>
      <c r="B162" s="59"/>
      <c r="C162" s="59"/>
      <c r="D162" s="62">
        <f>D156/D154-0.49</f>
        <v>491.0033837429111</v>
      </c>
      <c r="E162" s="62"/>
      <c r="F162" s="62">
        <f>D162</f>
        <v>491.0033837429111</v>
      </c>
      <c r="G162" s="62">
        <f>G156/G154</f>
        <v>522.4070351758794</v>
      </c>
      <c r="H162" s="62"/>
      <c r="I162" s="62"/>
      <c r="J162" s="62">
        <f>G162</f>
        <v>522.4070351758794</v>
      </c>
      <c r="K162" s="63"/>
      <c r="L162" s="63"/>
      <c r="M162" s="63"/>
      <c r="N162" s="62">
        <f>N156/N154</f>
        <v>562.5140628511306</v>
      </c>
      <c r="O162" s="62"/>
      <c r="P162" s="62">
        <f>N162</f>
        <v>562.5140628511306</v>
      </c>
      <c r="IB162"/>
      <c r="IC162"/>
      <c r="ID162"/>
      <c r="IE162"/>
      <c r="IF162"/>
      <c r="IG162"/>
    </row>
    <row r="163" spans="1:241" s="1" customFormat="1" ht="33.75">
      <c r="A163" s="55" t="s">
        <v>123</v>
      </c>
      <c r="B163" s="59"/>
      <c r="C163" s="59"/>
      <c r="D163" s="62">
        <v>0.5</v>
      </c>
      <c r="E163" s="62"/>
      <c r="F163" s="62">
        <f>D163</f>
        <v>0.5</v>
      </c>
      <c r="G163" s="62">
        <v>1.24</v>
      </c>
      <c r="H163" s="62"/>
      <c r="I163" s="62"/>
      <c r="J163" s="62">
        <f>G163</f>
        <v>1.24</v>
      </c>
      <c r="K163" s="63"/>
      <c r="L163" s="63"/>
      <c r="M163" s="63"/>
      <c r="N163" s="62">
        <v>1.34</v>
      </c>
      <c r="O163" s="62"/>
      <c r="P163" s="62">
        <f>N163</f>
        <v>1.34</v>
      </c>
      <c r="IB163"/>
      <c r="IC163"/>
      <c r="ID163"/>
      <c r="IE163"/>
      <c r="IF163"/>
      <c r="IG163"/>
    </row>
    <row r="164" spans="1:241" s="1" customFormat="1" ht="12">
      <c r="A164" s="54" t="s">
        <v>6</v>
      </c>
      <c r="B164" s="61"/>
      <c r="C164" s="61"/>
      <c r="D164" s="129"/>
      <c r="E164" s="129"/>
      <c r="F164" s="62">
        <f t="shared" si="17"/>
        <v>0</v>
      </c>
      <c r="G164" s="129"/>
      <c r="H164" s="129"/>
      <c r="I164" s="129"/>
      <c r="J164" s="62">
        <f t="shared" si="15"/>
        <v>0</v>
      </c>
      <c r="K164" s="63"/>
      <c r="L164" s="63"/>
      <c r="M164" s="63"/>
      <c r="N164" s="129"/>
      <c r="O164" s="129"/>
      <c r="P164" s="62">
        <f t="shared" si="16"/>
        <v>0</v>
      </c>
      <c r="IB164"/>
      <c r="IC164"/>
      <c r="ID164"/>
      <c r="IE164"/>
      <c r="IF164"/>
      <c r="IG164"/>
    </row>
    <row r="165" spans="1:241" s="1" customFormat="1" ht="33.75" customHeight="1">
      <c r="A165" s="55" t="s">
        <v>25</v>
      </c>
      <c r="B165" s="59"/>
      <c r="C165" s="59"/>
      <c r="D165" s="62"/>
      <c r="E165" s="62"/>
      <c r="F165" s="62">
        <f t="shared" si="17"/>
        <v>0</v>
      </c>
      <c r="G165" s="62"/>
      <c r="H165" s="62"/>
      <c r="I165" s="62"/>
      <c r="J165" s="62">
        <f t="shared" si="15"/>
        <v>0</v>
      </c>
      <c r="K165" s="63"/>
      <c r="L165" s="63"/>
      <c r="M165" s="63"/>
      <c r="N165" s="62"/>
      <c r="O165" s="62"/>
      <c r="P165" s="62">
        <f t="shared" si="16"/>
        <v>0</v>
      </c>
      <c r="IB165"/>
      <c r="IC165"/>
      <c r="ID165"/>
      <c r="IE165"/>
      <c r="IF165"/>
      <c r="IG165"/>
    </row>
    <row r="166" spans="1:241" s="1" customFormat="1" ht="33.75">
      <c r="A166" s="55" t="s">
        <v>125</v>
      </c>
      <c r="B166" s="59"/>
      <c r="C166" s="59"/>
      <c r="D166" s="62"/>
      <c r="E166" s="62">
        <f>E153/E145*100</f>
        <v>4.39766081871345</v>
      </c>
      <c r="F166" s="62">
        <f>E166</f>
        <v>4.39766081871345</v>
      </c>
      <c r="G166" s="62"/>
      <c r="H166" s="62">
        <f>H153/H145*100</f>
        <v>6.512280701754386</v>
      </c>
      <c r="I166" s="62"/>
      <c r="J166" s="62">
        <f>H166</f>
        <v>6.512280701754386</v>
      </c>
      <c r="K166" s="63"/>
      <c r="L166" s="63"/>
      <c r="M166" s="63"/>
      <c r="N166" s="62"/>
      <c r="O166" s="62">
        <f>O153/O145*100</f>
        <v>6.385964912280702</v>
      </c>
      <c r="P166" s="62">
        <f>O166</f>
        <v>6.385964912280702</v>
      </c>
      <c r="IB166"/>
      <c r="IC166"/>
      <c r="ID166"/>
      <c r="IE166"/>
      <c r="IF166"/>
      <c r="IG166"/>
    </row>
    <row r="167" spans="1:241" s="1" customFormat="1" ht="36" customHeight="1">
      <c r="A167" s="55" t="s">
        <v>124</v>
      </c>
      <c r="B167" s="59"/>
      <c r="C167" s="59"/>
      <c r="D167" s="62">
        <f>D152/D146*100</f>
        <v>3.0643513789581203</v>
      </c>
      <c r="E167" s="62"/>
      <c r="F167" s="62">
        <f>D167</f>
        <v>3.0643513789581203</v>
      </c>
      <c r="G167" s="62">
        <f>G152/G146*100</f>
        <v>4.085801838610827</v>
      </c>
      <c r="H167" s="62"/>
      <c r="I167" s="62"/>
      <c r="J167" s="62">
        <f>G167</f>
        <v>4.085801838610827</v>
      </c>
      <c r="K167" s="63"/>
      <c r="L167" s="63"/>
      <c r="M167" s="63"/>
      <c r="N167" s="62">
        <f>N152/N146*100</f>
        <v>5.107252298263534</v>
      </c>
      <c r="O167" s="62"/>
      <c r="P167" s="62">
        <f>N167</f>
        <v>5.107252298263534</v>
      </c>
      <c r="IB167"/>
      <c r="IC167"/>
      <c r="ID167"/>
      <c r="IE167"/>
      <c r="IF167"/>
      <c r="IG167"/>
    </row>
    <row r="168" spans="1:241" s="1" customFormat="1" ht="24" customHeight="1">
      <c r="A168" s="55" t="s">
        <v>126</v>
      </c>
      <c r="B168" s="59"/>
      <c r="C168" s="59"/>
      <c r="D168" s="62">
        <f>D155/D148*100</f>
        <v>9.654839488293506</v>
      </c>
      <c r="E168" s="62"/>
      <c r="F168" s="62">
        <f>D168</f>
        <v>9.654839488293506</v>
      </c>
      <c r="G168" s="62">
        <f>G155/G148*100</f>
        <v>10.861694424330196</v>
      </c>
      <c r="H168" s="62"/>
      <c r="I168" s="62"/>
      <c r="J168" s="62">
        <f>G168</f>
        <v>10.861694424330196</v>
      </c>
      <c r="K168" s="63"/>
      <c r="L168" s="63"/>
      <c r="M168" s="63"/>
      <c r="N168" s="62">
        <f>N155/N148*100</f>
        <v>12.068549360366884</v>
      </c>
      <c r="O168" s="62"/>
      <c r="P168" s="62">
        <f>N168</f>
        <v>12.068549360366884</v>
      </c>
      <c r="IB168"/>
      <c r="IC168"/>
      <c r="ID168"/>
      <c r="IE168"/>
      <c r="IF168"/>
      <c r="IG168"/>
    </row>
    <row r="169" spans="1:241" s="91" customFormat="1" ht="38.25" customHeight="1">
      <c r="A169" s="82" t="s">
        <v>361</v>
      </c>
      <c r="B169" s="88"/>
      <c r="C169" s="88"/>
      <c r="D169" s="89">
        <f>(D181*D192)+(D182*D193)+(D183*D194)+(D185*D196)+(D186*D197)+(D198*D187)+(D189*D200)+1079.17+(D188*D199)+(D190*D201)+396.52</f>
        <v>7377800</v>
      </c>
      <c r="E169" s="89">
        <f>E184*E195+200</f>
        <v>102500</v>
      </c>
      <c r="F169" s="89">
        <f>D169+E169</f>
        <v>7480300</v>
      </c>
      <c r="G169" s="89">
        <f>(G181*G192)+(G182*G193)+(G183*G194)+(G185*G196)+(G186*G197)+(G198*G187)+(G189*G200)+(G190*G201)</f>
        <v>9363200.00388926</v>
      </c>
      <c r="H169" s="89">
        <f>H184*H195+H182*H193</f>
        <v>82500</v>
      </c>
      <c r="I169" s="89"/>
      <c r="J169" s="89">
        <f>G169+H169</f>
        <v>9445700.00388926</v>
      </c>
      <c r="K169" s="89">
        <f>(K181*K192)+(K182*K193)+(K183*K194)+(K185*K196)+(K186*K197)+(K198*K187)+(K189*K200)-1036.73</f>
        <v>-1036.73</v>
      </c>
      <c r="L169" s="89">
        <f>(L181*L192)+(L182*L193)+(L183*L194)+(L185*L196)+(L186*L197)+(L198*L187)+(L189*L200)-1036.73</f>
        <v>-1036.73</v>
      </c>
      <c r="M169" s="89">
        <f>(M181*M192)+(M182*M193)+(M183*M194)+(M185*M196)+(M186*M197)+(M198*M187)+(M189*M200)-1036.73</f>
        <v>-1036.73</v>
      </c>
      <c r="N169" s="89">
        <f>(N181*N192)+(N182*N193)+(N183*N194)+(N185*N196)+(N186*N197)+(N198*N187)+(N189*N200)+(N190*N201)</f>
        <v>12493399.999990236</v>
      </c>
      <c r="O169" s="89">
        <f>O184*O195</f>
        <v>82500</v>
      </c>
      <c r="P169" s="89">
        <f>N169+O169</f>
        <v>12575899.999990236</v>
      </c>
      <c r="IB169" s="92"/>
      <c r="IC169" s="92"/>
      <c r="ID169" s="92"/>
      <c r="IE169" s="92"/>
      <c r="IF169" s="92"/>
      <c r="IG169" s="92"/>
    </row>
    <row r="170" spans="1:241" s="1" customFormat="1" ht="30.75" customHeight="1" hidden="1">
      <c r="A170" s="22" t="s">
        <v>49</v>
      </c>
      <c r="B170" s="12"/>
      <c r="C170" s="12"/>
      <c r="D170" s="13" t="e">
        <f>D181*D194+E182*#REF!+D185*#REF!+#REF!*#REF!+#REF!*E196+#REF!*D198+#REF!*D193+E186*E197</f>
        <v>#REF!</v>
      </c>
      <c r="E170" s="13" t="e">
        <f>E181*E194+#REF!*#REF!+E185*#REF!+#REF!*#REF!+#REF!*#REF!+#REF!*E198+#REF!*E193+#REF!*#REF!</f>
        <v>#REF!</v>
      </c>
      <c r="F170" s="13" t="e">
        <f>F181*F194+F182*#REF!+F185*#REF!+#REF!*#REF!+#REF!*F196+#REF!*F198+#REF!*F193+F186*F197</f>
        <v>#REF!</v>
      </c>
      <c r="G170" s="13" t="e">
        <f>G181*G194+H182*#REF!+G185*#REF!+#REF!*#REF!+#REF!*H196+#REF!*G198+#REF!*G193+H186*H197</f>
        <v>#REF!</v>
      </c>
      <c r="H170" s="13" t="e">
        <f>H181*H194+#REF!*#REF!+H185*#REF!+#REF!*#REF!+#REF!*#REF!+#REF!*H198+#REF!*H193+#REF!*#REF!</f>
        <v>#REF!</v>
      </c>
      <c r="I170" s="13"/>
      <c r="J170" s="13" t="e">
        <f>J181*J194+J182*#REF!+J185*#REF!+#REF!*#REF!+#REF!*J196+#REF!*J198+#REF!*J193+J186*J197</f>
        <v>#REF!</v>
      </c>
      <c r="K170" s="16"/>
      <c r="L170" s="16"/>
      <c r="M170" s="16"/>
      <c r="N170" s="13" t="e">
        <f>N181*N194+O182*#REF!+N185*#REF!+#REF!*#REF!+#REF!*O196+#REF!*N198+#REF!*N193+O186*N197</f>
        <v>#REF!</v>
      </c>
      <c r="O170" s="13" t="e">
        <f>O181*O194+#REF!*#REF!+O185*#REF!+#REF!*#REF!+#REF!*#REF!+#REF!*O198+#REF!*O193+#REF!*O197</f>
        <v>#REF!</v>
      </c>
      <c r="P170" s="13" t="e">
        <f>P181*P194+P182*#REF!+P185*#REF!+#REF!*#REF!+#REF!*P196+#REF!*P198+#REF!*P193+P186*P197</f>
        <v>#REF!</v>
      </c>
      <c r="IB170"/>
      <c r="IC170"/>
      <c r="ID170"/>
      <c r="IE170"/>
      <c r="IF170"/>
      <c r="IG170"/>
    </row>
    <row r="171" spans="1:241" s="1" customFormat="1" ht="12">
      <c r="A171" s="54" t="s">
        <v>4</v>
      </c>
      <c r="B171" s="61"/>
      <c r="C171" s="61"/>
      <c r="D171" s="129"/>
      <c r="E171" s="129"/>
      <c r="F171" s="129"/>
      <c r="G171" s="129"/>
      <c r="H171" s="129"/>
      <c r="I171" s="129"/>
      <c r="J171" s="129"/>
      <c r="K171" s="63"/>
      <c r="L171" s="63"/>
      <c r="M171" s="63"/>
      <c r="N171" s="129"/>
      <c r="O171" s="129"/>
      <c r="P171" s="129"/>
      <c r="IB171"/>
      <c r="IC171"/>
      <c r="ID171"/>
      <c r="IE171"/>
      <c r="IF171"/>
      <c r="IG171"/>
    </row>
    <row r="172" spans="1:241" s="1" customFormat="1" ht="34.5" customHeight="1">
      <c r="A172" s="55" t="s">
        <v>127</v>
      </c>
      <c r="B172" s="59"/>
      <c r="C172" s="59"/>
      <c r="D172" s="62">
        <v>76.23</v>
      </c>
      <c r="E172" s="62"/>
      <c r="F172" s="62">
        <f aca="true" t="shared" si="18" ref="F172:F179">D172</f>
        <v>76.23</v>
      </c>
      <c r="G172" s="62">
        <f>F172</f>
        <v>76.23</v>
      </c>
      <c r="H172" s="62"/>
      <c r="I172" s="62"/>
      <c r="J172" s="62">
        <f>G172</f>
        <v>76.23</v>
      </c>
      <c r="K172" s="63"/>
      <c r="L172" s="63"/>
      <c r="M172" s="63"/>
      <c r="N172" s="62">
        <f>G172</f>
        <v>76.23</v>
      </c>
      <c r="O172" s="62"/>
      <c r="P172" s="62">
        <f>N172</f>
        <v>76.23</v>
      </c>
      <c r="IB172"/>
      <c r="IC172"/>
      <c r="ID172"/>
      <c r="IE172"/>
      <c r="IF172"/>
      <c r="IG172"/>
    </row>
    <row r="173" spans="1:241" s="1" customFormat="1" ht="22.5">
      <c r="A173" s="55" t="s">
        <v>128</v>
      </c>
      <c r="B173" s="59"/>
      <c r="C173" s="59"/>
      <c r="D173" s="62">
        <v>4850</v>
      </c>
      <c r="E173" s="62"/>
      <c r="F173" s="62">
        <f t="shared" si="18"/>
        <v>4850</v>
      </c>
      <c r="G173" s="62">
        <f>F173</f>
        <v>4850</v>
      </c>
      <c r="H173" s="62"/>
      <c r="I173" s="62"/>
      <c r="J173" s="62">
        <f>G173</f>
        <v>4850</v>
      </c>
      <c r="K173" s="63"/>
      <c r="L173" s="63"/>
      <c r="M173" s="63"/>
      <c r="N173" s="62">
        <v>4850</v>
      </c>
      <c r="O173" s="62"/>
      <c r="P173" s="62">
        <f>N173</f>
        <v>4850</v>
      </c>
      <c r="IB173"/>
      <c r="IC173"/>
      <c r="ID173"/>
      <c r="IE173"/>
      <c r="IF173"/>
      <c r="IG173"/>
    </row>
    <row r="174" spans="1:241" s="1" customFormat="1" ht="22.5">
      <c r="A174" s="55" t="s">
        <v>129</v>
      </c>
      <c r="B174" s="59"/>
      <c r="C174" s="59"/>
      <c r="D174" s="62">
        <v>2005</v>
      </c>
      <c r="E174" s="62"/>
      <c r="F174" s="62">
        <f t="shared" si="18"/>
        <v>2005</v>
      </c>
      <c r="G174" s="62">
        <f>F174</f>
        <v>2005</v>
      </c>
      <c r="H174" s="62"/>
      <c r="I174" s="62"/>
      <c r="J174" s="62">
        <f>G174</f>
        <v>2005</v>
      </c>
      <c r="K174" s="63"/>
      <c r="L174" s="63"/>
      <c r="M174" s="63"/>
      <c r="N174" s="62">
        <v>2005</v>
      </c>
      <c r="O174" s="62"/>
      <c r="P174" s="62">
        <f>N174</f>
        <v>2005</v>
      </c>
      <c r="IB174"/>
      <c r="IC174"/>
      <c r="ID174"/>
      <c r="IE174"/>
      <c r="IF174"/>
      <c r="IG174"/>
    </row>
    <row r="175" spans="1:241" s="1" customFormat="1" ht="24.75" customHeight="1">
      <c r="A175" s="55" t="s">
        <v>215</v>
      </c>
      <c r="B175" s="59"/>
      <c r="C175" s="59"/>
      <c r="D175" s="62"/>
      <c r="E175" s="62">
        <v>5396</v>
      </c>
      <c r="F175" s="62">
        <f>E175</f>
        <v>5396</v>
      </c>
      <c r="G175" s="62"/>
      <c r="H175" s="62">
        <f>E175</f>
        <v>5396</v>
      </c>
      <c r="I175" s="62"/>
      <c r="J175" s="62">
        <f>H175</f>
        <v>5396</v>
      </c>
      <c r="K175" s="63"/>
      <c r="L175" s="63"/>
      <c r="M175" s="63"/>
      <c r="N175" s="62"/>
      <c r="O175" s="62">
        <f>H175</f>
        <v>5396</v>
      </c>
      <c r="P175" s="62">
        <f>O175</f>
        <v>5396</v>
      </c>
      <c r="IB175"/>
      <c r="IC175"/>
      <c r="ID175"/>
      <c r="IE175"/>
      <c r="IF175"/>
      <c r="IG175"/>
    </row>
    <row r="176" spans="1:241" s="1" customFormat="1" ht="25.5" customHeight="1">
      <c r="A176" s="55" t="s">
        <v>146</v>
      </c>
      <c r="B176" s="59"/>
      <c r="C176" s="59"/>
      <c r="D176" s="62">
        <v>230</v>
      </c>
      <c r="E176" s="62"/>
      <c r="F176" s="62">
        <f t="shared" si="18"/>
        <v>230</v>
      </c>
      <c r="G176" s="62">
        <v>250</v>
      </c>
      <c r="H176" s="62"/>
      <c r="I176" s="62"/>
      <c r="J176" s="62">
        <f>G176</f>
        <v>250</v>
      </c>
      <c r="K176" s="63"/>
      <c r="L176" s="63"/>
      <c r="M176" s="63"/>
      <c r="N176" s="62">
        <v>270</v>
      </c>
      <c r="O176" s="62"/>
      <c r="P176" s="62">
        <f>N176</f>
        <v>270</v>
      </c>
      <c r="IB176"/>
      <c r="IC176"/>
      <c r="ID176"/>
      <c r="IE176"/>
      <c r="IF176"/>
      <c r="IG176"/>
    </row>
    <row r="177" spans="1:241" s="1" customFormat="1" ht="29.25" customHeight="1">
      <c r="A177" s="55" t="s">
        <v>130</v>
      </c>
      <c r="B177" s="59"/>
      <c r="C177" s="59"/>
      <c r="D177" s="62">
        <v>76.26</v>
      </c>
      <c r="E177" s="62"/>
      <c r="F177" s="62">
        <f t="shared" si="18"/>
        <v>76.26</v>
      </c>
      <c r="G177" s="62">
        <f>F177</f>
        <v>76.26</v>
      </c>
      <c r="H177" s="62"/>
      <c r="I177" s="62"/>
      <c r="J177" s="62">
        <f>G177</f>
        <v>76.26</v>
      </c>
      <c r="K177" s="63"/>
      <c r="L177" s="63"/>
      <c r="M177" s="63"/>
      <c r="N177" s="62">
        <f>J177</f>
        <v>76.26</v>
      </c>
      <c r="O177" s="62"/>
      <c r="P177" s="62">
        <f>N177</f>
        <v>76.26</v>
      </c>
      <c r="IB177"/>
      <c r="IC177"/>
      <c r="ID177"/>
      <c r="IE177"/>
      <c r="IF177"/>
      <c r="IG177"/>
    </row>
    <row r="178" spans="1:241" s="1" customFormat="1" ht="31.5" customHeight="1">
      <c r="A178" s="55" t="s">
        <v>78</v>
      </c>
      <c r="B178" s="59"/>
      <c r="C178" s="59"/>
      <c r="D178" s="62">
        <v>280000</v>
      </c>
      <c r="E178" s="62"/>
      <c r="F178" s="62">
        <f t="shared" si="18"/>
        <v>280000</v>
      </c>
      <c r="G178" s="62"/>
      <c r="H178" s="62"/>
      <c r="I178" s="62"/>
      <c r="J178" s="62"/>
      <c r="K178" s="63"/>
      <c r="L178" s="63"/>
      <c r="M178" s="63"/>
      <c r="N178" s="62"/>
      <c r="O178" s="62"/>
      <c r="P178" s="62"/>
      <c r="IB178"/>
      <c r="IC178"/>
      <c r="ID178"/>
      <c r="IE178"/>
      <c r="IF178"/>
      <c r="IG178"/>
    </row>
    <row r="179" spans="1:241" s="112" customFormat="1" ht="29.25" customHeight="1">
      <c r="A179" s="109" t="s">
        <v>231</v>
      </c>
      <c r="B179" s="110"/>
      <c r="C179" s="110"/>
      <c r="D179" s="114">
        <v>11.549</v>
      </c>
      <c r="E179" s="114"/>
      <c r="F179" s="114">
        <f t="shared" si="18"/>
        <v>11.549</v>
      </c>
      <c r="G179" s="114">
        <v>11.549</v>
      </c>
      <c r="H179" s="114"/>
      <c r="I179" s="114">
        <f>G179</f>
        <v>11.549</v>
      </c>
      <c r="J179" s="114"/>
      <c r="K179" s="111"/>
      <c r="L179" s="111"/>
      <c r="M179" s="111"/>
      <c r="N179" s="114">
        <v>11.55</v>
      </c>
      <c r="O179" s="114"/>
      <c r="P179" s="114">
        <f>N179</f>
        <v>11.55</v>
      </c>
      <c r="IB179" s="113"/>
      <c r="IC179" s="113"/>
      <c r="ID179" s="113"/>
      <c r="IE179" s="113"/>
      <c r="IF179" s="113"/>
      <c r="IG179" s="113"/>
    </row>
    <row r="180" spans="1:241" s="1" customFormat="1" ht="12">
      <c r="A180" s="54" t="s">
        <v>5</v>
      </c>
      <c r="B180" s="61"/>
      <c r="C180" s="61"/>
      <c r="D180" s="129"/>
      <c r="E180" s="129"/>
      <c r="F180" s="129"/>
      <c r="G180" s="129"/>
      <c r="H180" s="129"/>
      <c r="I180" s="129"/>
      <c r="J180" s="62"/>
      <c r="K180" s="63"/>
      <c r="L180" s="63"/>
      <c r="M180" s="63"/>
      <c r="N180" s="129"/>
      <c r="O180" s="129"/>
      <c r="P180" s="62"/>
      <c r="IB180"/>
      <c r="IC180"/>
      <c r="ID180"/>
      <c r="IE180"/>
      <c r="IF180"/>
      <c r="IG180"/>
    </row>
    <row r="181" spans="1:241" s="1" customFormat="1" ht="28.5" customHeight="1">
      <c r="A181" s="55" t="s">
        <v>131</v>
      </c>
      <c r="B181" s="59"/>
      <c r="C181" s="59"/>
      <c r="D181" s="62">
        <v>76.23</v>
      </c>
      <c r="E181" s="62"/>
      <c r="F181" s="62">
        <f>D181</f>
        <v>76.23</v>
      </c>
      <c r="G181" s="62">
        <f>F181</f>
        <v>76.23</v>
      </c>
      <c r="H181" s="62"/>
      <c r="I181" s="62"/>
      <c r="J181" s="62">
        <f aca="true" t="shared" si="19" ref="J181:J187">G181</f>
        <v>76.23</v>
      </c>
      <c r="K181" s="63"/>
      <c r="L181" s="63"/>
      <c r="M181" s="63"/>
      <c r="N181" s="62">
        <f>J181</f>
        <v>76.23</v>
      </c>
      <c r="O181" s="62"/>
      <c r="P181" s="62">
        <f aca="true" t="shared" si="20" ref="P181:P187">N181</f>
        <v>76.23</v>
      </c>
      <c r="IB181"/>
      <c r="IC181"/>
      <c r="ID181"/>
      <c r="IE181"/>
      <c r="IF181"/>
      <c r="IG181"/>
    </row>
    <row r="182" spans="1:241" s="112" customFormat="1" ht="22.5">
      <c r="A182" s="109" t="s">
        <v>132</v>
      </c>
      <c r="B182" s="110"/>
      <c r="C182" s="110"/>
      <c r="D182" s="114">
        <f>520+17</f>
        <v>537</v>
      </c>
      <c r="E182" s="114"/>
      <c r="F182" s="114">
        <f aca="true" t="shared" si="21" ref="F182:F190">D182</f>
        <v>537</v>
      </c>
      <c r="G182" s="114">
        <f>565+18+58+100+1</f>
        <v>742</v>
      </c>
      <c r="H182" s="114"/>
      <c r="I182" s="114"/>
      <c r="J182" s="114">
        <f t="shared" si="19"/>
        <v>742</v>
      </c>
      <c r="K182" s="111"/>
      <c r="L182" s="111"/>
      <c r="M182" s="111"/>
      <c r="N182" s="114">
        <v>751</v>
      </c>
      <c r="O182" s="114"/>
      <c r="P182" s="114">
        <f t="shared" si="20"/>
        <v>751</v>
      </c>
      <c r="IB182" s="113"/>
      <c r="IC182" s="113"/>
      <c r="ID182" s="113"/>
      <c r="IE182" s="113"/>
      <c r="IF182" s="113"/>
      <c r="IG182" s="113"/>
    </row>
    <row r="183" spans="1:241" s="112" customFormat="1" ht="26.25" customHeight="1">
      <c r="A183" s="109" t="s">
        <v>133</v>
      </c>
      <c r="B183" s="110"/>
      <c r="C183" s="110"/>
      <c r="D183" s="114">
        <v>366</v>
      </c>
      <c r="E183" s="114"/>
      <c r="F183" s="114">
        <f t="shared" si="21"/>
        <v>366</v>
      </c>
      <c r="G183" s="114">
        <v>505</v>
      </c>
      <c r="H183" s="114"/>
      <c r="I183" s="114"/>
      <c r="J183" s="114">
        <f t="shared" si="19"/>
        <v>505</v>
      </c>
      <c r="K183" s="111"/>
      <c r="L183" s="111"/>
      <c r="M183" s="111"/>
      <c r="N183" s="114">
        <v>820</v>
      </c>
      <c r="O183" s="114"/>
      <c r="P183" s="114">
        <f t="shared" si="20"/>
        <v>820</v>
      </c>
      <c r="IB183" s="113"/>
      <c r="IC183" s="113"/>
      <c r="ID183" s="113"/>
      <c r="IE183" s="113"/>
      <c r="IF183" s="113"/>
      <c r="IG183" s="113"/>
    </row>
    <row r="184" spans="1:241" s="1" customFormat="1" ht="26.25" customHeight="1">
      <c r="A184" s="55" t="s">
        <v>216</v>
      </c>
      <c r="B184" s="59"/>
      <c r="C184" s="59"/>
      <c r="D184" s="62"/>
      <c r="E184" s="62">
        <f>150+36</f>
        <v>186</v>
      </c>
      <c r="F184" s="62">
        <f>E184</f>
        <v>186</v>
      </c>
      <c r="G184" s="62"/>
      <c r="H184" s="62">
        <v>150</v>
      </c>
      <c r="I184" s="62"/>
      <c r="J184" s="62">
        <f>H184</f>
        <v>150</v>
      </c>
      <c r="K184" s="63"/>
      <c r="L184" s="63"/>
      <c r="M184" s="63"/>
      <c r="N184" s="62"/>
      <c r="O184" s="62">
        <v>150</v>
      </c>
      <c r="P184" s="62">
        <f>O184</f>
        <v>150</v>
      </c>
      <c r="IB184"/>
      <c r="IC184"/>
      <c r="ID184"/>
      <c r="IE184"/>
      <c r="IF184"/>
      <c r="IG184"/>
    </row>
    <row r="185" spans="1:241" s="1" customFormat="1" ht="22.5">
      <c r="A185" s="55" t="s">
        <v>145</v>
      </c>
      <c r="B185" s="59"/>
      <c r="C185" s="59"/>
      <c r="D185" s="62">
        <v>222</v>
      </c>
      <c r="E185" s="62"/>
      <c r="F185" s="62">
        <f t="shared" si="21"/>
        <v>222</v>
      </c>
      <c r="G185" s="62">
        <v>243</v>
      </c>
      <c r="H185" s="62"/>
      <c r="I185" s="62"/>
      <c r="J185" s="62">
        <f t="shared" si="19"/>
        <v>243</v>
      </c>
      <c r="K185" s="63"/>
      <c r="L185" s="63"/>
      <c r="M185" s="63"/>
      <c r="N185" s="62">
        <v>267</v>
      </c>
      <c r="O185" s="62"/>
      <c r="P185" s="62">
        <f t="shared" si="20"/>
        <v>267</v>
      </c>
      <c r="IB185"/>
      <c r="IC185"/>
      <c r="ID185"/>
      <c r="IE185"/>
      <c r="IF185"/>
      <c r="IG185"/>
    </row>
    <row r="186" spans="1:241" s="1" customFormat="1" ht="22.5">
      <c r="A186" s="55" t="s">
        <v>134</v>
      </c>
      <c r="B186" s="59"/>
      <c r="C186" s="59"/>
      <c r="D186" s="62">
        <v>76.26</v>
      </c>
      <c r="E186" s="62"/>
      <c r="F186" s="62">
        <f t="shared" si="21"/>
        <v>76.26</v>
      </c>
      <c r="G186" s="62">
        <v>76.26</v>
      </c>
      <c r="H186" s="62"/>
      <c r="I186" s="62"/>
      <c r="J186" s="62">
        <f t="shared" si="19"/>
        <v>76.26</v>
      </c>
      <c r="K186" s="63"/>
      <c r="L186" s="63"/>
      <c r="M186" s="63"/>
      <c r="N186" s="62">
        <f>J186</f>
        <v>76.26</v>
      </c>
      <c r="O186" s="62"/>
      <c r="P186" s="62">
        <f t="shared" si="20"/>
        <v>76.26</v>
      </c>
      <c r="IB186"/>
      <c r="IC186"/>
      <c r="ID186"/>
      <c r="IE186"/>
      <c r="IF186"/>
      <c r="IG186"/>
    </row>
    <row r="187" spans="1:241" s="1" customFormat="1" ht="24" customHeight="1">
      <c r="A187" s="55" t="s">
        <v>135</v>
      </c>
      <c r="B187" s="59"/>
      <c r="C187" s="59"/>
      <c r="D187" s="62">
        <v>49006</v>
      </c>
      <c r="E187" s="62"/>
      <c r="F187" s="62">
        <f t="shared" si="21"/>
        <v>49006</v>
      </c>
      <c r="G187" s="62">
        <f>F187</f>
        <v>49006</v>
      </c>
      <c r="H187" s="62"/>
      <c r="I187" s="62"/>
      <c r="J187" s="62">
        <f t="shared" si="19"/>
        <v>49006</v>
      </c>
      <c r="K187" s="63"/>
      <c r="L187" s="63"/>
      <c r="M187" s="63"/>
      <c r="N187" s="62">
        <f>J187</f>
        <v>49006</v>
      </c>
      <c r="O187" s="62"/>
      <c r="P187" s="62">
        <f t="shared" si="20"/>
        <v>49006</v>
      </c>
      <c r="IB187"/>
      <c r="IC187"/>
      <c r="ID187"/>
      <c r="IE187"/>
      <c r="IF187"/>
      <c r="IG187"/>
    </row>
    <row r="188" spans="1:241" s="1" customFormat="1" ht="24" customHeight="1">
      <c r="A188" s="55" t="s">
        <v>218</v>
      </c>
      <c r="B188" s="59"/>
      <c r="C188" s="59"/>
      <c r="D188" s="62">
        <v>25</v>
      </c>
      <c r="E188" s="62"/>
      <c r="F188" s="62">
        <f t="shared" si="21"/>
        <v>25</v>
      </c>
      <c r="G188" s="62"/>
      <c r="H188" s="62"/>
      <c r="I188" s="62"/>
      <c r="J188" s="62"/>
      <c r="K188" s="63"/>
      <c r="L188" s="63"/>
      <c r="M188" s="63"/>
      <c r="N188" s="62"/>
      <c r="O188" s="62"/>
      <c r="P188" s="62"/>
      <c r="IB188"/>
      <c r="IC188"/>
      <c r="ID188"/>
      <c r="IE188"/>
      <c r="IF188"/>
      <c r="IG188"/>
    </row>
    <row r="189" spans="1:241" s="1" customFormat="1" ht="28.5" customHeight="1">
      <c r="A189" s="55" t="s">
        <v>77</v>
      </c>
      <c r="B189" s="59"/>
      <c r="C189" s="59"/>
      <c r="D189" s="62">
        <v>4</v>
      </c>
      <c r="E189" s="62"/>
      <c r="F189" s="62">
        <f t="shared" si="21"/>
        <v>4</v>
      </c>
      <c r="G189" s="62"/>
      <c r="H189" s="62"/>
      <c r="I189" s="62"/>
      <c r="J189" s="62"/>
      <c r="K189" s="63"/>
      <c r="L189" s="63"/>
      <c r="M189" s="63"/>
      <c r="N189" s="62"/>
      <c r="O189" s="62"/>
      <c r="P189" s="62"/>
      <c r="IB189"/>
      <c r="IC189"/>
      <c r="ID189"/>
      <c r="IE189"/>
      <c r="IF189"/>
      <c r="IG189"/>
    </row>
    <row r="190" spans="1:241" s="112" customFormat="1" ht="28.5" customHeight="1">
      <c r="A190" s="109" t="s">
        <v>232</v>
      </c>
      <c r="B190" s="110"/>
      <c r="C190" s="110"/>
      <c r="D190" s="114">
        <v>11.549</v>
      </c>
      <c r="E190" s="114"/>
      <c r="F190" s="114">
        <f t="shared" si="21"/>
        <v>11.549</v>
      </c>
      <c r="G190" s="114">
        <v>11.549</v>
      </c>
      <c r="H190" s="114"/>
      <c r="I190" s="114"/>
      <c r="J190" s="114">
        <v>11.55</v>
      </c>
      <c r="K190" s="111"/>
      <c r="L190" s="111"/>
      <c r="M190" s="111"/>
      <c r="N190" s="114">
        <v>11.55</v>
      </c>
      <c r="O190" s="114"/>
      <c r="P190" s="114">
        <v>11.55</v>
      </c>
      <c r="IB190" s="113"/>
      <c r="IC190" s="113"/>
      <c r="ID190" s="113"/>
      <c r="IE190" s="113"/>
      <c r="IF190" s="113"/>
      <c r="IG190" s="113"/>
    </row>
    <row r="191" spans="1:241" s="1" customFormat="1" ht="12">
      <c r="A191" s="54" t="s">
        <v>7</v>
      </c>
      <c r="B191" s="61"/>
      <c r="C191" s="61"/>
      <c r="D191" s="129"/>
      <c r="E191" s="129"/>
      <c r="F191" s="62"/>
      <c r="G191" s="129"/>
      <c r="H191" s="129"/>
      <c r="I191" s="129"/>
      <c r="J191" s="62"/>
      <c r="K191" s="63"/>
      <c r="L191" s="63"/>
      <c r="M191" s="63"/>
      <c r="N191" s="129"/>
      <c r="O191" s="129"/>
      <c r="P191" s="62"/>
      <c r="IB191"/>
      <c r="IC191"/>
      <c r="ID191"/>
      <c r="IE191"/>
      <c r="IF191"/>
      <c r="IG191"/>
    </row>
    <row r="192" spans="1:241" s="1" customFormat="1" ht="33.75">
      <c r="A192" s="55" t="s">
        <v>136</v>
      </c>
      <c r="B192" s="61"/>
      <c r="C192" s="61"/>
      <c r="D192" s="62">
        <v>34763</v>
      </c>
      <c r="E192" s="129"/>
      <c r="F192" s="62">
        <f>D192</f>
        <v>34763</v>
      </c>
      <c r="G192" s="62">
        <v>41725</v>
      </c>
      <c r="H192" s="129"/>
      <c r="I192" s="129"/>
      <c r="J192" s="62">
        <f aca="true" t="shared" si="22" ref="J192:J198">G192</f>
        <v>41725</v>
      </c>
      <c r="K192" s="63"/>
      <c r="L192" s="63"/>
      <c r="M192" s="63"/>
      <c r="N192" s="62">
        <v>53067</v>
      </c>
      <c r="O192" s="129"/>
      <c r="P192" s="62">
        <f aca="true" t="shared" si="23" ref="P192:P201">N192</f>
        <v>53067</v>
      </c>
      <c r="IB192"/>
      <c r="IC192"/>
      <c r="ID192"/>
      <c r="IE192"/>
      <c r="IF192"/>
      <c r="IG192"/>
    </row>
    <row r="193" spans="1:241" s="1" customFormat="1" ht="22.5">
      <c r="A193" s="55" t="s">
        <v>137</v>
      </c>
      <c r="B193" s="59"/>
      <c r="C193" s="59"/>
      <c r="D193" s="62">
        <v>1500</v>
      </c>
      <c r="E193" s="62"/>
      <c r="F193" s="62">
        <f>D193</f>
        <v>1500</v>
      </c>
      <c r="G193" s="62">
        <v>2500.45458853</v>
      </c>
      <c r="H193" s="62"/>
      <c r="I193" s="62"/>
      <c r="J193" s="62">
        <f t="shared" si="22"/>
        <v>2500.45458853</v>
      </c>
      <c r="K193" s="63"/>
      <c r="L193" s="63"/>
      <c r="M193" s="63"/>
      <c r="N193" s="62">
        <v>2850.53262316</v>
      </c>
      <c r="O193" s="62"/>
      <c r="P193" s="62">
        <f t="shared" si="23"/>
        <v>2850.53262316</v>
      </c>
      <c r="IB193"/>
      <c r="IC193"/>
      <c r="ID193"/>
      <c r="IE193"/>
      <c r="IF193"/>
      <c r="IG193"/>
    </row>
    <row r="194" spans="1:241" s="1" customFormat="1" ht="22.5">
      <c r="A194" s="55" t="s">
        <v>138</v>
      </c>
      <c r="B194" s="59"/>
      <c r="C194" s="59"/>
      <c r="D194" s="62">
        <v>320</v>
      </c>
      <c r="E194" s="62"/>
      <c r="F194" s="62">
        <f aca="true" t="shared" si="24" ref="F194:F201">D194</f>
        <v>320</v>
      </c>
      <c r="G194" s="62">
        <v>420</v>
      </c>
      <c r="H194" s="62"/>
      <c r="I194" s="62"/>
      <c r="J194" s="62">
        <f t="shared" si="22"/>
        <v>420</v>
      </c>
      <c r="K194" s="63"/>
      <c r="L194" s="63"/>
      <c r="M194" s="63"/>
      <c r="N194" s="62">
        <v>540</v>
      </c>
      <c r="O194" s="62"/>
      <c r="P194" s="62">
        <f t="shared" si="23"/>
        <v>540</v>
      </c>
      <c r="IB194"/>
      <c r="IC194"/>
      <c r="ID194"/>
      <c r="IE194"/>
      <c r="IF194"/>
      <c r="IG194"/>
    </row>
    <row r="195" spans="1:241" s="1" customFormat="1" ht="27" customHeight="1">
      <c r="A195" s="55" t="s">
        <v>217</v>
      </c>
      <c r="B195" s="59"/>
      <c r="C195" s="59"/>
      <c r="D195" s="62"/>
      <c r="E195" s="62">
        <v>550</v>
      </c>
      <c r="F195" s="62">
        <f>E195</f>
        <v>550</v>
      </c>
      <c r="G195" s="62"/>
      <c r="H195" s="62">
        <v>550</v>
      </c>
      <c r="I195" s="62"/>
      <c r="J195" s="62">
        <f>H195</f>
        <v>550</v>
      </c>
      <c r="K195" s="63"/>
      <c r="L195" s="63"/>
      <c r="M195" s="63"/>
      <c r="N195" s="62"/>
      <c r="O195" s="62">
        <v>550</v>
      </c>
      <c r="P195" s="62">
        <f>O195</f>
        <v>550</v>
      </c>
      <c r="IB195"/>
      <c r="IC195"/>
      <c r="ID195"/>
      <c r="IE195"/>
      <c r="IF195"/>
      <c r="IG195"/>
    </row>
    <row r="196" spans="1:241" s="1" customFormat="1" ht="22.5">
      <c r="A196" s="55" t="s">
        <v>139</v>
      </c>
      <c r="B196" s="59"/>
      <c r="C196" s="59"/>
      <c r="D196" s="62">
        <v>5100</v>
      </c>
      <c r="E196" s="62"/>
      <c r="F196" s="62">
        <f t="shared" si="24"/>
        <v>5100</v>
      </c>
      <c r="G196" s="62">
        <v>5600</v>
      </c>
      <c r="H196" s="62"/>
      <c r="I196" s="62"/>
      <c r="J196" s="62">
        <f t="shared" si="22"/>
        <v>5600</v>
      </c>
      <c r="K196" s="63"/>
      <c r="L196" s="63"/>
      <c r="M196" s="63"/>
      <c r="N196" s="62">
        <v>6800</v>
      </c>
      <c r="O196" s="62"/>
      <c r="P196" s="62">
        <f t="shared" si="23"/>
        <v>6800</v>
      </c>
      <c r="IB196"/>
      <c r="IC196"/>
      <c r="ID196"/>
      <c r="IE196"/>
      <c r="IF196"/>
      <c r="IG196"/>
    </row>
    <row r="197" spans="1:241" s="1" customFormat="1" ht="22.5">
      <c r="A197" s="55" t="s">
        <v>140</v>
      </c>
      <c r="B197" s="59"/>
      <c r="C197" s="59"/>
      <c r="D197" s="62">
        <v>26850</v>
      </c>
      <c r="E197" s="62"/>
      <c r="F197" s="62">
        <f t="shared" si="24"/>
        <v>26850</v>
      </c>
      <c r="G197" s="62">
        <v>32317</v>
      </c>
      <c r="H197" s="62"/>
      <c r="I197" s="62"/>
      <c r="J197" s="62">
        <f t="shared" si="22"/>
        <v>32317</v>
      </c>
      <c r="K197" s="63"/>
      <c r="L197" s="63"/>
      <c r="M197" s="63"/>
      <c r="N197" s="62">
        <v>45312</v>
      </c>
      <c r="O197" s="62"/>
      <c r="P197" s="62">
        <f t="shared" si="23"/>
        <v>45312</v>
      </c>
      <c r="IB197"/>
      <c r="IC197"/>
      <c r="ID197"/>
      <c r="IE197"/>
      <c r="IF197"/>
      <c r="IG197"/>
    </row>
    <row r="198" spans="1:241" s="1" customFormat="1" ht="22.5">
      <c r="A198" s="55" t="s">
        <v>141</v>
      </c>
      <c r="B198" s="59"/>
      <c r="C198" s="59"/>
      <c r="D198" s="62">
        <v>4.39</v>
      </c>
      <c r="E198" s="62"/>
      <c r="F198" s="62">
        <f t="shared" si="24"/>
        <v>4.39</v>
      </c>
      <c r="G198" s="62">
        <v>5.26</v>
      </c>
      <c r="H198" s="62"/>
      <c r="I198" s="62"/>
      <c r="J198" s="62">
        <f t="shared" si="22"/>
        <v>5.26</v>
      </c>
      <c r="K198" s="63"/>
      <c r="L198" s="63"/>
      <c r="M198" s="63"/>
      <c r="N198" s="62">
        <v>10.8039723707</v>
      </c>
      <c r="O198" s="62"/>
      <c r="P198" s="62">
        <f t="shared" si="23"/>
        <v>10.8039723707</v>
      </c>
      <c r="IB198"/>
      <c r="IC198"/>
      <c r="ID198"/>
      <c r="IE198"/>
      <c r="IF198"/>
      <c r="IG198"/>
    </row>
    <row r="199" spans="1:241" s="1" customFormat="1" ht="27" customHeight="1">
      <c r="A199" s="55" t="s">
        <v>219</v>
      </c>
      <c r="B199" s="59"/>
      <c r="C199" s="59"/>
      <c r="D199" s="62">
        <v>3988</v>
      </c>
      <c r="E199" s="62"/>
      <c r="F199" s="62">
        <f t="shared" si="24"/>
        <v>3988</v>
      </c>
      <c r="G199" s="62"/>
      <c r="H199" s="62"/>
      <c r="I199" s="62"/>
      <c r="J199" s="62"/>
      <c r="K199" s="63"/>
      <c r="L199" s="63"/>
      <c r="M199" s="63"/>
      <c r="N199" s="62"/>
      <c r="O199" s="62"/>
      <c r="P199" s="62"/>
      <c r="IB199"/>
      <c r="IC199"/>
      <c r="ID199"/>
      <c r="IE199"/>
      <c r="IF199"/>
      <c r="IG199"/>
    </row>
    <row r="200" spans="1:241" s="1" customFormat="1" ht="33.75" customHeight="1">
      <c r="A200" s="55" t="s">
        <v>79</v>
      </c>
      <c r="B200" s="59"/>
      <c r="C200" s="59"/>
      <c r="D200" s="62">
        <v>70000</v>
      </c>
      <c r="E200" s="62"/>
      <c r="F200" s="62">
        <f t="shared" si="24"/>
        <v>70000</v>
      </c>
      <c r="G200" s="62"/>
      <c r="H200" s="62"/>
      <c r="I200" s="62"/>
      <c r="J200" s="62"/>
      <c r="K200" s="63"/>
      <c r="L200" s="63"/>
      <c r="M200" s="63"/>
      <c r="N200" s="62"/>
      <c r="O200" s="62"/>
      <c r="P200" s="62"/>
      <c r="IB200"/>
      <c r="IC200"/>
      <c r="ID200"/>
      <c r="IE200"/>
      <c r="IF200"/>
      <c r="IG200"/>
    </row>
    <row r="201" spans="1:241" s="112" customFormat="1" ht="33.75" customHeight="1">
      <c r="A201" s="109" t="s">
        <v>233</v>
      </c>
      <c r="B201" s="110"/>
      <c r="C201" s="110"/>
      <c r="D201" s="114">
        <v>2520</v>
      </c>
      <c r="E201" s="114"/>
      <c r="F201" s="114">
        <f t="shared" si="24"/>
        <v>2520</v>
      </c>
      <c r="G201" s="114">
        <v>2770.8</v>
      </c>
      <c r="H201" s="114"/>
      <c r="I201" s="114">
        <f>G201</f>
        <v>2770.8</v>
      </c>
      <c r="J201" s="114"/>
      <c r="K201" s="111"/>
      <c r="L201" s="111"/>
      <c r="M201" s="111"/>
      <c r="N201" s="114">
        <v>5541.125541</v>
      </c>
      <c r="O201" s="114"/>
      <c r="P201" s="62">
        <f t="shared" si="23"/>
        <v>5541.125541</v>
      </c>
      <c r="IB201" s="113"/>
      <c r="IC201" s="113"/>
      <c r="ID201" s="113"/>
      <c r="IE201" s="113"/>
      <c r="IF201" s="113"/>
      <c r="IG201" s="113"/>
    </row>
    <row r="202" spans="1:241" s="1" customFormat="1" ht="12">
      <c r="A202" s="54" t="s">
        <v>6</v>
      </c>
      <c r="B202" s="61"/>
      <c r="C202" s="61"/>
      <c r="D202" s="129"/>
      <c r="E202" s="129"/>
      <c r="F202" s="62"/>
      <c r="G202" s="129"/>
      <c r="H202" s="129"/>
      <c r="I202" s="129"/>
      <c r="J202" s="62"/>
      <c r="K202" s="63"/>
      <c r="L202" s="63"/>
      <c r="M202" s="63"/>
      <c r="N202" s="129"/>
      <c r="O202" s="129"/>
      <c r="P202" s="62"/>
      <c r="IB202"/>
      <c r="IC202"/>
      <c r="ID202"/>
      <c r="IE202"/>
      <c r="IF202"/>
      <c r="IG202"/>
    </row>
    <row r="203" spans="1:241" s="1" customFormat="1" ht="23.25" customHeight="1">
      <c r="A203" s="55" t="s">
        <v>142</v>
      </c>
      <c r="B203" s="59"/>
      <c r="C203" s="59"/>
      <c r="D203" s="62">
        <f>D181/D172*100</f>
        <v>100</v>
      </c>
      <c r="E203" s="62"/>
      <c r="F203" s="62">
        <f aca="true" t="shared" si="25" ref="F203:G205">F181/F172*100</f>
        <v>100</v>
      </c>
      <c r="G203" s="62">
        <f t="shared" si="25"/>
        <v>100</v>
      </c>
      <c r="H203" s="62"/>
      <c r="I203" s="62"/>
      <c r="J203" s="62">
        <f aca="true" t="shared" si="26" ref="J203:N205">J181/J172*100</f>
        <v>100</v>
      </c>
      <c r="K203" s="62" t="e">
        <f t="shared" si="26"/>
        <v>#DIV/0!</v>
      </c>
      <c r="L203" s="62" t="e">
        <f t="shared" si="26"/>
        <v>#DIV/0!</v>
      </c>
      <c r="M203" s="62" t="e">
        <f t="shared" si="26"/>
        <v>#DIV/0!</v>
      </c>
      <c r="N203" s="62">
        <f t="shared" si="26"/>
        <v>100</v>
      </c>
      <c r="O203" s="62"/>
      <c r="P203" s="62">
        <f>P181/P172*100</f>
        <v>100</v>
      </c>
      <c r="IB203"/>
      <c r="IC203"/>
      <c r="ID203"/>
      <c r="IE203"/>
      <c r="IF203"/>
      <c r="IG203"/>
    </row>
    <row r="204" spans="1:241" s="1" customFormat="1" ht="41.25" customHeight="1">
      <c r="A204" s="55" t="s">
        <v>143</v>
      </c>
      <c r="B204" s="59"/>
      <c r="C204" s="59"/>
      <c r="D204" s="62">
        <f>D182/D173*100</f>
        <v>11.072164948453608</v>
      </c>
      <c r="E204" s="62"/>
      <c r="F204" s="62">
        <f t="shared" si="25"/>
        <v>11.072164948453608</v>
      </c>
      <c r="G204" s="62">
        <f t="shared" si="25"/>
        <v>15.298969072164947</v>
      </c>
      <c r="H204" s="62"/>
      <c r="I204" s="62"/>
      <c r="J204" s="62">
        <f t="shared" si="26"/>
        <v>15.298969072164947</v>
      </c>
      <c r="K204" s="62" t="e">
        <f t="shared" si="26"/>
        <v>#DIV/0!</v>
      </c>
      <c r="L204" s="62" t="e">
        <f t="shared" si="26"/>
        <v>#DIV/0!</v>
      </c>
      <c r="M204" s="62" t="e">
        <f t="shared" si="26"/>
        <v>#DIV/0!</v>
      </c>
      <c r="N204" s="62">
        <f t="shared" si="26"/>
        <v>15.484536082474227</v>
      </c>
      <c r="O204" s="62"/>
      <c r="P204" s="62">
        <f>P182/P173*100</f>
        <v>15.484536082474227</v>
      </c>
      <c r="IB204"/>
      <c r="IC204"/>
      <c r="ID204"/>
      <c r="IE204"/>
      <c r="IF204"/>
      <c r="IG204"/>
    </row>
    <row r="205" spans="1:241" s="1" customFormat="1" ht="35.25" customHeight="1">
      <c r="A205" s="55" t="s">
        <v>144</v>
      </c>
      <c r="B205" s="59"/>
      <c r="C205" s="59"/>
      <c r="D205" s="62">
        <f>D183/D174*100</f>
        <v>18.25436408977556</v>
      </c>
      <c r="E205" s="62"/>
      <c r="F205" s="62">
        <f t="shared" si="25"/>
        <v>18.25436408977556</v>
      </c>
      <c r="G205" s="62">
        <f t="shared" si="25"/>
        <v>25.187032418952622</v>
      </c>
      <c r="H205" s="62"/>
      <c r="I205" s="62"/>
      <c r="J205" s="62">
        <f t="shared" si="26"/>
        <v>25.187032418952622</v>
      </c>
      <c r="K205" s="62" t="e">
        <f t="shared" si="26"/>
        <v>#DIV/0!</v>
      </c>
      <c r="L205" s="62" t="e">
        <f t="shared" si="26"/>
        <v>#DIV/0!</v>
      </c>
      <c r="M205" s="62" t="e">
        <f t="shared" si="26"/>
        <v>#DIV/0!</v>
      </c>
      <c r="N205" s="62">
        <f t="shared" si="26"/>
        <v>40.89775561097257</v>
      </c>
      <c r="O205" s="62"/>
      <c r="P205" s="62">
        <f>P183/P174*100</f>
        <v>40.89775561097257</v>
      </c>
      <c r="IB205"/>
      <c r="IC205"/>
      <c r="ID205"/>
      <c r="IE205"/>
      <c r="IF205"/>
      <c r="IG205"/>
    </row>
    <row r="206" spans="1:241" s="91" customFormat="1" ht="45">
      <c r="A206" s="82" t="s">
        <v>367</v>
      </c>
      <c r="B206" s="88"/>
      <c r="C206" s="88"/>
      <c r="D206" s="89">
        <f>(D209*D230)+(D218*D232)+(D219*D233)+(D220*D240)+11.5</f>
        <v>6400000</v>
      </c>
      <c r="E206" s="89"/>
      <c r="F206" s="89">
        <f>(F209*F230)+(F218*F232)+(F219*F233)+(F220*F240)+11.5</f>
        <v>6400000</v>
      </c>
      <c r="G206" s="89">
        <f>(G209*G230)+(G218*G232)+(G219*G233)+(G220*G240)+G227*G241+G224*G239+G222*G234</f>
        <v>10062499.99975</v>
      </c>
      <c r="H206" s="89">
        <f>H221*H235</f>
        <v>120000</v>
      </c>
      <c r="I206" s="89"/>
      <c r="J206" s="89">
        <f>G206+H206</f>
        <v>10182499.99975</v>
      </c>
      <c r="K206" s="89">
        <f>(K209*K230)+(K218*K232)+(K219*K233)+(K220*K240)+11.5</f>
        <v>11.5</v>
      </c>
      <c r="L206" s="89">
        <f>(L209*L230)+(L218*L232)+(L219*L233)+(L220*L240)+11.5</f>
        <v>11.5</v>
      </c>
      <c r="M206" s="89">
        <f>(M209*M230)+(M218*M232)+(M219*M233)+(M220*M240)+11.5</f>
        <v>11.5</v>
      </c>
      <c r="N206" s="89">
        <f>(N209*N230)+(N218*N232)+(N219*N233)+(N220*N240)+(N223*N237)+(N222*N234)+(N224*N239)+N227*N241</f>
        <v>12567399.99995855</v>
      </c>
      <c r="O206" s="89">
        <f>O221*O235+O228*O242</f>
        <v>6974000</v>
      </c>
      <c r="P206" s="89">
        <f>N206+O206</f>
        <v>19541399.999958552</v>
      </c>
      <c r="IB206" s="92"/>
      <c r="IC206" s="92"/>
      <c r="ID206" s="92"/>
      <c r="IE206" s="92"/>
      <c r="IF206" s="92"/>
      <c r="IG206" s="92"/>
    </row>
    <row r="207" spans="1:241" s="1" customFormat="1" ht="30.75" customHeight="1" hidden="1">
      <c r="A207" s="22" t="s">
        <v>50</v>
      </c>
      <c r="B207" s="12"/>
      <c r="C207" s="12"/>
      <c r="D207" s="13" t="e">
        <f>D219*#REF!*12+#REF!*D233*12+D218*D232+D217*D230+#REF!*#REF!</f>
        <v>#REF!</v>
      </c>
      <c r="E207" s="13"/>
      <c r="F207" s="13" t="e">
        <f>F219*#REF!*12+#REF!*F233*12+F218*F232+F217*F230+#REF!*#REF!</f>
        <v>#REF!</v>
      </c>
      <c r="G207" s="13" t="e">
        <f>G219*#REF!*12+#REF!*G233*12+G218*G232+G217*G230+#REF!*#REF!</f>
        <v>#REF!</v>
      </c>
      <c r="H207" s="13" t="e">
        <f>H219*#REF!*12+#REF!*H233*12+H218*H232+H217*H230+#REF!*#REF!</f>
        <v>#REF!</v>
      </c>
      <c r="I207" s="13"/>
      <c r="J207" s="13" t="e">
        <f>J219*#REF!*12+#REF!*J233*12+J218*J232+J217*J230+#REF!*#REF!</f>
        <v>#REF!</v>
      </c>
      <c r="K207" s="16"/>
      <c r="L207" s="16"/>
      <c r="M207" s="16"/>
      <c r="N207" s="13" t="e">
        <f>N219*#REF!*12+#REF!*N233*12+N218*N232+N217*N230+#REF!*#REF!</f>
        <v>#REF!</v>
      </c>
      <c r="O207" s="13" t="e">
        <f>O219*#REF!*12+#REF!*O233*12+O218*O232+O217*O230+#REF!*#REF!</f>
        <v>#REF!</v>
      </c>
      <c r="P207" s="13" t="e">
        <f>P219*#REF!*12+#REF!*P233*12+P218*P232+P217*P230+#REF!*#REF!</f>
        <v>#REF!</v>
      </c>
      <c r="IB207"/>
      <c r="IC207"/>
      <c r="ID207"/>
      <c r="IE207"/>
      <c r="IF207"/>
      <c r="IG207"/>
    </row>
    <row r="208" spans="1:241" s="1" customFormat="1" ht="12">
      <c r="A208" s="54" t="s">
        <v>4</v>
      </c>
      <c r="B208" s="61"/>
      <c r="C208" s="61"/>
      <c r="D208" s="129"/>
      <c r="E208" s="129"/>
      <c r="F208" s="129"/>
      <c r="G208" s="129"/>
      <c r="H208" s="129"/>
      <c r="I208" s="129"/>
      <c r="J208" s="62"/>
      <c r="K208" s="63"/>
      <c r="L208" s="63"/>
      <c r="M208" s="63"/>
      <c r="N208" s="129"/>
      <c r="O208" s="129"/>
      <c r="P208" s="62"/>
      <c r="IB208"/>
      <c r="IC208"/>
      <c r="ID208"/>
      <c r="IE208"/>
      <c r="IF208"/>
      <c r="IG208"/>
    </row>
    <row r="209" spans="1:241" s="1" customFormat="1" ht="22.5">
      <c r="A209" s="55" t="s">
        <v>148</v>
      </c>
      <c r="B209" s="59"/>
      <c r="C209" s="59"/>
      <c r="D209" s="62">
        <v>93.1</v>
      </c>
      <c r="E209" s="62"/>
      <c r="F209" s="62">
        <f>D209</f>
        <v>93.1</v>
      </c>
      <c r="G209" s="62">
        <f>F209</f>
        <v>93.1</v>
      </c>
      <c r="H209" s="62"/>
      <c r="I209" s="62"/>
      <c r="J209" s="62">
        <f>G209</f>
        <v>93.1</v>
      </c>
      <c r="K209" s="63"/>
      <c r="L209" s="63"/>
      <c r="M209" s="63"/>
      <c r="N209" s="62">
        <f>J209</f>
        <v>93.1</v>
      </c>
      <c r="O209" s="62"/>
      <c r="P209" s="62">
        <f>N209</f>
        <v>93.1</v>
      </c>
      <c r="IB209"/>
      <c r="IC209"/>
      <c r="ID209"/>
      <c r="IE209"/>
      <c r="IF209"/>
      <c r="IG209"/>
    </row>
    <row r="210" spans="1:241" s="1" customFormat="1" ht="12">
      <c r="A210" s="55" t="s">
        <v>28</v>
      </c>
      <c r="B210" s="59"/>
      <c r="C210" s="59"/>
      <c r="D210" s="62">
        <v>1</v>
      </c>
      <c r="E210" s="62"/>
      <c r="F210" s="62">
        <v>1</v>
      </c>
      <c r="G210" s="62">
        <v>1</v>
      </c>
      <c r="H210" s="62"/>
      <c r="I210" s="62"/>
      <c r="J210" s="62">
        <f>G210</f>
        <v>1</v>
      </c>
      <c r="K210" s="63"/>
      <c r="L210" s="63"/>
      <c r="M210" s="63"/>
      <c r="N210" s="62">
        <v>1</v>
      </c>
      <c r="O210" s="62"/>
      <c r="P210" s="62">
        <f>N210</f>
        <v>1</v>
      </c>
      <c r="IB210"/>
      <c r="IC210"/>
      <c r="ID210"/>
      <c r="IE210"/>
      <c r="IF210"/>
      <c r="IG210"/>
    </row>
    <row r="211" spans="1:241" s="1" customFormat="1" ht="13.5" customHeight="1">
      <c r="A211" s="55" t="s">
        <v>147</v>
      </c>
      <c r="B211" s="59"/>
      <c r="C211" s="59"/>
      <c r="D211" s="62">
        <v>1</v>
      </c>
      <c r="E211" s="62"/>
      <c r="F211" s="62">
        <v>1</v>
      </c>
      <c r="G211" s="62">
        <v>1</v>
      </c>
      <c r="H211" s="62"/>
      <c r="I211" s="62"/>
      <c r="J211" s="62">
        <f>G211</f>
        <v>1</v>
      </c>
      <c r="K211" s="63"/>
      <c r="L211" s="63"/>
      <c r="M211" s="63"/>
      <c r="N211" s="62">
        <v>1</v>
      </c>
      <c r="O211" s="62"/>
      <c r="P211" s="62">
        <f>N211</f>
        <v>1</v>
      </c>
      <c r="IB211"/>
      <c r="IC211"/>
      <c r="ID211"/>
      <c r="IE211"/>
      <c r="IF211"/>
      <c r="IG211"/>
    </row>
    <row r="212" spans="1:241" s="1" customFormat="1" ht="24.75" customHeight="1">
      <c r="A212" s="55" t="s">
        <v>80</v>
      </c>
      <c r="B212" s="59"/>
      <c r="C212" s="59"/>
      <c r="D212" s="62">
        <v>50000</v>
      </c>
      <c r="E212" s="62"/>
      <c r="F212" s="62">
        <f>D212</f>
        <v>50000</v>
      </c>
      <c r="G212" s="62">
        <f>50000-50000</f>
        <v>0</v>
      </c>
      <c r="H212" s="62"/>
      <c r="I212" s="62"/>
      <c r="J212" s="62"/>
      <c r="K212" s="63"/>
      <c r="L212" s="63"/>
      <c r="M212" s="63"/>
      <c r="N212" s="62"/>
      <c r="O212" s="62"/>
      <c r="P212" s="62"/>
      <c r="IB212"/>
      <c r="IC212"/>
      <c r="ID212"/>
      <c r="IE212"/>
      <c r="IF212"/>
      <c r="IG212"/>
    </row>
    <row r="213" spans="1:241" s="1" customFormat="1" ht="22.5" hidden="1">
      <c r="A213" s="55" t="s">
        <v>286</v>
      </c>
      <c r="B213" s="59"/>
      <c r="C213" s="59"/>
      <c r="D213" s="62"/>
      <c r="E213" s="62"/>
      <c r="F213" s="62"/>
      <c r="G213" s="62"/>
      <c r="H213" s="62">
        <v>1</v>
      </c>
      <c r="I213" s="62"/>
      <c r="J213" s="62">
        <v>1</v>
      </c>
      <c r="K213" s="63"/>
      <c r="L213" s="63"/>
      <c r="M213" s="63"/>
      <c r="N213" s="62"/>
      <c r="O213" s="62"/>
      <c r="P213" s="62"/>
      <c r="IB213"/>
      <c r="IC213"/>
      <c r="ID213"/>
      <c r="IE213"/>
      <c r="IF213"/>
      <c r="IG213"/>
    </row>
    <row r="214" spans="1:241" s="1" customFormat="1" ht="14.25" customHeight="1">
      <c r="A214" s="55" t="s">
        <v>29</v>
      </c>
      <c r="B214" s="59"/>
      <c r="C214" s="59"/>
      <c r="D214" s="62">
        <v>1300</v>
      </c>
      <c r="E214" s="62"/>
      <c r="F214" s="62">
        <v>1300</v>
      </c>
      <c r="G214" s="62">
        <v>916</v>
      </c>
      <c r="H214" s="62"/>
      <c r="I214" s="62"/>
      <c r="J214" s="62">
        <f aca="true" t="shared" si="27" ref="J214:J219">G214</f>
        <v>916</v>
      </c>
      <c r="K214" s="63"/>
      <c r="L214" s="63"/>
      <c r="M214" s="63"/>
      <c r="N214" s="62">
        <v>916</v>
      </c>
      <c r="O214" s="62"/>
      <c r="P214" s="62">
        <f aca="true" t="shared" si="28" ref="P214:P219">N214</f>
        <v>916</v>
      </c>
      <c r="IB214"/>
      <c r="IC214"/>
      <c r="ID214"/>
      <c r="IE214"/>
      <c r="IF214"/>
      <c r="IG214"/>
    </row>
    <row r="215" spans="1:241" s="1" customFormat="1" ht="22.5">
      <c r="A215" s="55" t="s">
        <v>30</v>
      </c>
      <c r="B215" s="59"/>
      <c r="C215" s="59"/>
      <c r="D215" s="62">
        <v>40</v>
      </c>
      <c r="E215" s="62"/>
      <c r="F215" s="62">
        <v>40</v>
      </c>
      <c r="G215" s="62">
        <v>40</v>
      </c>
      <c r="H215" s="62"/>
      <c r="I215" s="62"/>
      <c r="J215" s="62">
        <f t="shared" si="27"/>
        <v>40</v>
      </c>
      <c r="K215" s="63"/>
      <c r="L215" s="63"/>
      <c r="M215" s="63"/>
      <c r="N215" s="62">
        <v>40</v>
      </c>
      <c r="O215" s="62"/>
      <c r="P215" s="62">
        <f t="shared" si="28"/>
        <v>40</v>
      </c>
      <c r="IB215"/>
      <c r="IC215"/>
      <c r="ID215"/>
      <c r="IE215"/>
      <c r="IF215"/>
      <c r="IG215"/>
    </row>
    <row r="216" spans="1:241" s="1" customFormat="1" ht="12">
      <c r="A216" s="54" t="s">
        <v>5</v>
      </c>
      <c r="B216" s="61"/>
      <c r="C216" s="61"/>
      <c r="D216" s="129"/>
      <c r="E216" s="129"/>
      <c r="F216" s="129"/>
      <c r="G216" s="129"/>
      <c r="H216" s="129"/>
      <c r="I216" s="129"/>
      <c r="J216" s="62">
        <f t="shared" si="27"/>
        <v>0</v>
      </c>
      <c r="K216" s="63"/>
      <c r="L216" s="63"/>
      <c r="M216" s="63"/>
      <c r="N216" s="129"/>
      <c r="O216" s="129"/>
      <c r="P216" s="62">
        <f t="shared" si="28"/>
        <v>0</v>
      </c>
      <c r="IB216"/>
      <c r="IC216"/>
      <c r="ID216"/>
      <c r="IE216"/>
      <c r="IF216"/>
      <c r="IG216"/>
    </row>
    <row r="217" spans="1:241" s="1" customFormat="1" ht="22.5">
      <c r="A217" s="55" t="s">
        <v>149</v>
      </c>
      <c r="B217" s="59"/>
      <c r="C217" s="59"/>
      <c r="D217" s="62">
        <f>D209</f>
        <v>93.1</v>
      </c>
      <c r="E217" s="62"/>
      <c r="F217" s="62">
        <f>D217</f>
        <v>93.1</v>
      </c>
      <c r="G217" s="62">
        <f>G209</f>
        <v>93.1</v>
      </c>
      <c r="H217" s="62"/>
      <c r="I217" s="62"/>
      <c r="J217" s="62">
        <f t="shared" si="27"/>
        <v>93.1</v>
      </c>
      <c r="K217" s="63"/>
      <c r="L217" s="63"/>
      <c r="M217" s="63"/>
      <c r="N217" s="62">
        <f>N209</f>
        <v>93.1</v>
      </c>
      <c r="O217" s="62"/>
      <c r="P217" s="62">
        <f t="shared" si="28"/>
        <v>93.1</v>
      </c>
      <c r="IB217"/>
      <c r="IC217"/>
      <c r="ID217"/>
      <c r="IE217"/>
      <c r="IF217"/>
      <c r="IG217"/>
    </row>
    <row r="218" spans="1:241" s="1" customFormat="1" ht="22.5">
      <c r="A218" s="55" t="s">
        <v>327</v>
      </c>
      <c r="B218" s="59"/>
      <c r="C218" s="59"/>
      <c r="D218" s="62">
        <v>600</v>
      </c>
      <c r="E218" s="62"/>
      <c r="F218" s="62">
        <f>D218</f>
        <v>600</v>
      </c>
      <c r="G218" s="62">
        <v>700</v>
      </c>
      <c r="H218" s="62"/>
      <c r="I218" s="62"/>
      <c r="J218" s="62">
        <f t="shared" si="27"/>
        <v>700</v>
      </c>
      <c r="K218" s="63"/>
      <c r="L218" s="63"/>
      <c r="M218" s="63"/>
      <c r="N218" s="62">
        <v>800</v>
      </c>
      <c r="O218" s="62"/>
      <c r="P218" s="62">
        <f t="shared" si="28"/>
        <v>800</v>
      </c>
      <c r="IB218"/>
      <c r="IC218"/>
      <c r="ID218"/>
      <c r="IE218"/>
      <c r="IF218"/>
      <c r="IG218"/>
    </row>
    <row r="219" spans="1:241" s="1" customFormat="1" ht="21.75" customHeight="1">
      <c r="A219" s="55" t="s">
        <v>150</v>
      </c>
      <c r="B219" s="59"/>
      <c r="C219" s="59"/>
      <c r="D219" s="62">
        <v>1</v>
      </c>
      <c r="E219" s="62"/>
      <c r="F219" s="62">
        <v>1</v>
      </c>
      <c r="G219" s="62">
        <v>1</v>
      </c>
      <c r="H219" s="62"/>
      <c r="I219" s="62"/>
      <c r="J219" s="62">
        <f t="shared" si="27"/>
        <v>1</v>
      </c>
      <c r="K219" s="63"/>
      <c r="L219" s="63"/>
      <c r="M219" s="63"/>
      <c r="N219" s="62">
        <v>1</v>
      </c>
      <c r="O219" s="62"/>
      <c r="P219" s="62">
        <f t="shared" si="28"/>
        <v>1</v>
      </c>
      <c r="IB219"/>
      <c r="IC219"/>
      <c r="ID219"/>
      <c r="IE219"/>
      <c r="IF219"/>
      <c r="IG219"/>
    </row>
    <row r="220" spans="1:241" s="1" customFormat="1" ht="30.75" customHeight="1">
      <c r="A220" s="55" t="s">
        <v>77</v>
      </c>
      <c r="B220" s="59"/>
      <c r="C220" s="59"/>
      <c r="D220" s="62">
        <v>1</v>
      </c>
      <c r="E220" s="62"/>
      <c r="F220" s="62">
        <v>1</v>
      </c>
      <c r="G220" s="62"/>
      <c r="H220" s="62"/>
      <c r="I220" s="62"/>
      <c r="J220" s="62"/>
      <c r="K220" s="63"/>
      <c r="L220" s="63"/>
      <c r="M220" s="63"/>
      <c r="N220" s="62">
        <v>1</v>
      </c>
      <c r="O220" s="62"/>
      <c r="P220" s="62">
        <v>1</v>
      </c>
      <c r="IB220"/>
      <c r="IC220"/>
      <c r="ID220"/>
      <c r="IE220"/>
      <c r="IF220"/>
      <c r="IG220"/>
    </row>
    <row r="221" spans="1:241" s="1" customFormat="1" ht="30.75" customHeight="1">
      <c r="A221" s="55" t="s">
        <v>286</v>
      </c>
      <c r="B221" s="59"/>
      <c r="C221" s="59"/>
      <c r="D221" s="62"/>
      <c r="E221" s="62"/>
      <c r="F221" s="62"/>
      <c r="G221" s="62"/>
      <c r="H221" s="62">
        <v>1</v>
      </c>
      <c r="I221" s="62"/>
      <c r="J221" s="62">
        <v>1</v>
      </c>
      <c r="K221" s="63"/>
      <c r="L221" s="63"/>
      <c r="M221" s="63"/>
      <c r="N221" s="62"/>
      <c r="O221" s="62">
        <v>1</v>
      </c>
      <c r="P221" s="62">
        <f>O221</f>
        <v>1</v>
      </c>
      <c r="IB221"/>
      <c r="IC221"/>
      <c r="ID221"/>
      <c r="IE221"/>
      <c r="IF221"/>
      <c r="IG221"/>
    </row>
    <row r="222" spans="1:241" s="1" customFormat="1" ht="19.5" customHeight="1">
      <c r="A222" s="55" t="s">
        <v>31</v>
      </c>
      <c r="B222" s="59"/>
      <c r="C222" s="59"/>
      <c r="D222" s="62">
        <v>65</v>
      </c>
      <c r="E222" s="62"/>
      <c r="F222" s="62">
        <v>65</v>
      </c>
      <c r="G222" s="62">
        <v>55</v>
      </c>
      <c r="H222" s="62"/>
      <c r="I222" s="62"/>
      <c r="J222" s="62">
        <f>G222</f>
        <v>55</v>
      </c>
      <c r="K222" s="63"/>
      <c r="L222" s="63"/>
      <c r="M222" s="63"/>
      <c r="N222" s="62">
        <v>63</v>
      </c>
      <c r="O222" s="62"/>
      <c r="P222" s="62">
        <f>N222</f>
        <v>63</v>
      </c>
      <c r="IB222"/>
      <c r="IC222"/>
      <c r="ID222"/>
      <c r="IE222"/>
      <c r="IF222"/>
      <c r="IG222"/>
    </row>
    <row r="223" spans="1:241" s="1" customFormat="1" ht="22.5" customHeight="1">
      <c r="A223" s="55" t="s">
        <v>32</v>
      </c>
      <c r="B223" s="59"/>
      <c r="C223" s="59"/>
      <c r="D223" s="62">
        <v>34</v>
      </c>
      <c r="E223" s="62"/>
      <c r="F223" s="62">
        <v>34</v>
      </c>
      <c r="G223" s="62">
        <v>34</v>
      </c>
      <c r="H223" s="62"/>
      <c r="I223" s="62"/>
      <c r="J223" s="62">
        <f>G223</f>
        <v>34</v>
      </c>
      <c r="K223" s="63"/>
      <c r="L223" s="63"/>
      <c r="M223" s="63"/>
      <c r="N223" s="62">
        <v>64</v>
      </c>
      <c r="O223" s="62"/>
      <c r="P223" s="62">
        <f>N223</f>
        <v>64</v>
      </c>
      <c r="IB223"/>
      <c r="IC223"/>
      <c r="ID223"/>
      <c r="IE223"/>
      <c r="IF223"/>
      <c r="IG223"/>
    </row>
    <row r="224" spans="1:241" s="1" customFormat="1" ht="22.5" customHeight="1">
      <c r="A224" s="55" t="s">
        <v>33</v>
      </c>
      <c r="B224" s="59"/>
      <c r="C224" s="59"/>
      <c r="D224" s="62">
        <v>30</v>
      </c>
      <c r="E224" s="62"/>
      <c r="F224" s="62">
        <v>30</v>
      </c>
      <c r="G224" s="62">
        <v>37</v>
      </c>
      <c r="H224" s="62"/>
      <c r="I224" s="62"/>
      <c r="J224" s="62">
        <f>G224</f>
        <v>37</v>
      </c>
      <c r="K224" s="63"/>
      <c r="L224" s="63"/>
      <c r="M224" s="63"/>
      <c r="N224" s="62">
        <v>40</v>
      </c>
      <c r="O224" s="62"/>
      <c r="P224" s="62">
        <f>N224</f>
        <v>40</v>
      </c>
      <c r="IB224"/>
      <c r="IC224"/>
      <c r="ID224"/>
      <c r="IE224"/>
      <c r="IF224"/>
      <c r="IG224"/>
    </row>
    <row r="225" spans="1:241" s="1" customFormat="1" ht="12" customHeight="1">
      <c r="A225" s="55" t="s">
        <v>26</v>
      </c>
      <c r="B225" s="59"/>
      <c r="C225" s="59"/>
      <c r="D225" s="62">
        <v>347</v>
      </c>
      <c r="E225" s="62"/>
      <c r="F225" s="62">
        <v>347</v>
      </c>
      <c r="G225" s="62">
        <v>125</v>
      </c>
      <c r="H225" s="62"/>
      <c r="I225" s="62"/>
      <c r="J225" s="62">
        <f>G225</f>
        <v>125</v>
      </c>
      <c r="K225" s="63"/>
      <c r="L225" s="63"/>
      <c r="M225" s="63"/>
      <c r="N225" s="62">
        <v>125</v>
      </c>
      <c r="O225" s="62"/>
      <c r="P225" s="62">
        <f>N225</f>
        <v>125</v>
      </c>
      <c r="IB225"/>
      <c r="IC225"/>
      <c r="ID225"/>
      <c r="IE225"/>
      <c r="IF225"/>
      <c r="IG225"/>
    </row>
    <row r="226" spans="1:241" s="1" customFormat="1" ht="22.5" customHeight="1">
      <c r="A226" s="55" t="s">
        <v>34</v>
      </c>
      <c r="B226" s="59"/>
      <c r="C226" s="59"/>
      <c r="D226" s="62"/>
      <c r="E226" s="62"/>
      <c r="F226" s="62"/>
      <c r="G226" s="62">
        <v>984.5</v>
      </c>
      <c r="H226" s="62"/>
      <c r="I226" s="62"/>
      <c r="J226" s="62">
        <v>984.5</v>
      </c>
      <c r="K226" s="63"/>
      <c r="L226" s="63"/>
      <c r="M226" s="63"/>
      <c r="N226" s="62">
        <v>984.5</v>
      </c>
      <c r="O226" s="62"/>
      <c r="P226" s="62">
        <v>984.5</v>
      </c>
      <c r="IB226"/>
      <c r="IC226"/>
      <c r="ID226"/>
      <c r="IE226"/>
      <c r="IF226"/>
      <c r="IG226"/>
    </row>
    <row r="227" spans="1:241" s="1" customFormat="1" ht="22.5" customHeight="1">
      <c r="A227" s="55" t="s">
        <v>366</v>
      </c>
      <c r="B227" s="59"/>
      <c r="C227" s="59"/>
      <c r="D227" s="62"/>
      <c r="E227" s="62"/>
      <c r="F227" s="62"/>
      <c r="G227" s="62">
        <v>8500</v>
      </c>
      <c r="H227" s="62"/>
      <c r="I227" s="62"/>
      <c r="J227" s="62"/>
      <c r="K227" s="63"/>
      <c r="L227" s="63"/>
      <c r="M227" s="63"/>
      <c r="N227" s="62">
        <v>9715</v>
      </c>
      <c r="O227" s="62"/>
      <c r="P227" s="62"/>
      <c r="IB227"/>
      <c r="IC227"/>
      <c r="ID227"/>
      <c r="IE227"/>
      <c r="IF227"/>
      <c r="IG227"/>
    </row>
    <row r="228" spans="1:241" s="1" customFormat="1" ht="22.5" customHeight="1">
      <c r="A228" s="55" t="s">
        <v>362</v>
      </c>
      <c r="B228" s="59"/>
      <c r="C228" s="59"/>
      <c r="D228" s="62"/>
      <c r="E228" s="62"/>
      <c r="F228" s="62"/>
      <c r="G228" s="62"/>
      <c r="H228" s="62"/>
      <c r="I228" s="62"/>
      <c r="J228" s="62"/>
      <c r="K228" s="63"/>
      <c r="L228" s="63"/>
      <c r="M228" s="63"/>
      <c r="N228" s="62"/>
      <c r="O228" s="62">
        <v>13600</v>
      </c>
      <c r="P228" s="62">
        <f>O228</f>
        <v>13600</v>
      </c>
      <c r="IB228"/>
      <c r="IC228"/>
      <c r="ID228"/>
      <c r="IE228"/>
      <c r="IF228"/>
      <c r="IG228"/>
    </row>
    <row r="229" spans="1:241" s="1" customFormat="1" ht="12">
      <c r="A229" s="54" t="s">
        <v>7</v>
      </c>
      <c r="B229" s="61"/>
      <c r="C229" s="61"/>
      <c r="D229" s="129"/>
      <c r="E229" s="129"/>
      <c r="F229" s="129"/>
      <c r="G229" s="129"/>
      <c r="H229" s="129"/>
      <c r="I229" s="129"/>
      <c r="J229" s="62"/>
      <c r="K229" s="63"/>
      <c r="L229" s="63"/>
      <c r="M229" s="63"/>
      <c r="N229" s="129"/>
      <c r="O229" s="129"/>
      <c r="P229" s="62"/>
      <c r="IB229"/>
      <c r="IC229"/>
      <c r="ID229"/>
      <c r="IE229"/>
      <c r="IF229"/>
      <c r="IG229"/>
    </row>
    <row r="230" spans="1:241" s="1" customFormat="1" ht="22.5">
      <c r="A230" s="55" t="s">
        <v>151</v>
      </c>
      <c r="B230" s="59"/>
      <c r="C230" s="59"/>
      <c r="D230" s="62">
        <v>48335</v>
      </c>
      <c r="E230" s="62"/>
      <c r="F230" s="62">
        <f>D230</f>
        <v>48335</v>
      </c>
      <c r="G230" s="62">
        <v>59076</v>
      </c>
      <c r="H230" s="62"/>
      <c r="I230" s="62"/>
      <c r="J230" s="62">
        <f>G230</f>
        <v>59076</v>
      </c>
      <c r="K230" s="63"/>
      <c r="L230" s="63"/>
      <c r="M230" s="63"/>
      <c r="N230" s="62">
        <v>68503</v>
      </c>
      <c r="O230" s="62"/>
      <c r="P230" s="62">
        <f>N230</f>
        <v>68503</v>
      </c>
      <c r="IB230"/>
      <c r="IC230"/>
      <c r="ID230"/>
      <c r="IE230"/>
      <c r="IF230"/>
      <c r="IG230"/>
    </row>
    <row r="231" spans="1:241" s="1" customFormat="1" ht="22.5" customHeight="1">
      <c r="A231" s="55" t="s">
        <v>56</v>
      </c>
      <c r="B231" s="59"/>
      <c r="C231" s="59"/>
      <c r="D231" s="62">
        <v>6000</v>
      </c>
      <c r="E231" s="62"/>
      <c r="F231" s="62">
        <f>D231</f>
        <v>6000</v>
      </c>
      <c r="G231" s="62">
        <v>10000</v>
      </c>
      <c r="H231" s="62"/>
      <c r="I231" s="62"/>
      <c r="J231" s="62">
        <f>G231</f>
        <v>10000</v>
      </c>
      <c r="K231" s="63"/>
      <c r="L231" s="63"/>
      <c r="M231" s="63"/>
      <c r="N231" s="62">
        <v>10000</v>
      </c>
      <c r="O231" s="62"/>
      <c r="P231" s="62">
        <f>N231</f>
        <v>10000</v>
      </c>
      <c r="IB231"/>
      <c r="IC231"/>
      <c r="ID231"/>
      <c r="IE231"/>
      <c r="IF231"/>
      <c r="IG231"/>
    </row>
    <row r="232" spans="1:241" s="1" customFormat="1" ht="24.75" customHeight="1">
      <c r="A232" s="55" t="s">
        <v>152</v>
      </c>
      <c r="B232" s="59"/>
      <c r="C232" s="59"/>
      <c r="D232" s="62">
        <v>2850</v>
      </c>
      <c r="E232" s="62"/>
      <c r="F232" s="62">
        <f>D232</f>
        <v>2850</v>
      </c>
      <c r="G232" s="62">
        <v>2943</v>
      </c>
      <c r="H232" s="62"/>
      <c r="I232" s="62"/>
      <c r="J232" s="62">
        <f>G232</f>
        <v>2943</v>
      </c>
      <c r="K232" s="63"/>
      <c r="L232" s="63"/>
      <c r="M232" s="63"/>
      <c r="N232" s="62">
        <v>3800</v>
      </c>
      <c r="O232" s="62"/>
      <c r="P232" s="62">
        <f>N232</f>
        <v>3800</v>
      </c>
      <c r="IB232"/>
      <c r="IC232"/>
      <c r="ID232"/>
      <c r="IE232"/>
      <c r="IF232"/>
      <c r="IG232"/>
    </row>
    <row r="233" spans="1:241" s="1" customFormat="1" ht="22.5">
      <c r="A233" s="55" t="s">
        <v>153</v>
      </c>
      <c r="B233" s="59"/>
      <c r="C233" s="59"/>
      <c r="D233" s="62">
        <v>140000</v>
      </c>
      <c r="E233" s="62"/>
      <c r="F233" s="62">
        <f>D233</f>
        <v>140000</v>
      </c>
      <c r="G233" s="62">
        <v>170000</v>
      </c>
      <c r="H233" s="62"/>
      <c r="I233" s="62"/>
      <c r="J233" s="62">
        <f>G233</f>
        <v>170000</v>
      </c>
      <c r="K233" s="63"/>
      <c r="L233" s="63"/>
      <c r="M233" s="63"/>
      <c r="N233" s="62">
        <v>200000</v>
      </c>
      <c r="O233" s="62"/>
      <c r="P233" s="62">
        <f>N233</f>
        <v>200000</v>
      </c>
      <c r="IB233"/>
      <c r="IC233"/>
      <c r="ID233"/>
      <c r="IE233"/>
      <c r="IF233"/>
      <c r="IG233"/>
    </row>
    <row r="234" spans="1:241" s="1" customFormat="1" ht="14.25" customHeight="1">
      <c r="A234" s="55" t="s">
        <v>364</v>
      </c>
      <c r="B234" s="59"/>
      <c r="C234" s="59"/>
      <c r="D234" s="62"/>
      <c r="E234" s="62"/>
      <c r="F234" s="62"/>
      <c r="G234" s="62">
        <v>1900</v>
      </c>
      <c r="H234" s="62"/>
      <c r="I234" s="62"/>
      <c r="J234" s="62">
        <f>G234</f>
        <v>1900</v>
      </c>
      <c r="K234" s="63"/>
      <c r="L234" s="63"/>
      <c r="M234" s="63"/>
      <c r="N234" s="62">
        <v>2200</v>
      </c>
      <c r="O234" s="62"/>
      <c r="P234" s="62">
        <f>N234</f>
        <v>2200</v>
      </c>
      <c r="IB234"/>
      <c r="IC234"/>
      <c r="ID234"/>
      <c r="IE234"/>
      <c r="IF234"/>
      <c r="IG234"/>
    </row>
    <row r="235" spans="1:241" s="1" customFormat="1" ht="22.5">
      <c r="A235" s="55" t="s">
        <v>287</v>
      </c>
      <c r="B235" s="59"/>
      <c r="C235" s="59"/>
      <c r="D235" s="62"/>
      <c r="E235" s="62"/>
      <c r="F235" s="62"/>
      <c r="G235" s="62"/>
      <c r="H235" s="62">
        <v>120000</v>
      </c>
      <c r="I235" s="62"/>
      <c r="J235" s="62"/>
      <c r="K235" s="63"/>
      <c r="L235" s="63"/>
      <c r="M235" s="63"/>
      <c r="N235" s="62"/>
      <c r="O235" s="62">
        <v>174000</v>
      </c>
      <c r="P235" s="62">
        <f>O235</f>
        <v>174000</v>
      </c>
      <c r="IB235"/>
      <c r="IC235"/>
      <c r="ID235"/>
      <c r="IE235"/>
      <c r="IF235"/>
      <c r="IG235"/>
    </row>
    <row r="236" spans="1:241" s="1" customFormat="1" ht="15" customHeight="1">
      <c r="A236" s="55" t="s">
        <v>27</v>
      </c>
      <c r="B236" s="59"/>
      <c r="C236" s="59"/>
      <c r="D236" s="62">
        <v>580</v>
      </c>
      <c r="E236" s="62"/>
      <c r="F236" s="62">
        <v>580</v>
      </c>
      <c r="G236" s="62">
        <v>663.1</v>
      </c>
      <c r="H236" s="62"/>
      <c r="I236" s="62"/>
      <c r="J236" s="62">
        <f>G236</f>
        <v>663.1</v>
      </c>
      <c r="K236" s="63"/>
      <c r="L236" s="63"/>
      <c r="M236" s="63"/>
      <c r="N236" s="62">
        <v>663.1</v>
      </c>
      <c r="O236" s="62"/>
      <c r="P236" s="62">
        <f>N236</f>
        <v>663.1</v>
      </c>
      <c r="IB236"/>
      <c r="IC236"/>
      <c r="ID236"/>
      <c r="IE236"/>
      <c r="IF236"/>
      <c r="IG236"/>
    </row>
    <row r="237" spans="1:241" s="1" customFormat="1" ht="22.5" customHeight="1">
      <c r="A237" s="55" t="s">
        <v>35</v>
      </c>
      <c r="B237" s="59"/>
      <c r="C237" s="59"/>
      <c r="D237" s="62">
        <v>778</v>
      </c>
      <c r="E237" s="62"/>
      <c r="F237" s="62">
        <v>778</v>
      </c>
      <c r="G237" s="62">
        <v>691.86</v>
      </c>
      <c r="H237" s="62"/>
      <c r="I237" s="62"/>
      <c r="J237" s="62">
        <f>G237</f>
        <v>691.86</v>
      </c>
      <c r="K237" s="63"/>
      <c r="L237" s="63"/>
      <c r="M237" s="63"/>
      <c r="N237" s="62">
        <v>705</v>
      </c>
      <c r="O237" s="62"/>
      <c r="P237" s="62">
        <f>N237</f>
        <v>705</v>
      </c>
      <c r="IB237"/>
      <c r="IC237"/>
      <c r="ID237"/>
      <c r="IE237"/>
      <c r="IF237"/>
      <c r="IG237"/>
    </row>
    <row r="238" spans="1:241" s="1" customFormat="1" ht="22.5" customHeight="1">
      <c r="A238" s="55" t="s">
        <v>36</v>
      </c>
      <c r="B238" s="59"/>
      <c r="C238" s="59"/>
      <c r="D238" s="62">
        <v>23.66</v>
      </c>
      <c r="E238" s="62"/>
      <c r="F238" s="62">
        <v>23.66</v>
      </c>
      <c r="G238" s="62">
        <v>22.01</v>
      </c>
      <c r="H238" s="62"/>
      <c r="I238" s="62"/>
      <c r="J238" s="62">
        <f>G238</f>
        <v>22.01</v>
      </c>
      <c r="K238" s="63"/>
      <c r="L238" s="63"/>
      <c r="M238" s="63"/>
      <c r="N238" s="62">
        <v>22.01</v>
      </c>
      <c r="O238" s="62"/>
      <c r="P238" s="62">
        <f>N238</f>
        <v>22.01</v>
      </c>
      <c r="IB238"/>
      <c r="IC238"/>
      <c r="ID238"/>
      <c r="IE238"/>
      <c r="IF238"/>
      <c r="IG238"/>
    </row>
    <row r="239" spans="1:241" s="1" customFormat="1" ht="22.5" customHeight="1">
      <c r="A239" s="55" t="s">
        <v>37</v>
      </c>
      <c r="B239" s="59"/>
      <c r="C239" s="59"/>
      <c r="D239" s="62">
        <v>329</v>
      </c>
      <c r="E239" s="62"/>
      <c r="F239" s="62">
        <v>329</v>
      </c>
      <c r="G239" s="62">
        <v>160.11</v>
      </c>
      <c r="H239" s="62"/>
      <c r="I239" s="62"/>
      <c r="J239" s="62">
        <f>G239</f>
        <v>160.11</v>
      </c>
      <c r="K239" s="63"/>
      <c r="L239" s="63"/>
      <c r="M239" s="63"/>
      <c r="N239" s="62">
        <v>160.11</v>
      </c>
      <c r="O239" s="62"/>
      <c r="P239" s="62">
        <f>N239</f>
        <v>160.11</v>
      </c>
      <c r="IB239"/>
      <c r="IC239"/>
      <c r="ID239"/>
      <c r="IE239"/>
      <c r="IF239"/>
      <c r="IG239"/>
    </row>
    <row r="240" spans="1:241" s="1" customFormat="1" ht="38.25" customHeight="1">
      <c r="A240" s="55" t="s">
        <v>81</v>
      </c>
      <c r="B240" s="59"/>
      <c r="C240" s="59"/>
      <c r="D240" s="62">
        <v>50000</v>
      </c>
      <c r="E240" s="62"/>
      <c r="F240" s="62">
        <f>D240</f>
        <v>50000</v>
      </c>
      <c r="G240" s="62"/>
      <c r="H240" s="62"/>
      <c r="I240" s="62"/>
      <c r="J240" s="62"/>
      <c r="K240" s="63"/>
      <c r="L240" s="63"/>
      <c r="M240" s="63"/>
      <c r="N240" s="62">
        <f>N212</f>
        <v>0</v>
      </c>
      <c r="O240" s="62"/>
      <c r="P240" s="62">
        <f>N240</f>
        <v>0</v>
      </c>
      <c r="IB240"/>
      <c r="IC240"/>
      <c r="ID240"/>
      <c r="IE240"/>
      <c r="IF240"/>
      <c r="IG240"/>
    </row>
    <row r="241" spans="1:241" s="1" customFormat="1" ht="24.75" customHeight="1">
      <c r="A241" s="55" t="s">
        <v>365</v>
      </c>
      <c r="B241" s="59"/>
      <c r="C241" s="59"/>
      <c r="D241" s="62"/>
      <c r="E241" s="62"/>
      <c r="F241" s="62"/>
      <c r="G241" s="62">
        <v>261.4118035</v>
      </c>
      <c r="H241" s="62"/>
      <c r="I241" s="62"/>
      <c r="J241" s="62"/>
      <c r="K241" s="63"/>
      <c r="L241" s="63"/>
      <c r="M241" s="63"/>
      <c r="N241" s="62">
        <v>284.06034997</v>
      </c>
      <c r="O241" s="62"/>
      <c r="P241" s="62"/>
      <c r="IB241"/>
      <c r="IC241"/>
      <c r="ID241"/>
      <c r="IE241"/>
      <c r="IF241"/>
      <c r="IG241"/>
    </row>
    <row r="242" spans="1:241" s="1" customFormat="1" ht="27.75" customHeight="1">
      <c r="A242" s="55" t="s">
        <v>363</v>
      </c>
      <c r="B242" s="59"/>
      <c r="C242" s="59"/>
      <c r="D242" s="62"/>
      <c r="E242" s="62"/>
      <c r="F242" s="62"/>
      <c r="G242" s="62"/>
      <c r="H242" s="62"/>
      <c r="I242" s="62"/>
      <c r="J242" s="62"/>
      <c r="K242" s="63"/>
      <c r="L242" s="63"/>
      <c r="M242" s="63"/>
      <c r="N242" s="62"/>
      <c r="O242" s="62">
        <v>500</v>
      </c>
      <c r="P242" s="62">
        <f>O242</f>
        <v>500</v>
      </c>
      <c r="IB242"/>
      <c r="IC242"/>
      <c r="ID242"/>
      <c r="IE242"/>
      <c r="IF242"/>
      <c r="IG242"/>
    </row>
    <row r="243" spans="1:241" s="1" customFormat="1" ht="12" customHeight="1">
      <c r="A243" s="54" t="s">
        <v>6</v>
      </c>
      <c r="B243" s="59"/>
      <c r="C243" s="59"/>
      <c r="D243" s="62"/>
      <c r="E243" s="62"/>
      <c r="F243" s="62"/>
      <c r="G243" s="62"/>
      <c r="H243" s="62"/>
      <c r="I243" s="62"/>
      <c r="J243" s="62"/>
      <c r="K243" s="63"/>
      <c r="L243" s="63"/>
      <c r="M243" s="63"/>
      <c r="N243" s="62"/>
      <c r="O243" s="62"/>
      <c r="P243" s="62"/>
      <c r="IB243"/>
      <c r="IC243"/>
      <c r="ID243"/>
      <c r="IE243"/>
      <c r="IF243"/>
      <c r="IG243"/>
    </row>
    <row r="244" spans="1:241" s="1" customFormat="1" ht="33.75">
      <c r="A244" s="55" t="s">
        <v>155</v>
      </c>
      <c r="B244" s="59"/>
      <c r="C244" s="59"/>
      <c r="D244" s="62">
        <f>D217/D209*100</f>
        <v>100</v>
      </c>
      <c r="E244" s="62"/>
      <c r="F244" s="62">
        <f>F217/F209*100</f>
        <v>100</v>
      </c>
      <c r="G244" s="62">
        <f>G217/G209*100</f>
        <v>100</v>
      </c>
      <c r="H244" s="62"/>
      <c r="I244" s="62"/>
      <c r="J244" s="62">
        <f>J217/J209*100</f>
        <v>100</v>
      </c>
      <c r="K244" s="62" t="e">
        <f>K217/K209*100</f>
        <v>#DIV/0!</v>
      </c>
      <c r="L244" s="62" t="e">
        <f>L217/L209*100</f>
        <v>#DIV/0!</v>
      </c>
      <c r="M244" s="62" t="e">
        <f>M217/M209*100</f>
        <v>#DIV/0!</v>
      </c>
      <c r="N244" s="62">
        <f>N217/N209*100</f>
        <v>100</v>
      </c>
      <c r="O244" s="62"/>
      <c r="P244" s="62">
        <f>P217/P209*100</f>
        <v>100</v>
      </c>
      <c r="IB244"/>
      <c r="IC244"/>
      <c r="ID244"/>
      <c r="IE244"/>
      <c r="IF244"/>
      <c r="IG244"/>
    </row>
    <row r="245" spans="1:241" s="1" customFormat="1" ht="29.25" customHeight="1">
      <c r="A245" s="55" t="s">
        <v>154</v>
      </c>
      <c r="B245" s="59"/>
      <c r="C245" s="59"/>
      <c r="D245" s="62"/>
      <c r="E245" s="62"/>
      <c r="F245" s="62"/>
      <c r="G245" s="62">
        <f>G232/D232*100</f>
        <v>103.26315789473684</v>
      </c>
      <c r="H245" s="62"/>
      <c r="I245" s="62"/>
      <c r="J245" s="62">
        <f>J232/F232*100</f>
        <v>103.26315789473684</v>
      </c>
      <c r="K245" s="63"/>
      <c r="L245" s="63"/>
      <c r="M245" s="63"/>
      <c r="N245" s="62">
        <f>N232/G232*100</f>
        <v>129.1199456337071</v>
      </c>
      <c r="O245" s="62"/>
      <c r="P245" s="62">
        <f>P232/J232*100</f>
        <v>129.1199456337071</v>
      </c>
      <c r="IB245"/>
      <c r="IC245"/>
      <c r="ID245"/>
      <c r="IE245"/>
      <c r="IF245"/>
      <c r="IG245"/>
    </row>
    <row r="246" spans="1:241" s="1" customFormat="1" ht="38.25" customHeight="1">
      <c r="A246" s="55" t="s">
        <v>156</v>
      </c>
      <c r="B246" s="59"/>
      <c r="C246" s="59"/>
      <c r="D246" s="62"/>
      <c r="E246" s="62"/>
      <c r="F246" s="62"/>
      <c r="G246" s="62">
        <f>G233/D233*100</f>
        <v>121.42857142857142</v>
      </c>
      <c r="H246" s="62"/>
      <c r="I246" s="62"/>
      <c r="J246" s="62">
        <f>J233/F233*100</f>
        <v>121.42857142857142</v>
      </c>
      <c r="K246" s="63"/>
      <c r="L246" s="63"/>
      <c r="M246" s="63"/>
      <c r="N246" s="62">
        <f>N233/G233*100</f>
        <v>117.64705882352942</v>
      </c>
      <c r="O246" s="62"/>
      <c r="P246" s="62">
        <f>P233/J233*100</f>
        <v>117.64705882352942</v>
      </c>
      <c r="IB246"/>
      <c r="IC246"/>
      <c r="ID246"/>
      <c r="IE246"/>
      <c r="IF246"/>
      <c r="IG246"/>
    </row>
    <row r="247" spans="1:241" s="91" customFormat="1" ht="22.5">
      <c r="A247" s="82" t="s">
        <v>368</v>
      </c>
      <c r="B247" s="88"/>
      <c r="C247" s="88"/>
      <c r="D247" s="89">
        <f>(D249*D254)+(D250*D255)+(D251*D256)-110.1</f>
        <v>1035000</v>
      </c>
      <c r="E247" s="89"/>
      <c r="F247" s="89">
        <f>(F249*F254)+(F250*F255)+(F251*F256)-110.1</f>
        <v>1035000</v>
      </c>
      <c r="G247" s="89">
        <f>(G249*G254)+(G250*G255)+(G251*G256)+G252*G257</f>
        <v>1505079.9953947999</v>
      </c>
      <c r="H247" s="89"/>
      <c r="I247" s="89"/>
      <c r="J247" s="89">
        <f>G247</f>
        <v>1505079.9953947999</v>
      </c>
      <c r="K247" s="89">
        <f>(K249*K254)+(K250*K255)+(K251*K256)-110.1</f>
        <v>-110.1</v>
      </c>
      <c r="L247" s="89">
        <f>(L249*L254)+(L250*L255)+(L251*L256)-110.1</f>
        <v>-110.1</v>
      </c>
      <c r="M247" s="89">
        <f>(M249*M254)+(M250*M255)+(M251*M256)-110.1</f>
        <v>-110.1</v>
      </c>
      <c r="N247" s="89">
        <f>(N249*N254)+(N250*N255)+(N252*N257)</f>
        <v>1769999.9999953748</v>
      </c>
      <c r="O247" s="89"/>
      <c r="P247" s="89">
        <f>N247</f>
        <v>1769999.9999953748</v>
      </c>
      <c r="IB247" s="92"/>
      <c r="IC247" s="92"/>
      <c r="ID247" s="92"/>
      <c r="IE247" s="92"/>
      <c r="IF247" s="92"/>
      <c r="IG247" s="92"/>
    </row>
    <row r="248" spans="1:241" s="1" customFormat="1" ht="11.25">
      <c r="A248" s="54" t="s">
        <v>5</v>
      </c>
      <c r="B248" s="61"/>
      <c r="C248" s="61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IB248"/>
      <c r="IC248"/>
      <c r="ID248"/>
      <c r="IE248"/>
      <c r="IF248"/>
      <c r="IG248"/>
    </row>
    <row r="249" spans="1:241" s="1" customFormat="1" ht="22.5" customHeight="1">
      <c r="A249" s="55" t="s">
        <v>135</v>
      </c>
      <c r="B249" s="59"/>
      <c r="C249" s="59"/>
      <c r="D249" s="62">
        <v>167170</v>
      </c>
      <c r="E249" s="62"/>
      <c r="F249" s="62">
        <f>D249</f>
        <v>167170</v>
      </c>
      <c r="G249" s="62">
        <f>F249</f>
        <v>167170</v>
      </c>
      <c r="H249" s="62"/>
      <c r="I249" s="62"/>
      <c r="J249" s="62">
        <f>G249</f>
        <v>167170</v>
      </c>
      <c r="K249" s="63"/>
      <c r="L249" s="63"/>
      <c r="M249" s="63"/>
      <c r="N249" s="62">
        <f>G249</f>
        <v>167170</v>
      </c>
      <c r="O249" s="62"/>
      <c r="P249" s="62">
        <f>N249</f>
        <v>167170</v>
      </c>
      <c r="IB249"/>
      <c r="IC249"/>
      <c r="ID249"/>
      <c r="IE249"/>
      <c r="IF249"/>
      <c r="IG249"/>
    </row>
    <row r="250" spans="1:241" s="1" customFormat="1" ht="22.5" hidden="1">
      <c r="A250" s="55" t="s">
        <v>158</v>
      </c>
      <c r="B250" s="59"/>
      <c r="C250" s="59"/>
      <c r="D250" s="62">
        <v>160</v>
      </c>
      <c r="E250" s="62"/>
      <c r="F250" s="62">
        <f>D250</f>
        <v>160</v>
      </c>
      <c r="G250" s="62"/>
      <c r="H250" s="62"/>
      <c r="I250" s="62"/>
      <c r="J250" s="62"/>
      <c r="K250" s="63"/>
      <c r="L250" s="63"/>
      <c r="M250" s="63"/>
      <c r="N250" s="62"/>
      <c r="O250" s="62"/>
      <c r="P250" s="62"/>
      <c r="IB250"/>
      <c r="IC250"/>
      <c r="ID250"/>
      <c r="IE250"/>
      <c r="IF250"/>
      <c r="IG250"/>
    </row>
    <row r="251" spans="1:241" s="1" customFormat="1" ht="33" customHeight="1">
      <c r="A251" s="55" t="s">
        <v>339</v>
      </c>
      <c r="B251" s="59"/>
      <c r="C251" s="59"/>
      <c r="D251" s="62">
        <v>4600</v>
      </c>
      <c r="E251" s="62"/>
      <c r="F251" s="62">
        <f>D251</f>
        <v>4600</v>
      </c>
      <c r="G251" s="62">
        <v>4994</v>
      </c>
      <c r="H251" s="62"/>
      <c r="I251" s="62"/>
      <c r="J251" s="62">
        <f>G251</f>
        <v>4994</v>
      </c>
      <c r="K251" s="63"/>
      <c r="L251" s="63"/>
      <c r="M251" s="63"/>
      <c r="N251" s="62"/>
      <c r="O251" s="62"/>
      <c r="P251" s="62">
        <f>N251</f>
        <v>0</v>
      </c>
      <c r="IB251"/>
      <c r="IC251"/>
      <c r="ID251"/>
      <c r="IE251"/>
      <c r="IF251"/>
      <c r="IG251"/>
    </row>
    <row r="252" spans="1:241" s="1" customFormat="1" ht="45">
      <c r="A252" s="55" t="s">
        <v>331</v>
      </c>
      <c r="B252" s="59"/>
      <c r="C252" s="59"/>
      <c r="D252" s="62"/>
      <c r="E252" s="62"/>
      <c r="F252" s="62"/>
      <c r="G252" s="62">
        <v>2510</v>
      </c>
      <c r="H252" s="62"/>
      <c r="I252" s="62"/>
      <c r="J252" s="62">
        <f>G252</f>
        <v>2510</v>
      </c>
      <c r="K252" s="63"/>
      <c r="L252" s="63"/>
      <c r="M252" s="63"/>
      <c r="N252" s="62">
        <v>5431</v>
      </c>
      <c r="O252" s="62"/>
      <c r="P252" s="62"/>
      <c r="IB252"/>
      <c r="IC252"/>
      <c r="ID252"/>
      <c r="IE252"/>
      <c r="IF252"/>
      <c r="IG252"/>
    </row>
    <row r="253" spans="1:241" s="1" customFormat="1" ht="12">
      <c r="A253" s="54" t="s">
        <v>7</v>
      </c>
      <c r="B253" s="61"/>
      <c r="C253" s="61"/>
      <c r="D253" s="129"/>
      <c r="E253" s="129"/>
      <c r="F253" s="62"/>
      <c r="G253" s="129"/>
      <c r="H253" s="129"/>
      <c r="I253" s="129"/>
      <c r="J253" s="62"/>
      <c r="K253" s="63"/>
      <c r="L253" s="63"/>
      <c r="M253" s="63"/>
      <c r="N253" s="129"/>
      <c r="O253" s="129"/>
      <c r="P253" s="62"/>
      <c r="IB253"/>
      <c r="IC253"/>
      <c r="ID253"/>
      <c r="IE253"/>
      <c r="IF253"/>
      <c r="IG253"/>
    </row>
    <row r="254" spans="1:241" s="1" customFormat="1" ht="23.25" customHeight="1">
      <c r="A254" s="55" t="s">
        <v>141</v>
      </c>
      <c r="B254" s="59"/>
      <c r="C254" s="59"/>
      <c r="D254" s="62">
        <v>3.53</v>
      </c>
      <c r="E254" s="62"/>
      <c r="F254" s="62">
        <f>D254</f>
        <v>3.53</v>
      </c>
      <c r="G254" s="62">
        <v>4.22</v>
      </c>
      <c r="H254" s="62"/>
      <c r="I254" s="62"/>
      <c r="J254" s="62">
        <f>G254</f>
        <v>4.22</v>
      </c>
      <c r="K254" s="63"/>
      <c r="L254" s="63"/>
      <c r="M254" s="63"/>
      <c r="N254" s="62">
        <v>5.86229586648</v>
      </c>
      <c r="O254" s="62"/>
      <c r="P254" s="62">
        <f>N254</f>
        <v>5.86229586648</v>
      </c>
      <c r="IB254"/>
      <c r="IC254"/>
      <c r="ID254"/>
      <c r="IE254"/>
      <c r="IF254"/>
      <c r="IG254"/>
    </row>
    <row r="255" spans="1:241" s="1" customFormat="1" ht="12" hidden="1">
      <c r="A255" s="55" t="s">
        <v>159</v>
      </c>
      <c r="B255" s="59"/>
      <c r="C255" s="59"/>
      <c r="D255" s="62">
        <v>625</v>
      </c>
      <c r="E255" s="62"/>
      <c r="F255" s="62">
        <f>D255</f>
        <v>625</v>
      </c>
      <c r="G255" s="62"/>
      <c r="H255" s="62"/>
      <c r="I255" s="62"/>
      <c r="J255" s="62"/>
      <c r="K255" s="63"/>
      <c r="L255" s="63"/>
      <c r="M255" s="63"/>
      <c r="N255" s="62"/>
      <c r="O255" s="62"/>
      <c r="P255" s="62"/>
      <c r="IB255"/>
      <c r="IC255"/>
      <c r="ID255"/>
      <c r="IE255"/>
      <c r="IF255"/>
      <c r="IG255"/>
    </row>
    <row r="256" spans="1:241" s="1" customFormat="1" ht="36" customHeight="1">
      <c r="A256" s="55" t="s">
        <v>340</v>
      </c>
      <c r="B256" s="59"/>
      <c r="C256" s="59"/>
      <c r="D256" s="62">
        <v>75</v>
      </c>
      <c r="E256" s="62"/>
      <c r="F256" s="62">
        <f>D256</f>
        <v>75</v>
      </c>
      <c r="G256" s="62">
        <v>87.0129342</v>
      </c>
      <c r="H256" s="62"/>
      <c r="I256" s="62"/>
      <c r="J256" s="62">
        <f>G256</f>
        <v>87.0129342</v>
      </c>
      <c r="K256" s="63"/>
      <c r="L256" s="63"/>
      <c r="M256" s="63"/>
      <c r="N256" s="62"/>
      <c r="O256" s="62"/>
      <c r="P256" s="62">
        <f>N256</f>
        <v>0</v>
      </c>
      <c r="IB256"/>
      <c r="IC256"/>
      <c r="ID256"/>
      <c r="IE256"/>
      <c r="IF256"/>
      <c r="IG256"/>
    </row>
    <row r="257" spans="1:241" s="1" customFormat="1" ht="45">
      <c r="A257" s="55" t="s">
        <v>332</v>
      </c>
      <c r="B257" s="59"/>
      <c r="C257" s="59"/>
      <c r="D257" s="62"/>
      <c r="E257" s="62"/>
      <c r="F257" s="62"/>
      <c r="G257" s="62">
        <v>145.4502</v>
      </c>
      <c r="H257" s="62"/>
      <c r="I257" s="62"/>
      <c r="J257" s="62">
        <f>G257</f>
        <v>145.4502</v>
      </c>
      <c r="K257" s="63"/>
      <c r="L257" s="63"/>
      <c r="M257" s="63"/>
      <c r="N257" s="62">
        <v>145.461241023</v>
      </c>
      <c r="O257" s="62"/>
      <c r="P257" s="62"/>
      <c r="IB257"/>
      <c r="IC257"/>
      <c r="ID257"/>
      <c r="IE257"/>
      <c r="IF257"/>
      <c r="IG257"/>
    </row>
    <row r="258" spans="1:241" s="1" customFormat="1" ht="12">
      <c r="A258" s="54" t="s">
        <v>6</v>
      </c>
      <c r="B258" s="59"/>
      <c r="C258" s="59"/>
      <c r="D258" s="62"/>
      <c r="E258" s="62"/>
      <c r="F258" s="62"/>
      <c r="G258" s="62"/>
      <c r="H258" s="62"/>
      <c r="I258" s="62"/>
      <c r="J258" s="62"/>
      <c r="K258" s="63"/>
      <c r="L258" s="63"/>
      <c r="M258" s="63"/>
      <c r="N258" s="62"/>
      <c r="O258" s="62"/>
      <c r="P258" s="62"/>
      <c r="IB258"/>
      <c r="IC258"/>
      <c r="ID258"/>
      <c r="IE258"/>
      <c r="IF258"/>
      <c r="IG258"/>
    </row>
    <row r="259" spans="1:241" s="1" customFormat="1" ht="36" customHeight="1">
      <c r="A259" s="55" t="s">
        <v>160</v>
      </c>
      <c r="B259" s="59"/>
      <c r="C259" s="59"/>
      <c r="D259" s="62"/>
      <c r="E259" s="62"/>
      <c r="F259" s="62"/>
      <c r="G259" s="62">
        <f>G254/D254*100</f>
        <v>119.54674220963173</v>
      </c>
      <c r="H259" s="62"/>
      <c r="I259" s="62"/>
      <c r="J259" s="62">
        <f>G259</f>
        <v>119.54674220963173</v>
      </c>
      <c r="K259" s="63"/>
      <c r="L259" s="63"/>
      <c r="M259" s="63"/>
      <c r="N259" s="62">
        <f>N254/G254*100</f>
        <v>138.91696366066353</v>
      </c>
      <c r="O259" s="62"/>
      <c r="P259" s="62">
        <f>N259</f>
        <v>138.91696366066353</v>
      </c>
      <c r="IB259"/>
      <c r="IC259"/>
      <c r="ID259"/>
      <c r="IE259"/>
      <c r="IF259"/>
      <c r="IG259"/>
    </row>
    <row r="260" spans="1:241" s="1" customFormat="1" ht="51" customHeight="1">
      <c r="A260" s="55" t="s">
        <v>161</v>
      </c>
      <c r="B260" s="59"/>
      <c r="C260" s="59"/>
      <c r="D260" s="62"/>
      <c r="E260" s="62"/>
      <c r="F260" s="62"/>
      <c r="G260" s="62">
        <f>G256/D256*100</f>
        <v>116.0172456</v>
      </c>
      <c r="H260" s="62"/>
      <c r="I260" s="62"/>
      <c r="J260" s="62">
        <f>G260</f>
        <v>116.0172456</v>
      </c>
      <c r="K260" s="63"/>
      <c r="L260" s="63"/>
      <c r="M260" s="63"/>
      <c r="N260" s="62">
        <f>N256/G256*100</f>
        <v>0</v>
      </c>
      <c r="O260" s="62"/>
      <c r="P260" s="62">
        <f>N260</f>
        <v>0</v>
      </c>
      <c r="IB260"/>
      <c r="IC260"/>
      <c r="ID260"/>
      <c r="IE260"/>
      <c r="IF260"/>
      <c r="IG260"/>
    </row>
    <row r="261" spans="1:241" s="1" customFormat="1" ht="51" customHeight="1">
      <c r="A261" s="55" t="s">
        <v>333</v>
      </c>
      <c r="B261" s="59"/>
      <c r="C261" s="59"/>
      <c r="D261" s="62"/>
      <c r="E261" s="62"/>
      <c r="F261" s="62"/>
      <c r="G261" s="62"/>
      <c r="H261" s="62"/>
      <c r="I261" s="62"/>
      <c r="J261" s="62"/>
      <c r="K261" s="63"/>
      <c r="L261" s="63"/>
      <c r="M261" s="63"/>
      <c r="N261" s="62"/>
      <c r="O261" s="62"/>
      <c r="P261" s="62"/>
      <c r="IB261"/>
      <c r="IC261"/>
      <c r="ID261"/>
      <c r="IE261"/>
      <c r="IF261"/>
      <c r="IG261"/>
    </row>
    <row r="262" spans="1:241" s="91" customFormat="1" ht="22.5">
      <c r="A262" s="82" t="s">
        <v>369</v>
      </c>
      <c r="B262" s="88"/>
      <c r="C262" s="88"/>
      <c r="D262" s="89">
        <f>(D266*D273)+(D267*D274)+(D268*D277)-2</f>
        <v>2306500</v>
      </c>
      <c r="E262" s="89"/>
      <c r="F262" s="89">
        <f>D262</f>
        <v>2306500</v>
      </c>
      <c r="G262" s="89">
        <f>(G266*G273)+(G267*G274)+G268*G277+G269*G278-0.02</f>
        <v>3771600</v>
      </c>
      <c r="H262" s="89"/>
      <c r="I262" s="89"/>
      <c r="J262" s="89">
        <f>G262</f>
        <v>3771600</v>
      </c>
      <c r="K262" s="89">
        <f>(K266*K273)+(K267*K274)</f>
        <v>0</v>
      </c>
      <c r="L262" s="89">
        <f>(L266*L273)+(L267*L274)</f>
        <v>0</v>
      </c>
      <c r="M262" s="89">
        <f>(M266*M273)+(M267*M274)</f>
        <v>0</v>
      </c>
      <c r="N262" s="89">
        <f>(N266*N273)+(N267*N274)+N268*N277+N269*N278+0.02</f>
        <v>4664000</v>
      </c>
      <c r="O262" s="89"/>
      <c r="P262" s="89">
        <f>N262+O262</f>
        <v>4664000</v>
      </c>
      <c r="IB262" s="92"/>
      <c r="IC262" s="92"/>
      <c r="ID262" s="92"/>
      <c r="IE262" s="92"/>
      <c r="IF262" s="92"/>
      <c r="IG262" s="92"/>
    </row>
    <row r="263" spans="1:241" s="1" customFormat="1" ht="22.5" customHeight="1" hidden="1">
      <c r="A263" s="22" t="s">
        <v>51</v>
      </c>
      <c r="B263" s="12"/>
      <c r="C263" s="12"/>
      <c r="D263" s="13">
        <f aca="true" t="shared" si="29" ref="D263:J263">D265*D272+D266*D273+D267*D274</f>
        <v>2238832</v>
      </c>
      <c r="E263" s="13">
        <f t="shared" si="29"/>
        <v>0</v>
      </c>
      <c r="F263" s="13">
        <f t="shared" si="29"/>
        <v>2238832</v>
      </c>
      <c r="G263" s="13">
        <f t="shared" si="29"/>
        <v>3457163.02</v>
      </c>
      <c r="H263" s="13">
        <f t="shared" si="29"/>
        <v>0</v>
      </c>
      <c r="I263" s="13"/>
      <c r="J263" s="13">
        <f t="shared" si="29"/>
        <v>3457163.02</v>
      </c>
      <c r="K263" s="16"/>
      <c r="L263" s="16"/>
      <c r="M263" s="16"/>
      <c r="N263" s="13">
        <f>N265*N272+N266*N273+N267*N274</f>
        <v>4409562.98</v>
      </c>
      <c r="O263" s="13">
        <f>O265*O272+O266*O273+O267*O274</f>
        <v>0</v>
      </c>
      <c r="P263" s="13">
        <f>P265*P272+P266*P273+P267*P274</f>
        <v>4409562.98</v>
      </c>
      <c r="IB263"/>
      <c r="IC263"/>
      <c r="ID263"/>
      <c r="IE263"/>
      <c r="IF263"/>
      <c r="IG263"/>
    </row>
    <row r="264" spans="1:241" s="1" customFormat="1" ht="12" customHeight="1">
      <c r="A264" s="54" t="s">
        <v>5</v>
      </c>
      <c r="B264" s="61"/>
      <c r="C264" s="61"/>
      <c r="D264" s="129"/>
      <c r="E264" s="129"/>
      <c r="F264" s="62"/>
      <c r="G264" s="129"/>
      <c r="H264" s="129"/>
      <c r="I264" s="129"/>
      <c r="J264" s="62"/>
      <c r="K264" s="63"/>
      <c r="L264" s="63"/>
      <c r="M264" s="63"/>
      <c r="N264" s="129"/>
      <c r="O264" s="129"/>
      <c r="P264" s="62"/>
      <c r="IB264"/>
      <c r="IC264"/>
      <c r="ID264"/>
      <c r="IE264"/>
      <c r="IF264"/>
      <c r="IG264"/>
    </row>
    <row r="265" spans="1:241" s="1" customFormat="1" ht="13.5" customHeight="1" hidden="1">
      <c r="A265" s="55" t="s">
        <v>38</v>
      </c>
      <c r="B265" s="59"/>
      <c r="C265" s="59"/>
      <c r="D265" s="62">
        <v>1220</v>
      </c>
      <c r="E265" s="62"/>
      <c r="F265" s="62">
        <f aca="true" t="shared" si="30" ref="F265:F274">D265</f>
        <v>1220</v>
      </c>
      <c r="G265" s="62">
        <v>1220</v>
      </c>
      <c r="H265" s="62"/>
      <c r="I265" s="62"/>
      <c r="J265" s="62">
        <f aca="true" t="shared" si="31" ref="J265:J276">G265</f>
        <v>1220</v>
      </c>
      <c r="K265" s="63"/>
      <c r="L265" s="63"/>
      <c r="M265" s="63"/>
      <c r="N265" s="62">
        <v>1220</v>
      </c>
      <c r="O265" s="62"/>
      <c r="P265" s="62">
        <f aca="true" t="shared" si="32" ref="P265:P278">N265</f>
        <v>1220</v>
      </c>
      <c r="IB265"/>
      <c r="IC265"/>
      <c r="ID265"/>
      <c r="IE265"/>
      <c r="IF265"/>
      <c r="IG265"/>
    </row>
    <row r="266" spans="1:241" s="1" customFormat="1" ht="22.5">
      <c r="A266" s="55" t="s">
        <v>162</v>
      </c>
      <c r="B266" s="59"/>
      <c r="C266" s="59"/>
      <c r="D266" s="62">
        <v>4</v>
      </c>
      <c r="E266" s="62"/>
      <c r="F266" s="62">
        <f t="shared" si="30"/>
        <v>4</v>
      </c>
      <c r="G266" s="114">
        <f>6</f>
        <v>6</v>
      </c>
      <c r="H266" s="62"/>
      <c r="I266" s="62"/>
      <c r="J266" s="62">
        <f t="shared" si="31"/>
        <v>6</v>
      </c>
      <c r="K266" s="63"/>
      <c r="L266" s="63"/>
      <c r="M266" s="63"/>
      <c r="N266" s="62">
        <v>5</v>
      </c>
      <c r="O266" s="62"/>
      <c r="P266" s="62">
        <f t="shared" si="32"/>
        <v>5</v>
      </c>
      <c r="IB266"/>
      <c r="IC266"/>
      <c r="ID266"/>
      <c r="IE266"/>
      <c r="IF266"/>
      <c r="IG266"/>
    </row>
    <row r="267" spans="1:241" s="1" customFormat="1" ht="22.5" customHeight="1">
      <c r="A267" s="55" t="s">
        <v>163</v>
      </c>
      <c r="B267" s="59"/>
      <c r="C267" s="59"/>
      <c r="D267" s="62">
        <v>6</v>
      </c>
      <c r="E267" s="62"/>
      <c r="F267" s="62">
        <f t="shared" si="30"/>
        <v>6</v>
      </c>
      <c r="G267" s="114">
        <f>D267</f>
        <v>6</v>
      </c>
      <c r="H267" s="62"/>
      <c r="I267" s="62"/>
      <c r="J267" s="62">
        <f t="shared" si="31"/>
        <v>6</v>
      </c>
      <c r="K267" s="63"/>
      <c r="L267" s="63"/>
      <c r="M267" s="63"/>
      <c r="N267" s="62">
        <f>G267</f>
        <v>6</v>
      </c>
      <c r="O267" s="62"/>
      <c r="P267" s="62">
        <f t="shared" si="32"/>
        <v>6</v>
      </c>
      <c r="IB267"/>
      <c r="IC267"/>
      <c r="ID267"/>
      <c r="IE267"/>
      <c r="IF267"/>
      <c r="IG267"/>
    </row>
    <row r="268" spans="1:241" s="1" customFormat="1" ht="22.5" customHeight="1">
      <c r="A268" s="21" t="s">
        <v>260</v>
      </c>
      <c r="B268" s="7"/>
      <c r="C268" s="7"/>
      <c r="D268" s="14">
        <v>100</v>
      </c>
      <c r="E268" s="14"/>
      <c r="F268" s="14">
        <f t="shared" si="30"/>
        <v>100</v>
      </c>
      <c r="G268" s="114">
        <v>200</v>
      </c>
      <c r="H268" s="62"/>
      <c r="I268" s="62"/>
      <c r="J268" s="62">
        <v>200</v>
      </c>
      <c r="K268" s="63"/>
      <c r="L268" s="63"/>
      <c r="M268" s="63"/>
      <c r="N268" s="62">
        <v>125</v>
      </c>
      <c r="O268" s="62"/>
      <c r="P268" s="62">
        <f t="shared" si="32"/>
        <v>125</v>
      </c>
      <c r="IB268"/>
      <c r="IC268"/>
      <c r="ID268"/>
      <c r="IE268"/>
      <c r="IF268"/>
      <c r="IG268"/>
    </row>
    <row r="269" spans="1:241" s="1" customFormat="1" ht="24.75" customHeight="1">
      <c r="A269" s="21" t="s">
        <v>288</v>
      </c>
      <c r="B269" s="7"/>
      <c r="C269" s="7"/>
      <c r="D269" s="14"/>
      <c r="E269" s="14"/>
      <c r="F269" s="14"/>
      <c r="G269" s="114">
        <v>500</v>
      </c>
      <c r="H269" s="62"/>
      <c r="I269" s="62"/>
      <c r="J269" s="62">
        <v>500</v>
      </c>
      <c r="K269" s="63"/>
      <c r="L269" s="63"/>
      <c r="M269" s="63"/>
      <c r="N269" s="62">
        <v>400</v>
      </c>
      <c r="O269" s="62"/>
      <c r="P269" s="62">
        <f t="shared" si="32"/>
        <v>400</v>
      </c>
      <c r="IB269"/>
      <c r="IC269"/>
      <c r="ID269"/>
      <c r="IE269"/>
      <c r="IF269"/>
      <c r="IG269"/>
    </row>
    <row r="270" spans="1:241" s="1" customFormat="1" ht="22.5" customHeight="1" hidden="1">
      <c r="A270" s="21" t="s">
        <v>288</v>
      </c>
      <c r="B270" s="7"/>
      <c r="C270" s="7"/>
      <c r="D270" s="14"/>
      <c r="E270" s="14"/>
      <c r="F270" s="14"/>
      <c r="G270" s="114">
        <v>500</v>
      </c>
      <c r="H270" s="62"/>
      <c r="I270" s="62"/>
      <c r="J270" s="62">
        <v>500</v>
      </c>
      <c r="K270" s="63"/>
      <c r="L270" s="63"/>
      <c r="M270" s="63"/>
      <c r="N270" s="62"/>
      <c r="O270" s="62"/>
      <c r="P270" s="62"/>
      <c r="IB270"/>
      <c r="IC270"/>
      <c r="ID270"/>
      <c r="IE270"/>
      <c r="IF270"/>
      <c r="IG270"/>
    </row>
    <row r="271" spans="1:241" s="1" customFormat="1" ht="12" customHeight="1">
      <c r="A271" s="54" t="s">
        <v>7</v>
      </c>
      <c r="B271" s="61"/>
      <c r="C271" s="61"/>
      <c r="D271" s="129"/>
      <c r="E271" s="129"/>
      <c r="F271" s="62"/>
      <c r="G271" s="172"/>
      <c r="H271" s="129"/>
      <c r="I271" s="129"/>
      <c r="J271" s="62"/>
      <c r="K271" s="63"/>
      <c r="L271" s="63"/>
      <c r="M271" s="63"/>
      <c r="N271" s="129"/>
      <c r="O271" s="129"/>
      <c r="P271" s="62"/>
      <c r="IB271"/>
      <c r="IC271"/>
      <c r="ID271"/>
      <c r="IE271"/>
      <c r="IF271"/>
      <c r="IG271"/>
    </row>
    <row r="272" spans="1:241" s="1" customFormat="1" ht="22.5" customHeight="1" hidden="1">
      <c r="A272" s="55" t="s">
        <v>55</v>
      </c>
      <c r="B272" s="59"/>
      <c r="C272" s="59"/>
      <c r="D272" s="62">
        <v>26.5</v>
      </c>
      <c r="E272" s="62"/>
      <c r="F272" s="62">
        <f t="shared" si="30"/>
        <v>26.5</v>
      </c>
      <c r="G272" s="114">
        <v>29.15</v>
      </c>
      <c r="H272" s="62"/>
      <c r="I272" s="62"/>
      <c r="J272" s="62">
        <f t="shared" si="31"/>
        <v>29.15</v>
      </c>
      <c r="K272" s="63"/>
      <c r="L272" s="63"/>
      <c r="M272" s="63"/>
      <c r="N272" s="62">
        <v>29.15</v>
      </c>
      <c r="O272" s="62"/>
      <c r="P272" s="62">
        <f t="shared" si="32"/>
        <v>29.15</v>
      </c>
      <c r="IB272"/>
      <c r="IC272"/>
      <c r="ID272"/>
      <c r="IE272"/>
      <c r="IF272"/>
      <c r="IG272"/>
    </row>
    <row r="273" spans="1:241" s="1" customFormat="1" ht="22.5" customHeight="1">
      <c r="A273" s="55" t="s">
        <v>164</v>
      </c>
      <c r="B273" s="59"/>
      <c r="C273" s="59"/>
      <c r="D273" s="62">
        <v>256250</v>
      </c>
      <c r="E273" s="62"/>
      <c r="F273" s="62">
        <f>D273</f>
        <v>256250</v>
      </c>
      <c r="G273" s="114">
        <v>339600</v>
      </c>
      <c r="H273" s="62"/>
      <c r="I273" s="62"/>
      <c r="J273" s="62">
        <f t="shared" si="31"/>
        <v>339600</v>
      </c>
      <c r="K273" s="63"/>
      <c r="L273" s="63"/>
      <c r="M273" s="63"/>
      <c r="N273" s="62">
        <v>551000</v>
      </c>
      <c r="O273" s="62"/>
      <c r="P273" s="62">
        <f t="shared" si="32"/>
        <v>551000</v>
      </c>
      <c r="IB273"/>
      <c r="IC273"/>
      <c r="ID273"/>
      <c r="IE273"/>
      <c r="IF273"/>
      <c r="IG273"/>
    </row>
    <row r="274" spans="1:241" s="1" customFormat="1" ht="22.5" customHeight="1">
      <c r="A274" s="55" t="s">
        <v>165</v>
      </c>
      <c r="B274" s="59"/>
      <c r="C274" s="59"/>
      <c r="D274" s="62">
        <v>196917</v>
      </c>
      <c r="E274" s="62"/>
      <c r="F274" s="62">
        <f t="shared" si="30"/>
        <v>196917</v>
      </c>
      <c r="G274" s="114">
        <v>230666.67</v>
      </c>
      <c r="H274" s="62"/>
      <c r="I274" s="62"/>
      <c r="J274" s="62">
        <f t="shared" si="31"/>
        <v>230666.67</v>
      </c>
      <c r="K274" s="63"/>
      <c r="L274" s="63"/>
      <c r="M274" s="63"/>
      <c r="N274" s="62">
        <v>269833.33</v>
      </c>
      <c r="O274" s="62"/>
      <c r="P274" s="62">
        <f t="shared" si="32"/>
        <v>269833.33</v>
      </c>
      <c r="IB274"/>
      <c r="IC274"/>
      <c r="ID274"/>
      <c r="IE274"/>
      <c r="IF274"/>
      <c r="IG274"/>
    </row>
    <row r="275" spans="1:241" s="1" customFormat="1" ht="12" customHeight="1" hidden="1">
      <c r="A275" s="54" t="s">
        <v>6</v>
      </c>
      <c r="B275" s="61"/>
      <c r="C275" s="61"/>
      <c r="D275" s="129"/>
      <c r="E275" s="129"/>
      <c r="F275" s="129"/>
      <c r="G275" s="172"/>
      <c r="H275" s="129"/>
      <c r="I275" s="129"/>
      <c r="J275" s="62">
        <f t="shared" si="31"/>
        <v>0</v>
      </c>
      <c r="K275" s="63"/>
      <c r="L275" s="63"/>
      <c r="M275" s="63"/>
      <c r="N275" s="129"/>
      <c r="O275" s="129"/>
      <c r="P275" s="62">
        <f t="shared" si="32"/>
        <v>0</v>
      </c>
      <c r="IB275"/>
      <c r="IC275"/>
      <c r="ID275"/>
      <c r="IE275"/>
      <c r="IF275"/>
      <c r="IG275"/>
    </row>
    <row r="276" spans="1:241" s="1" customFormat="1" ht="33.75" customHeight="1" hidden="1">
      <c r="A276" s="55" t="s">
        <v>39</v>
      </c>
      <c r="B276" s="59"/>
      <c r="C276" s="59"/>
      <c r="D276" s="62"/>
      <c r="E276" s="62"/>
      <c r="F276" s="62"/>
      <c r="G276" s="114"/>
      <c r="H276" s="62"/>
      <c r="I276" s="62"/>
      <c r="J276" s="62">
        <f t="shared" si="31"/>
        <v>0</v>
      </c>
      <c r="K276" s="63"/>
      <c r="L276" s="63"/>
      <c r="M276" s="63"/>
      <c r="N276" s="62"/>
      <c r="O276" s="62"/>
      <c r="P276" s="62">
        <f t="shared" si="32"/>
        <v>0</v>
      </c>
      <c r="IB276"/>
      <c r="IC276"/>
      <c r="ID276"/>
      <c r="IE276"/>
      <c r="IF276"/>
      <c r="IG276"/>
    </row>
    <row r="277" spans="1:241" s="1" customFormat="1" ht="32.25" customHeight="1">
      <c r="A277" s="21" t="s">
        <v>328</v>
      </c>
      <c r="B277" s="7"/>
      <c r="C277" s="7"/>
      <c r="D277" s="14">
        <v>1000</v>
      </c>
      <c r="E277" s="14"/>
      <c r="F277" s="14">
        <f>D277</f>
        <v>1000</v>
      </c>
      <c r="G277" s="114">
        <v>1000</v>
      </c>
      <c r="H277" s="62"/>
      <c r="I277" s="62"/>
      <c r="J277" s="62">
        <f>G277</f>
        <v>1000</v>
      </c>
      <c r="K277" s="63"/>
      <c r="L277" s="63"/>
      <c r="M277" s="63"/>
      <c r="N277" s="62">
        <v>1200</v>
      </c>
      <c r="O277" s="62"/>
      <c r="P277" s="62">
        <f t="shared" si="32"/>
        <v>1200</v>
      </c>
      <c r="IB277"/>
      <c r="IC277"/>
      <c r="ID277"/>
      <c r="IE277"/>
      <c r="IF277"/>
      <c r="IG277"/>
    </row>
    <row r="278" spans="1:241" s="1" customFormat="1" ht="33.75">
      <c r="A278" s="21" t="s">
        <v>289</v>
      </c>
      <c r="B278" s="7"/>
      <c r="C278" s="7"/>
      <c r="D278" s="14">
        <v>1000</v>
      </c>
      <c r="E278" s="14"/>
      <c r="F278" s="14">
        <f>D278</f>
        <v>1000</v>
      </c>
      <c r="G278" s="114">
        <v>300</v>
      </c>
      <c r="H278" s="62"/>
      <c r="I278" s="62"/>
      <c r="J278" s="62">
        <f>G278</f>
        <v>300</v>
      </c>
      <c r="K278" s="63"/>
      <c r="L278" s="63"/>
      <c r="M278" s="63"/>
      <c r="N278" s="62">
        <v>350</v>
      </c>
      <c r="O278" s="62"/>
      <c r="P278" s="62">
        <f t="shared" si="32"/>
        <v>350</v>
      </c>
      <c r="IB278"/>
      <c r="IC278"/>
      <c r="ID278"/>
      <c r="IE278"/>
      <c r="IF278"/>
      <c r="IG278"/>
    </row>
    <row r="279" spans="1:241" s="1" customFormat="1" ht="12">
      <c r="A279" s="54" t="s">
        <v>6</v>
      </c>
      <c r="B279" s="59"/>
      <c r="C279" s="59"/>
      <c r="D279" s="62"/>
      <c r="E279" s="62"/>
      <c r="F279" s="62"/>
      <c r="G279" s="62"/>
      <c r="H279" s="62"/>
      <c r="I279" s="62"/>
      <c r="J279" s="62"/>
      <c r="K279" s="63"/>
      <c r="L279" s="63"/>
      <c r="M279" s="63"/>
      <c r="N279" s="62"/>
      <c r="O279" s="62"/>
      <c r="P279" s="62"/>
      <c r="IB279"/>
      <c r="IC279"/>
      <c r="ID279"/>
      <c r="IE279"/>
      <c r="IF279"/>
      <c r="IG279"/>
    </row>
    <row r="280" spans="1:241" s="1" customFormat="1" ht="33.75">
      <c r="A280" s="55" t="s">
        <v>166</v>
      </c>
      <c r="B280" s="59"/>
      <c r="C280" s="59"/>
      <c r="D280" s="62"/>
      <c r="E280" s="62"/>
      <c r="F280" s="62"/>
      <c r="G280" s="62">
        <f>G273/F273*100</f>
        <v>132.5268292682927</v>
      </c>
      <c r="H280" s="62"/>
      <c r="I280" s="62"/>
      <c r="J280" s="62">
        <f>G280</f>
        <v>132.5268292682927</v>
      </c>
      <c r="K280" s="63"/>
      <c r="L280" s="63"/>
      <c r="M280" s="63"/>
      <c r="N280" s="62">
        <f>N273/J273*100</f>
        <v>162.24970553592462</v>
      </c>
      <c r="O280" s="62"/>
      <c r="P280" s="62">
        <f>N280</f>
        <v>162.24970553592462</v>
      </c>
      <c r="IB280"/>
      <c r="IC280"/>
      <c r="ID280"/>
      <c r="IE280"/>
      <c r="IF280"/>
      <c r="IG280"/>
    </row>
    <row r="281" spans="1:241" s="1" customFormat="1" ht="33.75">
      <c r="A281" s="55" t="s">
        <v>167</v>
      </c>
      <c r="B281" s="59"/>
      <c r="C281" s="59"/>
      <c r="D281" s="62"/>
      <c r="E281" s="62"/>
      <c r="F281" s="62"/>
      <c r="G281" s="62">
        <f>G274/D274*100</f>
        <v>117.13903319672755</v>
      </c>
      <c r="H281" s="62"/>
      <c r="I281" s="62"/>
      <c r="J281" s="62">
        <f>G281</f>
        <v>117.13903319672755</v>
      </c>
      <c r="K281" s="63"/>
      <c r="L281" s="63"/>
      <c r="M281" s="63"/>
      <c r="N281" s="62">
        <f>N274/G274*100</f>
        <v>116.97976565058141</v>
      </c>
      <c r="O281" s="62"/>
      <c r="P281" s="62">
        <f>N281</f>
        <v>116.97976565058141</v>
      </c>
      <c r="IB281"/>
      <c r="IC281"/>
      <c r="ID281"/>
      <c r="IE281"/>
      <c r="IF281"/>
      <c r="IG281"/>
    </row>
    <row r="282" spans="1:241" s="91" customFormat="1" ht="24" customHeight="1">
      <c r="A282" s="82" t="s">
        <v>370</v>
      </c>
      <c r="B282" s="88"/>
      <c r="C282" s="88"/>
      <c r="D282" s="89">
        <f>(D284*D287)+45</f>
        <v>400000</v>
      </c>
      <c r="E282" s="89"/>
      <c r="F282" s="89">
        <f>D282</f>
        <v>400000</v>
      </c>
      <c r="G282" s="89">
        <f>G284*G287+G285*G288</f>
        <v>479999.999999326</v>
      </c>
      <c r="H282" s="89"/>
      <c r="I282" s="89"/>
      <c r="J282" s="89">
        <f>G282</f>
        <v>479999.999999326</v>
      </c>
      <c r="K282" s="89">
        <f>(K284*K287)</f>
        <v>0</v>
      </c>
      <c r="L282" s="89">
        <f>(L284*L287)</f>
        <v>0</v>
      </c>
      <c r="M282" s="89">
        <f>(M284*M287)</f>
        <v>0</v>
      </c>
      <c r="N282" s="89">
        <f>(N284*N287)</f>
        <v>579999.9999983759</v>
      </c>
      <c r="O282" s="89">
        <f>(O284*O287)</f>
        <v>0</v>
      </c>
      <c r="P282" s="89">
        <f>N282</f>
        <v>579999.9999983759</v>
      </c>
      <c r="IB282" s="92"/>
      <c r="IC282" s="92"/>
      <c r="ID282" s="92"/>
      <c r="IE282" s="92"/>
      <c r="IF282" s="92"/>
      <c r="IG282" s="92"/>
    </row>
    <row r="283" spans="1:241" s="1" customFormat="1" ht="12">
      <c r="A283" s="54" t="s">
        <v>5</v>
      </c>
      <c r="B283" s="59"/>
      <c r="C283" s="59"/>
      <c r="D283" s="62"/>
      <c r="E283" s="62"/>
      <c r="F283" s="62"/>
      <c r="G283" s="62"/>
      <c r="H283" s="62"/>
      <c r="I283" s="62"/>
      <c r="J283" s="62"/>
      <c r="K283" s="63"/>
      <c r="L283" s="63"/>
      <c r="M283" s="63"/>
      <c r="N283" s="62"/>
      <c r="O283" s="62"/>
      <c r="P283" s="62"/>
      <c r="IB283"/>
      <c r="IC283"/>
      <c r="ID283"/>
      <c r="IE283"/>
      <c r="IF283"/>
      <c r="IG283"/>
    </row>
    <row r="284" spans="1:241" s="1" customFormat="1" ht="22.5">
      <c r="A284" s="55" t="s">
        <v>304</v>
      </c>
      <c r="B284" s="59"/>
      <c r="C284" s="59"/>
      <c r="D284" s="62">
        <v>2050</v>
      </c>
      <c r="E284" s="62"/>
      <c r="F284" s="62">
        <f>D284</f>
        <v>2050</v>
      </c>
      <c r="G284" s="62">
        <v>1427</v>
      </c>
      <c r="H284" s="62"/>
      <c r="I284" s="62"/>
      <c r="J284" s="62">
        <f>G284</f>
        <v>1427</v>
      </c>
      <c r="K284" s="63"/>
      <c r="L284" s="63"/>
      <c r="M284" s="63"/>
      <c r="N284" s="62">
        <v>2248</v>
      </c>
      <c r="O284" s="62"/>
      <c r="P284" s="62">
        <f>N284</f>
        <v>2248</v>
      </c>
      <c r="IB284"/>
      <c r="IC284"/>
      <c r="ID284"/>
      <c r="IE284"/>
      <c r="IF284"/>
      <c r="IG284"/>
    </row>
    <row r="285" spans="1:241" s="1" customFormat="1" ht="33.75">
      <c r="A285" s="55" t="s">
        <v>308</v>
      </c>
      <c r="B285" s="59"/>
      <c r="C285" s="59"/>
      <c r="D285" s="62"/>
      <c r="E285" s="62"/>
      <c r="F285" s="62"/>
      <c r="G285" s="62">
        <v>1</v>
      </c>
      <c r="H285" s="62"/>
      <c r="I285" s="62"/>
      <c r="J285" s="62">
        <v>1</v>
      </c>
      <c r="K285" s="63"/>
      <c r="L285" s="63"/>
      <c r="M285" s="63"/>
      <c r="N285" s="62"/>
      <c r="O285" s="62"/>
      <c r="P285" s="62"/>
      <c r="IB285"/>
      <c r="IC285"/>
      <c r="ID285"/>
      <c r="IE285"/>
      <c r="IF285"/>
      <c r="IG285"/>
    </row>
    <row r="286" spans="1:241" s="1" customFormat="1" ht="12">
      <c r="A286" s="54" t="s">
        <v>7</v>
      </c>
      <c r="B286" s="59"/>
      <c r="C286" s="59"/>
      <c r="D286" s="62"/>
      <c r="E286" s="62"/>
      <c r="F286" s="62"/>
      <c r="G286" s="62"/>
      <c r="H286" s="62"/>
      <c r="I286" s="62"/>
      <c r="J286" s="62"/>
      <c r="K286" s="63"/>
      <c r="L286" s="63"/>
      <c r="M286" s="63"/>
      <c r="N286" s="62"/>
      <c r="O286" s="62"/>
      <c r="P286" s="62"/>
      <c r="IB286"/>
      <c r="IC286"/>
      <c r="ID286"/>
      <c r="IE286"/>
      <c r="IF286"/>
      <c r="IG286"/>
    </row>
    <row r="287" spans="1:241" s="1" customFormat="1" ht="22.5">
      <c r="A287" s="55" t="s">
        <v>305</v>
      </c>
      <c r="B287" s="59"/>
      <c r="C287" s="59"/>
      <c r="D287" s="62">
        <v>195.1</v>
      </c>
      <c r="E287" s="62"/>
      <c r="F287" s="62">
        <f>D287</f>
        <v>195.1</v>
      </c>
      <c r="G287" s="62">
        <v>224.246671338</v>
      </c>
      <c r="H287" s="62"/>
      <c r="I287" s="62"/>
      <c r="J287" s="62">
        <f>G287</f>
        <v>224.246671338</v>
      </c>
      <c r="K287" s="63"/>
      <c r="L287" s="63"/>
      <c r="M287" s="63"/>
      <c r="N287" s="62">
        <v>258.007117437</v>
      </c>
      <c r="O287" s="62"/>
      <c r="P287" s="62">
        <f>N287</f>
        <v>258.007117437</v>
      </c>
      <c r="IB287"/>
      <c r="IC287"/>
      <c r="ID287"/>
      <c r="IE287"/>
      <c r="IF287"/>
      <c r="IG287"/>
    </row>
    <row r="288" spans="1:241" s="1" customFormat="1" ht="33.75">
      <c r="A288" s="55" t="s">
        <v>309</v>
      </c>
      <c r="B288" s="59"/>
      <c r="C288" s="59"/>
      <c r="D288" s="62"/>
      <c r="E288" s="62"/>
      <c r="F288" s="62"/>
      <c r="G288" s="62">
        <v>160000</v>
      </c>
      <c r="H288" s="62"/>
      <c r="I288" s="62"/>
      <c r="J288" s="62">
        <f>G288</f>
        <v>160000</v>
      </c>
      <c r="K288" s="63"/>
      <c r="L288" s="63"/>
      <c r="M288" s="63"/>
      <c r="N288" s="62"/>
      <c r="O288" s="62"/>
      <c r="P288" s="62"/>
      <c r="IB288"/>
      <c r="IC288"/>
      <c r="ID288"/>
      <c r="IE288"/>
      <c r="IF288"/>
      <c r="IG288"/>
    </row>
    <row r="289" spans="1:241" s="1" customFormat="1" ht="12">
      <c r="A289" s="54" t="s">
        <v>6</v>
      </c>
      <c r="B289" s="59"/>
      <c r="C289" s="59"/>
      <c r="D289" s="62"/>
      <c r="E289" s="62"/>
      <c r="F289" s="62"/>
      <c r="G289" s="62"/>
      <c r="H289" s="62"/>
      <c r="I289" s="62"/>
      <c r="J289" s="62"/>
      <c r="K289" s="63"/>
      <c r="L289" s="63"/>
      <c r="M289" s="63"/>
      <c r="N289" s="62"/>
      <c r="O289" s="62"/>
      <c r="P289" s="62"/>
      <c r="IB289"/>
      <c r="IC289"/>
      <c r="ID289"/>
      <c r="IE289"/>
      <c r="IF289"/>
      <c r="IG289"/>
    </row>
    <row r="290" spans="1:241" s="1" customFormat="1" ht="24.75" customHeight="1">
      <c r="A290" s="55" t="s">
        <v>306</v>
      </c>
      <c r="B290" s="59"/>
      <c r="C290" s="59"/>
      <c r="D290" s="62"/>
      <c r="E290" s="62"/>
      <c r="F290" s="62"/>
      <c r="G290" s="62">
        <f>G284/D284*100</f>
        <v>69.60975609756098</v>
      </c>
      <c r="H290" s="62"/>
      <c r="I290" s="62"/>
      <c r="J290" s="62">
        <f>G290</f>
        <v>69.60975609756098</v>
      </c>
      <c r="K290" s="63"/>
      <c r="L290" s="63"/>
      <c r="M290" s="63"/>
      <c r="N290" s="62">
        <f>N284/G284*100</f>
        <v>157.5332866152768</v>
      </c>
      <c r="O290" s="62"/>
      <c r="P290" s="62">
        <f>N290</f>
        <v>157.5332866152768</v>
      </c>
      <c r="IB290"/>
      <c r="IC290"/>
      <c r="ID290"/>
      <c r="IE290"/>
      <c r="IF290"/>
      <c r="IG290"/>
    </row>
    <row r="291" spans="1:241" s="1" customFormat="1" ht="33.75">
      <c r="A291" s="55" t="s">
        <v>307</v>
      </c>
      <c r="B291" s="59"/>
      <c r="C291" s="59"/>
      <c r="D291" s="62"/>
      <c r="E291" s="62"/>
      <c r="F291" s="62"/>
      <c r="G291" s="62">
        <f>G287/D287*100</f>
        <v>114.93934973757047</v>
      </c>
      <c r="H291" s="62"/>
      <c r="I291" s="62"/>
      <c r="J291" s="62">
        <f>G291</f>
        <v>114.93934973757047</v>
      </c>
      <c r="K291" s="63"/>
      <c r="L291" s="63"/>
      <c r="M291" s="63"/>
      <c r="N291" s="62">
        <f>N287/G287*100</f>
        <v>115.05504893230452</v>
      </c>
      <c r="O291" s="62"/>
      <c r="P291" s="62">
        <f>N291</f>
        <v>115.05504893230452</v>
      </c>
      <c r="IB291"/>
      <c r="IC291"/>
      <c r="ID291"/>
      <c r="IE291"/>
      <c r="IF291"/>
      <c r="IG291"/>
    </row>
    <row r="292" spans="1:241" s="101" customFormat="1" ht="27" customHeight="1">
      <c r="A292" s="82" t="s">
        <v>371</v>
      </c>
      <c r="B292" s="88"/>
      <c r="C292" s="88"/>
      <c r="D292" s="89"/>
      <c r="E292" s="89">
        <f>E294*E297</f>
        <v>4065000</v>
      </c>
      <c r="F292" s="89">
        <f>F294*F297</f>
        <v>4065000</v>
      </c>
      <c r="G292" s="89"/>
      <c r="H292" s="89">
        <v>4482000</v>
      </c>
      <c r="I292" s="89"/>
      <c r="J292" s="89">
        <v>4482000</v>
      </c>
      <c r="K292" s="89">
        <f>K294*K297-4</f>
        <v>-4</v>
      </c>
      <c r="L292" s="89">
        <f>L294*L297-4</f>
        <v>-4</v>
      </c>
      <c r="M292" s="89">
        <f>M294*M297-4</f>
        <v>-4</v>
      </c>
      <c r="N292" s="89"/>
      <c r="O292" s="89">
        <f>O294*O297+O295*O298+45000</f>
        <v>17186199.99996</v>
      </c>
      <c r="P292" s="89">
        <f>N292+O292</f>
        <v>17186199.99996</v>
      </c>
      <c r="IB292" s="102"/>
      <c r="IC292" s="102"/>
      <c r="ID292" s="102"/>
      <c r="IE292" s="102"/>
      <c r="IF292" s="102"/>
      <c r="IG292" s="102"/>
    </row>
    <row r="293" spans="1:241" s="49" customFormat="1" ht="12">
      <c r="A293" s="54" t="s">
        <v>5</v>
      </c>
      <c r="B293" s="61"/>
      <c r="C293" s="61"/>
      <c r="D293" s="129"/>
      <c r="E293" s="129"/>
      <c r="F293" s="62"/>
      <c r="G293" s="129"/>
      <c r="H293" s="129"/>
      <c r="I293" s="129"/>
      <c r="J293" s="62"/>
      <c r="K293" s="63"/>
      <c r="L293" s="63"/>
      <c r="M293" s="63"/>
      <c r="N293" s="129"/>
      <c r="O293" s="129"/>
      <c r="P293" s="62"/>
      <c r="IB293" s="50"/>
      <c r="IC293" s="50"/>
      <c r="ID293" s="50"/>
      <c r="IE293" s="50"/>
      <c r="IF293" s="50"/>
      <c r="IG293" s="50"/>
    </row>
    <row r="294" spans="1:241" s="49" customFormat="1" ht="25.5" customHeight="1">
      <c r="A294" s="55" t="s">
        <v>168</v>
      </c>
      <c r="B294" s="59"/>
      <c r="C294" s="59"/>
      <c r="D294" s="62"/>
      <c r="E294" s="14">
        <v>24</v>
      </c>
      <c r="F294" s="62">
        <f>E294</f>
        <v>24</v>
      </c>
      <c r="G294" s="62"/>
      <c r="H294" s="62">
        <v>29</v>
      </c>
      <c r="I294" s="62"/>
      <c r="J294" s="62">
        <v>29</v>
      </c>
      <c r="K294" s="63"/>
      <c r="L294" s="63"/>
      <c r="M294" s="63"/>
      <c r="N294" s="62"/>
      <c r="O294" s="62">
        <v>6</v>
      </c>
      <c r="P294" s="62">
        <f>O294</f>
        <v>6</v>
      </c>
      <c r="IB294" s="50"/>
      <c r="IC294" s="50"/>
      <c r="ID294" s="50"/>
      <c r="IE294" s="50"/>
      <c r="IF294" s="50"/>
      <c r="IG294" s="50"/>
    </row>
    <row r="295" spans="1:241" s="49" customFormat="1" ht="25.5" customHeight="1">
      <c r="A295" s="55" t="s">
        <v>290</v>
      </c>
      <c r="B295" s="59"/>
      <c r="C295" s="59"/>
      <c r="D295" s="62"/>
      <c r="E295" s="14"/>
      <c r="F295" s="62"/>
      <c r="G295" s="62"/>
      <c r="H295" s="62"/>
      <c r="I295" s="62"/>
      <c r="J295" s="62"/>
      <c r="K295" s="63"/>
      <c r="L295" s="63"/>
      <c r="M295" s="63"/>
      <c r="N295" s="62"/>
      <c r="O295" s="62">
        <v>2</v>
      </c>
      <c r="P295" s="62">
        <f>O295</f>
        <v>2</v>
      </c>
      <c r="IB295" s="50"/>
      <c r="IC295" s="50"/>
      <c r="ID295" s="50"/>
      <c r="IE295" s="50"/>
      <c r="IF295" s="50"/>
      <c r="IG295" s="50"/>
    </row>
    <row r="296" spans="1:241" s="49" customFormat="1" ht="12">
      <c r="A296" s="54" t="s">
        <v>7</v>
      </c>
      <c r="B296" s="61"/>
      <c r="C296" s="61"/>
      <c r="D296" s="129"/>
      <c r="E296" s="129"/>
      <c r="F296" s="62"/>
      <c r="G296" s="129"/>
      <c r="H296" s="129"/>
      <c r="I296" s="129"/>
      <c r="J296" s="62"/>
      <c r="K296" s="63"/>
      <c r="L296" s="63"/>
      <c r="M296" s="63"/>
      <c r="N296" s="129"/>
      <c r="O296" s="129"/>
      <c r="P296" s="62"/>
      <c r="IB296" s="50"/>
      <c r="IC296" s="50"/>
      <c r="ID296" s="50"/>
      <c r="IE296" s="50"/>
      <c r="IF296" s="50"/>
      <c r="IG296" s="50"/>
    </row>
    <row r="297" spans="1:241" s="49" customFormat="1" ht="26.25" customHeight="1">
      <c r="A297" s="55" t="s">
        <v>169</v>
      </c>
      <c r="B297" s="59"/>
      <c r="C297" s="59"/>
      <c r="D297" s="62"/>
      <c r="E297" s="62">
        <v>169375</v>
      </c>
      <c r="F297" s="62">
        <f>E297</f>
        <v>169375</v>
      </c>
      <c r="G297" s="62"/>
      <c r="H297" s="62">
        <v>154553</v>
      </c>
      <c r="I297" s="62"/>
      <c r="J297" s="62">
        <v>154553</v>
      </c>
      <c r="K297" s="63"/>
      <c r="L297" s="63"/>
      <c r="M297" s="63"/>
      <c r="N297" s="62"/>
      <c r="O297" s="62">
        <v>2341666.66666</v>
      </c>
      <c r="P297" s="62">
        <f>O297</f>
        <v>2341666.66666</v>
      </c>
      <c r="IB297" s="50"/>
      <c r="IC297" s="50"/>
      <c r="ID297" s="50"/>
      <c r="IE297" s="50"/>
      <c r="IF297" s="50"/>
      <c r="IG297" s="50"/>
    </row>
    <row r="298" spans="1:241" s="49" customFormat="1" ht="26.25" customHeight="1">
      <c r="A298" s="55" t="s">
        <v>291</v>
      </c>
      <c r="B298" s="59"/>
      <c r="C298" s="59"/>
      <c r="D298" s="62"/>
      <c r="E298" s="62"/>
      <c r="F298" s="62"/>
      <c r="G298" s="62"/>
      <c r="H298" s="114"/>
      <c r="I298" s="62"/>
      <c r="J298" s="62"/>
      <c r="K298" s="63"/>
      <c r="L298" s="63"/>
      <c r="M298" s="63"/>
      <c r="N298" s="62"/>
      <c r="O298" s="62">
        <v>1545600</v>
      </c>
      <c r="P298" s="62">
        <f>O298</f>
        <v>1545600</v>
      </c>
      <c r="IB298" s="50"/>
      <c r="IC298" s="50"/>
      <c r="ID298" s="50"/>
      <c r="IE298" s="50"/>
      <c r="IF298" s="50"/>
      <c r="IG298" s="50"/>
    </row>
    <row r="299" spans="1:241" s="49" customFormat="1" ht="12">
      <c r="A299" s="54" t="s">
        <v>6</v>
      </c>
      <c r="B299" s="59"/>
      <c r="C299" s="59"/>
      <c r="D299" s="62"/>
      <c r="E299" s="62"/>
      <c r="F299" s="62"/>
      <c r="G299" s="62"/>
      <c r="H299" s="62"/>
      <c r="I299" s="62"/>
      <c r="J299" s="62"/>
      <c r="K299" s="63"/>
      <c r="L299" s="63"/>
      <c r="M299" s="63"/>
      <c r="N299" s="62"/>
      <c r="O299" s="62"/>
      <c r="P299" s="62"/>
      <c r="IB299" s="50"/>
      <c r="IC299" s="50"/>
      <c r="ID299" s="50"/>
      <c r="IE299" s="50"/>
      <c r="IF299" s="50"/>
      <c r="IG299" s="50"/>
    </row>
    <row r="300" spans="1:241" s="49" customFormat="1" ht="35.25" customHeight="1">
      <c r="A300" s="55" t="s">
        <v>170</v>
      </c>
      <c r="B300" s="59"/>
      <c r="C300" s="59"/>
      <c r="D300" s="62"/>
      <c r="E300" s="62"/>
      <c r="F300" s="62"/>
      <c r="G300" s="62"/>
      <c r="H300" s="62">
        <f>H297/E297*100</f>
        <v>91.2490036900369</v>
      </c>
      <c r="I300" s="62"/>
      <c r="J300" s="62">
        <v>58.5</v>
      </c>
      <c r="K300" s="63"/>
      <c r="L300" s="63"/>
      <c r="M300" s="63"/>
      <c r="N300" s="62"/>
      <c r="O300" s="62">
        <f>O297/H297*100</f>
        <v>1515.122104818412</v>
      </c>
      <c r="P300" s="62">
        <f>O300</f>
        <v>1515.122104818412</v>
      </c>
      <c r="IB300" s="50"/>
      <c r="IC300" s="50"/>
      <c r="ID300" s="50"/>
      <c r="IE300" s="50"/>
      <c r="IF300" s="50"/>
      <c r="IG300" s="50"/>
    </row>
    <row r="301" spans="1:235" s="85" customFormat="1" ht="15" customHeight="1">
      <c r="A301" s="108" t="s">
        <v>192</v>
      </c>
      <c r="B301" s="108"/>
      <c r="C301" s="108"/>
      <c r="D301" s="119"/>
      <c r="E301" s="119">
        <f>E303+E353</f>
        <v>27028000</v>
      </c>
      <c r="F301" s="119">
        <f>F303+F353</f>
        <v>27028000</v>
      </c>
      <c r="G301" s="119">
        <f>G303</f>
        <v>584999.9999982599</v>
      </c>
      <c r="H301" s="119">
        <f>H303+H353</f>
        <v>98971999.99997011</v>
      </c>
      <c r="I301" s="119"/>
      <c r="J301" s="119">
        <f>G301+H301</f>
        <v>99556999.99996836</v>
      </c>
      <c r="K301" s="119">
        <f>K303+K353</f>
        <v>79607.3631410829</v>
      </c>
      <c r="L301" s="119">
        <f>L303+L353</f>
        <v>0</v>
      </c>
      <c r="M301" s="119">
        <f>M303+M353</f>
        <v>0</v>
      </c>
      <c r="N301" s="119">
        <f>N303</f>
        <v>700000.0000000001</v>
      </c>
      <c r="O301" s="119">
        <f>O303+O353</f>
        <v>145399999.999978</v>
      </c>
      <c r="P301" s="119">
        <f>N301+O301</f>
        <v>146099999.999978</v>
      </c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21"/>
      <c r="AV301" s="121"/>
      <c r="AW301" s="121"/>
      <c r="AX301" s="121"/>
      <c r="AY301" s="121"/>
      <c r="AZ301" s="121"/>
      <c r="BA301" s="121"/>
      <c r="BB301" s="121"/>
      <c r="BC301" s="121"/>
      <c r="BD301" s="121"/>
      <c r="BE301" s="121"/>
      <c r="BF301" s="121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21"/>
      <c r="BS301" s="121"/>
      <c r="BT301" s="121"/>
      <c r="BU301" s="121"/>
      <c r="BV301" s="121"/>
      <c r="BW301" s="121"/>
      <c r="BX301" s="121"/>
      <c r="BY301" s="121"/>
      <c r="BZ301" s="121"/>
      <c r="CA301" s="121"/>
      <c r="CB301" s="121"/>
      <c r="CC301" s="121"/>
      <c r="CD301" s="121"/>
      <c r="CE301" s="121"/>
      <c r="CF301" s="121"/>
      <c r="CG301" s="121"/>
      <c r="CH301" s="121"/>
      <c r="CI301" s="121"/>
      <c r="CJ301" s="121"/>
      <c r="CK301" s="121"/>
      <c r="CL301" s="121"/>
      <c r="CM301" s="121"/>
      <c r="CN301" s="121"/>
      <c r="CO301" s="121"/>
      <c r="CP301" s="121"/>
      <c r="CQ301" s="121"/>
      <c r="CR301" s="121"/>
      <c r="CS301" s="121"/>
      <c r="CT301" s="121"/>
      <c r="CU301" s="121"/>
      <c r="CV301" s="121"/>
      <c r="CW301" s="121"/>
      <c r="CX301" s="121"/>
      <c r="CY301" s="121"/>
      <c r="CZ301" s="121"/>
      <c r="DA301" s="121"/>
      <c r="DB301" s="121"/>
      <c r="DC301" s="121"/>
      <c r="DD301" s="121"/>
      <c r="DE301" s="121"/>
      <c r="DF301" s="121"/>
      <c r="DG301" s="121"/>
      <c r="DH301" s="121"/>
      <c r="DI301" s="121"/>
      <c r="DJ301" s="121"/>
      <c r="DK301" s="121"/>
      <c r="DL301" s="121"/>
      <c r="DM301" s="121"/>
      <c r="DN301" s="121"/>
      <c r="DO301" s="121"/>
      <c r="DP301" s="121"/>
      <c r="DQ301" s="121"/>
      <c r="DR301" s="121"/>
      <c r="DS301" s="121"/>
      <c r="DT301" s="121"/>
      <c r="DU301" s="121"/>
      <c r="DV301" s="121"/>
      <c r="DW301" s="121"/>
      <c r="DX301" s="121"/>
      <c r="DY301" s="121"/>
      <c r="DZ301" s="121"/>
      <c r="EA301" s="121"/>
      <c r="EB301" s="121"/>
      <c r="EC301" s="121"/>
      <c r="ED301" s="121"/>
      <c r="EE301" s="121"/>
      <c r="EF301" s="121"/>
      <c r="EG301" s="121"/>
      <c r="EH301" s="121"/>
      <c r="EI301" s="121"/>
      <c r="EJ301" s="121"/>
      <c r="EK301" s="121"/>
      <c r="EL301" s="121"/>
      <c r="EM301" s="121"/>
      <c r="EN301" s="121"/>
      <c r="EO301" s="121"/>
      <c r="EP301" s="121"/>
      <c r="EQ301" s="121"/>
      <c r="ER301" s="121"/>
      <c r="ES301" s="121"/>
      <c r="ET301" s="121"/>
      <c r="EU301" s="121"/>
      <c r="EV301" s="121"/>
      <c r="EW301" s="121"/>
      <c r="EX301" s="121"/>
      <c r="EY301" s="121"/>
      <c r="EZ301" s="121"/>
      <c r="FA301" s="121"/>
      <c r="FB301" s="121"/>
      <c r="FC301" s="121"/>
      <c r="FD301" s="121"/>
      <c r="FE301" s="121"/>
      <c r="FF301" s="121"/>
      <c r="FG301" s="121"/>
      <c r="FH301" s="121"/>
      <c r="FI301" s="121"/>
      <c r="FJ301" s="121"/>
      <c r="FK301" s="121"/>
      <c r="FL301" s="121"/>
      <c r="FM301" s="121"/>
      <c r="FN301" s="121"/>
      <c r="FO301" s="121"/>
      <c r="FP301" s="121"/>
      <c r="FQ301" s="121"/>
      <c r="FR301" s="121"/>
      <c r="FS301" s="121"/>
      <c r="FT301" s="121"/>
      <c r="FU301" s="121"/>
      <c r="FV301" s="121"/>
      <c r="FW301" s="121"/>
      <c r="FX301" s="121"/>
      <c r="FY301" s="121"/>
      <c r="FZ301" s="121"/>
      <c r="GA301" s="121"/>
      <c r="GB301" s="121"/>
      <c r="GC301" s="121"/>
      <c r="GD301" s="121"/>
      <c r="GE301" s="121"/>
      <c r="GF301" s="121"/>
      <c r="GG301" s="121"/>
      <c r="GH301" s="121"/>
      <c r="GI301" s="121"/>
      <c r="GJ301" s="121"/>
      <c r="GK301" s="121"/>
      <c r="GL301" s="121"/>
      <c r="GM301" s="121"/>
      <c r="GN301" s="121"/>
      <c r="GO301" s="121"/>
      <c r="GP301" s="121"/>
      <c r="GQ301" s="121"/>
      <c r="GR301" s="121"/>
      <c r="GS301" s="121"/>
      <c r="GT301" s="121"/>
      <c r="GU301" s="121"/>
      <c r="GV301" s="121"/>
      <c r="GW301" s="121"/>
      <c r="GX301" s="121"/>
      <c r="GY301" s="121"/>
      <c r="GZ301" s="121"/>
      <c r="HA301" s="121"/>
      <c r="HB301" s="121"/>
      <c r="HC301" s="121"/>
      <c r="HD301" s="121"/>
      <c r="HE301" s="121"/>
      <c r="HF301" s="121"/>
      <c r="HG301" s="121"/>
      <c r="HH301" s="121"/>
      <c r="HI301" s="121"/>
      <c r="HJ301" s="121"/>
      <c r="HK301" s="121"/>
      <c r="HL301" s="121"/>
      <c r="HM301" s="121"/>
      <c r="HN301" s="121"/>
      <c r="HO301" s="121"/>
      <c r="HP301" s="121"/>
      <c r="HQ301" s="121"/>
      <c r="HR301" s="121"/>
      <c r="HS301" s="121"/>
      <c r="HT301" s="121"/>
      <c r="HU301" s="121"/>
      <c r="HV301" s="121"/>
      <c r="HW301" s="121"/>
      <c r="HX301" s="121"/>
      <c r="HY301" s="121"/>
      <c r="HZ301" s="121"/>
      <c r="IA301" s="121"/>
    </row>
    <row r="302" spans="1:16" ht="45" customHeight="1">
      <c r="A302" s="22" t="s">
        <v>171</v>
      </c>
      <c r="B302" s="7"/>
      <c r="C302" s="7"/>
      <c r="D302" s="17"/>
      <c r="E302" s="13"/>
      <c r="F302" s="13"/>
      <c r="G302" s="17"/>
      <c r="H302" s="13"/>
      <c r="I302" s="13"/>
      <c r="J302" s="13"/>
      <c r="K302" s="17" t="e">
        <f>H302/E302*100</f>
        <v>#DIV/0!</v>
      </c>
      <c r="L302" s="10"/>
      <c r="M302" s="10"/>
      <c r="N302" s="17"/>
      <c r="O302" s="13"/>
      <c r="P302" s="13"/>
    </row>
    <row r="303" spans="1:235" s="85" customFormat="1" ht="22.5" customHeight="1">
      <c r="A303" s="82" t="s">
        <v>193</v>
      </c>
      <c r="B303" s="77"/>
      <c r="C303" s="77"/>
      <c r="D303" s="78"/>
      <c r="E303" s="89">
        <f>E304+E320+E313+E341</f>
        <v>26028000</v>
      </c>
      <c r="F303" s="89">
        <f>F304+F320+F313+F341</f>
        <v>26028000</v>
      </c>
      <c r="G303" s="89">
        <f aca="true" t="shared" si="33" ref="G303:O303">G304+G320+G313</f>
        <v>584999.9999982599</v>
      </c>
      <c r="H303" s="89">
        <f>H304+H320+H313+H341</f>
        <v>91971999.99997011</v>
      </c>
      <c r="I303" s="89"/>
      <c r="J303" s="89">
        <f>J304+J320+J313+J341</f>
        <v>92556999.99996836</v>
      </c>
      <c r="K303" s="89">
        <f t="shared" si="33"/>
        <v>79607.3631410829</v>
      </c>
      <c r="L303" s="89">
        <f t="shared" si="33"/>
        <v>0</v>
      </c>
      <c r="M303" s="89">
        <f t="shared" si="33"/>
        <v>0</v>
      </c>
      <c r="N303" s="89">
        <f t="shared" si="33"/>
        <v>700000.0000000001</v>
      </c>
      <c r="O303" s="89">
        <f t="shared" si="33"/>
        <v>138499999.999978</v>
      </c>
      <c r="P303" s="89">
        <f>N303+O303</f>
        <v>139199999.999978</v>
      </c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21"/>
      <c r="AV303" s="121"/>
      <c r="AW303" s="121"/>
      <c r="AX303" s="121"/>
      <c r="AY303" s="121"/>
      <c r="AZ303" s="121"/>
      <c r="BA303" s="121"/>
      <c r="BB303" s="121"/>
      <c r="BC303" s="121"/>
      <c r="BD303" s="121"/>
      <c r="BE303" s="121"/>
      <c r="BF303" s="121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21"/>
      <c r="BS303" s="121"/>
      <c r="BT303" s="121"/>
      <c r="BU303" s="121"/>
      <c r="BV303" s="121"/>
      <c r="BW303" s="121"/>
      <c r="BX303" s="121"/>
      <c r="BY303" s="121"/>
      <c r="BZ303" s="121"/>
      <c r="CA303" s="121"/>
      <c r="CB303" s="121"/>
      <c r="CC303" s="121"/>
      <c r="CD303" s="121"/>
      <c r="CE303" s="121"/>
      <c r="CF303" s="121"/>
      <c r="CG303" s="121"/>
      <c r="CH303" s="121"/>
      <c r="CI303" s="121"/>
      <c r="CJ303" s="121"/>
      <c r="CK303" s="121"/>
      <c r="CL303" s="121"/>
      <c r="CM303" s="121"/>
      <c r="CN303" s="121"/>
      <c r="CO303" s="121"/>
      <c r="CP303" s="121"/>
      <c r="CQ303" s="121"/>
      <c r="CR303" s="121"/>
      <c r="CS303" s="121"/>
      <c r="CT303" s="121"/>
      <c r="CU303" s="121"/>
      <c r="CV303" s="121"/>
      <c r="CW303" s="121"/>
      <c r="CX303" s="121"/>
      <c r="CY303" s="121"/>
      <c r="CZ303" s="121"/>
      <c r="DA303" s="121"/>
      <c r="DB303" s="121"/>
      <c r="DC303" s="121"/>
      <c r="DD303" s="121"/>
      <c r="DE303" s="121"/>
      <c r="DF303" s="121"/>
      <c r="DG303" s="121"/>
      <c r="DH303" s="121"/>
      <c r="DI303" s="121"/>
      <c r="DJ303" s="121"/>
      <c r="DK303" s="121"/>
      <c r="DL303" s="121"/>
      <c r="DM303" s="121"/>
      <c r="DN303" s="121"/>
      <c r="DO303" s="121"/>
      <c r="DP303" s="121"/>
      <c r="DQ303" s="121"/>
      <c r="DR303" s="121"/>
      <c r="DS303" s="121"/>
      <c r="DT303" s="121"/>
      <c r="DU303" s="121"/>
      <c r="DV303" s="121"/>
      <c r="DW303" s="121"/>
      <c r="DX303" s="121"/>
      <c r="DY303" s="121"/>
      <c r="DZ303" s="121"/>
      <c r="EA303" s="121"/>
      <c r="EB303" s="121"/>
      <c r="EC303" s="121"/>
      <c r="ED303" s="121"/>
      <c r="EE303" s="121"/>
      <c r="EF303" s="121"/>
      <c r="EG303" s="121"/>
      <c r="EH303" s="121"/>
      <c r="EI303" s="121"/>
      <c r="EJ303" s="121"/>
      <c r="EK303" s="121"/>
      <c r="EL303" s="121"/>
      <c r="EM303" s="121"/>
      <c r="EN303" s="121"/>
      <c r="EO303" s="121"/>
      <c r="EP303" s="121"/>
      <c r="EQ303" s="121"/>
      <c r="ER303" s="121"/>
      <c r="ES303" s="121"/>
      <c r="ET303" s="121"/>
      <c r="EU303" s="121"/>
      <c r="EV303" s="121"/>
      <c r="EW303" s="121"/>
      <c r="EX303" s="121"/>
      <c r="EY303" s="121"/>
      <c r="EZ303" s="121"/>
      <c r="FA303" s="121"/>
      <c r="FB303" s="121"/>
      <c r="FC303" s="121"/>
      <c r="FD303" s="121"/>
      <c r="FE303" s="121"/>
      <c r="FF303" s="121"/>
      <c r="FG303" s="121"/>
      <c r="FH303" s="121"/>
      <c r="FI303" s="121"/>
      <c r="FJ303" s="121"/>
      <c r="FK303" s="121"/>
      <c r="FL303" s="121"/>
      <c r="FM303" s="121"/>
      <c r="FN303" s="121"/>
      <c r="FO303" s="121"/>
      <c r="FP303" s="121"/>
      <c r="FQ303" s="121"/>
      <c r="FR303" s="121"/>
      <c r="FS303" s="121"/>
      <c r="FT303" s="121"/>
      <c r="FU303" s="121"/>
      <c r="FV303" s="121"/>
      <c r="FW303" s="121"/>
      <c r="FX303" s="121"/>
      <c r="FY303" s="121"/>
      <c r="FZ303" s="121"/>
      <c r="GA303" s="121"/>
      <c r="GB303" s="121"/>
      <c r="GC303" s="121"/>
      <c r="GD303" s="121"/>
      <c r="GE303" s="121"/>
      <c r="GF303" s="121"/>
      <c r="GG303" s="121"/>
      <c r="GH303" s="121"/>
      <c r="GI303" s="121"/>
      <c r="GJ303" s="121"/>
      <c r="GK303" s="121"/>
      <c r="GL303" s="121"/>
      <c r="GM303" s="121"/>
      <c r="GN303" s="121"/>
      <c r="GO303" s="121"/>
      <c r="GP303" s="121"/>
      <c r="GQ303" s="121"/>
      <c r="GR303" s="121"/>
      <c r="GS303" s="121"/>
      <c r="GT303" s="121"/>
      <c r="GU303" s="121"/>
      <c r="GV303" s="121"/>
      <c r="GW303" s="121"/>
      <c r="GX303" s="121"/>
      <c r="GY303" s="121"/>
      <c r="GZ303" s="121"/>
      <c r="HA303" s="121"/>
      <c r="HB303" s="121"/>
      <c r="HC303" s="121"/>
      <c r="HD303" s="121"/>
      <c r="HE303" s="121"/>
      <c r="HF303" s="121"/>
      <c r="HG303" s="121"/>
      <c r="HH303" s="121"/>
      <c r="HI303" s="121"/>
      <c r="HJ303" s="121"/>
      <c r="HK303" s="121"/>
      <c r="HL303" s="121"/>
      <c r="HM303" s="121"/>
      <c r="HN303" s="121"/>
      <c r="HO303" s="121"/>
      <c r="HP303" s="121"/>
      <c r="HQ303" s="121"/>
      <c r="HR303" s="121"/>
      <c r="HS303" s="121"/>
      <c r="HT303" s="121"/>
      <c r="HU303" s="121"/>
      <c r="HV303" s="121"/>
      <c r="HW303" s="121"/>
      <c r="HX303" s="121"/>
      <c r="HY303" s="121"/>
      <c r="HZ303" s="121"/>
      <c r="IA303" s="121"/>
    </row>
    <row r="304" spans="1:235" s="92" customFormat="1" ht="22.5">
      <c r="A304" s="82" t="s">
        <v>372</v>
      </c>
      <c r="B304" s="88"/>
      <c r="C304" s="88"/>
      <c r="D304" s="89"/>
      <c r="E304" s="89">
        <f>E308*E310-20</f>
        <v>2500000</v>
      </c>
      <c r="F304" s="89">
        <f>E304</f>
        <v>2500000</v>
      </c>
      <c r="G304" s="89"/>
      <c r="H304" s="89">
        <f>H308*H310</f>
        <v>19901999.999997</v>
      </c>
      <c r="I304" s="89"/>
      <c r="J304" s="89">
        <f>H304</f>
        <v>19901999.999997</v>
      </c>
      <c r="K304" s="89">
        <f>K308*K310</f>
        <v>79607.3631410829</v>
      </c>
      <c r="L304" s="89">
        <f>L308*L310</f>
        <v>0</v>
      </c>
      <c r="M304" s="89">
        <f>M308*M310</f>
        <v>0</v>
      </c>
      <c r="N304" s="89"/>
      <c r="O304" s="89">
        <f>O308*O310</f>
        <v>28289999.999988</v>
      </c>
      <c r="P304" s="89">
        <f>N304+O304</f>
        <v>28289999.999988</v>
      </c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  <c r="BZ304" s="91"/>
      <c r="CA304" s="91"/>
      <c r="CB304" s="91"/>
      <c r="CC304" s="91"/>
      <c r="CD304" s="91"/>
      <c r="CE304" s="91"/>
      <c r="CF304" s="91"/>
      <c r="CG304" s="91"/>
      <c r="CH304" s="91"/>
      <c r="CI304" s="91"/>
      <c r="CJ304" s="91"/>
      <c r="CK304" s="91"/>
      <c r="CL304" s="91"/>
      <c r="CM304" s="91"/>
      <c r="CN304" s="91"/>
      <c r="CO304" s="91"/>
      <c r="CP304" s="91"/>
      <c r="CQ304" s="91"/>
      <c r="CR304" s="91"/>
      <c r="CS304" s="91"/>
      <c r="CT304" s="91"/>
      <c r="CU304" s="91"/>
      <c r="CV304" s="91"/>
      <c r="CW304" s="91"/>
      <c r="CX304" s="91"/>
      <c r="CY304" s="91"/>
      <c r="CZ304" s="91"/>
      <c r="DA304" s="91"/>
      <c r="DB304" s="91"/>
      <c r="DC304" s="91"/>
      <c r="DD304" s="91"/>
      <c r="DE304" s="91"/>
      <c r="DF304" s="91"/>
      <c r="DG304" s="91"/>
      <c r="DH304" s="91"/>
      <c r="DI304" s="91"/>
      <c r="DJ304" s="91"/>
      <c r="DK304" s="91"/>
      <c r="DL304" s="91"/>
      <c r="DM304" s="91"/>
      <c r="DN304" s="91"/>
      <c r="DO304" s="91"/>
      <c r="DP304" s="91"/>
      <c r="DQ304" s="91"/>
      <c r="DR304" s="91"/>
      <c r="DS304" s="91"/>
      <c r="DT304" s="91"/>
      <c r="DU304" s="91"/>
      <c r="DV304" s="91"/>
      <c r="DW304" s="91"/>
      <c r="DX304" s="91"/>
      <c r="DY304" s="91"/>
      <c r="DZ304" s="91"/>
      <c r="EA304" s="91"/>
      <c r="EB304" s="91"/>
      <c r="EC304" s="91"/>
      <c r="ED304" s="91"/>
      <c r="EE304" s="91"/>
      <c r="EF304" s="91"/>
      <c r="EG304" s="91"/>
      <c r="EH304" s="91"/>
      <c r="EI304" s="91"/>
      <c r="EJ304" s="91"/>
      <c r="EK304" s="91"/>
      <c r="EL304" s="91"/>
      <c r="EM304" s="91"/>
      <c r="EN304" s="91"/>
      <c r="EO304" s="91"/>
      <c r="EP304" s="91"/>
      <c r="EQ304" s="91"/>
      <c r="ER304" s="91"/>
      <c r="ES304" s="91"/>
      <c r="ET304" s="91"/>
      <c r="EU304" s="91"/>
      <c r="EV304" s="91"/>
      <c r="EW304" s="91"/>
      <c r="EX304" s="91"/>
      <c r="EY304" s="91"/>
      <c r="EZ304" s="91"/>
      <c r="FA304" s="91"/>
      <c r="FB304" s="91"/>
      <c r="FC304" s="91"/>
      <c r="FD304" s="91"/>
      <c r="FE304" s="91"/>
      <c r="FF304" s="91"/>
      <c r="FG304" s="91"/>
      <c r="FH304" s="91"/>
      <c r="FI304" s="91"/>
      <c r="FJ304" s="91"/>
      <c r="FK304" s="91"/>
      <c r="FL304" s="91"/>
      <c r="FM304" s="91"/>
      <c r="FN304" s="91"/>
      <c r="FO304" s="91"/>
      <c r="FP304" s="91"/>
      <c r="FQ304" s="91"/>
      <c r="FR304" s="91"/>
      <c r="FS304" s="91"/>
      <c r="FT304" s="91"/>
      <c r="FU304" s="91"/>
      <c r="FV304" s="91"/>
      <c r="FW304" s="91"/>
      <c r="FX304" s="91"/>
      <c r="FY304" s="91"/>
      <c r="FZ304" s="91"/>
      <c r="GA304" s="91"/>
      <c r="GB304" s="91"/>
      <c r="GC304" s="91"/>
      <c r="GD304" s="91"/>
      <c r="GE304" s="91"/>
      <c r="GF304" s="91"/>
      <c r="GG304" s="91"/>
      <c r="GH304" s="91"/>
      <c r="GI304" s="91"/>
      <c r="GJ304" s="91"/>
      <c r="GK304" s="91"/>
      <c r="GL304" s="91"/>
      <c r="GM304" s="91"/>
      <c r="GN304" s="91"/>
      <c r="GO304" s="91"/>
      <c r="GP304" s="91"/>
      <c r="GQ304" s="91"/>
      <c r="GR304" s="91"/>
      <c r="GS304" s="91"/>
      <c r="GT304" s="91"/>
      <c r="GU304" s="91"/>
      <c r="GV304" s="91"/>
      <c r="GW304" s="91"/>
      <c r="GX304" s="91"/>
      <c r="GY304" s="91"/>
      <c r="GZ304" s="91"/>
      <c r="HA304" s="91"/>
      <c r="HB304" s="91"/>
      <c r="HC304" s="91"/>
      <c r="HD304" s="91"/>
      <c r="HE304" s="91"/>
      <c r="HF304" s="91"/>
      <c r="HG304" s="91"/>
      <c r="HH304" s="91"/>
      <c r="HI304" s="91"/>
      <c r="HJ304" s="91"/>
      <c r="HK304" s="91"/>
      <c r="HL304" s="91"/>
      <c r="HM304" s="91"/>
      <c r="HN304" s="91"/>
      <c r="HO304" s="91"/>
      <c r="HP304" s="91"/>
      <c r="HQ304" s="91"/>
      <c r="HR304" s="91"/>
      <c r="HS304" s="91"/>
      <c r="HT304" s="91"/>
      <c r="HU304" s="91"/>
      <c r="HV304" s="91"/>
      <c r="HW304" s="91"/>
      <c r="HX304" s="91"/>
      <c r="HY304" s="91"/>
      <c r="HZ304" s="91"/>
      <c r="IA304" s="91"/>
    </row>
    <row r="305" spans="1:16" ht="11.25">
      <c r="A305" s="20" t="s">
        <v>4</v>
      </c>
      <c r="B305" s="5"/>
      <c r="C305" s="5"/>
      <c r="D305" s="17"/>
      <c r="E305" s="13"/>
      <c r="F305" s="13"/>
      <c r="G305" s="17"/>
      <c r="H305" s="13"/>
      <c r="I305" s="13"/>
      <c r="J305" s="13"/>
      <c r="K305" s="17"/>
      <c r="L305" s="10"/>
      <c r="M305" s="10"/>
      <c r="N305" s="17"/>
      <c r="O305" s="13"/>
      <c r="P305" s="13"/>
    </row>
    <row r="306" spans="1:16" ht="22.5">
      <c r="A306" s="55" t="s">
        <v>172</v>
      </c>
      <c r="B306" s="59"/>
      <c r="C306" s="59"/>
      <c r="D306" s="62"/>
      <c r="E306" s="62">
        <v>1172</v>
      </c>
      <c r="F306" s="62">
        <f>E306</f>
        <v>1172</v>
      </c>
      <c r="G306" s="62"/>
      <c r="H306" s="62">
        <f>F306</f>
        <v>1172</v>
      </c>
      <c r="I306" s="62"/>
      <c r="J306" s="62">
        <f>H306</f>
        <v>1172</v>
      </c>
      <c r="K306" s="62"/>
      <c r="L306" s="64"/>
      <c r="M306" s="64"/>
      <c r="N306" s="62"/>
      <c r="O306" s="62">
        <f>H306</f>
        <v>1172</v>
      </c>
      <c r="P306" s="62">
        <f>O306</f>
        <v>1172</v>
      </c>
    </row>
    <row r="307" spans="1:16" ht="11.25">
      <c r="A307" s="54" t="s">
        <v>5</v>
      </c>
      <c r="B307" s="61"/>
      <c r="C307" s="61"/>
      <c r="D307" s="62"/>
      <c r="E307" s="129"/>
      <c r="F307" s="129"/>
      <c r="G307" s="62"/>
      <c r="H307" s="129"/>
      <c r="I307" s="129"/>
      <c r="J307" s="129"/>
      <c r="K307" s="62" t="e">
        <f>H307/E307*100</f>
        <v>#DIV/0!</v>
      </c>
      <c r="L307" s="129"/>
      <c r="M307" s="129"/>
      <c r="N307" s="62"/>
      <c r="O307" s="129"/>
      <c r="P307" s="129"/>
    </row>
    <row r="308" spans="1:16" ht="22.5">
      <c r="A308" s="55" t="s">
        <v>173</v>
      </c>
      <c r="B308" s="59"/>
      <c r="C308" s="59"/>
      <c r="D308" s="62"/>
      <c r="E308" s="62">
        <v>19</v>
      </c>
      <c r="F308" s="62">
        <f>E308</f>
        <v>19</v>
      </c>
      <c r="G308" s="62"/>
      <c r="H308" s="62">
        <f>132+3</f>
        <v>135</v>
      </c>
      <c r="I308" s="62"/>
      <c r="J308" s="62">
        <f>H308</f>
        <v>135</v>
      </c>
      <c r="K308" s="62">
        <f>H308/E308*100</f>
        <v>710.5263157894738</v>
      </c>
      <c r="L308" s="62"/>
      <c r="M308" s="62"/>
      <c r="N308" s="62"/>
      <c r="O308" s="62">
        <v>180</v>
      </c>
      <c r="P308" s="62">
        <f>O308</f>
        <v>180</v>
      </c>
    </row>
    <row r="309" spans="1:16" ht="11.25">
      <c r="A309" s="54" t="s">
        <v>7</v>
      </c>
      <c r="B309" s="61"/>
      <c r="C309" s="61"/>
      <c r="D309" s="62"/>
      <c r="E309" s="129"/>
      <c r="F309" s="129"/>
      <c r="G309" s="62"/>
      <c r="H309" s="129"/>
      <c r="I309" s="129"/>
      <c r="J309" s="129"/>
      <c r="K309" s="62" t="e">
        <f>H309/E309*100</f>
        <v>#DIV/0!</v>
      </c>
      <c r="L309" s="129"/>
      <c r="M309" s="129"/>
      <c r="N309" s="62"/>
      <c r="O309" s="129"/>
      <c r="P309" s="129"/>
    </row>
    <row r="310" spans="1:16" ht="24" customHeight="1">
      <c r="A310" s="55" t="s">
        <v>174</v>
      </c>
      <c r="B310" s="59"/>
      <c r="C310" s="59"/>
      <c r="D310" s="62"/>
      <c r="E310" s="62">
        <v>131580</v>
      </c>
      <c r="F310" s="62">
        <f>E310</f>
        <v>131580</v>
      </c>
      <c r="G310" s="62"/>
      <c r="H310" s="62">
        <f>147422.2222222</f>
        <v>147422.2222222</v>
      </c>
      <c r="I310" s="62"/>
      <c r="J310" s="62">
        <f>H310</f>
        <v>147422.2222222</v>
      </c>
      <c r="K310" s="62">
        <f>H310/E310*100</f>
        <v>112.03999256893147</v>
      </c>
      <c r="L310" s="62"/>
      <c r="M310" s="62"/>
      <c r="N310" s="62"/>
      <c r="O310" s="62">
        <v>157166.6666666</v>
      </c>
      <c r="P310" s="62">
        <f>O310</f>
        <v>157166.6666666</v>
      </c>
    </row>
    <row r="311" spans="1:16" ht="11.25">
      <c r="A311" s="54" t="s">
        <v>6</v>
      </c>
      <c r="B311" s="61"/>
      <c r="C311" s="61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</row>
    <row r="312" spans="1:16" ht="50.25" customHeight="1">
      <c r="A312" s="55" t="s">
        <v>175</v>
      </c>
      <c r="B312" s="59"/>
      <c r="C312" s="59"/>
      <c r="D312" s="62"/>
      <c r="E312" s="62"/>
      <c r="F312" s="62"/>
      <c r="G312" s="62"/>
      <c r="H312" s="62">
        <f>H308/H306*100</f>
        <v>11.518771331058021</v>
      </c>
      <c r="I312" s="62"/>
      <c r="J312" s="62">
        <f>J308/J306*100</f>
        <v>11.518771331058021</v>
      </c>
      <c r="K312" s="62" t="e">
        <f>K308/K306*100</f>
        <v>#DIV/0!</v>
      </c>
      <c r="L312" s="62" t="e">
        <f>L308/L306*100</f>
        <v>#DIV/0!</v>
      </c>
      <c r="M312" s="62" t="e">
        <f>M308/M306*100</f>
        <v>#DIV/0!</v>
      </c>
      <c r="N312" s="62"/>
      <c r="O312" s="62">
        <f>O308/O306*100</f>
        <v>15.358361774744028</v>
      </c>
      <c r="P312" s="62">
        <f>P308/P306*100</f>
        <v>15.358361774744028</v>
      </c>
    </row>
    <row r="313" spans="1:235" s="92" customFormat="1" ht="29.25" customHeight="1">
      <c r="A313" s="82" t="s">
        <v>373</v>
      </c>
      <c r="B313" s="88"/>
      <c r="C313" s="88"/>
      <c r="D313" s="89"/>
      <c r="E313" s="89">
        <f>5000000</f>
        <v>5000000</v>
      </c>
      <c r="F313" s="89">
        <f>E313</f>
        <v>5000000</v>
      </c>
      <c r="G313" s="89"/>
      <c r="H313" s="89">
        <f>H317*H319</f>
        <v>32499999.999971997</v>
      </c>
      <c r="I313" s="89"/>
      <c r="J313" s="89">
        <f>H313</f>
        <v>32499999.999971997</v>
      </c>
      <c r="K313" s="89"/>
      <c r="L313" s="89"/>
      <c r="M313" s="89"/>
      <c r="N313" s="89"/>
      <c r="O313" s="89">
        <f>O317*O319</f>
        <v>46209999.999989994</v>
      </c>
      <c r="P313" s="89">
        <f>N313+O313</f>
        <v>46209999.999989994</v>
      </c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  <c r="BZ313" s="91"/>
      <c r="CA313" s="91"/>
      <c r="CB313" s="91"/>
      <c r="CC313" s="91"/>
      <c r="CD313" s="91"/>
      <c r="CE313" s="91"/>
      <c r="CF313" s="91"/>
      <c r="CG313" s="91"/>
      <c r="CH313" s="91"/>
      <c r="CI313" s="91"/>
      <c r="CJ313" s="91"/>
      <c r="CK313" s="91"/>
      <c r="CL313" s="91"/>
      <c r="CM313" s="91"/>
      <c r="CN313" s="91"/>
      <c r="CO313" s="91"/>
      <c r="CP313" s="91"/>
      <c r="CQ313" s="91"/>
      <c r="CR313" s="91"/>
      <c r="CS313" s="91"/>
      <c r="CT313" s="91"/>
      <c r="CU313" s="91"/>
      <c r="CV313" s="91"/>
      <c r="CW313" s="91"/>
      <c r="CX313" s="91"/>
      <c r="CY313" s="91"/>
      <c r="CZ313" s="91"/>
      <c r="DA313" s="91"/>
      <c r="DB313" s="91"/>
      <c r="DC313" s="91"/>
      <c r="DD313" s="91"/>
      <c r="DE313" s="91"/>
      <c r="DF313" s="91"/>
      <c r="DG313" s="91"/>
      <c r="DH313" s="91"/>
      <c r="DI313" s="91"/>
      <c r="DJ313" s="91"/>
      <c r="DK313" s="91"/>
      <c r="DL313" s="91"/>
      <c r="DM313" s="91"/>
      <c r="DN313" s="91"/>
      <c r="DO313" s="91"/>
      <c r="DP313" s="91"/>
      <c r="DQ313" s="91"/>
      <c r="DR313" s="91"/>
      <c r="DS313" s="91"/>
      <c r="DT313" s="91"/>
      <c r="DU313" s="91"/>
      <c r="DV313" s="91"/>
      <c r="DW313" s="91"/>
      <c r="DX313" s="91"/>
      <c r="DY313" s="91"/>
      <c r="DZ313" s="91"/>
      <c r="EA313" s="91"/>
      <c r="EB313" s="91"/>
      <c r="EC313" s="91"/>
      <c r="ED313" s="91"/>
      <c r="EE313" s="91"/>
      <c r="EF313" s="91"/>
      <c r="EG313" s="91"/>
      <c r="EH313" s="91"/>
      <c r="EI313" s="91"/>
      <c r="EJ313" s="91"/>
      <c r="EK313" s="91"/>
      <c r="EL313" s="91"/>
      <c r="EM313" s="91"/>
      <c r="EN313" s="91"/>
      <c r="EO313" s="91"/>
      <c r="EP313" s="91"/>
      <c r="EQ313" s="91"/>
      <c r="ER313" s="91"/>
      <c r="ES313" s="91"/>
      <c r="ET313" s="91"/>
      <c r="EU313" s="91"/>
      <c r="EV313" s="91"/>
      <c r="EW313" s="91"/>
      <c r="EX313" s="91"/>
      <c r="EY313" s="91"/>
      <c r="EZ313" s="91"/>
      <c r="FA313" s="91"/>
      <c r="FB313" s="91"/>
      <c r="FC313" s="91"/>
      <c r="FD313" s="91"/>
      <c r="FE313" s="91"/>
      <c r="FF313" s="91"/>
      <c r="FG313" s="91"/>
      <c r="FH313" s="91"/>
      <c r="FI313" s="91"/>
      <c r="FJ313" s="91"/>
      <c r="FK313" s="91"/>
      <c r="FL313" s="91"/>
      <c r="FM313" s="91"/>
      <c r="FN313" s="91"/>
      <c r="FO313" s="91"/>
      <c r="FP313" s="91"/>
      <c r="FQ313" s="91"/>
      <c r="FR313" s="91"/>
      <c r="FS313" s="91"/>
      <c r="FT313" s="91"/>
      <c r="FU313" s="91"/>
      <c r="FV313" s="91"/>
      <c r="FW313" s="91"/>
      <c r="FX313" s="91"/>
      <c r="FY313" s="91"/>
      <c r="FZ313" s="91"/>
      <c r="GA313" s="91"/>
      <c r="GB313" s="91"/>
      <c r="GC313" s="91"/>
      <c r="GD313" s="91"/>
      <c r="GE313" s="91"/>
      <c r="GF313" s="91"/>
      <c r="GG313" s="91"/>
      <c r="GH313" s="91"/>
      <c r="GI313" s="91"/>
      <c r="GJ313" s="91"/>
      <c r="GK313" s="91"/>
      <c r="GL313" s="91"/>
      <c r="GM313" s="91"/>
      <c r="GN313" s="91"/>
      <c r="GO313" s="91"/>
      <c r="GP313" s="91"/>
      <c r="GQ313" s="91"/>
      <c r="GR313" s="91"/>
      <c r="GS313" s="91"/>
      <c r="GT313" s="91"/>
      <c r="GU313" s="91"/>
      <c r="GV313" s="91"/>
      <c r="GW313" s="91"/>
      <c r="GX313" s="91"/>
      <c r="GY313" s="91"/>
      <c r="GZ313" s="91"/>
      <c r="HA313" s="91"/>
      <c r="HB313" s="91"/>
      <c r="HC313" s="91"/>
      <c r="HD313" s="91"/>
      <c r="HE313" s="91"/>
      <c r="HF313" s="91"/>
      <c r="HG313" s="91"/>
      <c r="HH313" s="91"/>
      <c r="HI313" s="91"/>
      <c r="HJ313" s="91"/>
      <c r="HK313" s="91"/>
      <c r="HL313" s="91"/>
      <c r="HM313" s="91"/>
      <c r="HN313" s="91"/>
      <c r="HO313" s="91"/>
      <c r="HP313" s="91"/>
      <c r="HQ313" s="91"/>
      <c r="HR313" s="91"/>
      <c r="HS313" s="91"/>
      <c r="HT313" s="91"/>
      <c r="HU313" s="91"/>
      <c r="HV313" s="91"/>
      <c r="HW313" s="91"/>
      <c r="HX313" s="91"/>
      <c r="HY313" s="91"/>
      <c r="HZ313" s="91"/>
      <c r="IA313" s="91"/>
    </row>
    <row r="314" spans="1:235" s="70" customFormat="1" ht="11.25">
      <c r="A314" s="20" t="s">
        <v>4</v>
      </c>
      <c r="B314" s="7"/>
      <c r="C314" s="7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  <c r="BU314" s="69"/>
      <c r="BV314" s="69"/>
      <c r="BW314" s="69"/>
      <c r="BX314" s="69"/>
      <c r="BY314" s="69"/>
      <c r="BZ314" s="69"/>
      <c r="CA314" s="69"/>
      <c r="CB314" s="69"/>
      <c r="CC314" s="69"/>
      <c r="CD314" s="69"/>
      <c r="CE314" s="69"/>
      <c r="CF314" s="69"/>
      <c r="CG314" s="69"/>
      <c r="CH314" s="69"/>
      <c r="CI314" s="69"/>
      <c r="CJ314" s="69"/>
      <c r="CK314" s="69"/>
      <c r="CL314" s="69"/>
      <c r="CM314" s="69"/>
      <c r="CN314" s="69"/>
      <c r="CO314" s="69"/>
      <c r="CP314" s="69"/>
      <c r="CQ314" s="69"/>
      <c r="CR314" s="69"/>
      <c r="CS314" s="69"/>
      <c r="CT314" s="69"/>
      <c r="CU314" s="69"/>
      <c r="CV314" s="69"/>
      <c r="CW314" s="69"/>
      <c r="CX314" s="69"/>
      <c r="CY314" s="69"/>
      <c r="CZ314" s="69"/>
      <c r="DA314" s="69"/>
      <c r="DB314" s="69"/>
      <c r="DC314" s="69"/>
      <c r="DD314" s="69"/>
      <c r="DE314" s="69"/>
      <c r="DF314" s="69"/>
      <c r="DG314" s="69"/>
      <c r="DH314" s="69"/>
      <c r="DI314" s="69"/>
      <c r="DJ314" s="69"/>
      <c r="DK314" s="69"/>
      <c r="DL314" s="69"/>
      <c r="DM314" s="69"/>
      <c r="DN314" s="69"/>
      <c r="DO314" s="69"/>
      <c r="DP314" s="69"/>
      <c r="DQ314" s="69"/>
      <c r="DR314" s="69"/>
      <c r="DS314" s="69"/>
      <c r="DT314" s="69"/>
      <c r="DU314" s="69"/>
      <c r="DV314" s="69"/>
      <c r="DW314" s="69"/>
      <c r="DX314" s="69"/>
      <c r="DY314" s="69"/>
      <c r="DZ314" s="69"/>
      <c r="EA314" s="69"/>
      <c r="EB314" s="69"/>
      <c r="EC314" s="69"/>
      <c r="ED314" s="69"/>
      <c r="EE314" s="69"/>
      <c r="EF314" s="69"/>
      <c r="EG314" s="69"/>
      <c r="EH314" s="69"/>
      <c r="EI314" s="69"/>
      <c r="EJ314" s="69"/>
      <c r="EK314" s="69"/>
      <c r="EL314" s="69"/>
      <c r="EM314" s="69"/>
      <c r="EN314" s="69"/>
      <c r="EO314" s="69"/>
      <c r="EP314" s="69"/>
      <c r="EQ314" s="69"/>
      <c r="ER314" s="69"/>
      <c r="ES314" s="69"/>
      <c r="ET314" s="69"/>
      <c r="EU314" s="69"/>
      <c r="EV314" s="69"/>
      <c r="EW314" s="69"/>
      <c r="EX314" s="69"/>
      <c r="EY314" s="69"/>
      <c r="EZ314" s="69"/>
      <c r="FA314" s="69"/>
      <c r="FB314" s="69"/>
      <c r="FC314" s="69"/>
      <c r="FD314" s="69"/>
      <c r="FE314" s="69"/>
      <c r="FF314" s="69"/>
      <c r="FG314" s="69"/>
      <c r="FH314" s="69"/>
      <c r="FI314" s="69"/>
      <c r="FJ314" s="69"/>
      <c r="FK314" s="69"/>
      <c r="FL314" s="69"/>
      <c r="FM314" s="69"/>
      <c r="FN314" s="69"/>
      <c r="FO314" s="69"/>
      <c r="FP314" s="69"/>
      <c r="FQ314" s="69"/>
      <c r="FR314" s="69"/>
      <c r="FS314" s="69"/>
      <c r="FT314" s="69"/>
      <c r="FU314" s="69"/>
      <c r="FV314" s="69"/>
      <c r="FW314" s="69"/>
      <c r="FX314" s="69"/>
      <c r="FY314" s="69"/>
      <c r="FZ314" s="69"/>
      <c r="GA314" s="69"/>
      <c r="GB314" s="69"/>
      <c r="GC314" s="69"/>
      <c r="GD314" s="69"/>
      <c r="GE314" s="69"/>
      <c r="GF314" s="69"/>
      <c r="GG314" s="69"/>
      <c r="GH314" s="69"/>
      <c r="GI314" s="69"/>
      <c r="GJ314" s="69"/>
      <c r="GK314" s="69"/>
      <c r="GL314" s="69"/>
      <c r="GM314" s="69"/>
      <c r="GN314" s="69"/>
      <c r="GO314" s="69"/>
      <c r="GP314" s="69"/>
      <c r="GQ314" s="69"/>
      <c r="GR314" s="69"/>
      <c r="GS314" s="69"/>
      <c r="GT314" s="69"/>
      <c r="GU314" s="69"/>
      <c r="GV314" s="69"/>
      <c r="GW314" s="69"/>
      <c r="GX314" s="69"/>
      <c r="GY314" s="69"/>
      <c r="GZ314" s="69"/>
      <c r="HA314" s="69"/>
      <c r="HB314" s="69"/>
      <c r="HC314" s="69"/>
      <c r="HD314" s="69"/>
      <c r="HE314" s="69"/>
      <c r="HF314" s="69"/>
      <c r="HG314" s="69"/>
      <c r="HH314" s="69"/>
      <c r="HI314" s="69"/>
      <c r="HJ314" s="69"/>
      <c r="HK314" s="69"/>
      <c r="HL314" s="69"/>
      <c r="HM314" s="69"/>
      <c r="HN314" s="69"/>
      <c r="HO314" s="69"/>
      <c r="HP314" s="69"/>
      <c r="HQ314" s="69"/>
      <c r="HR314" s="69"/>
      <c r="HS314" s="69"/>
      <c r="HT314" s="69"/>
      <c r="HU314" s="69"/>
      <c r="HV314" s="69"/>
      <c r="HW314" s="69"/>
      <c r="HX314" s="69"/>
      <c r="HY314" s="69"/>
      <c r="HZ314" s="69"/>
      <c r="IA314" s="69"/>
    </row>
    <row r="315" spans="1:235" s="70" customFormat="1" ht="25.5" customHeight="1">
      <c r="A315" s="21" t="s">
        <v>258</v>
      </c>
      <c r="B315" s="7"/>
      <c r="C315" s="7"/>
      <c r="D315" s="14"/>
      <c r="E315" s="14">
        <f>(1511*70)/100</f>
        <v>1057.7</v>
      </c>
      <c r="F315" s="14">
        <f>E315</f>
        <v>1057.7</v>
      </c>
      <c r="G315" s="14"/>
      <c r="H315" s="14">
        <f>1058-35</f>
        <v>1023</v>
      </c>
      <c r="I315" s="14"/>
      <c r="J315" s="14">
        <f>H315</f>
        <v>1023</v>
      </c>
      <c r="K315" s="14"/>
      <c r="L315" s="14"/>
      <c r="M315" s="14"/>
      <c r="N315" s="14"/>
      <c r="O315" s="14">
        <f>1023-43</f>
        <v>980</v>
      </c>
      <c r="P315" s="14">
        <f>O315</f>
        <v>980</v>
      </c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  <c r="BU315" s="69"/>
      <c r="BV315" s="69"/>
      <c r="BW315" s="69"/>
      <c r="BX315" s="69"/>
      <c r="BY315" s="69"/>
      <c r="BZ315" s="69"/>
      <c r="CA315" s="69"/>
      <c r="CB315" s="69"/>
      <c r="CC315" s="69"/>
      <c r="CD315" s="69"/>
      <c r="CE315" s="69"/>
      <c r="CF315" s="69"/>
      <c r="CG315" s="69"/>
      <c r="CH315" s="69"/>
      <c r="CI315" s="69"/>
      <c r="CJ315" s="69"/>
      <c r="CK315" s="69"/>
      <c r="CL315" s="69"/>
      <c r="CM315" s="69"/>
      <c r="CN315" s="69"/>
      <c r="CO315" s="69"/>
      <c r="CP315" s="69"/>
      <c r="CQ315" s="69"/>
      <c r="CR315" s="69"/>
      <c r="CS315" s="69"/>
      <c r="CT315" s="69"/>
      <c r="CU315" s="69"/>
      <c r="CV315" s="69"/>
      <c r="CW315" s="69"/>
      <c r="CX315" s="69"/>
      <c r="CY315" s="69"/>
      <c r="CZ315" s="69"/>
      <c r="DA315" s="69"/>
      <c r="DB315" s="69"/>
      <c r="DC315" s="69"/>
      <c r="DD315" s="69"/>
      <c r="DE315" s="69"/>
      <c r="DF315" s="69"/>
      <c r="DG315" s="69"/>
      <c r="DH315" s="69"/>
      <c r="DI315" s="69"/>
      <c r="DJ315" s="69"/>
      <c r="DK315" s="69"/>
      <c r="DL315" s="69"/>
      <c r="DM315" s="69"/>
      <c r="DN315" s="69"/>
      <c r="DO315" s="69"/>
      <c r="DP315" s="69"/>
      <c r="DQ315" s="69"/>
      <c r="DR315" s="69"/>
      <c r="DS315" s="69"/>
      <c r="DT315" s="69"/>
      <c r="DU315" s="69"/>
      <c r="DV315" s="69"/>
      <c r="DW315" s="69"/>
      <c r="DX315" s="69"/>
      <c r="DY315" s="69"/>
      <c r="DZ315" s="69"/>
      <c r="EA315" s="69"/>
      <c r="EB315" s="69"/>
      <c r="EC315" s="69"/>
      <c r="ED315" s="69"/>
      <c r="EE315" s="69"/>
      <c r="EF315" s="69"/>
      <c r="EG315" s="69"/>
      <c r="EH315" s="69"/>
      <c r="EI315" s="69"/>
      <c r="EJ315" s="69"/>
      <c r="EK315" s="69"/>
      <c r="EL315" s="69"/>
      <c r="EM315" s="69"/>
      <c r="EN315" s="69"/>
      <c r="EO315" s="69"/>
      <c r="EP315" s="69"/>
      <c r="EQ315" s="69"/>
      <c r="ER315" s="69"/>
      <c r="ES315" s="69"/>
      <c r="ET315" s="69"/>
      <c r="EU315" s="69"/>
      <c r="EV315" s="69"/>
      <c r="EW315" s="69"/>
      <c r="EX315" s="69"/>
      <c r="EY315" s="69"/>
      <c r="EZ315" s="69"/>
      <c r="FA315" s="69"/>
      <c r="FB315" s="69"/>
      <c r="FC315" s="69"/>
      <c r="FD315" s="69"/>
      <c r="FE315" s="69"/>
      <c r="FF315" s="69"/>
      <c r="FG315" s="69"/>
      <c r="FH315" s="69"/>
      <c r="FI315" s="69"/>
      <c r="FJ315" s="69"/>
      <c r="FK315" s="69"/>
      <c r="FL315" s="69"/>
      <c r="FM315" s="69"/>
      <c r="FN315" s="69"/>
      <c r="FO315" s="69"/>
      <c r="FP315" s="69"/>
      <c r="FQ315" s="69"/>
      <c r="FR315" s="69"/>
      <c r="FS315" s="69"/>
      <c r="FT315" s="69"/>
      <c r="FU315" s="69"/>
      <c r="FV315" s="69"/>
      <c r="FW315" s="69"/>
      <c r="FX315" s="69"/>
      <c r="FY315" s="69"/>
      <c r="FZ315" s="69"/>
      <c r="GA315" s="69"/>
      <c r="GB315" s="69"/>
      <c r="GC315" s="69"/>
      <c r="GD315" s="69"/>
      <c r="GE315" s="69"/>
      <c r="GF315" s="69"/>
      <c r="GG315" s="69"/>
      <c r="GH315" s="69"/>
      <c r="GI315" s="69"/>
      <c r="GJ315" s="69"/>
      <c r="GK315" s="69"/>
      <c r="GL315" s="69"/>
      <c r="GM315" s="69"/>
      <c r="GN315" s="69"/>
      <c r="GO315" s="69"/>
      <c r="GP315" s="69"/>
      <c r="GQ315" s="69"/>
      <c r="GR315" s="69"/>
      <c r="GS315" s="69"/>
      <c r="GT315" s="69"/>
      <c r="GU315" s="69"/>
      <c r="GV315" s="69"/>
      <c r="GW315" s="69"/>
      <c r="GX315" s="69"/>
      <c r="GY315" s="69"/>
      <c r="GZ315" s="69"/>
      <c r="HA315" s="69"/>
      <c r="HB315" s="69"/>
      <c r="HC315" s="69"/>
      <c r="HD315" s="69"/>
      <c r="HE315" s="69"/>
      <c r="HF315" s="69"/>
      <c r="HG315" s="69"/>
      <c r="HH315" s="69"/>
      <c r="HI315" s="69"/>
      <c r="HJ315" s="69"/>
      <c r="HK315" s="69"/>
      <c r="HL315" s="69"/>
      <c r="HM315" s="69"/>
      <c r="HN315" s="69"/>
      <c r="HO315" s="69"/>
      <c r="HP315" s="69"/>
      <c r="HQ315" s="69"/>
      <c r="HR315" s="69"/>
      <c r="HS315" s="69"/>
      <c r="HT315" s="69"/>
      <c r="HU315" s="69"/>
      <c r="HV315" s="69"/>
      <c r="HW315" s="69"/>
      <c r="HX315" s="69"/>
      <c r="HY315" s="69"/>
      <c r="HZ315" s="69"/>
      <c r="IA315" s="69"/>
    </row>
    <row r="316" spans="1:235" s="70" customFormat="1" ht="11.25">
      <c r="A316" s="20" t="s">
        <v>5</v>
      </c>
      <c r="B316" s="7"/>
      <c r="C316" s="7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/>
      <c r="BV316" s="69"/>
      <c r="BW316" s="69"/>
      <c r="BX316" s="69"/>
      <c r="BY316" s="69"/>
      <c r="BZ316" s="69"/>
      <c r="CA316" s="69"/>
      <c r="CB316" s="69"/>
      <c r="CC316" s="69"/>
      <c r="CD316" s="69"/>
      <c r="CE316" s="69"/>
      <c r="CF316" s="69"/>
      <c r="CG316" s="69"/>
      <c r="CH316" s="69"/>
      <c r="CI316" s="69"/>
      <c r="CJ316" s="69"/>
      <c r="CK316" s="69"/>
      <c r="CL316" s="69"/>
      <c r="CM316" s="69"/>
      <c r="CN316" s="69"/>
      <c r="CO316" s="69"/>
      <c r="CP316" s="69"/>
      <c r="CQ316" s="69"/>
      <c r="CR316" s="69"/>
      <c r="CS316" s="69"/>
      <c r="CT316" s="69"/>
      <c r="CU316" s="69"/>
      <c r="CV316" s="69"/>
      <c r="CW316" s="69"/>
      <c r="CX316" s="69"/>
      <c r="CY316" s="69"/>
      <c r="CZ316" s="69"/>
      <c r="DA316" s="69"/>
      <c r="DB316" s="69"/>
      <c r="DC316" s="69"/>
      <c r="DD316" s="69"/>
      <c r="DE316" s="69"/>
      <c r="DF316" s="69"/>
      <c r="DG316" s="69"/>
      <c r="DH316" s="69"/>
      <c r="DI316" s="69"/>
      <c r="DJ316" s="69"/>
      <c r="DK316" s="69"/>
      <c r="DL316" s="69"/>
      <c r="DM316" s="69"/>
      <c r="DN316" s="69"/>
      <c r="DO316" s="69"/>
      <c r="DP316" s="69"/>
      <c r="DQ316" s="69"/>
      <c r="DR316" s="69"/>
      <c r="DS316" s="69"/>
      <c r="DT316" s="69"/>
      <c r="DU316" s="69"/>
      <c r="DV316" s="69"/>
      <c r="DW316" s="69"/>
      <c r="DX316" s="69"/>
      <c r="DY316" s="69"/>
      <c r="DZ316" s="69"/>
      <c r="EA316" s="69"/>
      <c r="EB316" s="69"/>
      <c r="EC316" s="69"/>
      <c r="ED316" s="69"/>
      <c r="EE316" s="69"/>
      <c r="EF316" s="69"/>
      <c r="EG316" s="69"/>
      <c r="EH316" s="69"/>
      <c r="EI316" s="69"/>
      <c r="EJ316" s="69"/>
      <c r="EK316" s="69"/>
      <c r="EL316" s="69"/>
      <c r="EM316" s="69"/>
      <c r="EN316" s="69"/>
      <c r="EO316" s="69"/>
      <c r="EP316" s="69"/>
      <c r="EQ316" s="69"/>
      <c r="ER316" s="69"/>
      <c r="ES316" s="69"/>
      <c r="ET316" s="69"/>
      <c r="EU316" s="69"/>
      <c r="EV316" s="69"/>
      <c r="EW316" s="69"/>
      <c r="EX316" s="69"/>
      <c r="EY316" s="69"/>
      <c r="EZ316" s="69"/>
      <c r="FA316" s="69"/>
      <c r="FB316" s="69"/>
      <c r="FC316" s="69"/>
      <c r="FD316" s="69"/>
      <c r="FE316" s="69"/>
      <c r="FF316" s="69"/>
      <c r="FG316" s="69"/>
      <c r="FH316" s="69"/>
      <c r="FI316" s="69"/>
      <c r="FJ316" s="69"/>
      <c r="FK316" s="69"/>
      <c r="FL316" s="69"/>
      <c r="FM316" s="69"/>
      <c r="FN316" s="69"/>
      <c r="FO316" s="69"/>
      <c r="FP316" s="69"/>
      <c r="FQ316" s="69"/>
      <c r="FR316" s="69"/>
      <c r="FS316" s="69"/>
      <c r="FT316" s="69"/>
      <c r="FU316" s="69"/>
      <c r="FV316" s="69"/>
      <c r="FW316" s="69"/>
      <c r="FX316" s="69"/>
      <c r="FY316" s="69"/>
      <c r="FZ316" s="69"/>
      <c r="GA316" s="69"/>
      <c r="GB316" s="69"/>
      <c r="GC316" s="69"/>
      <c r="GD316" s="69"/>
      <c r="GE316" s="69"/>
      <c r="GF316" s="69"/>
      <c r="GG316" s="69"/>
      <c r="GH316" s="69"/>
      <c r="GI316" s="69"/>
      <c r="GJ316" s="69"/>
      <c r="GK316" s="69"/>
      <c r="GL316" s="69"/>
      <c r="GM316" s="69"/>
      <c r="GN316" s="69"/>
      <c r="GO316" s="69"/>
      <c r="GP316" s="69"/>
      <c r="GQ316" s="69"/>
      <c r="GR316" s="69"/>
      <c r="GS316" s="69"/>
      <c r="GT316" s="69"/>
      <c r="GU316" s="69"/>
      <c r="GV316" s="69"/>
      <c r="GW316" s="69"/>
      <c r="GX316" s="69"/>
      <c r="GY316" s="69"/>
      <c r="GZ316" s="69"/>
      <c r="HA316" s="69"/>
      <c r="HB316" s="69"/>
      <c r="HC316" s="69"/>
      <c r="HD316" s="69"/>
      <c r="HE316" s="69"/>
      <c r="HF316" s="69"/>
      <c r="HG316" s="69"/>
      <c r="HH316" s="69"/>
      <c r="HI316" s="69"/>
      <c r="HJ316" s="69"/>
      <c r="HK316" s="69"/>
      <c r="HL316" s="69"/>
      <c r="HM316" s="69"/>
      <c r="HN316" s="69"/>
      <c r="HO316" s="69"/>
      <c r="HP316" s="69"/>
      <c r="HQ316" s="69"/>
      <c r="HR316" s="69"/>
      <c r="HS316" s="69"/>
      <c r="HT316" s="69"/>
      <c r="HU316" s="69"/>
      <c r="HV316" s="69"/>
      <c r="HW316" s="69"/>
      <c r="HX316" s="69"/>
      <c r="HY316" s="69"/>
      <c r="HZ316" s="69"/>
      <c r="IA316" s="69"/>
    </row>
    <row r="317" spans="1:235" s="70" customFormat="1" ht="28.5" customHeight="1">
      <c r="A317" s="21" t="s">
        <v>259</v>
      </c>
      <c r="B317" s="7"/>
      <c r="C317" s="7"/>
      <c r="D317" s="14"/>
      <c r="E317" s="14">
        <v>35</v>
      </c>
      <c r="F317" s="14">
        <v>35</v>
      </c>
      <c r="G317" s="14"/>
      <c r="H317" s="14">
        <v>228</v>
      </c>
      <c r="I317" s="14"/>
      <c r="J317" s="14">
        <v>140</v>
      </c>
      <c r="K317" s="14"/>
      <c r="L317" s="14"/>
      <c r="M317" s="14"/>
      <c r="N317" s="14"/>
      <c r="O317" s="14">
        <v>300</v>
      </c>
      <c r="P317" s="14">
        <v>41</v>
      </c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  <c r="BU317" s="69"/>
      <c r="BV317" s="69"/>
      <c r="BW317" s="69"/>
      <c r="BX317" s="69"/>
      <c r="BY317" s="69"/>
      <c r="BZ317" s="69"/>
      <c r="CA317" s="69"/>
      <c r="CB317" s="69"/>
      <c r="CC317" s="69"/>
      <c r="CD317" s="69"/>
      <c r="CE317" s="69"/>
      <c r="CF317" s="69"/>
      <c r="CG317" s="69"/>
      <c r="CH317" s="69"/>
      <c r="CI317" s="69"/>
      <c r="CJ317" s="69"/>
      <c r="CK317" s="69"/>
      <c r="CL317" s="69"/>
      <c r="CM317" s="69"/>
      <c r="CN317" s="69"/>
      <c r="CO317" s="69"/>
      <c r="CP317" s="69"/>
      <c r="CQ317" s="69"/>
      <c r="CR317" s="69"/>
      <c r="CS317" s="69"/>
      <c r="CT317" s="69"/>
      <c r="CU317" s="69"/>
      <c r="CV317" s="69"/>
      <c r="CW317" s="69"/>
      <c r="CX317" s="69"/>
      <c r="CY317" s="69"/>
      <c r="CZ317" s="69"/>
      <c r="DA317" s="69"/>
      <c r="DB317" s="69"/>
      <c r="DC317" s="69"/>
      <c r="DD317" s="69"/>
      <c r="DE317" s="69"/>
      <c r="DF317" s="69"/>
      <c r="DG317" s="69"/>
      <c r="DH317" s="69"/>
      <c r="DI317" s="69"/>
      <c r="DJ317" s="69"/>
      <c r="DK317" s="69"/>
      <c r="DL317" s="69"/>
      <c r="DM317" s="69"/>
      <c r="DN317" s="69"/>
      <c r="DO317" s="69"/>
      <c r="DP317" s="69"/>
      <c r="DQ317" s="69"/>
      <c r="DR317" s="69"/>
      <c r="DS317" s="69"/>
      <c r="DT317" s="69"/>
      <c r="DU317" s="69"/>
      <c r="DV317" s="69"/>
      <c r="DW317" s="69"/>
      <c r="DX317" s="69"/>
      <c r="DY317" s="69"/>
      <c r="DZ317" s="69"/>
      <c r="EA317" s="69"/>
      <c r="EB317" s="69"/>
      <c r="EC317" s="69"/>
      <c r="ED317" s="69"/>
      <c r="EE317" s="69"/>
      <c r="EF317" s="69"/>
      <c r="EG317" s="69"/>
      <c r="EH317" s="69"/>
      <c r="EI317" s="69"/>
      <c r="EJ317" s="69"/>
      <c r="EK317" s="69"/>
      <c r="EL317" s="69"/>
      <c r="EM317" s="69"/>
      <c r="EN317" s="69"/>
      <c r="EO317" s="69"/>
      <c r="EP317" s="69"/>
      <c r="EQ317" s="69"/>
      <c r="ER317" s="69"/>
      <c r="ES317" s="69"/>
      <c r="ET317" s="69"/>
      <c r="EU317" s="69"/>
      <c r="EV317" s="69"/>
      <c r="EW317" s="69"/>
      <c r="EX317" s="69"/>
      <c r="EY317" s="69"/>
      <c r="EZ317" s="69"/>
      <c r="FA317" s="69"/>
      <c r="FB317" s="69"/>
      <c r="FC317" s="69"/>
      <c r="FD317" s="69"/>
      <c r="FE317" s="69"/>
      <c r="FF317" s="69"/>
      <c r="FG317" s="69"/>
      <c r="FH317" s="69"/>
      <c r="FI317" s="69"/>
      <c r="FJ317" s="69"/>
      <c r="FK317" s="69"/>
      <c r="FL317" s="69"/>
      <c r="FM317" s="69"/>
      <c r="FN317" s="69"/>
      <c r="FO317" s="69"/>
      <c r="FP317" s="69"/>
      <c r="FQ317" s="69"/>
      <c r="FR317" s="69"/>
      <c r="FS317" s="69"/>
      <c r="FT317" s="69"/>
      <c r="FU317" s="69"/>
      <c r="FV317" s="69"/>
      <c r="FW317" s="69"/>
      <c r="FX317" s="69"/>
      <c r="FY317" s="69"/>
      <c r="FZ317" s="69"/>
      <c r="GA317" s="69"/>
      <c r="GB317" s="69"/>
      <c r="GC317" s="69"/>
      <c r="GD317" s="69"/>
      <c r="GE317" s="69"/>
      <c r="GF317" s="69"/>
      <c r="GG317" s="69"/>
      <c r="GH317" s="69"/>
      <c r="GI317" s="69"/>
      <c r="GJ317" s="69"/>
      <c r="GK317" s="69"/>
      <c r="GL317" s="69"/>
      <c r="GM317" s="69"/>
      <c r="GN317" s="69"/>
      <c r="GO317" s="69"/>
      <c r="GP317" s="69"/>
      <c r="GQ317" s="69"/>
      <c r="GR317" s="69"/>
      <c r="GS317" s="69"/>
      <c r="GT317" s="69"/>
      <c r="GU317" s="69"/>
      <c r="GV317" s="69"/>
      <c r="GW317" s="69"/>
      <c r="GX317" s="69"/>
      <c r="GY317" s="69"/>
      <c r="GZ317" s="69"/>
      <c r="HA317" s="69"/>
      <c r="HB317" s="69"/>
      <c r="HC317" s="69"/>
      <c r="HD317" s="69"/>
      <c r="HE317" s="69"/>
      <c r="HF317" s="69"/>
      <c r="HG317" s="69"/>
      <c r="HH317" s="69"/>
      <c r="HI317" s="69"/>
      <c r="HJ317" s="69"/>
      <c r="HK317" s="69"/>
      <c r="HL317" s="69"/>
      <c r="HM317" s="69"/>
      <c r="HN317" s="69"/>
      <c r="HO317" s="69"/>
      <c r="HP317" s="69"/>
      <c r="HQ317" s="69"/>
      <c r="HR317" s="69"/>
      <c r="HS317" s="69"/>
      <c r="HT317" s="69"/>
      <c r="HU317" s="69"/>
      <c r="HV317" s="69"/>
      <c r="HW317" s="69"/>
      <c r="HX317" s="69"/>
      <c r="HY317" s="69"/>
      <c r="HZ317" s="69"/>
      <c r="IA317" s="69"/>
    </row>
    <row r="318" spans="1:235" s="70" customFormat="1" ht="11.25">
      <c r="A318" s="20" t="s">
        <v>7</v>
      </c>
      <c r="B318" s="7"/>
      <c r="C318" s="7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  <c r="BU318" s="69"/>
      <c r="BV318" s="69"/>
      <c r="BW318" s="69"/>
      <c r="BX318" s="69"/>
      <c r="BY318" s="69"/>
      <c r="BZ318" s="69"/>
      <c r="CA318" s="69"/>
      <c r="CB318" s="69"/>
      <c r="CC318" s="69"/>
      <c r="CD318" s="69"/>
      <c r="CE318" s="69"/>
      <c r="CF318" s="69"/>
      <c r="CG318" s="69"/>
      <c r="CH318" s="69"/>
      <c r="CI318" s="69"/>
      <c r="CJ318" s="69"/>
      <c r="CK318" s="69"/>
      <c r="CL318" s="69"/>
      <c r="CM318" s="69"/>
      <c r="CN318" s="69"/>
      <c r="CO318" s="69"/>
      <c r="CP318" s="69"/>
      <c r="CQ318" s="69"/>
      <c r="CR318" s="69"/>
      <c r="CS318" s="69"/>
      <c r="CT318" s="69"/>
      <c r="CU318" s="69"/>
      <c r="CV318" s="69"/>
      <c r="CW318" s="69"/>
      <c r="CX318" s="69"/>
      <c r="CY318" s="69"/>
      <c r="CZ318" s="69"/>
      <c r="DA318" s="69"/>
      <c r="DB318" s="69"/>
      <c r="DC318" s="69"/>
      <c r="DD318" s="69"/>
      <c r="DE318" s="69"/>
      <c r="DF318" s="69"/>
      <c r="DG318" s="69"/>
      <c r="DH318" s="69"/>
      <c r="DI318" s="69"/>
      <c r="DJ318" s="69"/>
      <c r="DK318" s="69"/>
      <c r="DL318" s="69"/>
      <c r="DM318" s="69"/>
      <c r="DN318" s="69"/>
      <c r="DO318" s="69"/>
      <c r="DP318" s="69"/>
      <c r="DQ318" s="69"/>
      <c r="DR318" s="69"/>
      <c r="DS318" s="69"/>
      <c r="DT318" s="69"/>
      <c r="DU318" s="69"/>
      <c r="DV318" s="69"/>
      <c r="DW318" s="69"/>
      <c r="DX318" s="69"/>
      <c r="DY318" s="69"/>
      <c r="DZ318" s="69"/>
      <c r="EA318" s="69"/>
      <c r="EB318" s="69"/>
      <c r="EC318" s="69"/>
      <c r="ED318" s="69"/>
      <c r="EE318" s="69"/>
      <c r="EF318" s="69"/>
      <c r="EG318" s="69"/>
      <c r="EH318" s="69"/>
      <c r="EI318" s="69"/>
      <c r="EJ318" s="69"/>
      <c r="EK318" s="69"/>
      <c r="EL318" s="69"/>
      <c r="EM318" s="69"/>
      <c r="EN318" s="69"/>
      <c r="EO318" s="69"/>
      <c r="EP318" s="69"/>
      <c r="EQ318" s="69"/>
      <c r="ER318" s="69"/>
      <c r="ES318" s="69"/>
      <c r="ET318" s="69"/>
      <c r="EU318" s="69"/>
      <c r="EV318" s="69"/>
      <c r="EW318" s="69"/>
      <c r="EX318" s="69"/>
      <c r="EY318" s="69"/>
      <c r="EZ318" s="69"/>
      <c r="FA318" s="69"/>
      <c r="FB318" s="69"/>
      <c r="FC318" s="69"/>
      <c r="FD318" s="69"/>
      <c r="FE318" s="69"/>
      <c r="FF318" s="69"/>
      <c r="FG318" s="69"/>
      <c r="FH318" s="69"/>
      <c r="FI318" s="69"/>
      <c r="FJ318" s="69"/>
      <c r="FK318" s="69"/>
      <c r="FL318" s="69"/>
      <c r="FM318" s="69"/>
      <c r="FN318" s="69"/>
      <c r="FO318" s="69"/>
      <c r="FP318" s="69"/>
      <c r="FQ318" s="69"/>
      <c r="FR318" s="69"/>
      <c r="FS318" s="69"/>
      <c r="FT318" s="69"/>
      <c r="FU318" s="69"/>
      <c r="FV318" s="69"/>
      <c r="FW318" s="69"/>
      <c r="FX318" s="69"/>
      <c r="FY318" s="69"/>
      <c r="FZ318" s="69"/>
      <c r="GA318" s="69"/>
      <c r="GB318" s="69"/>
      <c r="GC318" s="69"/>
      <c r="GD318" s="69"/>
      <c r="GE318" s="69"/>
      <c r="GF318" s="69"/>
      <c r="GG318" s="69"/>
      <c r="GH318" s="69"/>
      <c r="GI318" s="69"/>
      <c r="GJ318" s="69"/>
      <c r="GK318" s="69"/>
      <c r="GL318" s="69"/>
      <c r="GM318" s="69"/>
      <c r="GN318" s="69"/>
      <c r="GO318" s="69"/>
      <c r="GP318" s="69"/>
      <c r="GQ318" s="69"/>
      <c r="GR318" s="69"/>
      <c r="GS318" s="69"/>
      <c r="GT318" s="69"/>
      <c r="GU318" s="69"/>
      <c r="GV318" s="69"/>
      <c r="GW318" s="69"/>
      <c r="GX318" s="69"/>
      <c r="GY318" s="69"/>
      <c r="GZ318" s="69"/>
      <c r="HA318" s="69"/>
      <c r="HB318" s="69"/>
      <c r="HC318" s="69"/>
      <c r="HD318" s="69"/>
      <c r="HE318" s="69"/>
      <c r="HF318" s="69"/>
      <c r="HG318" s="69"/>
      <c r="HH318" s="69"/>
      <c r="HI318" s="69"/>
      <c r="HJ318" s="69"/>
      <c r="HK318" s="69"/>
      <c r="HL318" s="69"/>
      <c r="HM318" s="69"/>
      <c r="HN318" s="69"/>
      <c r="HO318" s="69"/>
      <c r="HP318" s="69"/>
      <c r="HQ318" s="69"/>
      <c r="HR318" s="69"/>
      <c r="HS318" s="69"/>
      <c r="HT318" s="69"/>
      <c r="HU318" s="69"/>
      <c r="HV318" s="69"/>
      <c r="HW318" s="69"/>
      <c r="HX318" s="69"/>
      <c r="HY318" s="69"/>
      <c r="HZ318" s="69"/>
      <c r="IA318" s="69"/>
    </row>
    <row r="319" spans="1:235" s="70" customFormat="1" ht="23.25" customHeight="1">
      <c r="A319" s="21" t="s">
        <v>174</v>
      </c>
      <c r="B319" s="7"/>
      <c r="C319" s="7"/>
      <c r="D319" s="14"/>
      <c r="E319" s="14">
        <f>E313/E317</f>
        <v>142857.14285714287</v>
      </c>
      <c r="F319" s="14">
        <f>E319</f>
        <v>142857.14285714287</v>
      </c>
      <c r="G319" s="14"/>
      <c r="H319" s="14">
        <v>142543.859649</v>
      </c>
      <c r="I319" s="14"/>
      <c r="J319" s="14">
        <f>H319</f>
        <v>142543.859649</v>
      </c>
      <c r="K319" s="14"/>
      <c r="L319" s="14"/>
      <c r="M319" s="14"/>
      <c r="N319" s="14"/>
      <c r="O319" s="14">
        <v>154033.3333333</v>
      </c>
      <c r="P319" s="14">
        <f>P313/P317</f>
        <v>1127073.1707314632</v>
      </c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69"/>
      <c r="BV319" s="69"/>
      <c r="BW319" s="69"/>
      <c r="BX319" s="69"/>
      <c r="BY319" s="69"/>
      <c r="BZ319" s="69"/>
      <c r="CA319" s="69"/>
      <c r="CB319" s="69"/>
      <c r="CC319" s="69"/>
      <c r="CD319" s="69"/>
      <c r="CE319" s="69"/>
      <c r="CF319" s="69"/>
      <c r="CG319" s="69"/>
      <c r="CH319" s="69"/>
      <c r="CI319" s="69"/>
      <c r="CJ319" s="69"/>
      <c r="CK319" s="69"/>
      <c r="CL319" s="69"/>
      <c r="CM319" s="69"/>
      <c r="CN319" s="69"/>
      <c r="CO319" s="69"/>
      <c r="CP319" s="69"/>
      <c r="CQ319" s="69"/>
      <c r="CR319" s="69"/>
      <c r="CS319" s="69"/>
      <c r="CT319" s="69"/>
      <c r="CU319" s="69"/>
      <c r="CV319" s="69"/>
      <c r="CW319" s="69"/>
      <c r="CX319" s="69"/>
      <c r="CY319" s="69"/>
      <c r="CZ319" s="69"/>
      <c r="DA319" s="69"/>
      <c r="DB319" s="69"/>
      <c r="DC319" s="69"/>
      <c r="DD319" s="69"/>
      <c r="DE319" s="69"/>
      <c r="DF319" s="69"/>
      <c r="DG319" s="69"/>
      <c r="DH319" s="69"/>
      <c r="DI319" s="69"/>
      <c r="DJ319" s="69"/>
      <c r="DK319" s="69"/>
      <c r="DL319" s="69"/>
      <c r="DM319" s="69"/>
      <c r="DN319" s="69"/>
      <c r="DO319" s="69"/>
      <c r="DP319" s="69"/>
      <c r="DQ319" s="69"/>
      <c r="DR319" s="69"/>
      <c r="DS319" s="69"/>
      <c r="DT319" s="69"/>
      <c r="DU319" s="69"/>
      <c r="DV319" s="69"/>
      <c r="DW319" s="69"/>
      <c r="DX319" s="69"/>
      <c r="DY319" s="69"/>
      <c r="DZ319" s="69"/>
      <c r="EA319" s="69"/>
      <c r="EB319" s="69"/>
      <c r="EC319" s="69"/>
      <c r="ED319" s="69"/>
      <c r="EE319" s="69"/>
      <c r="EF319" s="69"/>
      <c r="EG319" s="69"/>
      <c r="EH319" s="69"/>
      <c r="EI319" s="69"/>
      <c r="EJ319" s="69"/>
      <c r="EK319" s="69"/>
      <c r="EL319" s="69"/>
      <c r="EM319" s="69"/>
      <c r="EN319" s="69"/>
      <c r="EO319" s="69"/>
      <c r="EP319" s="69"/>
      <c r="EQ319" s="69"/>
      <c r="ER319" s="69"/>
      <c r="ES319" s="69"/>
      <c r="ET319" s="69"/>
      <c r="EU319" s="69"/>
      <c r="EV319" s="69"/>
      <c r="EW319" s="69"/>
      <c r="EX319" s="69"/>
      <c r="EY319" s="69"/>
      <c r="EZ319" s="69"/>
      <c r="FA319" s="69"/>
      <c r="FB319" s="69"/>
      <c r="FC319" s="69"/>
      <c r="FD319" s="69"/>
      <c r="FE319" s="69"/>
      <c r="FF319" s="69"/>
      <c r="FG319" s="69"/>
      <c r="FH319" s="69"/>
      <c r="FI319" s="69"/>
      <c r="FJ319" s="69"/>
      <c r="FK319" s="69"/>
      <c r="FL319" s="69"/>
      <c r="FM319" s="69"/>
      <c r="FN319" s="69"/>
      <c r="FO319" s="69"/>
      <c r="FP319" s="69"/>
      <c r="FQ319" s="69"/>
      <c r="FR319" s="69"/>
      <c r="FS319" s="69"/>
      <c r="FT319" s="69"/>
      <c r="FU319" s="69"/>
      <c r="FV319" s="69"/>
      <c r="FW319" s="69"/>
      <c r="FX319" s="69"/>
      <c r="FY319" s="69"/>
      <c r="FZ319" s="69"/>
      <c r="GA319" s="69"/>
      <c r="GB319" s="69"/>
      <c r="GC319" s="69"/>
      <c r="GD319" s="69"/>
      <c r="GE319" s="69"/>
      <c r="GF319" s="69"/>
      <c r="GG319" s="69"/>
      <c r="GH319" s="69"/>
      <c r="GI319" s="69"/>
      <c r="GJ319" s="69"/>
      <c r="GK319" s="69"/>
      <c r="GL319" s="69"/>
      <c r="GM319" s="69"/>
      <c r="GN319" s="69"/>
      <c r="GO319" s="69"/>
      <c r="GP319" s="69"/>
      <c r="GQ319" s="69"/>
      <c r="GR319" s="69"/>
      <c r="GS319" s="69"/>
      <c r="GT319" s="69"/>
      <c r="GU319" s="69"/>
      <c r="GV319" s="69"/>
      <c r="GW319" s="69"/>
      <c r="GX319" s="69"/>
      <c r="GY319" s="69"/>
      <c r="GZ319" s="69"/>
      <c r="HA319" s="69"/>
      <c r="HB319" s="69"/>
      <c r="HC319" s="69"/>
      <c r="HD319" s="69"/>
      <c r="HE319" s="69"/>
      <c r="HF319" s="69"/>
      <c r="HG319" s="69"/>
      <c r="HH319" s="69"/>
      <c r="HI319" s="69"/>
      <c r="HJ319" s="69"/>
      <c r="HK319" s="69"/>
      <c r="HL319" s="69"/>
      <c r="HM319" s="69"/>
      <c r="HN319" s="69"/>
      <c r="HO319" s="69"/>
      <c r="HP319" s="69"/>
      <c r="HQ319" s="69"/>
      <c r="HR319" s="69"/>
      <c r="HS319" s="69"/>
      <c r="HT319" s="69"/>
      <c r="HU319" s="69"/>
      <c r="HV319" s="69"/>
      <c r="HW319" s="69"/>
      <c r="HX319" s="69"/>
      <c r="HY319" s="69"/>
      <c r="HZ319" s="69"/>
      <c r="IA319" s="69"/>
    </row>
    <row r="320" spans="1:235" s="92" customFormat="1" ht="36.75" customHeight="1">
      <c r="A320" s="82" t="s">
        <v>375</v>
      </c>
      <c r="B320" s="88"/>
      <c r="C320" s="88"/>
      <c r="D320" s="89"/>
      <c r="E320" s="89">
        <f>(E327*E332)+(E328*E333)+(E329*E334)+(E330*E335)-1630000</f>
        <v>17148000</v>
      </c>
      <c r="F320" s="89">
        <f>(F327*F332)+(F328*F333)+(F329*F334)+(F330*F335)-1630000</f>
        <v>17148000</v>
      </c>
      <c r="G320" s="89">
        <f>G330*G335</f>
        <v>584999.9999982599</v>
      </c>
      <c r="H320" s="89">
        <f>(H327*H332)+(H328*H333)+(H329*H334)</f>
        <v>39320000.0000018</v>
      </c>
      <c r="I320" s="89"/>
      <c r="J320" s="89">
        <f>H320+G320</f>
        <v>39905000.00000006</v>
      </c>
      <c r="K320" s="89">
        <f>(K327*K332)+(K328*K333)+(K329*K334)+(K330*K335)</f>
        <v>0</v>
      </c>
      <c r="L320" s="89">
        <f>(L327*L332)+(L328*L333)+(L329*L334)+(L330*L335)</f>
        <v>0</v>
      </c>
      <c r="M320" s="89">
        <f>(M327*M332)+(M328*M333)+(M329*M334)+(M330*M335)</f>
        <v>0</v>
      </c>
      <c r="N320" s="89">
        <f>N330*N335+3.56</f>
        <v>700000.0000000001</v>
      </c>
      <c r="O320" s="89">
        <f>(O327*O332)+(O328*O333)+(O329*O334)+(O330*O335)-8348</f>
        <v>64000000</v>
      </c>
      <c r="P320" s="89">
        <f>N320+O320</f>
        <v>64700000</v>
      </c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  <c r="BZ320" s="91"/>
      <c r="CA320" s="91"/>
      <c r="CB320" s="91"/>
      <c r="CC320" s="91"/>
      <c r="CD320" s="91"/>
      <c r="CE320" s="91"/>
      <c r="CF320" s="91"/>
      <c r="CG320" s="91"/>
      <c r="CH320" s="91"/>
      <c r="CI320" s="91"/>
      <c r="CJ320" s="91"/>
      <c r="CK320" s="91"/>
      <c r="CL320" s="91"/>
      <c r="CM320" s="91"/>
      <c r="CN320" s="91"/>
      <c r="CO320" s="91"/>
      <c r="CP320" s="91"/>
      <c r="CQ320" s="91"/>
      <c r="CR320" s="91"/>
      <c r="CS320" s="91"/>
      <c r="CT320" s="91"/>
      <c r="CU320" s="91"/>
      <c r="CV320" s="91"/>
      <c r="CW320" s="91"/>
      <c r="CX320" s="91"/>
      <c r="CY320" s="91"/>
      <c r="CZ320" s="91"/>
      <c r="DA320" s="91"/>
      <c r="DB320" s="91"/>
      <c r="DC320" s="91"/>
      <c r="DD320" s="91"/>
      <c r="DE320" s="91"/>
      <c r="DF320" s="91"/>
      <c r="DG320" s="91"/>
      <c r="DH320" s="91"/>
      <c r="DI320" s="91"/>
      <c r="DJ320" s="91"/>
      <c r="DK320" s="91"/>
      <c r="DL320" s="91"/>
      <c r="DM320" s="91"/>
      <c r="DN320" s="91"/>
      <c r="DO320" s="91"/>
      <c r="DP320" s="91"/>
      <c r="DQ320" s="91"/>
      <c r="DR320" s="91"/>
      <c r="DS320" s="91"/>
      <c r="DT320" s="91"/>
      <c r="DU320" s="91"/>
      <c r="DV320" s="91"/>
      <c r="DW320" s="91"/>
      <c r="DX320" s="91"/>
      <c r="DY320" s="91"/>
      <c r="DZ320" s="91"/>
      <c r="EA320" s="91"/>
      <c r="EB320" s="91"/>
      <c r="EC320" s="91"/>
      <c r="ED320" s="91"/>
      <c r="EE320" s="91"/>
      <c r="EF320" s="91"/>
      <c r="EG320" s="91"/>
      <c r="EH320" s="91"/>
      <c r="EI320" s="91"/>
      <c r="EJ320" s="91"/>
      <c r="EK320" s="91"/>
      <c r="EL320" s="91"/>
      <c r="EM320" s="91"/>
      <c r="EN320" s="91"/>
      <c r="EO320" s="91"/>
      <c r="EP320" s="91"/>
      <c r="EQ320" s="91"/>
      <c r="ER320" s="91"/>
      <c r="ES320" s="91"/>
      <c r="ET320" s="91"/>
      <c r="EU320" s="91"/>
      <c r="EV320" s="91"/>
      <c r="EW320" s="91"/>
      <c r="EX320" s="91"/>
      <c r="EY320" s="91"/>
      <c r="EZ320" s="91"/>
      <c r="FA320" s="91"/>
      <c r="FB320" s="91"/>
      <c r="FC320" s="91"/>
      <c r="FD320" s="91"/>
      <c r="FE320" s="91"/>
      <c r="FF320" s="91"/>
      <c r="FG320" s="91"/>
      <c r="FH320" s="91"/>
      <c r="FI320" s="91"/>
      <c r="FJ320" s="91"/>
      <c r="FK320" s="91"/>
      <c r="FL320" s="91"/>
      <c r="FM320" s="91"/>
      <c r="FN320" s="91"/>
      <c r="FO320" s="91"/>
      <c r="FP320" s="91"/>
      <c r="FQ320" s="91"/>
      <c r="FR320" s="91"/>
      <c r="FS320" s="91"/>
      <c r="FT320" s="91"/>
      <c r="FU320" s="91"/>
      <c r="FV320" s="91"/>
      <c r="FW320" s="91"/>
      <c r="FX320" s="91"/>
      <c r="FY320" s="91"/>
      <c r="FZ320" s="91"/>
      <c r="GA320" s="91"/>
      <c r="GB320" s="91"/>
      <c r="GC320" s="91"/>
      <c r="GD320" s="91"/>
      <c r="GE320" s="91"/>
      <c r="GF320" s="91"/>
      <c r="GG320" s="91"/>
      <c r="GH320" s="91"/>
      <c r="GI320" s="91"/>
      <c r="GJ320" s="91"/>
      <c r="GK320" s="91"/>
      <c r="GL320" s="91"/>
      <c r="GM320" s="91"/>
      <c r="GN320" s="91"/>
      <c r="GO320" s="91"/>
      <c r="GP320" s="91"/>
      <c r="GQ320" s="91"/>
      <c r="GR320" s="91"/>
      <c r="GS320" s="91"/>
      <c r="GT320" s="91"/>
      <c r="GU320" s="91"/>
      <c r="GV320" s="91"/>
      <c r="GW320" s="91"/>
      <c r="GX320" s="91"/>
      <c r="GY320" s="91"/>
      <c r="GZ320" s="91"/>
      <c r="HA320" s="91"/>
      <c r="HB320" s="91"/>
      <c r="HC320" s="91"/>
      <c r="HD320" s="91"/>
      <c r="HE320" s="91"/>
      <c r="HF320" s="91"/>
      <c r="HG320" s="91"/>
      <c r="HH320" s="91"/>
      <c r="HI320" s="91"/>
      <c r="HJ320" s="91"/>
      <c r="HK320" s="91"/>
      <c r="HL320" s="91"/>
      <c r="HM320" s="91"/>
      <c r="HN320" s="91"/>
      <c r="HO320" s="91"/>
      <c r="HP320" s="91"/>
      <c r="HQ320" s="91"/>
      <c r="HR320" s="91"/>
      <c r="HS320" s="91"/>
      <c r="HT320" s="91"/>
      <c r="HU320" s="91"/>
      <c r="HV320" s="91"/>
      <c r="HW320" s="91"/>
      <c r="HX320" s="91"/>
      <c r="HY320" s="91"/>
      <c r="HZ320" s="91"/>
      <c r="IA320" s="91"/>
    </row>
    <row r="321" spans="1:16" ht="11.25">
      <c r="A321" s="54" t="s">
        <v>4</v>
      </c>
      <c r="B321" s="60"/>
      <c r="C321" s="60"/>
      <c r="D321" s="62"/>
      <c r="E321" s="64"/>
      <c r="F321" s="64"/>
      <c r="G321" s="62"/>
      <c r="H321" s="64"/>
      <c r="I321" s="64"/>
      <c r="J321" s="64"/>
      <c r="K321" s="64"/>
      <c r="L321" s="64"/>
      <c r="M321" s="64"/>
      <c r="N321" s="62"/>
      <c r="O321" s="64"/>
      <c r="P321" s="64"/>
    </row>
    <row r="322" spans="1:16" ht="16.5" customHeight="1">
      <c r="A322" s="55" t="s">
        <v>176</v>
      </c>
      <c r="B322" s="60"/>
      <c r="C322" s="60"/>
      <c r="D322" s="62"/>
      <c r="E322" s="62">
        <v>12</v>
      </c>
      <c r="F322" s="62">
        <f>E322</f>
        <v>12</v>
      </c>
      <c r="G322" s="62"/>
      <c r="H322" s="64"/>
      <c r="I322" s="64"/>
      <c r="J322" s="64"/>
      <c r="K322" s="64"/>
      <c r="L322" s="64"/>
      <c r="M322" s="64"/>
      <c r="N322" s="62"/>
      <c r="O322" s="64"/>
      <c r="P322" s="64"/>
    </row>
    <row r="323" spans="1:16" ht="22.5">
      <c r="A323" s="55" t="s">
        <v>177</v>
      </c>
      <c r="B323" s="60"/>
      <c r="C323" s="60"/>
      <c r="D323" s="62"/>
      <c r="E323" s="62">
        <v>700</v>
      </c>
      <c r="F323" s="62">
        <f>E323</f>
        <v>700</v>
      </c>
      <c r="G323" s="62"/>
      <c r="H323" s="62">
        <v>500</v>
      </c>
      <c r="I323" s="62"/>
      <c r="J323" s="62">
        <f>H323</f>
        <v>500</v>
      </c>
      <c r="K323" s="64"/>
      <c r="L323" s="64"/>
      <c r="M323" s="64"/>
      <c r="N323" s="62"/>
      <c r="O323" s="62">
        <v>500</v>
      </c>
      <c r="P323" s="62">
        <f>O323</f>
        <v>500</v>
      </c>
    </row>
    <row r="324" spans="1:16" ht="22.5">
      <c r="A324" s="55" t="s">
        <v>178</v>
      </c>
      <c r="B324" s="60"/>
      <c r="C324" s="60"/>
      <c r="D324" s="62"/>
      <c r="E324" s="62">
        <v>454</v>
      </c>
      <c r="F324" s="62">
        <v>454</v>
      </c>
      <c r="G324" s="62"/>
      <c r="H324" s="62">
        <v>500</v>
      </c>
      <c r="I324" s="64"/>
      <c r="J324" s="62">
        <f>H324</f>
        <v>500</v>
      </c>
      <c r="K324" s="64"/>
      <c r="L324" s="64"/>
      <c r="M324" s="64"/>
      <c r="N324" s="62"/>
      <c r="O324" s="62">
        <v>400</v>
      </c>
      <c r="P324" s="62">
        <f>O324</f>
        <v>400</v>
      </c>
    </row>
    <row r="325" spans="1:16" ht="28.5" customHeight="1">
      <c r="A325" s="55" t="s">
        <v>179</v>
      </c>
      <c r="B325" s="60"/>
      <c r="C325" s="60"/>
      <c r="D325" s="62"/>
      <c r="E325" s="62">
        <v>700</v>
      </c>
      <c r="F325" s="62">
        <f>E325</f>
        <v>700</v>
      </c>
      <c r="G325" s="62">
        <v>500</v>
      </c>
      <c r="H325" s="62"/>
      <c r="I325" s="62"/>
      <c r="J325" s="62">
        <f>G325</f>
        <v>500</v>
      </c>
      <c r="K325" s="62"/>
      <c r="L325" s="62"/>
      <c r="M325" s="62"/>
      <c r="N325" s="62">
        <v>600</v>
      </c>
      <c r="O325" s="62"/>
      <c r="P325" s="62">
        <v>400</v>
      </c>
    </row>
    <row r="326" spans="1:16" ht="11.25">
      <c r="A326" s="54" t="s">
        <v>5</v>
      </c>
      <c r="B326" s="61"/>
      <c r="C326" s="61"/>
      <c r="D326" s="62"/>
      <c r="E326" s="62"/>
      <c r="F326" s="62"/>
      <c r="G326" s="62"/>
      <c r="H326" s="129"/>
      <c r="I326" s="129"/>
      <c r="J326" s="129"/>
      <c r="K326" s="62" t="e">
        <f>H326/E326*100</f>
        <v>#DIV/0!</v>
      </c>
      <c r="L326" s="129"/>
      <c r="M326" s="129"/>
      <c r="N326" s="62"/>
      <c r="O326" s="129"/>
      <c r="P326" s="129"/>
    </row>
    <row r="327" spans="1:16" ht="16.5" customHeight="1">
      <c r="A327" s="55" t="s">
        <v>374</v>
      </c>
      <c r="B327" s="61"/>
      <c r="C327" s="61"/>
      <c r="D327" s="62"/>
      <c r="E327" s="62">
        <v>12</v>
      </c>
      <c r="F327" s="62">
        <f>E327</f>
        <v>12</v>
      </c>
      <c r="G327" s="62"/>
      <c r="H327" s="62">
        <v>20</v>
      </c>
      <c r="I327" s="62"/>
      <c r="J327" s="62">
        <v>20</v>
      </c>
      <c r="K327" s="62"/>
      <c r="L327" s="129"/>
      <c r="M327" s="129"/>
      <c r="N327" s="62"/>
      <c r="O327" s="129"/>
      <c r="P327" s="129"/>
    </row>
    <row r="328" spans="1:16" ht="22.5">
      <c r="A328" s="55" t="s">
        <v>186</v>
      </c>
      <c r="B328" s="61"/>
      <c r="C328" s="61"/>
      <c r="D328" s="62"/>
      <c r="E328" s="62">
        <v>200</v>
      </c>
      <c r="F328" s="62">
        <v>200</v>
      </c>
      <c r="G328" s="62"/>
      <c r="H328" s="62">
        <v>400</v>
      </c>
      <c r="I328" s="62"/>
      <c r="J328" s="62">
        <f>H328</f>
        <v>400</v>
      </c>
      <c r="K328" s="62"/>
      <c r="L328" s="62"/>
      <c r="M328" s="62"/>
      <c r="N328" s="62"/>
      <c r="O328" s="114">
        <v>298</v>
      </c>
      <c r="P328" s="62">
        <f>O328</f>
        <v>298</v>
      </c>
    </row>
    <row r="329" spans="1:16" ht="22.5">
      <c r="A329" s="55" t="s">
        <v>180</v>
      </c>
      <c r="B329" s="61"/>
      <c r="C329" s="61"/>
      <c r="D329" s="62"/>
      <c r="E329" s="62">
        <v>454</v>
      </c>
      <c r="F329" s="62">
        <f>E329</f>
        <v>454</v>
      </c>
      <c r="G329" s="62"/>
      <c r="H329" s="62">
        <v>460</v>
      </c>
      <c r="I329" s="62"/>
      <c r="J329" s="62">
        <v>460</v>
      </c>
      <c r="K329" s="62"/>
      <c r="L329" s="129"/>
      <c r="M329" s="129"/>
      <c r="N329" s="62"/>
      <c r="O329" s="114">
        <v>334</v>
      </c>
      <c r="P329" s="62">
        <f>O329</f>
        <v>334</v>
      </c>
    </row>
    <row r="330" spans="1:16" ht="33.75">
      <c r="A330" s="55" t="s">
        <v>181</v>
      </c>
      <c r="B330" s="61"/>
      <c r="C330" s="61"/>
      <c r="D330" s="62"/>
      <c r="E330" s="62">
        <v>200</v>
      </c>
      <c r="F330" s="62">
        <f>E330</f>
        <v>200</v>
      </c>
      <c r="G330" s="62">
        <v>374</v>
      </c>
      <c r="H330" s="62"/>
      <c r="I330" s="62"/>
      <c r="J330" s="62">
        <f>G330</f>
        <v>374</v>
      </c>
      <c r="K330" s="62"/>
      <c r="L330" s="62"/>
      <c r="M330" s="62"/>
      <c r="N330" s="114">
        <v>583</v>
      </c>
      <c r="O330" s="62"/>
      <c r="P330" s="62">
        <f>N330</f>
        <v>583</v>
      </c>
    </row>
    <row r="331" spans="1:16" ht="11.25">
      <c r="A331" s="54" t="s">
        <v>7</v>
      </c>
      <c r="B331" s="61"/>
      <c r="C331" s="61"/>
      <c r="D331" s="62"/>
      <c r="E331" s="129"/>
      <c r="F331" s="129"/>
      <c r="G331" s="62"/>
      <c r="H331" s="129"/>
      <c r="I331" s="129"/>
      <c r="J331" s="129"/>
      <c r="K331" s="62" t="e">
        <f>H331/E331*100</f>
        <v>#DIV/0!</v>
      </c>
      <c r="L331" s="129"/>
      <c r="M331" s="129"/>
      <c r="N331" s="114"/>
      <c r="O331" s="129"/>
      <c r="P331" s="129"/>
    </row>
    <row r="332" spans="1:16" ht="22.5">
      <c r="A332" s="55" t="s">
        <v>182</v>
      </c>
      <c r="B332" s="59"/>
      <c r="C332" s="59"/>
      <c r="D332" s="62"/>
      <c r="E332" s="62">
        <v>400000</v>
      </c>
      <c r="F332" s="62">
        <f>E332</f>
        <v>400000</v>
      </c>
      <c r="G332" s="62"/>
      <c r="H332" s="62">
        <v>250000</v>
      </c>
      <c r="I332" s="62"/>
      <c r="J332" s="62">
        <f>H332</f>
        <v>250000</v>
      </c>
      <c r="K332" s="62"/>
      <c r="L332" s="62"/>
      <c r="M332" s="62"/>
      <c r="N332" s="114"/>
      <c r="O332" s="62"/>
      <c r="P332" s="62"/>
    </row>
    <row r="333" spans="1:16" ht="22.5">
      <c r="A333" s="55" t="s">
        <v>183</v>
      </c>
      <c r="B333" s="59"/>
      <c r="C333" s="59"/>
      <c r="D333" s="62"/>
      <c r="E333" s="62">
        <v>52500</v>
      </c>
      <c r="F333" s="62">
        <f>E333</f>
        <v>52500</v>
      </c>
      <c r="G333" s="62"/>
      <c r="H333" s="62">
        <v>75000</v>
      </c>
      <c r="I333" s="62"/>
      <c r="J333" s="62">
        <f>H333</f>
        <v>75000</v>
      </c>
      <c r="K333" s="62"/>
      <c r="L333" s="62"/>
      <c r="M333" s="62"/>
      <c r="N333" s="114"/>
      <c r="O333" s="62">
        <v>201330</v>
      </c>
      <c r="P333" s="62">
        <f>O333</f>
        <v>201330</v>
      </c>
    </row>
    <row r="334" spans="1:16" ht="22.5">
      <c r="A334" s="55" t="s">
        <v>184</v>
      </c>
      <c r="B334" s="59"/>
      <c r="C334" s="59"/>
      <c r="D334" s="62"/>
      <c r="E334" s="62">
        <v>7000</v>
      </c>
      <c r="F334" s="62">
        <f>E334</f>
        <v>7000</v>
      </c>
      <c r="G334" s="62"/>
      <c r="H334" s="62">
        <v>9391.30434783</v>
      </c>
      <c r="I334" s="62"/>
      <c r="J334" s="62">
        <f>H334</f>
        <v>9391.30434783</v>
      </c>
      <c r="K334" s="62"/>
      <c r="L334" s="62"/>
      <c r="M334" s="62"/>
      <c r="N334" s="114"/>
      <c r="O334" s="62">
        <v>12012</v>
      </c>
      <c r="P334" s="62">
        <f>O334</f>
        <v>12012</v>
      </c>
    </row>
    <row r="335" spans="1:16" ht="33.75">
      <c r="A335" s="55" t="s">
        <v>185</v>
      </c>
      <c r="B335" s="59"/>
      <c r="C335" s="59"/>
      <c r="D335" s="62"/>
      <c r="E335" s="62">
        <v>1500</v>
      </c>
      <c r="F335" s="62">
        <f>E335</f>
        <v>1500</v>
      </c>
      <c r="G335" s="62">
        <v>1564.17112299</v>
      </c>
      <c r="H335" s="62"/>
      <c r="I335" s="62"/>
      <c r="J335" s="62">
        <f>G335</f>
        <v>1564.17112299</v>
      </c>
      <c r="K335" s="62"/>
      <c r="L335" s="62"/>
      <c r="M335" s="62"/>
      <c r="N335" s="114">
        <v>1200.68</v>
      </c>
      <c r="O335" s="62"/>
      <c r="P335" s="62">
        <f>N335</f>
        <v>1200.68</v>
      </c>
    </row>
    <row r="336" spans="1:16" ht="11.25">
      <c r="A336" s="54" t="s">
        <v>6</v>
      </c>
      <c r="B336" s="59"/>
      <c r="C336" s="59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114"/>
      <c r="O336" s="62"/>
      <c r="P336" s="62"/>
    </row>
    <row r="337" spans="1:16" ht="33.75">
      <c r="A337" s="55" t="s">
        <v>187</v>
      </c>
      <c r="B337" s="59"/>
      <c r="C337" s="59"/>
      <c r="D337" s="62"/>
      <c r="E337" s="62">
        <f>E327/E322*100</f>
        <v>100</v>
      </c>
      <c r="F337" s="62">
        <f>E337</f>
        <v>100</v>
      </c>
      <c r="G337" s="62"/>
      <c r="H337" s="62"/>
      <c r="I337" s="62"/>
      <c r="J337" s="62"/>
      <c r="K337" s="62"/>
      <c r="L337" s="62"/>
      <c r="M337" s="62"/>
      <c r="N337" s="114"/>
      <c r="O337" s="62"/>
      <c r="P337" s="62"/>
    </row>
    <row r="338" spans="1:16" ht="45">
      <c r="A338" s="55" t="s">
        <v>188</v>
      </c>
      <c r="B338" s="59"/>
      <c r="C338" s="59"/>
      <c r="D338" s="62"/>
      <c r="E338" s="62">
        <f>E328/E323*100</f>
        <v>28.57142857142857</v>
      </c>
      <c r="F338" s="62">
        <f aca="true" t="shared" si="34" ref="F338:P338">F328/F323*100</f>
        <v>28.57142857142857</v>
      </c>
      <c r="G338" s="62"/>
      <c r="H338" s="62">
        <f t="shared" si="34"/>
        <v>80</v>
      </c>
      <c r="I338" s="62"/>
      <c r="J338" s="62">
        <f t="shared" si="34"/>
        <v>80</v>
      </c>
      <c r="K338" s="62" t="e">
        <f t="shared" si="34"/>
        <v>#DIV/0!</v>
      </c>
      <c r="L338" s="62" t="e">
        <f t="shared" si="34"/>
        <v>#DIV/0!</v>
      </c>
      <c r="M338" s="62" t="e">
        <f t="shared" si="34"/>
        <v>#DIV/0!</v>
      </c>
      <c r="N338" s="62"/>
      <c r="O338" s="62">
        <f t="shared" si="34"/>
        <v>59.599999999999994</v>
      </c>
      <c r="P338" s="62">
        <f t="shared" si="34"/>
        <v>59.599999999999994</v>
      </c>
    </row>
    <row r="339" spans="1:16" ht="45">
      <c r="A339" s="55" t="s">
        <v>189</v>
      </c>
      <c r="B339" s="59"/>
      <c r="C339" s="59"/>
      <c r="D339" s="62"/>
      <c r="E339" s="62">
        <f>E329/E324*100</f>
        <v>100</v>
      </c>
      <c r="F339" s="62">
        <f>E339</f>
        <v>100</v>
      </c>
      <c r="G339" s="62"/>
      <c r="H339" s="62"/>
      <c r="I339" s="62"/>
      <c r="J339" s="62"/>
      <c r="K339" s="62"/>
      <c r="L339" s="62"/>
      <c r="M339" s="62"/>
      <c r="N339" s="62"/>
      <c r="O339" s="62"/>
      <c r="P339" s="62"/>
    </row>
    <row r="340" spans="1:16" ht="56.25">
      <c r="A340" s="55" t="s">
        <v>190</v>
      </c>
      <c r="B340" s="59"/>
      <c r="C340" s="59"/>
      <c r="D340" s="62"/>
      <c r="E340" s="62">
        <f>E330/E323*100</f>
        <v>28.57142857142857</v>
      </c>
      <c r="F340" s="62">
        <f aca="true" t="shared" si="35" ref="F340:P340">F330/F323*100</f>
        <v>28.57142857142857</v>
      </c>
      <c r="G340" s="62">
        <f>G330/G325*100</f>
        <v>74.8</v>
      </c>
      <c r="H340" s="62"/>
      <c r="I340" s="62"/>
      <c r="J340" s="62">
        <f t="shared" si="35"/>
        <v>74.8</v>
      </c>
      <c r="K340" s="62" t="e">
        <f t="shared" si="35"/>
        <v>#DIV/0!</v>
      </c>
      <c r="L340" s="62" t="e">
        <f t="shared" si="35"/>
        <v>#DIV/0!</v>
      </c>
      <c r="M340" s="62" t="e">
        <f t="shared" si="35"/>
        <v>#DIV/0!</v>
      </c>
      <c r="N340" s="62"/>
      <c r="O340" s="62">
        <f t="shared" si="35"/>
        <v>0</v>
      </c>
      <c r="P340" s="62">
        <f t="shared" si="35"/>
        <v>116.6</v>
      </c>
    </row>
    <row r="341" spans="1:235" s="92" customFormat="1" ht="33.75">
      <c r="A341" s="82" t="s">
        <v>376</v>
      </c>
      <c r="B341" s="88"/>
      <c r="C341" s="88"/>
      <c r="D341" s="89"/>
      <c r="E341" s="89">
        <f>1630000-250000</f>
        <v>1380000</v>
      </c>
      <c r="F341" s="89">
        <f>E341</f>
        <v>1380000</v>
      </c>
      <c r="G341" s="89"/>
      <c r="H341" s="89">
        <f>H345*H347</f>
        <v>249999.9999993</v>
      </c>
      <c r="I341" s="89"/>
      <c r="J341" s="89">
        <f>H341</f>
        <v>249999.9999993</v>
      </c>
      <c r="K341" s="89">
        <f>K345*K347+1</f>
        <v>1</v>
      </c>
      <c r="L341" s="89">
        <f>L345*L347+1</f>
        <v>1</v>
      </c>
      <c r="M341" s="89">
        <f>M345*M347+1</f>
        <v>1</v>
      </c>
      <c r="N341" s="89"/>
      <c r="O341" s="89"/>
      <c r="P341" s="89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  <c r="BZ341" s="91"/>
      <c r="CA341" s="91"/>
      <c r="CB341" s="91"/>
      <c r="CC341" s="91"/>
      <c r="CD341" s="91"/>
      <c r="CE341" s="91"/>
      <c r="CF341" s="91"/>
      <c r="CG341" s="91"/>
      <c r="CH341" s="91"/>
      <c r="CI341" s="91"/>
      <c r="CJ341" s="91"/>
      <c r="CK341" s="91"/>
      <c r="CL341" s="91"/>
      <c r="CM341" s="91"/>
      <c r="CN341" s="91"/>
      <c r="CO341" s="91"/>
      <c r="CP341" s="91"/>
      <c r="CQ341" s="91"/>
      <c r="CR341" s="91"/>
      <c r="CS341" s="91"/>
      <c r="CT341" s="91"/>
      <c r="CU341" s="91"/>
      <c r="CV341" s="91"/>
      <c r="CW341" s="91"/>
      <c r="CX341" s="91"/>
      <c r="CY341" s="91"/>
      <c r="CZ341" s="91"/>
      <c r="DA341" s="91"/>
      <c r="DB341" s="91"/>
      <c r="DC341" s="91"/>
      <c r="DD341" s="91"/>
      <c r="DE341" s="91"/>
      <c r="DF341" s="91"/>
      <c r="DG341" s="91"/>
      <c r="DH341" s="91"/>
      <c r="DI341" s="91"/>
      <c r="DJ341" s="91"/>
      <c r="DK341" s="91"/>
      <c r="DL341" s="91"/>
      <c r="DM341" s="91"/>
      <c r="DN341" s="91"/>
      <c r="DO341" s="91"/>
      <c r="DP341" s="91"/>
      <c r="DQ341" s="91"/>
      <c r="DR341" s="91"/>
      <c r="DS341" s="91"/>
      <c r="DT341" s="91"/>
      <c r="DU341" s="91"/>
      <c r="DV341" s="91"/>
      <c r="DW341" s="91"/>
      <c r="DX341" s="91"/>
      <c r="DY341" s="91"/>
      <c r="DZ341" s="91"/>
      <c r="EA341" s="91"/>
      <c r="EB341" s="91"/>
      <c r="EC341" s="91"/>
      <c r="ED341" s="91"/>
      <c r="EE341" s="91"/>
      <c r="EF341" s="91"/>
      <c r="EG341" s="91"/>
      <c r="EH341" s="91"/>
      <c r="EI341" s="91"/>
      <c r="EJ341" s="91"/>
      <c r="EK341" s="91"/>
      <c r="EL341" s="91"/>
      <c r="EM341" s="91"/>
      <c r="EN341" s="91"/>
      <c r="EO341" s="91"/>
      <c r="EP341" s="91"/>
      <c r="EQ341" s="91"/>
      <c r="ER341" s="91"/>
      <c r="ES341" s="91"/>
      <c r="ET341" s="91"/>
      <c r="EU341" s="91"/>
      <c r="EV341" s="91"/>
      <c r="EW341" s="91"/>
      <c r="EX341" s="91"/>
      <c r="EY341" s="91"/>
      <c r="EZ341" s="91"/>
      <c r="FA341" s="91"/>
      <c r="FB341" s="91"/>
      <c r="FC341" s="91"/>
      <c r="FD341" s="91"/>
      <c r="FE341" s="91"/>
      <c r="FF341" s="91"/>
      <c r="FG341" s="91"/>
      <c r="FH341" s="91"/>
      <c r="FI341" s="91"/>
      <c r="FJ341" s="91"/>
      <c r="FK341" s="91"/>
      <c r="FL341" s="91"/>
      <c r="FM341" s="91"/>
      <c r="FN341" s="91"/>
      <c r="FO341" s="91"/>
      <c r="FP341" s="91"/>
      <c r="FQ341" s="91"/>
      <c r="FR341" s="91"/>
      <c r="FS341" s="91"/>
      <c r="FT341" s="91"/>
      <c r="FU341" s="91"/>
      <c r="FV341" s="91"/>
      <c r="FW341" s="91"/>
      <c r="FX341" s="91"/>
      <c r="FY341" s="91"/>
      <c r="FZ341" s="91"/>
      <c r="GA341" s="91"/>
      <c r="GB341" s="91"/>
      <c r="GC341" s="91"/>
      <c r="GD341" s="91"/>
      <c r="GE341" s="91"/>
      <c r="GF341" s="91"/>
      <c r="GG341" s="91"/>
      <c r="GH341" s="91"/>
      <c r="GI341" s="91"/>
      <c r="GJ341" s="91"/>
      <c r="GK341" s="91"/>
      <c r="GL341" s="91"/>
      <c r="GM341" s="91"/>
      <c r="GN341" s="91"/>
      <c r="GO341" s="91"/>
      <c r="GP341" s="91"/>
      <c r="GQ341" s="91"/>
      <c r="GR341" s="91"/>
      <c r="GS341" s="91"/>
      <c r="GT341" s="91"/>
      <c r="GU341" s="91"/>
      <c r="GV341" s="91"/>
      <c r="GW341" s="91"/>
      <c r="GX341" s="91"/>
      <c r="GY341" s="91"/>
      <c r="GZ341" s="91"/>
      <c r="HA341" s="91"/>
      <c r="HB341" s="91"/>
      <c r="HC341" s="91"/>
      <c r="HD341" s="91"/>
      <c r="HE341" s="91"/>
      <c r="HF341" s="91"/>
      <c r="HG341" s="91"/>
      <c r="HH341" s="91"/>
      <c r="HI341" s="91"/>
      <c r="HJ341" s="91"/>
      <c r="HK341" s="91"/>
      <c r="HL341" s="91"/>
      <c r="HM341" s="91"/>
      <c r="HN341" s="91"/>
      <c r="HO341" s="91"/>
      <c r="HP341" s="91"/>
      <c r="HQ341" s="91"/>
      <c r="HR341" s="91"/>
      <c r="HS341" s="91"/>
      <c r="HT341" s="91"/>
      <c r="HU341" s="91"/>
      <c r="HV341" s="91"/>
      <c r="HW341" s="91"/>
      <c r="HX341" s="91"/>
      <c r="HY341" s="91"/>
      <c r="HZ341" s="91"/>
      <c r="IA341" s="91"/>
    </row>
    <row r="342" spans="1:16" ht="9.75" customHeight="1">
      <c r="A342" s="54" t="s">
        <v>4</v>
      </c>
      <c r="B342" s="59"/>
      <c r="C342" s="59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</row>
    <row r="343" spans="1:16" ht="33.75">
      <c r="A343" s="55" t="s">
        <v>271</v>
      </c>
      <c r="B343" s="59"/>
      <c r="C343" s="59"/>
      <c r="D343" s="62"/>
      <c r="E343" s="62">
        <v>48</v>
      </c>
      <c r="F343" s="62">
        <f>E343</f>
        <v>48</v>
      </c>
      <c r="G343" s="62"/>
      <c r="H343" s="62">
        <v>9</v>
      </c>
      <c r="I343" s="62"/>
      <c r="J343" s="62">
        <f>H343</f>
        <v>9</v>
      </c>
      <c r="K343" s="62"/>
      <c r="L343" s="62"/>
      <c r="M343" s="62"/>
      <c r="N343" s="62"/>
      <c r="O343" s="62"/>
      <c r="P343" s="62"/>
    </row>
    <row r="344" spans="1:16" ht="11.25">
      <c r="A344" s="54" t="s">
        <v>5</v>
      </c>
      <c r="B344" s="59"/>
      <c r="C344" s="59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</row>
    <row r="345" spans="1:16" ht="27" customHeight="1">
      <c r="A345" s="55" t="s">
        <v>274</v>
      </c>
      <c r="B345" s="59"/>
      <c r="C345" s="59"/>
      <c r="D345" s="62"/>
      <c r="E345" s="62">
        <v>48</v>
      </c>
      <c r="F345" s="62">
        <v>48</v>
      </c>
      <c r="G345" s="62"/>
      <c r="H345" s="62">
        <v>9</v>
      </c>
      <c r="I345" s="62"/>
      <c r="J345" s="62">
        <v>48</v>
      </c>
      <c r="K345" s="62"/>
      <c r="L345" s="62"/>
      <c r="M345" s="62"/>
      <c r="N345" s="62"/>
      <c r="O345" s="62"/>
      <c r="P345" s="62"/>
    </row>
    <row r="346" spans="1:16" ht="11.25">
      <c r="A346" s="54" t="s">
        <v>7</v>
      </c>
      <c r="B346" s="59"/>
      <c r="C346" s="59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</row>
    <row r="347" spans="1:16" ht="22.5">
      <c r="A347" s="55" t="s">
        <v>272</v>
      </c>
      <c r="B347" s="59"/>
      <c r="C347" s="59"/>
      <c r="D347" s="62"/>
      <c r="E347" s="62">
        <v>28103.5</v>
      </c>
      <c r="F347" s="62">
        <f>E347</f>
        <v>28103.5</v>
      </c>
      <c r="G347" s="62"/>
      <c r="H347" s="62">
        <v>27777.7777777</v>
      </c>
      <c r="I347" s="62"/>
      <c r="J347" s="62">
        <f>H347</f>
        <v>27777.7777777</v>
      </c>
      <c r="K347" s="62"/>
      <c r="L347" s="62"/>
      <c r="M347" s="62"/>
      <c r="N347" s="62"/>
      <c r="O347" s="62"/>
      <c r="P347" s="62"/>
    </row>
    <row r="348" spans="1:16" ht="11.25">
      <c r="A348" s="54" t="s">
        <v>6</v>
      </c>
      <c r="B348" s="60"/>
      <c r="C348" s="60"/>
      <c r="D348" s="62"/>
      <c r="E348" s="64"/>
      <c r="F348" s="64"/>
      <c r="G348" s="62"/>
      <c r="H348" s="64"/>
      <c r="I348" s="64"/>
      <c r="J348" s="64"/>
      <c r="K348" s="64"/>
      <c r="L348" s="64"/>
      <c r="M348" s="64"/>
      <c r="N348" s="62"/>
      <c r="O348" s="64"/>
      <c r="P348" s="64"/>
    </row>
    <row r="349" spans="1:16" ht="48.75" customHeight="1">
      <c r="A349" s="55" t="s">
        <v>273</v>
      </c>
      <c r="B349" s="61"/>
      <c r="C349" s="61"/>
      <c r="D349" s="129"/>
      <c r="E349" s="62">
        <f>E345/E343*100</f>
        <v>100</v>
      </c>
      <c r="F349" s="62">
        <f>E349</f>
        <v>100</v>
      </c>
      <c r="G349" s="62"/>
      <c r="H349" s="62">
        <f>H345/H343*100</f>
        <v>100</v>
      </c>
      <c r="I349" s="62"/>
      <c r="J349" s="62">
        <f>H349</f>
        <v>100</v>
      </c>
      <c r="K349" s="62" t="e">
        <f>(#REF!*#REF!)+(#REF!*#REF!)+(#REF!*#REF!)</f>
        <v>#REF!</v>
      </c>
      <c r="L349" s="62" t="e">
        <f>(#REF!*#REF!)+(#REF!*#REF!)+(#REF!*#REF!)</f>
        <v>#REF!</v>
      </c>
      <c r="M349" s="62" t="e">
        <f>(#REF!*#REF!)+(#REF!*#REF!)+(#REF!*#REF!)</f>
        <v>#REF!</v>
      </c>
      <c r="N349" s="62"/>
      <c r="O349" s="62"/>
      <c r="P349" s="62"/>
    </row>
    <row r="350" spans="1:16" ht="11.25" hidden="1">
      <c r="A350" s="55"/>
      <c r="B350" s="59"/>
      <c r="C350" s="59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</row>
    <row r="351" spans="1:16" ht="11.25" hidden="1">
      <c r="A351" s="55"/>
      <c r="B351" s="59"/>
      <c r="C351" s="59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</row>
    <row r="352" spans="1:16" ht="11.25" hidden="1">
      <c r="A352" s="55"/>
      <c r="B352" s="59"/>
      <c r="C352" s="59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</row>
    <row r="353" spans="1:235" s="92" customFormat="1" ht="33.75">
      <c r="A353" s="82" t="s">
        <v>191</v>
      </c>
      <c r="B353" s="88"/>
      <c r="C353" s="88"/>
      <c r="D353" s="89"/>
      <c r="E353" s="89">
        <f>E354</f>
        <v>1000000</v>
      </c>
      <c r="F353" s="89">
        <f>E353</f>
        <v>1000000</v>
      </c>
      <c r="G353" s="89"/>
      <c r="H353" s="89">
        <f>H354+H378</f>
        <v>7000000</v>
      </c>
      <c r="I353" s="89"/>
      <c r="J353" s="89">
        <f>H353</f>
        <v>7000000</v>
      </c>
      <c r="K353" s="89"/>
      <c r="L353" s="89"/>
      <c r="M353" s="89"/>
      <c r="N353" s="89"/>
      <c r="O353" s="89">
        <f>O354+O378</f>
        <v>6900000</v>
      </c>
      <c r="P353" s="89">
        <f>O353</f>
        <v>6900000</v>
      </c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  <c r="BZ353" s="91"/>
      <c r="CA353" s="91"/>
      <c r="CB353" s="91"/>
      <c r="CC353" s="91"/>
      <c r="CD353" s="91"/>
      <c r="CE353" s="91"/>
      <c r="CF353" s="91"/>
      <c r="CG353" s="91"/>
      <c r="CH353" s="91"/>
      <c r="CI353" s="91"/>
      <c r="CJ353" s="91"/>
      <c r="CK353" s="91"/>
      <c r="CL353" s="91"/>
      <c r="CM353" s="91"/>
      <c r="CN353" s="91"/>
      <c r="CO353" s="91"/>
      <c r="CP353" s="91"/>
      <c r="CQ353" s="91"/>
      <c r="CR353" s="91"/>
      <c r="CS353" s="91"/>
      <c r="CT353" s="91"/>
      <c r="CU353" s="91"/>
      <c r="CV353" s="91"/>
      <c r="CW353" s="91"/>
      <c r="CX353" s="91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91"/>
      <c r="DQ353" s="91"/>
      <c r="DR353" s="91"/>
      <c r="DS353" s="91"/>
      <c r="DT353" s="91"/>
      <c r="DU353" s="91"/>
      <c r="DV353" s="91"/>
      <c r="DW353" s="91"/>
      <c r="DX353" s="91"/>
      <c r="DY353" s="91"/>
      <c r="DZ353" s="91"/>
      <c r="EA353" s="91"/>
      <c r="EB353" s="91"/>
      <c r="EC353" s="91"/>
      <c r="ED353" s="91"/>
      <c r="EE353" s="91"/>
      <c r="EF353" s="91"/>
      <c r="EG353" s="91"/>
      <c r="EH353" s="91"/>
      <c r="EI353" s="91"/>
      <c r="EJ353" s="91"/>
      <c r="EK353" s="91"/>
      <c r="EL353" s="91"/>
      <c r="EM353" s="91"/>
      <c r="EN353" s="91"/>
      <c r="EO353" s="91"/>
      <c r="EP353" s="91"/>
      <c r="EQ353" s="91"/>
      <c r="ER353" s="91"/>
      <c r="ES353" s="91"/>
      <c r="ET353" s="91"/>
      <c r="EU353" s="91"/>
      <c r="EV353" s="91"/>
      <c r="EW353" s="91"/>
      <c r="EX353" s="91"/>
      <c r="EY353" s="91"/>
      <c r="EZ353" s="91"/>
      <c r="FA353" s="91"/>
      <c r="FB353" s="91"/>
      <c r="FC353" s="91"/>
      <c r="FD353" s="91"/>
      <c r="FE353" s="91"/>
      <c r="FF353" s="91"/>
      <c r="FG353" s="91"/>
      <c r="FH353" s="91"/>
      <c r="FI353" s="91"/>
      <c r="FJ353" s="91"/>
      <c r="FK353" s="91"/>
      <c r="FL353" s="91"/>
      <c r="FM353" s="91"/>
      <c r="FN353" s="91"/>
      <c r="FO353" s="91"/>
      <c r="FP353" s="91"/>
      <c r="FQ353" s="91"/>
      <c r="FR353" s="91"/>
      <c r="FS353" s="91"/>
      <c r="FT353" s="91"/>
      <c r="FU353" s="91"/>
      <c r="FV353" s="91"/>
      <c r="FW353" s="91"/>
      <c r="FX353" s="91"/>
      <c r="FY353" s="91"/>
      <c r="FZ353" s="91"/>
      <c r="GA353" s="91"/>
      <c r="GB353" s="91"/>
      <c r="GC353" s="91"/>
      <c r="GD353" s="91"/>
      <c r="GE353" s="91"/>
      <c r="GF353" s="91"/>
      <c r="GG353" s="91"/>
      <c r="GH353" s="91"/>
      <c r="GI353" s="91"/>
      <c r="GJ353" s="91"/>
      <c r="GK353" s="91"/>
      <c r="GL353" s="91"/>
      <c r="GM353" s="91"/>
      <c r="GN353" s="91"/>
      <c r="GO353" s="91"/>
      <c r="GP353" s="91"/>
      <c r="GQ353" s="91"/>
      <c r="GR353" s="91"/>
      <c r="GS353" s="91"/>
      <c r="GT353" s="91"/>
      <c r="GU353" s="91"/>
      <c r="GV353" s="91"/>
      <c r="GW353" s="91"/>
      <c r="GX353" s="91"/>
      <c r="GY353" s="91"/>
      <c r="GZ353" s="91"/>
      <c r="HA353" s="91"/>
      <c r="HB353" s="91"/>
      <c r="HC353" s="91"/>
      <c r="HD353" s="91"/>
      <c r="HE353" s="91"/>
      <c r="HF353" s="91"/>
      <c r="HG353" s="91"/>
      <c r="HH353" s="91"/>
      <c r="HI353" s="91"/>
      <c r="HJ353" s="91"/>
      <c r="HK353" s="91"/>
      <c r="HL353" s="91"/>
      <c r="HM353" s="91"/>
      <c r="HN353" s="91"/>
      <c r="HO353" s="91"/>
      <c r="HP353" s="91"/>
      <c r="HQ353" s="91"/>
      <c r="HR353" s="91"/>
      <c r="HS353" s="91"/>
      <c r="HT353" s="91"/>
      <c r="HU353" s="91"/>
      <c r="HV353" s="91"/>
      <c r="HW353" s="91"/>
      <c r="HX353" s="91"/>
      <c r="HY353" s="91"/>
      <c r="HZ353" s="91"/>
      <c r="IA353" s="91"/>
    </row>
    <row r="354" spans="1:235" s="92" customFormat="1" ht="41.25" customHeight="1">
      <c r="A354" s="82" t="s">
        <v>377</v>
      </c>
      <c r="B354" s="88"/>
      <c r="C354" s="88"/>
      <c r="D354" s="89"/>
      <c r="E354" s="89">
        <f>E358*E360+1</f>
        <v>1000000</v>
      </c>
      <c r="F354" s="89">
        <f aca="true" t="shared" si="36" ref="F354:M354">F358*F360+1</f>
        <v>1000000</v>
      </c>
      <c r="G354" s="89"/>
      <c r="H354" s="89">
        <f>H358*H360</f>
        <v>6900000</v>
      </c>
      <c r="I354" s="89"/>
      <c r="J354" s="89">
        <f>H354</f>
        <v>6900000</v>
      </c>
      <c r="K354" s="89">
        <f t="shared" si="36"/>
        <v>1</v>
      </c>
      <c r="L354" s="89">
        <f t="shared" si="36"/>
        <v>1</v>
      </c>
      <c r="M354" s="89">
        <f t="shared" si="36"/>
        <v>1</v>
      </c>
      <c r="N354" s="89"/>
      <c r="O354" s="89">
        <f>O358*O360</f>
        <v>5400000</v>
      </c>
      <c r="P354" s="89">
        <f>O354</f>
        <v>5400000</v>
      </c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  <c r="BZ354" s="91"/>
      <c r="CA354" s="91"/>
      <c r="CB354" s="91"/>
      <c r="CC354" s="91"/>
      <c r="CD354" s="91"/>
      <c r="CE354" s="91"/>
      <c r="CF354" s="91"/>
      <c r="CG354" s="91"/>
      <c r="CH354" s="91"/>
      <c r="CI354" s="91"/>
      <c r="CJ354" s="91"/>
      <c r="CK354" s="91"/>
      <c r="CL354" s="91"/>
      <c r="CM354" s="91"/>
      <c r="CN354" s="91"/>
      <c r="CO354" s="91"/>
      <c r="CP354" s="91"/>
      <c r="CQ354" s="91"/>
      <c r="CR354" s="91"/>
      <c r="CS354" s="91"/>
      <c r="CT354" s="91"/>
      <c r="CU354" s="91"/>
      <c r="CV354" s="91"/>
      <c r="CW354" s="91"/>
      <c r="CX354" s="91"/>
      <c r="CY354" s="91"/>
      <c r="CZ354" s="91"/>
      <c r="DA354" s="91"/>
      <c r="DB354" s="91"/>
      <c r="DC354" s="91"/>
      <c r="DD354" s="91"/>
      <c r="DE354" s="91"/>
      <c r="DF354" s="91"/>
      <c r="DG354" s="91"/>
      <c r="DH354" s="91"/>
      <c r="DI354" s="91"/>
      <c r="DJ354" s="91"/>
      <c r="DK354" s="91"/>
      <c r="DL354" s="91"/>
      <c r="DM354" s="91"/>
      <c r="DN354" s="91"/>
      <c r="DO354" s="91"/>
      <c r="DP354" s="91"/>
      <c r="DQ354" s="91"/>
      <c r="DR354" s="91"/>
      <c r="DS354" s="91"/>
      <c r="DT354" s="91"/>
      <c r="DU354" s="91"/>
      <c r="DV354" s="91"/>
      <c r="DW354" s="91"/>
      <c r="DX354" s="91"/>
      <c r="DY354" s="91"/>
      <c r="DZ354" s="91"/>
      <c r="EA354" s="91"/>
      <c r="EB354" s="91"/>
      <c r="EC354" s="91"/>
      <c r="ED354" s="91"/>
      <c r="EE354" s="91"/>
      <c r="EF354" s="91"/>
      <c r="EG354" s="91"/>
      <c r="EH354" s="91"/>
      <c r="EI354" s="91"/>
      <c r="EJ354" s="91"/>
      <c r="EK354" s="91"/>
      <c r="EL354" s="91"/>
      <c r="EM354" s="91"/>
      <c r="EN354" s="91"/>
      <c r="EO354" s="91"/>
      <c r="EP354" s="91"/>
      <c r="EQ354" s="91"/>
      <c r="ER354" s="91"/>
      <c r="ES354" s="91"/>
      <c r="ET354" s="91"/>
      <c r="EU354" s="91"/>
      <c r="EV354" s="91"/>
      <c r="EW354" s="91"/>
      <c r="EX354" s="91"/>
      <c r="EY354" s="91"/>
      <c r="EZ354" s="91"/>
      <c r="FA354" s="91"/>
      <c r="FB354" s="91"/>
      <c r="FC354" s="91"/>
      <c r="FD354" s="91"/>
      <c r="FE354" s="91"/>
      <c r="FF354" s="91"/>
      <c r="FG354" s="91"/>
      <c r="FH354" s="91"/>
      <c r="FI354" s="91"/>
      <c r="FJ354" s="91"/>
      <c r="FK354" s="91"/>
      <c r="FL354" s="91"/>
      <c r="FM354" s="91"/>
      <c r="FN354" s="91"/>
      <c r="FO354" s="91"/>
      <c r="FP354" s="91"/>
      <c r="FQ354" s="91"/>
      <c r="FR354" s="91"/>
      <c r="FS354" s="91"/>
      <c r="FT354" s="91"/>
      <c r="FU354" s="91"/>
      <c r="FV354" s="91"/>
      <c r="FW354" s="91"/>
      <c r="FX354" s="91"/>
      <c r="FY354" s="91"/>
      <c r="FZ354" s="91"/>
      <c r="GA354" s="91"/>
      <c r="GB354" s="91"/>
      <c r="GC354" s="91"/>
      <c r="GD354" s="91"/>
      <c r="GE354" s="91"/>
      <c r="GF354" s="91"/>
      <c r="GG354" s="91"/>
      <c r="GH354" s="91"/>
      <c r="GI354" s="91"/>
      <c r="GJ354" s="91"/>
      <c r="GK354" s="91"/>
      <c r="GL354" s="91"/>
      <c r="GM354" s="91"/>
      <c r="GN354" s="91"/>
      <c r="GO354" s="91"/>
      <c r="GP354" s="91"/>
      <c r="GQ354" s="91"/>
      <c r="GR354" s="91"/>
      <c r="GS354" s="91"/>
      <c r="GT354" s="91"/>
      <c r="GU354" s="91"/>
      <c r="GV354" s="91"/>
      <c r="GW354" s="91"/>
      <c r="GX354" s="91"/>
      <c r="GY354" s="91"/>
      <c r="GZ354" s="91"/>
      <c r="HA354" s="91"/>
      <c r="HB354" s="91"/>
      <c r="HC354" s="91"/>
      <c r="HD354" s="91"/>
      <c r="HE354" s="91"/>
      <c r="HF354" s="91"/>
      <c r="HG354" s="91"/>
      <c r="HH354" s="91"/>
      <c r="HI354" s="91"/>
      <c r="HJ354" s="91"/>
      <c r="HK354" s="91"/>
      <c r="HL354" s="91"/>
      <c r="HM354" s="91"/>
      <c r="HN354" s="91"/>
      <c r="HO354" s="91"/>
      <c r="HP354" s="91"/>
      <c r="HQ354" s="91"/>
      <c r="HR354" s="91"/>
      <c r="HS354" s="91"/>
      <c r="HT354" s="91"/>
      <c r="HU354" s="91"/>
      <c r="HV354" s="91"/>
      <c r="HW354" s="91"/>
      <c r="HX354" s="91"/>
      <c r="HY354" s="91"/>
      <c r="HZ354" s="91"/>
      <c r="IA354" s="91"/>
    </row>
    <row r="355" spans="1:16" ht="11.25">
      <c r="A355" s="54" t="s">
        <v>4</v>
      </c>
      <c r="B355" s="59"/>
      <c r="C355" s="59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</row>
    <row r="356" spans="1:16" ht="22.5">
      <c r="A356" s="55" t="s">
        <v>418</v>
      </c>
      <c r="B356" s="59"/>
      <c r="C356" s="59"/>
      <c r="D356" s="62"/>
      <c r="E356" s="62">
        <v>10</v>
      </c>
      <c r="F356" s="62">
        <f>E356</f>
        <v>10</v>
      </c>
      <c r="G356" s="62"/>
      <c r="H356" s="62">
        <f>H358*H360</f>
        <v>6900000</v>
      </c>
      <c r="I356" s="62"/>
      <c r="J356" s="62">
        <f>H356</f>
        <v>6900000</v>
      </c>
      <c r="K356" s="62"/>
      <c r="L356" s="62"/>
      <c r="M356" s="62"/>
      <c r="N356" s="62"/>
      <c r="O356" s="62">
        <f>O358*O360</f>
        <v>5400000</v>
      </c>
      <c r="P356" s="62">
        <f>O356</f>
        <v>5400000</v>
      </c>
    </row>
    <row r="357" spans="1:16" ht="11.25">
      <c r="A357" s="54" t="s">
        <v>5</v>
      </c>
      <c r="B357" s="59"/>
      <c r="C357" s="59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</row>
    <row r="358" spans="1:16" ht="22.5">
      <c r="A358" s="55" t="s">
        <v>416</v>
      </c>
      <c r="B358" s="59"/>
      <c r="C358" s="59"/>
      <c r="D358" s="62"/>
      <c r="E358" s="62">
        <v>3</v>
      </c>
      <c r="F358" s="62">
        <f>E358</f>
        <v>3</v>
      </c>
      <c r="G358" s="62"/>
      <c r="H358" s="62">
        <v>23</v>
      </c>
      <c r="I358" s="62"/>
      <c r="J358" s="62">
        <f>H358</f>
        <v>23</v>
      </c>
      <c r="K358" s="62"/>
      <c r="L358" s="62"/>
      <c r="M358" s="62"/>
      <c r="N358" s="62"/>
      <c r="O358" s="62">
        <v>18</v>
      </c>
      <c r="P358" s="62">
        <f>O358</f>
        <v>18</v>
      </c>
    </row>
    <row r="359" spans="1:16" ht="11.25">
      <c r="A359" s="54" t="s">
        <v>7</v>
      </c>
      <c r="B359" s="59"/>
      <c r="C359" s="59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</row>
    <row r="360" spans="1:16" ht="22.5">
      <c r="A360" s="55" t="s">
        <v>174</v>
      </c>
      <c r="B360" s="59"/>
      <c r="C360" s="59"/>
      <c r="D360" s="62"/>
      <c r="E360" s="62">
        <v>333333</v>
      </c>
      <c r="F360" s="62">
        <f>E360</f>
        <v>333333</v>
      </c>
      <c r="G360" s="62"/>
      <c r="H360" s="62">
        <v>300000</v>
      </c>
      <c r="I360" s="62"/>
      <c r="J360" s="62">
        <f>H360</f>
        <v>300000</v>
      </c>
      <c r="K360" s="62"/>
      <c r="L360" s="62"/>
      <c r="M360" s="62"/>
      <c r="N360" s="62"/>
      <c r="O360" s="62">
        <v>300000</v>
      </c>
      <c r="P360" s="62">
        <f>O360</f>
        <v>300000</v>
      </c>
    </row>
    <row r="361" spans="1:16" ht="11.25">
      <c r="A361" s="54" t="s">
        <v>6</v>
      </c>
      <c r="B361" s="60"/>
      <c r="C361" s="60"/>
      <c r="D361" s="62"/>
      <c r="E361" s="64"/>
      <c r="F361" s="64"/>
      <c r="G361" s="62"/>
      <c r="H361" s="64"/>
      <c r="I361" s="64"/>
      <c r="J361" s="64"/>
      <c r="K361" s="64"/>
      <c r="L361" s="64"/>
      <c r="M361" s="64"/>
      <c r="N361" s="62"/>
      <c r="O361" s="64"/>
      <c r="P361" s="64"/>
    </row>
    <row r="362" spans="1:16" ht="51.75" customHeight="1">
      <c r="A362" s="55" t="s">
        <v>194</v>
      </c>
      <c r="B362" s="61"/>
      <c r="C362" s="61"/>
      <c r="D362" s="129"/>
      <c r="E362" s="62">
        <f>E358/E356*100</f>
        <v>30</v>
      </c>
      <c r="F362" s="62">
        <f>E362</f>
        <v>30</v>
      </c>
      <c r="G362" s="62"/>
      <c r="H362" s="62">
        <f>H358/H356*100</f>
        <v>0.0003333333333333333</v>
      </c>
      <c r="I362" s="62"/>
      <c r="J362" s="62">
        <f>H362</f>
        <v>0.0003333333333333333</v>
      </c>
      <c r="K362" s="62" t="e">
        <f>(#REF!*#REF!)+(#REF!*#REF!)+(#REF!*#REF!)</f>
        <v>#REF!</v>
      </c>
      <c r="L362" s="62" t="e">
        <f>(#REF!*#REF!)+(#REF!*#REF!)+(#REF!*#REF!)</f>
        <v>#REF!</v>
      </c>
      <c r="M362" s="62" t="e">
        <f>(#REF!*#REF!)+(#REF!*#REF!)+(#REF!*#REF!)</f>
        <v>#REF!</v>
      </c>
      <c r="N362" s="62"/>
      <c r="O362" s="62">
        <f>O358/O356*100</f>
        <v>0.0003333333333333333</v>
      </c>
      <c r="P362" s="62">
        <f>O362</f>
        <v>0.0003333333333333333</v>
      </c>
    </row>
    <row r="363" spans="1:16" ht="1.5" customHeight="1" hidden="1">
      <c r="A363" s="19" t="s">
        <v>269</v>
      </c>
      <c r="B363" s="26"/>
      <c r="C363" s="26"/>
      <c r="D363" s="25"/>
      <c r="E363" s="25">
        <f>E364</f>
        <v>1000000</v>
      </c>
      <c r="F363" s="25">
        <f>E363</f>
        <v>1000000</v>
      </c>
      <c r="G363" s="25"/>
      <c r="H363" s="25">
        <f>H364</f>
        <v>1320000</v>
      </c>
      <c r="I363" s="25"/>
      <c r="J363" s="25">
        <f>H363</f>
        <v>1320000</v>
      </c>
      <c r="K363" s="56"/>
      <c r="L363" s="56"/>
      <c r="M363" s="56"/>
      <c r="N363" s="25"/>
      <c r="O363" s="25">
        <f>O364</f>
        <v>1580000</v>
      </c>
      <c r="P363" s="25">
        <f>O363</f>
        <v>1580000</v>
      </c>
    </row>
    <row r="364" spans="1:16" ht="4.5" customHeight="1" hidden="1">
      <c r="A364" s="19" t="s">
        <v>270</v>
      </c>
      <c r="B364" s="26"/>
      <c r="C364" s="26"/>
      <c r="D364" s="25"/>
      <c r="E364" s="25">
        <f>E368*E370+1</f>
        <v>1000000</v>
      </c>
      <c r="F364" s="25">
        <f>F368*F370+1</f>
        <v>1000000</v>
      </c>
      <c r="G364" s="25"/>
      <c r="H364" s="25">
        <f>H368*H370</f>
        <v>1320000</v>
      </c>
      <c r="I364" s="25"/>
      <c r="J364" s="25">
        <f>H364</f>
        <v>1320000</v>
      </c>
      <c r="K364" s="25">
        <f>K368*K370+1</f>
        <v>1</v>
      </c>
      <c r="L364" s="25">
        <f>L368*L370+1</f>
        <v>1</v>
      </c>
      <c r="M364" s="25">
        <f>M368*M370+1</f>
        <v>1</v>
      </c>
      <c r="N364" s="25"/>
      <c r="O364" s="25">
        <f>O368*O370</f>
        <v>1580000</v>
      </c>
      <c r="P364" s="25">
        <f>O364</f>
        <v>1580000</v>
      </c>
    </row>
    <row r="365" spans="1:16" ht="16.5" customHeight="1" hidden="1">
      <c r="A365" s="54" t="s">
        <v>4</v>
      </c>
      <c r="B365" s="59"/>
      <c r="C365" s="59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</row>
    <row r="366" spans="1:16" ht="24.75" customHeight="1" hidden="1">
      <c r="A366" s="55" t="s">
        <v>172</v>
      </c>
      <c r="B366" s="59"/>
      <c r="C366" s="59"/>
      <c r="D366" s="62"/>
      <c r="E366" s="62">
        <v>10</v>
      </c>
      <c r="F366" s="62">
        <f>E366</f>
        <v>10</v>
      </c>
      <c r="G366" s="62"/>
      <c r="H366" s="62">
        <v>10</v>
      </c>
      <c r="I366" s="62"/>
      <c r="J366" s="62">
        <f>H366</f>
        <v>10</v>
      </c>
      <c r="K366" s="62"/>
      <c r="L366" s="62"/>
      <c r="M366" s="62"/>
      <c r="N366" s="62"/>
      <c r="O366" s="62">
        <v>10</v>
      </c>
      <c r="P366" s="62">
        <f>O366</f>
        <v>10</v>
      </c>
    </row>
    <row r="367" spans="1:16" ht="15" customHeight="1" hidden="1">
      <c r="A367" s="54" t="s">
        <v>5</v>
      </c>
      <c r="B367" s="59"/>
      <c r="C367" s="59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</row>
    <row r="368" spans="1:16" ht="12.75" customHeight="1" hidden="1">
      <c r="A368" s="55" t="s">
        <v>173</v>
      </c>
      <c r="B368" s="59"/>
      <c r="C368" s="59"/>
      <c r="D368" s="62"/>
      <c r="E368" s="62">
        <v>3</v>
      </c>
      <c r="F368" s="62">
        <f>E368</f>
        <v>3</v>
      </c>
      <c r="G368" s="62"/>
      <c r="H368" s="62">
        <v>3</v>
      </c>
      <c r="I368" s="62"/>
      <c r="J368" s="62">
        <f>H368</f>
        <v>3</v>
      </c>
      <c r="K368" s="62"/>
      <c r="L368" s="62"/>
      <c r="M368" s="62"/>
      <c r="N368" s="62"/>
      <c r="O368" s="62">
        <v>4</v>
      </c>
      <c r="P368" s="62">
        <f>O368</f>
        <v>4</v>
      </c>
    </row>
    <row r="369" spans="1:16" ht="16.5" customHeight="1" hidden="1">
      <c r="A369" s="54" t="s">
        <v>7</v>
      </c>
      <c r="B369" s="59"/>
      <c r="C369" s="59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</row>
    <row r="370" spans="1:16" ht="30" customHeight="1" hidden="1">
      <c r="A370" s="55" t="s">
        <v>174</v>
      </c>
      <c r="B370" s="59"/>
      <c r="C370" s="59"/>
      <c r="D370" s="62"/>
      <c r="E370" s="62">
        <v>333333</v>
      </c>
      <c r="F370" s="62">
        <f>E370</f>
        <v>333333</v>
      </c>
      <c r="G370" s="62"/>
      <c r="H370" s="62">
        <v>440000</v>
      </c>
      <c r="I370" s="62"/>
      <c r="J370" s="62">
        <f>H370</f>
        <v>440000</v>
      </c>
      <c r="K370" s="62"/>
      <c r="L370" s="62"/>
      <c r="M370" s="62"/>
      <c r="N370" s="62"/>
      <c r="O370" s="62">
        <v>395000</v>
      </c>
      <c r="P370" s="62">
        <f>O370</f>
        <v>395000</v>
      </c>
    </row>
    <row r="371" spans="1:16" ht="15" customHeight="1" hidden="1">
      <c r="A371" s="54" t="s">
        <v>6</v>
      </c>
      <c r="B371" s="60"/>
      <c r="C371" s="60"/>
      <c r="D371" s="62"/>
      <c r="E371" s="64"/>
      <c r="F371" s="64"/>
      <c r="G371" s="62"/>
      <c r="H371" s="64"/>
      <c r="I371" s="64"/>
      <c r="J371" s="64"/>
      <c r="K371" s="64"/>
      <c r="L371" s="64"/>
      <c r="M371" s="64"/>
      <c r="N371" s="62"/>
      <c r="O371" s="64"/>
      <c r="P371" s="64"/>
    </row>
    <row r="372" spans="1:16" ht="53.25" customHeight="1" hidden="1">
      <c r="A372" s="55" t="s">
        <v>194</v>
      </c>
      <c r="B372" s="61"/>
      <c r="C372" s="61"/>
      <c r="D372" s="129"/>
      <c r="E372" s="62">
        <f>E368/E366*100</f>
        <v>30</v>
      </c>
      <c r="F372" s="62">
        <f>E372</f>
        <v>30</v>
      </c>
      <c r="G372" s="62"/>
      <c r="H372" s="62">
        <f>H368/H366*100</f>
        <v>30</v>
      </c>
      <c r="I372" s="62"/>
      <c r="J372" s="62">
        <f>H372</f>
        <v>30</v>
      </c>
      <c r="K372" s="62" t="e">
        <f>(#REF!*#REF!)+(#REF!*#REF!)+(#REF!*#REF!)</f>
        <v>#REF!</v>
      </c>
      <c r="L372" s="62" t="e">
        <f>(#REF!*#REF!)+(#REF!*#REF!)+(#REF!*#REF!)</f>
        <v>#REF!</v>
      </c>
      <c r="M372" s="62" t="e">
        <f>(#REF!*#REF!)+(#REF!*#REF!)+(#REF!*#REF!)</f>
        <v>#REF!</v>
      </c>
      <c r="N372" s="62"/>
      <c r="O372" s="62">
        <f>O368/O366*100</f>
        <v>40</v>
      </c>
      <c r="P372" s="62">
        <f>O372</f>
        <v>40</v>
      </c>
    </row>
    <row r="373" spans="1:16" ht="21.75" customHeight="1" hidden="1">
      <c r="A373" s="55"/>
      <c r="B373" s="61"/>
      <c r="C373" s="61"/>
      <c r="D373" s="129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</row>
    <row r="374" spans="1:16" ht="54" customHeight="1" hidden="1">
      <c r="A374" s="55"/>
      <c r="B374" s="61"/>
      <c r="C374" s="61"/>
      <c r="D374" s="129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</row>
    <row r="375" spans="1:16" ht="54" customHeight="1" hidden="1">
      <c r="A375" s="55"/>
      <c r="B375" s="61"/>
      <c r="C375" s="61"/>
      <c r="D375" s="129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</row>
    <row r="376" spans="1:16" ht="54" customHeight="1" hidden="1">
      <c r="A376" s="55"/>
      <c r="B376" s="61"/>
      <c r="C376" s="61"/>
      <c r="D376" s="129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</row>
    <row r="377" spans="1:16" ht="54" customHeight="1" hidden="1">
      <c r="A377" s="55"/>
      <c r="B377" s="61"/>
      <c r="C377" s="61"/>
      <c r="D377" s="129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</row>
    <row r="378" spans="1:16" ht="40.5" customHeight="1">
      <c r="A378" s="82" t="s">
        <v>415</v>
      </c>
      <c r="B378" s="173"/>
      <c r="C378" s="173"/>
      <c r="D378" s="152"/>
      <c r="E378" s="78"/>
      <c r="F378" s="78"/>
      <c r="G378" s="78"/>
      <c r="H378" s="152">
        <f>H380</f>
        <v>100000</v>
      </c>
      <c r="I378" s="152">
        <f aca="true" t="shared" si="37" ref="I378:P378">I380</f>
        <v>0</v>
      </c>
      <c r="J378" s="152">
        <f t="shared" si="37"/>
        <v>100000</v>
      </c>
      <c r="K378" s="152">
        <f t="shared" si="37"/>
        <v>0</v>
      </c>
      <c r="L378" s="152">
        <f t="shared" si="37"/>
        <v>0</v>
      </c>
      <c r="M378" s="152">
        <f t="shared" si="37"/>
        <v>0</v>
      </c>
      <c r="N378" s="152">
        <f t="shared" si="37"/>
        <v>0</v>
      </c>
      <c r="O378" s="152">
        <f t="shared" si="37"/>
        <v>1500000</v>
      </c>
      <c r="P378" s="152">
        <f t="shared" si="37"/>
        <v>1500000</v>
      </c>
    </row>
    <row r="379" spans="1:16" ht="24.75" customHeight="1">
      <c r="A379" s="54" t="s">
        <v>4</v>
      </c>
      <c r="B379" s="61"/>
      <c r="C379" s="61"/>
      <c r="D379" s="129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</row>
    <row r="380" spans="1:16" ht="25.5" customHeight="1">
      <c r="A380" s="55" t="s">
        <v>419</v>
      </c>
      <c r="B380" s="61"/>
      <c r="C380" s="61"/>
      <c r="D380" s="129"/>
      <c r="E380" s="62"/>
      <c r="F380" s="62"/>
      <c r="G380" s="62"/>
      <c r="H380" s="62">
        <f>H382*H384</f>
        <v>100000</v>
      </c>
      <c r="I380" s="62"/>
      <c r="J380" s="62">
        <f>H380</f>
        <v>100000</v>
      </c>
      <c r="K380" s="62"/>
      <c r="L380" s="62"/>
      <c r="M380" s="62"/>
      <c r="N380" s="62"/>
      <c r="O380" s="62">
        <v>1500000</v>
      </c>
      <c r="P380" s="62">
        <f>O380</f>
        <v>1500000</v>
      </c>
    </row>
    <row r="381" spans="1:16" ht="26.25" customHeight="1">
      <c r="A381" s="54" t="s">
        <v>5</v>
      </c>
      <c r="B381" s="61"/>
      <c r="C381" s="61"/>
      <c r="D381" s="129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</row>
    <row r="382" spans="1:16" ht="25.5" customHeight="1">
      <c r="A382" s="55" t="s">
        <v>173</v>
      </c>
      <c r="B382" s="61"/>
      <c r="C382" s="61"/>
      <c r="D382" s="129"/>
      <c r="E382" s="62"/>
      <c r="F382" s="62"/>
      <c r="G382" s="62"/>
      <c r="H382" s="62">
        <v>1</v>
      </c>
      <c r="I382" s="62"/>
      <c r="J382" s="62">
        <f>H382</f>
        <v>1</v>
      </c>
      <c r="K382" s="62"/>
      <c r="L382" s="62"/>
      <c r="M382" s="62"/>
      <c r="N382" s="62"/>
      <c r="O382" s="62">
        <v>16</v>
      </c>
      <c r="P382" s="62">
        <v>16</v>
      </c>
    </row>
    <row r="383" spans="1:16" ht="23.25" customHeight="1">
      <c r="A383" s="54" t="s">
        <v>7</v>
      </c>
      <c r="B383" s="61"/>
      <c r="C383" s="61"/>
      <c r="D383" s="129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</row>
    <row r="384" spans="1:16" ht="37.5" customHeight="1">
      <c r="A384" s="55" t="s">
        <v>420</v>
      </c>
      <c r="B384" s="61"/>
      <c r="C384" s="61"/>
      <c r="D384" s="129"/>
      <c r="E384" s="62"/>
      <c r="F384" s="62"/>
      <c r="G384" s="62"/>
      <c r="H384" s="62">
        <v>100000</v>
      </c>
      <c r="I384" s="62"/>
      <c r="J384" s="62">
        <f>H384</f>
        <v>100000</v>
      </c>
      <c r="K384" s="62"/>
      <c r="L384" s="62"/>
      <c r="M384" s="62"/>
      <c r="N384" s="62"/>
      <c r="O384" s="62">
        <f>300000*0.3</f>
        <v>90000</v>
      </c>
      <c r="P384" s="62">
        <f>300000*0.3</f>
        <v>90000</v>
      </c>
    </row>
    <row r="385" spans="1:16" ht="30.75" customHeight="1">
      <c r="A385" s="54" t="s">
        <v>6</v>
      </c>
      <c r="B385" s="61"/>
      <c r="C385" s="61"/>
      <c r="D385" s="129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</row>
    <row r="386" spans="1:16" ht="54" customHeight="1">
      <c r="A386" s="55" t="s">
        <v>417</v>
      </c>
      <c r="B386" s="61"/>
      <c r="C386" s="61"/>
      <c r="D386" s="129"/>
      <c r="E386" s="62"/>
      <c r="F386" s="62"/>
      <c r="G386" s="62"/>
      <c r="H386" s="62">
        <f>H382/H358*100</f>
        <v>4.3478260869565215</v>
      </c>
      <c r="I386" s="62"/>
      <c r="J386" s="62">
        <f>H386</f>
        <v>4.3478260869565215</v>
      </c>
      <c r="K386" s="62"/>
      <c r="L386" s="62"/>
      <c r="M386" s="62"/>
      <c r="N386" s="62"/>
      <c r="O386" s="62">
        <f>O382/O358*100</f>
        <v>88.88888888888889</v>
      </c>
      <c r="P386" s="62">
        <f>P382/P358*100</f>
        <v>88.88888888888889</v>
      </c>
    </row>
    <row r="387" spans="1:235" s="85" customFormat="1" ht="16.5" customHeight="1">
      <c r="A387" s="108" t="s">
        <v>195</v>
      </c>
      <c r="B387" s="108"/>
      <c r="C387" s="108"/>
      <c r="D387" s="119">
        <f>D388+D389+D390</f>
        <v>1889680.002</v>
      </c>
      <c r="E387" s="119"/>
      <c r="F387" s="119">
        <f>F388+F389+F390</f>
        <v>1889680.002</v>
      </c>
      <c r="G387" s="119">
        <f aca="true" t="shared" si="38" ref="G387:N387">G388+G389+G390</f>
        <v>2339999.9981235997</v>
      </c>
      <c r="H387" s="119">
        <f t="shared" si="38"/>
        <v>0</v>
      </c>
      <c r="I387" s="119">
        <f t="shared" si="38"/>
        <v>0</v>
      </c>
      <c r="J387" s="119">
        <f t="shared" si="38"/>
        <v>2339999.9981235997</v>
      </c>
      <c r="K387" s="119" t="e">
        <f t="shared" si="38"/>
        <v>#REF!</v>
      </c>
      <c r="L387" s="119">
        <f t="shared" si="38"/>
        <v>0</v>
      </c>
      <c r="M387" s="119">
        <f t="shared" si="38"/>
        <v>0</v>
      </c>
      <c r="N387" s="119">
        <f t="shared" si="38"/>
        <v>2764213.19998632</v>
      </c>
      <c r="O387" s="119">
        <f>O388+O389+O390</f>
        <v>0</v>
      </c>
      <c r="P387" s="119">
        <f>P388+P389+P390</f>
        <v>2764213.19998632</v>
      </c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21"/>
      <c r="AV387" s="121"/>
      <c r="AW387" s="121"/>
      <c r="AX387" s="121"/>
      <c r="AY387" s="121"/>
      <c r="AZ387" s="121"/>
      <c r="BA387" s="121"/>
      <c r="BB387" s="121"/>
      <c r="BC387" s="121"/>
      <c r="BD387" s="121"/>
      <c r="BE387" s="121"/>
      <c r="BF387" s="121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21"/>
      <c r="BS387" s="121"/>
      <c r="BT387" s="121"/>
      <c r="BU387" s="121"/>
      <c r="BV387" s="121"/>
      <c r="BW387" s="121"/>
      <c r="BX387" s="121"/>
      <c r="BY387" s="121"/>
      <c r="BZ387" s="121"/>
      <c r="CA387" s="121"/>
      <c r="CB387" s="121"/>
      <c r="CC387" s="121"/>
      <c r="CD387" s="121"/>
      <c r="CE387" s="121"/>
      <c r="CF387" s="121"/>
      <c r="CG387" s="121"/>
      <c r="CH387" s="121"/>
      <c r="CI387" s="121"/>
      <c r="CJ387" s="121"/>
      <c r="CK387" s="121"/>
      <c r="CL387" s="121"/>
      <c r="CM387" s="121"/>
      <c r="CN387" s="121"/>
      <c r="CO387" s="121"/>
      <c r="CP387" s="121"/>
      <c r="CQ387" s="121"/>
      <c r="CR387" s="121"/>
      <c r="CS387" s="121"/>
      <c r="CT387" s="121"/>
      <c r="CU387" s="121"/>
      <c r="CV387" s="121"/>
      <c r="CW387" s="121"/>
      <c r="CX387" s="121"/>
      <c r="CY387" s="121"/>
      <c r="CZ387" s="121"/>
      <c r="DA387" s="121"/>
      <c r="DB387" s="121"/>
      <c r="DC387" s="121"/>
      <c r="DD387" s="121"/>
      <c r="DE387" s="121"/>
      <c r="DF387" s="121"/>
      <c r="DG387" s="121"/>
      <c r="DH387" s="121"/>
      <c r="DI387" s="121"/>
      <c r="DJ387" s="121"/>
      <c r="DK387" s="121"/>
      <c r="DL387" s="121"/>
      <c r="DM387" s="121"/>
      <c r="DN387" s="121"/>
      <c r="DO387" s="121"/>
      <c r="DP387" s="121"/>
      <c r="DQ387" s="121"/>
      <c r="DR387" s="121"/>
      <c r="DS387" s="121"/>
      <c r="DT387" s="121"/>
      <c r="DU387" s="121"/>
      <c r="DV387" s="121"/>
      <c r="DW387" s="121"/>
      <c r="DX387" s="121"/>
      <c r="DY387" s="121"/>
      <c r="DZ387" s="121"/>
      <c r="EA387" s="121"/>
      <c r="EB387" s="121"/>
      <c r="EC387" s="121"/>
      <c r="ED387" s="121"/>
      <c r="EE387" s="121"/>
      <c r="EF387" s="121"/>
      <c r="EG387" s="121"/>
      <c r="EH387" s="121"/>
      <c r="EI387" s="121"/>
      <c r="EJ387" s="121"/>
      <c r="EK387" s="121"/>
      <c r="EL387" s="121"/>
      <c r="EM387" s="121"/>
      <c r="EN387" s="121"/>
      <c r="EO387" s="121"/>
      <c r="EP387" s="121"/>
      <c r="EQ387" s="121"/>
      <c r="ER387" s="121"/>
      <c r="ES387" s="121"/>
      <c r="ET387" s="121"/>
      <c r="EU387" s="121"/>
      <c r="EV387" s="121"/>
      <c r="EW387" s="121"/>
      <c r="EX387" s="121"/>
      <c r="EY387" s="121"/>
      <c r="EZ387" s="121"/>
      <c r="FA387" s="121"/>
      <c r="FB387" s="121"/>
      <c r="FC387" s="121"/>
      <c r="FD387" s="121"/>
      <c r="FE387" s="121"/>
      <c r="FF387" s="121"/>
      <c r="FG387" s="121"/>
      <c r="FH387" s="121"/>
      <c r="FI387" s="121"/>
      <c r="FJ387" s="121"/>
      <c r="FK387" s="121"/>
      <c r="FL387" s="121"/>
      <c r="FM387" s="121"/>
      <c r="FN387" s="121"/>
      <c r="FO387" s="121"/>
      <c r="FP387" s="121"/>
      <c r="FQ387" s="121"/>
      <c r="FR387" s="121"/>
      <c r="FS387" s="121"/>
      <c r="FT387" s="121"/>
      <c r="FU387" s="121"/>
      <c r="FV387" s="121"/>
      <c r="FW387" s="121"/>
      <c r="FX387" s="121"/>
      <c r="FY387" s="121"/>
      <c r="FZ387" s="121"/>
      <c r="GA387" s="121"/>
      <c r="GB387" s="121"/>
      <c r="GC387" s="121"/>
      <c r="GD387" s="121"/>
      <c r="GE387" s="121"/>
      <c r="GF387" s="121"/>
      <c r="GG387" s="121"/>
      <c r="GH387" s="121"/>
      <c r="GI387" s="121"/>
      <c r="GJ387" s="121"/>
      <c r="GK387" s="121"/>
      <c r="GL387" s="121"/>
      <c r="GM387" s="121"/>
      <c r="GN387" s="121"/>
      <c r="GO387" s="121"/>
      <c r="GP387" s="121"/>
      <c r="GQ387" s="121"/>
      <c r="GR387" s="121"/>
      <c r="GS387" s="121"/>
      <c r="GT387" s="121"/>
      <c r="GU387" s="121"/>
      <c r="GV387" s="121"/>
      <c r="GW387" s="121"/>
      <c r="GX387" s="121"/>
      <c r="GY387" s="121"/>
      <c r="GZ387" s="121"/>
      <c r="HA387" s="121"/>
      <c r="HB387" s="121"/>
      <c r="HC387" s="121"/>
      <c r="HD387" s="121"/>
      <c r="HE387" s="121"/>
      <c r="HF387" s="121"/>
      <c r="HG387" s="121"/>
      <c r="HH387" s="121"/>
      <c r="HI387" s="121"/>
      <c r="HJ387" s="121"/>
      <c r="HK387" s="121"/>
      <c r="HL387" s="121"/>
      <c r="HM387" s="121"/>
      <c r="HN387" s="121"/>
      <c r="HO387" s="121"/>
      <c r="HP387" s="121"/>
      <c r="HQ387" s="121"/>
      <c r="HR387" s="121"/>
      <c r="HS387" s="121"/>
      <c r="HT387" s="121"/>
      <c r="HU387" s="121"/>
      <c r="HV387" s="121"/>
      <c r="HW387" s="121"/>
      <c r="HX387" s="121"/>
      <c r="HY387" s="121"/>
      <c r="HZ387" s="121"/>
      <c r="IA387" s="121"/>
    </row>
    <row r="388" spans="1:235" s="85" customFormat="1" ht="13.5" customHeight="1">
      <c r="A388" s="108" t="s">
        <v>86</v>
      </c>
      <c r="B388" s="108"/>
      <c r="C388" s="108"/>
      <c r="D388" s="119">
        <f>D392+D399+D444+D458</f>
        <v>1536000.002</v>
      </c>
      <c r="E388" s="119"/>
      <c r="F388" s="119">
        <f>F392+F399+F444+F458</f>
        <v>1536000.002</v>
      </c>
      <c r="G388" s="119">
        <f>G392+G399+G449+G458+G444</f>
        <v>2119999.9981255997</v>
      </c>
      <c r="H388" s="119">
        <f aca="true" t="shared" si="39" ref="H388:M388">H392+H399</f>
        <v>0</v>
      </c>
      <c r="I388" s="119">
        <f>I392+I399</f>
        <v>0</v>
      </c>
      <c r="J388" s="119">
        <f>J392+J399+J449+J458+J444</f>
        <v>2119999.9981255997</v>
      </c>
      <c r="K388" s="119" t="e">
        <f t="shared" si="39"/>
        <v>#REF!</v>
      </c>
      <c r="L388" s="119">
        <f t="shared" si="39"/>
        <v>0</v>
      </c>
      <c r="M388" s="119">
        <f t="shared" si="39"/>
        <v>0</v>
      </c>
      <c r="N388" s="119">
        <f>N392+N399+N449+N458+N444</f>
        <v>2344999.999987</v>
      </c>
      <c r="O388" s="119">
        <f>O392+O399</f>
        <v>0</v>
      </c>
      <c r="P388" s="119">
        <f>N388+O388</f>
        <v>2344999.999987</v>
      </c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21"/>
      <c r="AV388" s="121"/>
      <c r="AW388" s="121"/>
      <c r="AX388" s="121"/>
      <c r="AY388" s="121"/>
      <c r="AZ388" s="121"/>
      <c r="BA388" s="121"/>
      <c r="BB388" s="121"/>
      <c r="BC388" s="121"/>
      <c r="BD388" s="121"/>
      <c r="BE388" s="121"/>
      <c r="BF388" s="121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21"/>
      <c r="BS388" s="121"/>
      <c r="BT388" s="121"/>
      <c r="BU388" s="121"/>
      <c r="BV388" s="121"/>
      <c r="BW388" s="121"/>
      <c r="BX388" s="121"/>
      <c r="BY388" s="121"/>
      <c r="BZ388" s="121"/>
      <c r="CA388" s="121"/>
      <c r="CB388" s="121"/>
      <c r="CC388" s="121"/>
      <c r="CD388" s="121"/>
      <c r="CE388" s="121"/>
      <c r="CF388" s="121"/>
      <c r="CG388" s="121"/>
      <c r="CH388" s="121"/>
      <c r="CI388" s="121"/>
      <c r="CJ388" s="121"/>
      <c r="CK388" s="121"/>
      <c r="CL388" s="121"/>
      <c r="CM388" s="121"/>
      <c r="CN388" s="121"/>
      <c r="CO388" s="121"/>
      <c r="CP388" s="121"/>
      <c r="CQ388" s="121"/>
      <c r="CR388" s="121"/>
      <c r="CS388" s="121"/>
      <c r="CT388" s="121"/>
      <c r="CU388" s="121"/>
      <c r="CV388" s="121"/>
      <c r="CW388" s="121"/>
      <c r="CX388" s="121"/>
      <c r="CY388" s="121"/>
      <c r="CZ388" s="121"/>
      <c r="DA388" s="121"/>
      <c r="DB388" s="121"/>
      <c r="DC388" s="121"/>
      <c r="DD388" s="121"/>
      <c r="DE388" s="121"/>
      <c r="DF388" s="121"/>
      <c r="DG388" s="121"/>
      <c r="DH388" s="121"/>
      <c r="DI388" s="121"/>
      <c r="DJ388" s="121"/>
      <c r="DK388" s="121"/>
      <c r="DL388" s="121"/>
      <c r="DM388" s="121"/>
      <c r="DN388" s="121"/>
      <c r="DO388" s="121"/>
      <c r="DP388" s="121"/>
      <c r="DQ388" s="121"/>
      <c r="DR388" s="121"/>
      <c r="DS388" s="121"/>
      <c r="DT388" s="121"/>
      <c r="DU388" s="121"/>
      <c r="DV388" s="121"/>
      <c r="DW388" s="121"/>
      <c r="DX388" s="121"/>
      <c r="DY388" s="121"/>
      <c r="DZ388" s="121"/>
      <c r="EA388" s="121"/>
      <c r="EB388" s="121"/>
      <c r="EC388" s="121"/>
      <c r="ED388" s="121"/>
      <c r="EE388" s="121"/>
      <c r="EF388" s="121"/>
      <c r="EG388" s="121"/>
      <c r="EH388" s="121"/>
      <c r="EI388" s="121"/>
      <c r="EJ388" s="121"/>
      <c r="EK388" s="121"/>
      <c r="EL388" s="121"/>
      <c r="EM388" s="121"/>
      <c r="EN388" s="121"/>
      <c r="EO388" s="121"/>
      <c r="EP388" s="121"/>
      <c r="EQ388" s="121"/>
      <c r="ER388" s="121"/>
      <c r="ES388" s="121"/>
      <c r="ET388" s="121"/>
      <c r="EU388" s="121"/>
      <c r="EV388" s="121"/>
      <c r="EW388" s="121"/>
      <c r="EX388" s="121"/>
      <c r="EY388" s="121"/>
      <c r="EZ388" s="121"/>
      <c r="FA388" s="121"/>
      <c r="FB388" s="121"/>
      <c r="FC388" s="121"/>
      <c r="FD388" s="121"/>
      <c r="FE388" s="121"/>
      <c r="FF388" s="121"/>
      <c r="FG388" s="121"/>
      <c r="FH388" s="121"/>
      <c r="FI388" s="121"/>
      <c r="FJ388" s="121"/>
      <c r="FK388" s="121"/>
      <c r="FL388" s="121"/>
      <c r="FM388" s="121"/>
      <c r="FN388" s="121"/>
      <c r="FO388" s="121"/>
      <c r="FP388" s="121"/>
      <c r="FQ388" s="121"/>
      <c r="FR388" s="121"/>
      <c r="FS388" s="121"/>
      <c r="FT388" s="121"/>
      <c r="FU388" s="121"/>
      <c r="FV388" s="121"/>
      <c r="FW388" s="121"/>
      <c r="FX388" s="121"/>
      <c r="FY388" s="121"/>
      <c r="FZ388" s="121"/>
      <c r="GA388" s="121"/>
      <c r="GB388" s="121"/>
      <c r="GC388" s="121"/>
      <c r="GD388" s="121"/>
      <c r="GE388" s="121"/>
      <c r="GF388" s="121"/>
      <c r="GG388" s="121"/>
      <c r="GH388" s="121"/>
      <c r="GI388" s="121"/>
      <c r="GJ388" s="121"/>
      <c r="GK388" s="121"/>
      <c r="GL388" s="121"/>
      <c r="GM388" s="121"/>
      <c r="GN388" s="121"/>
      <c r="GO388" s="121"/>
      <c r="GP388" s="121"/>
      <c r="GQ388" s="121"/>
      <c r="GR388" s="121"/>
      <c r="GS388" s="121"/>
      <c r="GT388" s="121"/>
      <c r="GU388" s="121"/>
      <c r="GV388" s="121"/>
      <c r="GW388" s="121"/>
      <c r="GX388" s="121"/>
      <c r="GY388" s="121"/>
      <c r="GZ388" s="121"/>
      <c r="HA388" s="121"/>
      <c r="HB388" s="121"/>
      <c r="HC388" s="121"/>
      <c r="HD388" s="121"/>
      <c r="HE388" s="121"/>
      <c r="HF388" s="121"/>
      <c r="HG388" s="121"/>
      <c r="HH388" s="121"/>
      <c r="HI388" s="121"/>
      <c r="HJ388" s="121"/>
      <c r="HK388" s="121"/>
      <c r="HL388" s="121"/>
      <c r="HM388" s="121"/>
      <c r="HN388" s="121"/>
      <c r="HO388" s="121"/>
      <c r="HP388" s="121"/>
      <c r="HQ388" s="121"/>
      <c r="HR388" s="121"/>
      <c r="HS388" s="121"/>
      <c r="HT388" s="121"/>
      <c r="HU388" s="121"/>
      <c r="HV388" s="121"/>
      <c r="HW388" s="121"/>
      <c r="HX388" s="121"/>
      <c r="HY388" s="121"/>
      <c r="HZ388" s="121"/>
      <c r="IA388" s="121"/>
    </row>
    <row r="389" spans="1:235" s="85" customFormat="1" ht="12.75">
      <c r="A389" s="124" t="s">
        <v>346</v>
      </c>
      <c r="B389" s="108"/>
      <c r="C389" s="108"/>
      <c r="D389" s="119">
        <f>D408+D422</f>
        <v>353680</v>
      </c>
      <c r="E389" s="119">
        <f aca="true" t="shared" si="40" ref="E389:P389">E408+E422</f>
        <v>0</v>
      </c>
      <c r="F389" s="119">
        <f t="shared" si="40"/>
        <v>353680</v>
      </c>
      <c r="G389" s="119">
        <f t="shared" si="40"/>
        <v>0</v>
      </c>
      <c r="H389" s="119">
        <f t="shared" si="40"/>
        <v>0</v>
      </c>
      <c r="I389" s="119">
        <f t="shared" si="40"/>
        <v>0</v>
      </c>
      <c r="J389" s="119">
        <f t="shared" si="40"/>
        <v>0</v>
      </c>
      <c r="K389" s="119">
        <f t="shared" si="40"/>
        <v>0</v>
      </c>
      <c r="L389" s="119">
        <f t="shared" si="40"/>
        <v>0</v>
      </c>
      <c r="M389" s="119">
        <f t="shared" si="40"/>
        <v>0</v>
      </c>
      <c r="N389" s="119">
        <f t="shared" si="40"/>
        <v>0</v>
      </c>
      <c r="O389" s="119">
        <f>O408+O422</f>
        <v>0</v>
      </c>
      <c r="P389" s="119">
        <f t="shared" si="40"/>
        <v>0</v>
      </c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1"/>
      <c r="BB389" s="121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1"/>
      <c r="BZ389" s="121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1"/>
      <c r="CM389" s="121"/>
      <c r="CN389" s="121"/>
      <c r="CO389" s="121"/>
      <c r="CP389" s="121"/>
      <c r="CQ389" s="121"/>
      <c r="CR389" s="121"/>
      <c r="CS389" s="121"/>
      <c r="CT389" s="121"/>
      <c r="CU389" s="121"/>
      <c r="CV389" s="121"/>
      <c r="CW389" s="121"/>
      <c r="CX389" s="121"/>
      <c r="CY389" s="121"/>
      <c r="CZ389" s="121"/>
      <c r="DA389" s="121"/>
      <c r="DB389" s="121"/>
      <c r="DC389" s="121"/>
      <c r="DD389" s="121"/>
      <c r="DE389" s="121"/>
      <c r="DF389" s="121"/>
      <c r="DG389" s="121"/>
      <c r="DH389" s="121"/>
      <c r="DI389" s="121"/>
      <c r="DJ389" s="121"/>
      <c r="DK389" s="121"/>
      <c r="DL389" s="121"/>
      <c r="DM389" s="121"/>
      <c r="DN389" s="121"/>
      <c r="DO389" s="121"/>
      <c r="DP389" s="121"/>
      <c r="DQ389" s="121"/>
      <c r="DR389" s="121"/>
      <c r="DS389" s="121"/>
      <c r="DT389" s="121"/>
      <c r="DU389" s="121"/>
      <c r="DV389" s="121"/>
      <c r="DW389" s="121"/>
      <c r="DX389" s="121"/>
      <c r="DY389" s="121"/>
      <c r="DZ389" s="121"/>
      <c r="EA389" s="121"/>
      <c r="EB389" s="121"/>
      <c r="EC389" s="121"/>
      <c r="ED389" s="121"/>
      <c r="EE389" s="121"/>
      <c r="EF389" s="121"/>
      <c r="EG389" s="121"/>
      <c r="EH389" s="121"/>
      <c r="EI389" s="121"/>
      <c r="EJ389" s="121"/>
      <c r="EK389" s="121"/>
      <c r="EL389" s="121"/>
      <c r="EM389" s="121"/>
      <c r="EN389" s="121"/>
      <c r="EO389" s="121"/>
      <c r="EP389" s="121"/>
      <c r="EQ389" s="121"/>
      <c r="ER389" s="121"/>
      <c r="ES389" s="121"/>
      <c r="ET389" s="121"/>
      <c r="EU389" s="121"/>
      <c r="EV389" s="121"/>
      <c r="EW389" s="121"/>
      <c r="EX389" s="121"/>
      <c r="EY389" s="121"/>
      <c r="EZ389" s="121"/>
      <c r="FA389" s="121"/>
      <c r="FB389" s="121"/>
      <c r="FC389" s="121"/>
      <c r="FD389" s="121"/>
      <c r="FE389" s="121"/>
      <c r="FF389" s="121"/>
      <c r="FG389" s="121"/>
      <c r="FH389" s="121"/>
      <c r="FI389" s="121"/>
      <c r="FJ389" s="121"/>
      <c r="FK389" s="121"/>
      <c r="FL389" s="121"/>
      <c r="FM389" s="121"/>
      <c r="FN389" s="121"/>
      <c r="FO389" s="121"/>
      <c r="FP389" s="121"/>
      <c r="FQ389" s="121"/>
      <c r="FR389" s="121"/>
      <c r="FS389" s="121"/>
      <c r="FT389" s="121"/>
      <c r="FU389" s="121"/>
      <c r="FV389" s="121"/>
      <c r="FW389" s="121"/>
      <c r="FX389" s="121"/>
      <c r="FY389" s="121"/>
      <c r="FZ389" s="121"/>
      <c r="GA389" s="121"/>
      <c r="GB389" s="121"/>
      <c r="GC389" s="121"/>
      <c r="GD389" s="121"/>
      <c r="GE389" s="121"/>
      <c r="GF389" s="121"/>
      <c r="GG389" s="121"/>
      <c r="GH389" s="121"/>
      <c r="GI389" s="121"/>
      <c r="GJ389" s="121"/>
      <c r="GK389" s="121"/>
      <c r="GL389" s="121"/>
      <c r="GM389" s="121"/>
      <c r="GN389" s="121"/>
      <c r="GO389" s="121"/>
      <c r="GP389" s="121"/>
      <c r="GQ389" s="121"/>
      <c r="GR389" s="121"/>
      <c r="GS389" s="121"/>
      <c r="GT389" s="121"/>
      <c r="GU389" s="121"/>
      <c r="GV389" s="121"/>
      <c r="GW389" s="121"/>
      <c r="GX389" s="121"/>
      <c r="GY389" s="121"/>
      <c r="GZ389" s="121"/>
      <c r="HA389" s="121"/>
      <c r="HB389" s="121"/>
      <c r="HC389" s="121"/>
      <c r="HD389" s="121"/>
      <c r="HE389" s="121"/>
      <c r="HF389" s="121"/>
      <c r="HG389" s="121"/>
      <c r="HH389" s="121"/>
      <c r="HI389" s="121"/>
      <c r="HJ389" s="121"/>
      <c r="HK389" s="121"/>
      <c r="HL389" s="121"/>
      <c r="HM389" s="121"/>
      <c r="HN389" s="121"/>
      <c r="HO389" s="121"/>
      <c r="HP389" s="121"/>
      <c r="HQ389" s="121"/>
      <c r="HR389" s="121"/>
      <c r="HS389" s="121"/>
      <c r="HT389" s="121"/>
      <c r="HU389" s="121"/>
      <c r="HV389" s="121"/>
      <c r="HW389" s="121"/>
      <c r="HX389" s="121"/>
      <c r="HY389" s="121"/>
      <c r="HZ389" s="121"/>
      <c r="IA389" s="121"/>
    </row>
    <row r="390" spans="1:235" s="85" customFormat="1" ht="12.75">
      <c r="A390" s="124" t="s">
        <v>347</v>
      </c>
      <c r="B390" s="108"/>
      <c r="C390" s="108"/>
      <c r="D390" s="119">
        <f>D415+D433</f>
        <v>0</v>
      </c>
      <c r="E390" s="119">
        <f aca="true" t="shared" si="41" ref="E390:P390">E415+E433</f>
        <v>0</v>
      </c>
      <c r="F390" s="119">
        <f t="shared" si="41"/>
        <v>0</v>
      </c>
      <c r="G390" s="119">
        <f>G415+G433</f>
        <v>219999.99999799998</v>
      </c>
      <c r="H390" s="119">
        <f t="shared" si="41"/>
        <v>0</v>
      </c>
      <c r="I390" s="119">
        <f t="shared" si="41"/>
        <v>0</v>
      </c>
      <c r="J390" s="119">
        <f t="shared" si="41"/>
        <v>219999.99999799998</v>
      </c>
      <c r="K390" s="119">
        <f t="shared" si="41"/>
        <v>0</v>
      </c>
      <c r="L390" s="119">
        <f t="shared" si="41"/>
        <v>0</v>
      </c>
      <c r="M390" s="119">
        <f t="shared" si="41"/>
        <v>0</v>
      </c>
      <c r="N390" s="119">
        <f t="shared" si="41"/>
        <v>419213.19999932</v>
      </c>
      <c r="O390" s="119">
        <f>O415+O433</f>
        <v>0</v>
      </c>
      <c r="P390" s="119">
        <f t="shared" si="41"/>
        <v>419213.19999932</v>
      </c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21"/>
      <c r="AV390" s="121"/>
      <c r="AW390" s="121"/>
      <c r="AX390" s="121"/>
      <c r="AY390" s="121"/>
      <c r="AZ390" s="121"/>
      <c r="BA390" s="121"/>
      <c r="BB390" s="121"/>
      <c r="BC390" s="121"/>
      <c r="BD390" s="121"/>
      <c r="BE390" s="121"/>
      <c r="BF390" s="121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21"/>
      <c r="BS390" s="121"/>
      <c r="BT390" s="121"/>
      <c r="BU390" s="121"/>
      <c r="BV390" s="121"/>
      <c r="BW390" s="121"/>
      <c r="BX390" s="121"/>
      <c r="BY390" s="121"/>
      <c r="BZ390" s="121"/>
      <c r="CA390" s="121"/>
      <c r="CB390" s="121"/>
      <c r="CC390" s="121"/>
      <c r="CD390" s="121"/>
      <c r="CE390" s="121"/>
      <c r="CF390" s="121"/>
      <c r="CG390" s="121"/>
      <c r="CH390" s="121"/>
      <c r="CI390" s="121"/>
      <c r="CJ390" s="121"/>
      <c r="CK390" s="121"/>
      <c r="CL390" s="121"/>
      <c r="CM390" s="121"/>
      <c r="CN390" s="121"/>
      <c r="CO390" s="121"/>
      <c r="CP390" s="121"/>
      <c r="CQ390" s="121"/>
      <c r="CR390" s="121"/>
      <c r="CS390" s="121"/>
      <c r="CT390" s="121"/>
      <c r="CU390" s="121"/>
      <c r="CV390" s="121"/>
      <c r="CW390" s="121"/>
      <c r="CX390" s="121"/>
      <c r="CY390" s="121"/>
      <c r="CZ390" s="121"/>
      <c r="DA390" s="121"/>
      <c r="DB390" s="121"/>
      <c r="DC390" s="121"/>
      <c r="DD390" s="121"/>
      <c r="DE390" s="121"/>
      <c r="DF390" s="121"/>
      <c r="DG390" s="121"/>
      <c r="DH390" s="121"/>
      <c r="DI390" s="121"/>
      <c r="DJ390" s="121"/>
      <c r="DK390" s="121"/>
      <c r="DL390" s="121"/>
      <c r="DM390" s="121"/>
      <c r="DN390" s="121"/>
      <c r="DO390" s="121"/>
      <c r="DP390" s="121"/>
      <c r="DQ390" s="121"/>
      <c r="DR390" s="121"/>
      <c r="DS390" s="121"/>
      <c r="DT390" s="121"/>
      <c r="DU390" s="121"/>
      <c r="DV390" s="121"/>
      <c r="DW390" s="121"/>
      <c r="DX390" s="121"/>
      <c r="DY390" s="121"/>
      <c r="DZ390" s="121"/>
      <c r="EA390" s="121"/>
      <c r="EB390" s="121"/>
      <c r="EC390" s="121"/>
      <c r="ED390" s="121"/>
      <c r="EE390" s="121"/>
      <c r="EF390" s="121"/>
      <c r="EG390" s="121"/>
      <c r="EH390" s="121"/>
      <c r="EI390" s="121"/>
      <c r="EJ390" s="121"/>
      <c r="EK390" s="121"/>
      <c r="EL390" s="121"/>
      <c r="EM390" s="121"/>
      <c r="EN390" s="121"/>
      <c r="EO390" s="121"/>
      <c r="EP390" s="121"/>
      <c r="EQ390" s="121"/>
      <c r="ER390" s="121"/>
      <c r="ES390" s="121"/>
      <c r="ET390" s="121"/>
      <c r="EU390" s="121"/>
      <c r="EV390" s="121"/>
      <c r="EW390" s="121"/>
      <c r="EX390" s="121"/>
      <c r="EY390" s="121"/>
      <c r="EZ390" s="121"/>
      <c r="FA390" s="121"/>
      <c r="FB390" s="121"/>
      <c r="FC390" s="121"/>
      <c r="FD390" s="121"/>
      <c r="FE390" s="121"/>
      <c r="FF390" s="121"/>
      <c r="FG390" s="121"/>
      <c r="FH390" s="121"/>
      <c r="FI390" s="121"/>
      <c r="FJ390" s="121"/>
      <c r="FK390" s="121"/>
      <c r="FL390" s="121"/>
      <c r="FM390" s="121"/>
      <c r="FN390" s="121"/>
      <c r="FO390" s="121"/>
      <c r="FP390" s="121"/>
      <c r="FQ390" s="121"/>
      <c r="FR390" s="121"/>
      <c r="FS390" s="121"/>
      <c r="FT390" s="121"/>
      <c r="FU390" s="121"/>
      <c r="FV390" s="121"/>
      <c r="FW390" s="121"/>
      <c r="FX390" s="121"/>
      <c r="FY390" s="121"/>
      <c r="FZ390" s="121"/>
      <c r="GA390" s="121"/>
      <c r="GB390" s="121"/>
      <c r="GC390" s="121"/>
      <c r="GD390" s="121"/>
      <c r="GE390" s="121"/>
      <c r="GF390" s="121"/>
      <c r="GG390" s="121"/>
      <c r="GH390" s="121"/>
      <c r="GI390" s="121"/>
      <c r="GJ390" s="121"/>
      <c r="GK390" s="121"/>
      <c r="GL390" s="121"/>
      <c r="GM390" s="121"/>
      <c r="GN390" s="121"/>
      <c r="GO390" s="121"/>
      <c r="GP390" s="121"/>
      <c r="GQ390" s="121"/>
      <c r="GR390" s="121"/>
      <c r="GS390" s="121"/>
      <c r="GT390" s="121"/>
      <c r="GU390" s="121"/>
      <c r="GV390" s="121"/>
      <c r="GW390" s="121"/>
      <c r="GX390" s="121"/>
      <c r="GY390" s="121"/>
      <c r="GZ390" s="121"/>
      <c r="HA390" s="121"/>
      <c r="HB390" s="121"/>
      <c r="HC390" s="121"/>
      <c r="HD390" s="121"/>
      <c r="HE390" s="121"/>
      <c r="HF390" s="121"/>
      <c r="HG390" s="121"/>
      <c r="HH390" s="121"/>
      <c r="HI390" s="121"/>
      <c r="HJ390" s="121"/>
      <c r="HK390" s="121"/>
      <c r="HL390" s="121"/>
      <c r="HM390" s="121"/>
      <c r="HN390" s="121"/>
      <c r="HO390" s="121"/>
      <c r="HP390" s="121"/>
      <c r="HQ390" s="121"/>
      <c r="HR390" s="121"/>
      <c r="HS390" s="121"/>
      <c r="HT390" s="121"/>
      <c r="HU390" s="121"/>
      <c r="HV390" s="121"/>
      <c r="HW390" s="121"/>
      <c r="HX390" s="121"/>
      <c r="HY390" s="121"/>
      <c r="HZ390" s="121"/>
      <c r="IA390" s="121"/>
    </row>
    <row r="391" spans="1:16" ht="36" customHeight="1">
      <c r="A391" s="21" t="s">
        <v>196</v>
      </c>
      <c r="B391" s="7"/>
      <c r="C391" s="7"/>
      <c r="D391" s="13"/>
      <c r="E391" s="13"/>
      <c r="F391" s="13"/>
      <c r="G391" s="13"/>
      <c r="H391" s="13"/>
      <c r="I391" s="13"/>
      <c r="J391" s="13"/>
      <c r="K391" s="17"/>
      <c r="L391" s="10"/>
      <c r="M391" s="10"/>
      <c r="N391" s="13"/>
      <c r="O391" s="13"/>
      <c r="P391" s="13"/>
    </row>
    <row r="392" spans="1:235" s="92" customFormat="1" ht="22.5">
      <c r="A392" s="82" t="s">
        <v>378</v>
      </c>
      <c r="B392" s="88"/>
      <c r="C392" s="88"/>
      <c r="D392" s="89">
        <f>D394</f>
        <v>1385000</v>
      </c>
      <c r="E392" s="89"/>
      <c r="F392" s="89">
        <f>D392</f>
        <v>1385000</v>
      </c>
      <c r="G392" s="89">
        <f>G396*G398</f>
        <v>1659999.999996</v>
      </c>
      <c r="H392" s="89"/>
      <c r="I392" s="89"/>
      <c r="J392" s="89">
        <f>G392</f>
        <v>1659999.999996</v>
      </c>
      <c r="K392" s="89"/>
      <c r="L392" s="89"/>
      <c r="M392" s="89"/>
      <c r="N392" s="89">
        <f>N396*N398</f>
        <v>1989999.999999</v>
      </c>
      <c r="O392" s="89"/>
      <c r="P392" s="89">
        <f>N392</f>
        <v>1989999.999999</v>
      </c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  <c r="BY392" s="91"/>
      <c r="BZ392" s="91"/>
      <c r="CA392" s="91"/>
      <c r="CB392" s="91"/>
      <c r="CC392" s="91"/>
      <c r="CD392" s="91"/>
      <c r="CE392" s="91"/>
      <c r="CF392" s="91"/>
      <c r="CG392" s="91"/>
      <c r="CH392" s="91"/>
      <c r="CI392" s="91"/>
      <c r="CJ392" s="91"/>
      <c r="CK392" s="91"/>
      <c r="CL392" s="91"/>
      <c r="CM392" s="91"/>
      <c r="CN392" s="91"/>
      <c r="CO392" s="91"/>
      <c r="CP392" s="91"/>
      <c r="CQ392" s="91"/>
      <c r="CR392" s="91"/>
      <c r="CS392" s="91"/>
      <c r="CT392" s="91"/>
      <c r="CU392" s="91"/>
      <c r="CV392" s="91"/>
      <c r="CW392" s="91"/>
      <c r="CX392" s="91"/>
      <c r="CY392" s="91"/>
      <c r="CZ392" s="91"/>
      <c r="DA392" s="91"/>
      <c r="DB392" s="91"/>
      <c r="DC392" s="91"/>
      <c r="DD392" s="91"/>
      <c r="DE392" s="91"/>
      <c r="DF392" s="91"/>
      <c r="DG392" s="91"/>
      <c r="DH392" s="91"/>
      <c r="DI392" s="91"/>
      <c r="DJ392" s="91"/>
      <c r="DK392" s="91"/>
      <c r="DL392" s="91"/>
      <c r="DM392" s="91"/>
      <c r="DN392" s="91"/>
      <c r="DO392" s="91"/>
      <c r="DP392" s="91"/>
      <c r="DQ392" s="91"/>
      <c r="DR392" s="91"/>
      <c r="DS392" s="91"/>
      <c r="DT392" s="91"/>
      <c r="DU392" s="91"/>
      <c r="DV392" s="91"/>
      <c r="DW392" s="91"/>
      <c r="DX392" s="91"/>
      <c r="DY392" s="91"/>
      <c r="DZ392" s="91"/>
      <c r="EA392" s="91"/>
      <c r="EB392" s="91"/>
      <c r="EC392" s="91"/>
      <c r="ED392" s="91"/>
      <c r="EE392" s="91"/>
      <c r="EF392" s="91"/>
      <c r="EG392" s="91"/>
      <c r="EH392" s="91"/>
      <c r="EI392" s="91"/>
      <c r="EJ392" s="91"/>
      <c r="EK392" s="91"/>
      <c r="EL392" s="91"/>
      <c r="EM392" s="91"/>
      <c r="EN392" s="91"/>
      <c r="EO392" s="91"/>
      <c r="EP392" s="91"/>
      <c r="EQ392" s="91"/>
      <c r="ER392" s="91"/>
      <c r="ES392" s="91"/>
      <c r="ET392" s="91"/>
      <c r="EU392" s="91"/>
      <c r="EV392" s="91"/>
      <c r="EW392" s="91"/>
      <c r="EX392" s="91"/>
      <c r="EY392" s="91"/>
      <c r="EZ392" s="91"/>
      <c r="FA392" s="91"/>
      <c r="FB392" s="91"/>
      <c r="FC392" s="91"/>
      <c r="FD392" s="91"/>
      <c r="FE392" s="91"/>
      <c r="FF392" s="91"/>
      <c r="FG392" s="91"/>
      <c r="FH392" s="91"/>
      <c r="FI392" s="91"/>
      <c r="FJ392" s="91"/>
      <c r="FK392" s="91"/>
      <c r="FL392" s="91"/>
      <c r="FM392" s="91"/>
      <c r="FN392" s="91"/>
      <c r="FO392" s="91"/>
      <c r="FP392" s="91"/>
      <c r="FQ392" s="91"/>
      <c r="FR392" s="91"/>
      <c r="FS392" s="91"/>
      <c r="FT392" s="91"/>
      <c r="FU392" s="91"/>
      <c r="FV392" s="91"/>
      <c r="FW392" s="91"/>
      <c r="FX392" s="91"/>
      <c r="FY392" s="91"/>
      <c r="FZ392" s="91"/>
      <c r="GA392" s="91"/>
      <c r="GB392" s="91"/>
      <c r="GC392" s="91"/>
      <c r="GD392" s="91"/>
      <c r="GE392" s="91"/>
      <c r="GF392" s="91"/>
      <c r="GG392" s="91"/>
      <c r="GH392" s="91"/>
      <c r="GI392" s="91"/>
      <c r="GJ392" s="91"/>
      <c r="GK392" s="91"/>
      <c r="GL392" s="91"/>
      <c r="GM392" s="91"/>
      <c r="GN392" s="91"/>
      <c r="GO392" s="91"/>
      <c r="GP392" s="91"/>
      <c r="GQ392" s="91"/>
      <c r="GR392" s="91"/>
      <c r="GS392" s="91"/>
      <c r="GT392" s="91"/>
      <c r="GU392" s="91"/>
      <c r="GV392" s="91"/>
      <c r="GW392" s="91"/>
      <c r="GX392" s="91"/>
      <c r="GY392" s="91"/>
      <c r="GZ392" s="91"/>
      <c r="HA392" s="91"/>
      <c r="HB392" s="91"/>
      <c r="HC392" s="91"/>
      <c r="HD392" s="91"/>
      <c r="HE392" s="91"/>
      <c r="HF392" s="91"/>
      <c r="HG392" s="91"/>
      <c r="HH392" s="91"/>
      <c r="HI392" s="91"/>
      <c r="HJ392" s="91"/>
      <c r="HK392" s="91"/>
      <c r="HL392" s="91"/>
      <c r="HM392" s="91"/>
      <c r="HN392" s="91"/>
      <c r="HO392" s="91"/>
      <c r="HP392" s="91"/>
      <c r="HQ392" s="91"/>
      <c r="HR392" s="91"/>
      <c r="HS392" s="91"/>
      <c r="HT392" s="91"/>
      <c r="HU392" s="91"/>
      <c r="HV392" s="91"/>
      <c r="HW392" s="91"/>
      <c r="HX392" s="91"/>
      <c r="HY392" s="91"/>
      <c r="HZ392" s="91"/>
      <c r="IA392" s="91"/>
    </row>
    <row r="393" spans="1:16" ht="11.25">
      <c r="A393" s="20" t="s">
        <v>58</v>
      </c>
      <c r="B393" s="5"/>
      <c r="C393" s="5"/>
      <c r="D393" s="130"/>
      <c r="E393" s="130"/>
      <c r="F393" s="130"/>
      <c r="G393" s="130"/>
      <c r="H393" s="130"/>
      <c r="I393" s="130"/>
      <c r="J393" s="130"/>
      <c r="K393" s="17"/>
      <c r="L393" s="128"/>
      <c r="M393" s="128"/>
      <c r="N393" s="130"/>
      <c r="O393" s="130"/>
      <c r="P393" s="130"/>
    </row>
    <row r="394" spans="1:16" ht="12" customHeight="1">
      <c r="A394" s="21" t="s">
        <v>63</v>
      </c>
      <c r="B394" s="7"/>
      <c r="C394" s="7"/>
      <c r="D394" s="14">
        <v>1385000</v>
      </c>
      <c r="E394" s="14"/>
      <c r="F394" s="14">
        <f>D394</f>
        <v>1385000</v>
      </c>
      <c r="G394" s="14">
        <f>G396*G398</f>
        <v>1659999.999996</v>
      </c>
      <c r="H394" s="14"/>
      <c r="I394" s="14"/>
      <c r="J394" s="14">
        <f>G394</f>
        <v>1659999.999996</v>
      </c>
      <c r="K394" s="17">
        <f>G394/D394*100</f>
        <v>119.85559566758121</v>
      </c>
      <c r="L394" s="17"/>
      <c r="M394" s="17"/>
      <c r="N394" s="14">
        <f>N396*N398</f>
        <v>1989999.999999</v>
      </c>
      <c r="O394" s="14"/>
      <c r="P394" s="14">
        <f>N394</f>
        <v>1989999.999999</v>
      </c>
    </row>
    <row r="395" spans="1:16" ht="11.25">
      <c r="A395" s="20" t="s">
        <v>5</v>
      </c>
      <c r="B395" s="5"/>
      <c r="C395" s="5"/>
      <c r="D395" s="130"/>
      <c r="E395" s="130"/>
      <c r="F395" s="14"/>
      <c r="G395" s="130"/>
      <c r="H395" s="130"/>
      <c r="I395" s="130"/>
      <c r="J395" s="14"/>
      <c r="K395" s="17"/>
      <c r="L395" s="128"/>
      <c r="M395" s="128"/>
      <c r="N395" s="130"/>
      <c r="O395" s="130"/>
      <c r="P395" s="14"/>
    </row>
    <row r="396" spans="1:16" ht="22.5">
      <c r="A396" s="21" t="s">
        <v>197</v>
      </c>
      <c r="B396" s="7"/>
      <c r="C396" s="7"/>
      <c r="D396" s="14">
        <v>9</v>
      </c>
      <c r="E396" s="14"/>
      <c r="F396" s="14">
        <f>D396</f>
        <v>9</v>
      </c>
      <c r="G396" s="14">
        <v>9</v>
      </c>
      <c r="H396" s="14"/>
      <c r="I396" s="14"/>
      <c r="J396" s="14">
        <f>G396</f>
        <v>9</v>
      </c>
      <c r="K396" s="17">
        <f>G396/D396*100</f>
        <v>100</v>
      </c>
      <c r="L396" s="17"/>
      <c r="M396" s="17"/>
      <c r="N396" s="14">
        <v>9</v>
      </c>
      <c r="O396" s="14"/>
      <c r="P396" s="14">
        <f>N396</f>
        <v>9</v>
      </c>
    </row>
    <row r="397" spans="1:16" ht="11.25">
      <c r="A397" s="20" t="s">
        <v>7</v>
      </c>
      <c r="B397" s="5"/>
      <c r="C397" s="5"/>
      <c r="D397" s="130"/>
      <c r="E397" s="130"/>
      <c r="F397" s="14"/>
      <c r="G397" s="130"/>
      <c r="H397" s="130"/>
      <c r="I397" s="130"/>
      <c r="J397" s="14"/>
      <c r="K397" s="17"/>
      <c r="L397" s="128"/>
      <c r="M397" s="128"/>
      <c r="N397" s="130"/>
      <c r="O397" s="130"/>
      <c r="P397" s="14"/>
    </row>
    <row r="398" spans="1:16" ht="22.5">
      <c r="A398" s="21" t="s">
        <v>198</v>
      </c>
      <c r="B398" s="7"/>
      <c r="C398" s="7"/>
      <c r="D398" s="14">
        <f>D394/D396+0.11</f>
        <v>153888.99888888886</v>
      </c>
      <c r="E398" s="14"/>
      <c r="F398" s="14">
        <f>D398</f>
        <v>153888.99888888886</v>
      </c>
      <c r="G398" s="14">
        <v>184444.444444</v>
      </c>
      <c r="H398" s="14"/>
      <c r="I398" s="14"/>
      <c r="J398" s="14">
        <f>G398</f>
        <v>184444.444444</v>
      </c>
      <c r="K398" s="17">
        <f>G398/D398*100</f>
        <v>119.85550999468961</v>
      </c>
      <c r="L398" s="17"/>
      <c r="M398" s="17"/>
      <c r="N398" s="14">
        <v>221111.111111</v>
      </c>
      <c r="O398" s="14"/>
      <c r="P398" s="14">
        <f>N398</f>
        <v>221111.111111</v>
      </c>
    </row>
    <row r="399" spans="1:235" s="92" customFormat="1" ht="24" customHeight="1">
      <c r="A399" s="82" t="s">
        <v>379</v>
      </c>
      <c r="B399" s="88"/>
      <c r="C399" s="88"/>
      <c r="D399" s="131">
        <f>D403*D405-216</f>
        <v>99784</v>
      </c>
      <c r="E399" s="131"/>
      <c r="F399" s="131">
        <f>F403*F405-216</f>
        <v>99784</v>
      </c>
      <c r="G399" s="131">
        <f aca="true" t="shared" si="42" ref="G399:P399">G403*G405</f>
        <v>182699.99813</v>
      </c>
      <c r="H399" s="131"/>
      <c r="I399" s="131"/>
      <c r="J399" s="131">
        <f t="shared" si="42"/>
        <v>182699.99813</v>
      </c>
      <c r="K399" s="131" t="e">
        <f t="shared" si="42"/>
        <v>#REF!</v>
      </c>
      <c r="L399" s="131">
        <f t="shared" si="42"/>
        <v>0</v>
      </c>
      <c r="M399" s="131">
        <f t="shared" si="42"/>
        <v>0</v>
      </c>
      <c r="N399" s="131">
        <f t="shared" si="42"/>
        <v>100000</v>
      </c>
      <c r="O399" s="131"/>
      <c r="P399" s="131">
        <f t="shared" si="42"/>
        <v>100000</v>
      </c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  <c r="BZ399" s="91"/>
      <c r="CA399" s="91"/>
      <c r="CB399" s="91"/>
      <c r="CC399" s="91"/>
      <c r="CD399" s="91"/>
      <c r="CE399" s="91"/>
      <c r="CF399" s="91"/>
      <c r="CG399" s="91"/>
      <c r="CH399" s="91"/>
      <c r="CI399" s="91"/>
      <c r="CJ399" s="91"/>
      <c r="CK399" s="91"/>
      <c r="CL399" s="91"/>
      <c r="CM399" s="91"/>
      <c r="CN399" s="91"/>
      <c r="CO399" s="91"/>
      <c r="CP399" s="91"/>
      <c r="CQ399" s="91"/>
      <c r="CR399" s="91"/>
      <c r="CS399" s="91"/>
      <c r="CT399" s="91"/>
      <c r="CU399" s="91"/>
      <c r="CV399" s="91"/>
      <c r="CW399" s="91"/>
      <c r="CX399" s="91"/>
      <c r="CY399" s="91"/>
      <c r="CZ399" s="91"/>
      <c r="DA399" s="91"/>
      <c r="DB399" s="91"/>
      <c r="DC399" s="91"/>
      <c r="DD399" s="91"/>
      <c r="DE399" s="91"/>
      <c r="DF399" s="91"/>
      <c r="DG399" s="91"/>
      <c r="DH399" s="91"/>
      <c r="DI399" s="91"/>
      <c r="DJ399" s="91"/>
      <c r="DK399" s="91"/>
      <c r="DL399" s="91"/>
      <c r="DM399" s="91"/>
      <c r="DN399" s="91"/>
      <c r="DO399" s="91"/>
      <c r="DP399" s="91"/>
      <c r="DQ399" s="91"/>
      <c r="DR399" s="91"/>
      <c r="DS399" s="91"/>
      <c r="DT399" s="91"/>
      <c r="DU399" s="91"/>
      <c r="DV399" s="91"/>
      <c r="DW399" s="91"/>
      <c r="DX399" s="91"/>
      <c r="DY399" s="91"/>
      <c r="DZ399" s="91"/>
      <c r="EA399" s="91"/>
      <c r="EB399" s="91"/>
      <c r="EC399" s="91"/>
      <c r="ED399" s="91"/>
      <c r="EE399" s="91"/>
      <c r="EF399" s="91"/>
      <c r="EG399" s="91"/>
      <c r="EH399" s="91"/>
      <c r="EI399" s="91"/>
      <c r="EJ399" s="91"/>
      <c r="EK399" s="91"/>
      <c r="EL399" s="91"/>
      <c r="EM399" s="91"/>
      <c r="EN399" s="91"/>
      <c r="EO399" s="91"/>
      <c r="EP399" s="91"/>
      <c r="EQ399" s="91"/>
      <c r="ER399" s="91"/>
      <c r="ES399" s="91"/>
      <c r="ET399" s="91"/>
      <c r="EU399" s="91"/>
      <c r="EV399" s="91"/>
      <c r="EW399" s="91"/>
      <c r="EX399" s="91"/>
      <c r="EY399" s="91"/>
      <c r="EZ399" s="91"/>
      <c r="FA399" s="91"/>
      <c r="FB399" s="91"/>
      <c r="FC399" s="91"/>
      <c r="FD399" s="91"/>
      <c r="FE399" s="91"/>
      <c r="FF399" s="91"/>
      <c r="FG399" s="91"/>
      <c r="FH399" s="91"/>
      <c r="FI399" s="91"/>
      <c r="FJ399" s="91"/>
      <c r="FK399" s="91"/>
      <c r="FL399" s="91"/>
      <c r="FM399" s="91"/>
      <c r="FN399" s="91"/>
      <c r="FO399" s="91"/>
      <c r="FP399" s="91"/>
      <c r="FQ399" s="91"/>
      <c r="FR399" s="91"/>
      <c r="FS399" s="91"/>
      <c r="FT399" s="91"/>
      <c r="FU399" s="91"/>
      <c r="FV399" s="91"/>
      <c r="FW399" s="91"/>
      <c r="FX399" s="91"/>
      <c r="FY399" s="91"/>
      <c r="FZ399" s="91"/>
      <c r="GA399" s="91"/>
      <c r="GB399" s="91"/>
      <c r="GC399" s="91"/>
      <c r="GD399" s="91"/>
      <c r="GE399" s="91"/>
      <c r="GF399" s="91"/>
      <c r="GG399" s="91"/>
      <c r="GH399" s="91"/>
      <c r="GI399" s="91"/>
      <c r="GJ399" s="91"/>
      <c r="GK399" s="91"/>
      <c r="GL399" s="91"/>
      <c r="GM399" s="91"/>
      <c r="GN399" s="91"/>
      <c r="GO399" s="91"/>
      <c r="GP399" s="91"/>
      <c r="GQ399" s="91"/>
      <c r="GR399" s="91"/>
      <c r="GS399" s="91"/>
      <c r="GT399" s="91"/>
      <c r="GU399" s="91"/>
      <c r="GV399" s="91"/>
      <c r="GW399" s="91"/>
      <c r="GX399" s="91"/>
      <c r="GY399" s="91"/>
      <c r="GZ399" s="91"/>
      <c r="HA399" s="91"/>
      <c r="HB399" s="91"/>
      <c r="HC399" s="91"/>
      <c r="HD399" s="91"/>
      <c r="HE399" s="91"/>
      <c r="HF399" s="91"/>
      <c r="HG399" s="91"/>
      <c r="HH399" s="91"/>
      <c r="HI399" s="91"/>
      <c r="HJ399" s="91"/>
      <c r="HK399" s="91"/>
      <c r="HL399" s="91"/>
      <c r="HM399" s="91"/>
      <c r="HN399" s="91"/>
      <c r="HO399" s="91"/>
      <c r="HP399" s="91"/>
      <c r="HQ399" s="91"/>
      <c r="HR399" s="91"/>
      <c r="HS399" s="91"/>
      <c r="HT399" s="91"/>
      <c r="HU399" s="91"/>
      <c r="HV399" s="91"/>
      <c r="HW399" s="91"/>
      <c r="HX399" s="91"/>
      <c r="HY399" s="91"/>
      <c r="HZ399" s="91"/>
      <c r="IA399" s="91"/>
    </row>
    <row r="400" spans="1:16" ht="11.25">
      <c r="A400" s="20" t="s">
        <v>58</v>
      </c>
      <c r="B400" s="5"/>
      <c r="C400" s="5"/>
      <c r="D400" s="132"/>
      <c r="E400" s="132"/>
      <c r="F400" s="132"/>
      <c r="G400" s="130"/>
      <c r="H400" s="130"/>
      <c r="I400" s="130"/>
      <c r="J400" s="130"/>
      <c r="K400" s="17"/>
      <c r="L400" s="128"/>
      <c r="M400" s="128"/>
      <c r="N400" s="130"/>
      <c r="O400" s="130"/>
      <c r="P400" s="130"/>
    </row>
    <row r="401" spans="1:16" ht="23.25" customHeight="1">
      <c r="A401" s="21" t="s">
        <v>201</v>
      </c>
      <c r="B401" s="7"/>
      <c r="C401" s="7"/>
      <c r="D401" s="132">
        <v>1752</v>
      </c>
      <c r="E401" s="132"/>
      <c r="F401" s="132">
        <f>D401</f>
        <v>1752</v>
      </c>
      <c r="G401" s="132">
        <v>1752</v>
      </c>
      <c r="H401" s="132"/>
      <c r="I401" s="132"/>
      <c r="J401" s="132">
        <f>G401</f>
        <v>1752</v>
      </c>
      <c r="K401" s="17" t="e">
        <f>#REF!/G401*100</f>
        <v>#REF!</v>
      </c>
      <c r="L401" s="17"/>
      <c r="M401" s="17"/>
      <c r="N401" s="132">
        <v>1752</v>
      </c>
      <c r="O401" s="132"/>
      <c r="P401" s="132">
        <f>N401</f>
        <v>1752</v>
      </c>
    </row>
    <row r="402" spans="1:16" ht="11.25">
      <c r="A402" s="20" t="s">
        <v>5</v>
      </c>
      <c r="B402" s="5"/>
      <c r="C402" s="5"/>
      <c r="D402" s="132"/>
      <c r="E402" s="132"/>
      <c r="F402" s="132"/>
      <c r="G402" s="130"/>
      <c r="H402" s="130"/>
      <c r="I402" s="130"/>
      <c r="J402" s="14"/>
      <c r="K402" s="17"/>
      <c r="L402" s="128"/>
      <c r="M402" s="128"/>
      <c r="N402" s="130"/>
      <c r="O402" s="130"/>
      <c r="P402" s="14"/>
    </row>
    <row r="403" spans="1:16" ht="24" customHeight="1">
      <c r="A403" s="21" t="s">
        <v>199</v>
      </c>
      <c r="B403" s="7"/>
      <c r="C403" s="7"/>
      <c r="D403" s="132">
        <v>625</v>
      </c>
      <c r="E403" s="132"/>
      <c r="F403" s="132">
        <f>D403</f>
        <v>625</v>
      </c>
      <c r="G403" s="132">
        <v>751</v>
      </c>
      <c r="H403" s="132"/>
      <c r="I403" s="132"/>
      <c r="J403" s="132">
        <f>G403</f>
        <v>751</v>
      </c>
      <c r="K403" s="17" t="e">
        <f>#REF!/G403*100</f>
        <v>#REF!</v>
      </c>
      <c r="L403" s="17"/>
      <c r="M403" s="17"/>
      <c r="N403" s="132">
        <v>625</v>
      </c>
      <c r="O403" s="132"/>
      <c r="P403" s="132">
        <f>N403</f>
        <v>625</v>
      </c>
    </row>
    <row r="404" spans="1:16" ht="11.25">
      <c r="A404" s="20" t="s">
        <v>7</v>
      </c>
      <c r="B404" s="5"/>
      <c r="C404" s="5"/>
      <c r="D404" s="132"/>
      <c r="E404" s="132"/>
      <c r="F404" s="132"/>
      <c r="G404" s="132"/>
      <c r="H404" s="132"/>
      <c r="I404" s="132"/>
      <c r="J404" s="132"/>
      <c r="K404" s="17"/>
      <c r="L404" s="128"/>
      <c r="M404" s="128"/>
      <c r="N404" s="132"/>
      <c r="O404" s="132"/>
      <c r="P404" s="132"/>
    </row>
    <row r="405" spans="1:16" ht="24" customHeight="1">
      <c r="A405" s="21" t="s">
        <v>60</v>
      </c>
      <c r="B405" s="7"/>
      <c r="C405" s="7"/>
      <c r="D405" s="132">
        <v>160</v>
      </c>
      <c r="E405" s="132"/>
      <c r="F405" s="132">
        <f>D405</f>
        <v>160</v>
      </c>
      <c r="G405" s="132">
        <v>243.27563</v>
      </c>
      <c r="H405" s="132"/>
      <c r="I405" s="132"/>
      <c r="J405" s="132">
        <f>G405</f>
        <v>243.27563</v>
      </c>
      <c r="K405" s="17" t="e">
        <f>#REF!/G405*100</f>
        <v>#REF!</v>
      </c>
      <c r="L405" s="17"/>
      <c r="M405" s="17"/>
      <c r="N405" s="132">
        <v>160</v>
      </c>
      <c r="O405" s="132"/>
      <c r="P405" s="132">
        <f>N405</f>
        <v>160</v>
      </c>
    </row>
    <row r="406" spans="1:16" ht="11.25">
      <c r="A406" s="54" t="s">
        <v>6</v>
      </c>
      <c r="B406" s="53"/>
      <c r="C406" s="53"/>
      <c r="D406" s="132"/>
      <c r="E406" s="132"/>
      <c r="F406" s="132"/>
      <c r="G406" s="14"/>
      <c r="H406" s="14"/>
      <c r="I406" s="14"/>
      <c r="J406" s="14"/>
      <c r="K406" s="17"/>
      <c r="L406" s="17"/>
      <c r="M406" s="17"/>
      <c r="N406" s="14"/>
      <c r="O406" s="14"/>
      <c r="P406" s="14"/>
    </row>
    <row r="407" spans="1:16" ht="39" customHeight="1">
      <c r="A407" s="55" t="s">
        <v>200</v>
      </c>
      <c r="B407" s="53"/>
      <c r="C407" s="53"/>
      <c r="D407" s="132">
        <f>D403/D401*100</f>
        <v>35.67351598173516</v>
      </c>
      <c r="E407" s="132"/>
      <c r="F407" s="132">
        <f>D407</f>
        <v>35.67351598173516</v>
      </c>
      <c r="G407" s="132">
        <f>G403/G401*100</f>
        <v>42.86529680365297</v>
      </c>
      <c r="H407" s="132"/>
      <c r="I407" s="132"/>
      <c r="J407" s="132">
        <f>G407</f>
        <v>42.86529680365297</v>
      </c>
      <c r="K407" s="17"/>
      <c r="L407" s="17"/>
      <c r="M407" s="17"/>
      <c r="N407" s="132">
        <f>N403/N401*100</f>
        <v>35.67351598173516</v>
      </c>
      <c r="O407" s="132"/>
      <c r="P407" s="132">
        <f>N407</f>
        <v>35.67351598173516</v>
      </c>
    </row>
    <row r="408" spans="1:235" s="92" customFormat="1" ht="36.75" customHeight="1">
      <c r="A408" s="96" t="s">
        <v>380</v>
      </c>
      <c r="B408" s="96"/>
      <c r="C408" s="96"/>
      <c r="D408" s="133">
        <f>D412*D414</f>
        <v>60000</v>
      </c>
      <c r="E408" s="133"/>
      <c r="F408" s="133">
        <f>F412*F414</f>
        <v>60000</v>
      </c>
      <c r="G408" s="133">
        <f>G412*G414</f>
        <v>0</v>
      </c>
      <c r="H408" s="133"/>
      <c r="I408" s="133"/>
      <c r="J408" s="133">
        <f>G408+H408</f>
        <v>0</v>
      </c>
      <c r="K408" s="133"/>
      <c r="L408" s="133"/>
      <c r="M408" s="133"/>
      <c r="N408" s="133">
        <f>N412*N414</f>
        <v>0</v>
      </c>
      <c r="O408" s="133"/>
      <c r="P408" s="133">
        <f>N408</f>
        <v>0</v>
      </c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  <c r="BZ408" s="91"/>
      <c r="CA408" s="91"/>
      <c r="CB408" s="91"/>
      <c r="CC408" s="91"/>
      <c r="CD408" s="91"/>
      <c r="CE408" s="91"/>
      <c r="CF408" s="91"/>
      <c r="CG408" s="91"/>
      <c r="CH408" s="91"/>
      <c r="CI408" s="91"/>
      <c r="CJ408" s="91"/>
      <c r="CK408" s="91"/>
      <c r="CL408" s="91"/>
      <c r="CM408" s="91"/>
      <c r="CN408" s="91"/>
      <c r="CO408" s="91"/>
      <c r="CP408" s="91"/>
      <c r="CQ408" s="91"/>
      <c r="CR408" s="91"/>
      <c r="CS408" s="91"/>
      <c r="CT408" s="91"/>
      <c r="CU408" s="91"/>
      <c r="CV408" s="91"/>
      <c r="CW408" s="91"/>
      <c r="CX408" s="91"/>
      <c r="CY408" s="91"/>
      <c r="CZ408" s="91"/>
      <c r="DA408" s="91"/>
      <c r="DB408" s="91"/>
      <c r="DC408" s="91"/>
      <c r="DD408" s="91"/>
      <c r="DE408" s="91"/>
      <c r="DF408" s="91"/>
      <c r="DG408" s="91"/>
      <c r="DH408" s="91"/>
      <c r="DI408" s="91"/>
      <c r="DJ408" s="91"/>
      <c r="DK408" s="91"/>
      <c r="DL408" s="91"/>
      <c r="DM408" s="91"/>
      <c r="DN408" s="91"/>
      <c r="DO408" s="91"/>
      <c r="DP408" s="91"/>
      <c r="DQ408" s="91"/>
      <c r="DR408" s="91"/>
      <c r="DS408" s="91"/>
      <c r="DT408" s="91"/>
      <c r="DU408" s="91"/>
      <c r="DV408" s="91"/>
      <c r="DW408" s="91"/>
      <c r="DX408" s="91"/>
      <c r="DY408" s="91"/>
      <c r="DZ408" s="91"/>
      <c r="EA408" s="91"/>
      <c r="EB408" s="91"/>
      <c r="EC408" s="91"/>
      <c r="ED408" s="91"/>
      <c r="EE408" s="91"/>
      <c r="EF408" s="91"/>
      <c r="EG408" s="91"/>
      <c r="EH408" s="91"/>
      <c r="EI408" s="91"/>
      <c r="EJ408" s="91"/>
      <c r="EK408" s="91"/>
      <c r="EL408" s="91"/>
      <c r="EM408" s="91"/>
      <c r="EN408" s="91"/>
      <c r="EO408" s="91"/>
      <c r="EP408" s="91"/>
      <c r="EQ408" s="91"/>
      <c r="ER408" s="91"/>
      <c r="ES408" s="91"/>
      <c r="ET408" s="91"/>
      <c r="EU408" s="91"/>
      <c r="EV408" s="91"/>
      <c r="EW408" s="91"/>
      <c r="EX408" s="91"/>
      <c r="EY408" s="91"/>
      <c r="EZ408" s="91"/>
      <c r="FA408" s="91"/>
      <c r="FB408" s="91"/>
      <c r="FC408" s="91"/>
      <c r="FD408" s="91"/>
      <c r="FE408" s="91"/>
      <c r="FF408" s="91"/>
      <c r="FG408" s="91"/>
      <c r="FH408" s="91"/>
      <c r="FI408" s="91"/>
      <c r="FJ408" s="91"/>
      <c r="FK408" s="91"/>
      <c r="FL408" s="91"/>
      <c r="FM408" s="91"/>
      <c r="FN408" s="91"/>
      <c r="FO408" s="91"/>
      <c r="FP408" s="91"/>
      <c r="FQ408" s="91"/>
      <c r="FR408" s="91"/>
      <c r="FS408" s="91"/>
      <c r="FT408" s="91"/>
      <c r="FU408" s="91"/>
      <c r="FV408" s="91"/>
      <c r="FW408" s="91"/>
      <c r="FX408" s="91"/>
      <c r="FY408" s="91"/>
      <c r="FZ408" s="91"/>
      <c r="GA408" s="91"/>
      <c r="GB408" s="91"/>
      <c r="GC408" s="91"/>
      <c r="GD408" s="91"/>
      <c r="GE408" s="91"/>
      <c r="GF408" s="91"/>
      <c r="GG408" s="91"/>
      <c r="GH408" s="91"/>
      <c r="GI408" s="91"/>
      <c r="GJ408" s="91"/>
      <c r="GK408" s="91"/>
      <c r="GL408" s="91"/>
      <c r="GM408" s="91"/>
      <c r="GN408" s="91"/>
      <c r="GO408" s="91"/>
      <c r="GP408" s="91"/>
      <c r="GQ408" s="91"/>
      <c r="GR408" s="91"/>
      <c r="GS408" s="91"/>
      <c r="GT408" s="91"/>
      <c r="GU408" s="91"/>
      <c r="GV408" s="91"/>
      <c r="GW408" s="91"/>
      <c r="GX408" s="91"/>
      <c r="GY408" s="91"/>
      <c r="GZ408" s="91"/>
      <c r="HA408" s="91"/>
      <c r="HB408" s="91"/>
      <c r="HC408" s="91"/>
      <c r="HD408" s="91"/>
      <c r="HE408" s="91"/>
      <c r="HF408" s="91"/>
      <c r="HG408" s="91"/>
      <c r="HH408" s="91"/>
      <c r="HI408" s="91"/>
      <c r="HJ408" s="91"/>
      <c r="HK408" s="91"/>
      <c r="HL408" s="91"/>
      <c r="HM408" s="91"/>
      <c r="HN408" s="91"/>
      <c r="HO408" s="91"/>
      <c r="HP408" s="91"/>
      <c r="HQ408" s="91"/>
      <c r="HR408" s="91"/>
      <c r="HS408" s="91"/>
      <c r="HT408" s="91"/>
      <c r="HU408" s="91"/>
      <c r="HV408" s="91"/>
      <c r="HW408" s="91"/>
      <c r="HX408" s="91"/>
      <c r="HY408" s="91"/>
      <c r="HZ408" s="91"/>
      <c r="IA408" s="91"/>
    </row>
    <row r="409" spans="1:16" ht="11.25">
      <c r="A409" s="43" t="s">
        <v>4</v>
      </c>
      <c r="B409" s="32"/>
      <c r="C409" s="32"/>
      <c r="D409" s="134"/>
      <c r="E409" s="134"/>
      <c r="F409" s="134"/>
      <c r="G409" s="134"/>
      <c r="H409" s="134"/>
      <c r="I409" s="134"/>
      <c r="J409" s="134"/>
      <c r="K409" s="35"/>
      <c r="L409" s="134"/>
      <c r="M409" s="134"/>
      <c r="N409" s="134"/>
      <c r="O409" s="134"/>
      <c r="P409" s="134"/>
    </row>
    <row r="410" spans="1:16" ht="15" customHeight="1">
      <c r="A410" s="44" t="s">
        <v>65</v>
      </c>
      <c r="B410" s="34"/>
      <c r="C410" s="34"/>
      <c r="D410" s="36">
        <f>D408/D414</f>
        <v>4</v>
      </c>
      <c r="E410" s="36"/>
      <c r="F410" s="36">
        <f>D410</f>
        <v>4</v>
      </c>
      <c r="G410" s="36">
        <v>0</v>
      </c>
      <c r="H410" s="36"/>
      <c r="I410" s="36"/>
      <c r="J410" s="36">
        <f>G410+H410</f>
        <v>0</v>
      </c>
      <c r="K410" s="36">
        <f>G410/D410*100</f>
        <v>0</v>
      </c>
      <c r="L410" s="36"/>
      <c r="M410" s="36"/>
      <c r="N410" s="36">
        <v>0</v>
      </c>
      <c r="O410" s="36"/>
      <c r="P410" s="36">
        <f>N410</f>
        <v>0</v>
      </c>
    </row>
    <row r="411" spans="1:16" ht="11.25">
      <c r="A411" s="43" t="s">
        <v>5</v>
      </c>
      <c r="B411" s="32"/>
      <c r="C411" s="32"/>
      <c r="D411" s="135"/>
      <c r="E411" s="135"/>
      <c r="F411" s="36"/>
      <c r="G411" s="135"/>
      <c r="H411" s="135"/>
      <c r="I411" s="135"/>
      <c r="J411" s="36"/>
      <c r="K411" s="36"/>
      <c r="L411" s="135"/>
      <c r="M411" s="135"/>
      <c r="N411" s="135"/>
      <c r="O411" s="135"/>
      <c r="P411" s="36"/>
    </row>
    <row r="412" spans="1:16" ht="24" customHeight="1">
      <c r="A412" s="44" t="s">
        <v>66</v>
      </c>
      <c r="B412" s="34"/>
      <c r="C412" s="34"/>
      <c r="D412" s="36">
        <v>4</v>
      </c>
      <c r="E412" s="36"/>
      <c r="F412" s="36">
        <f>D412</f>
        <v>4</v>
      </c>
      <c r="G412" s="36">
        <v>0</v>
      </c>
      <c r="H412" s="36"/>
      <c r="I412" s="36"/>
      <c r="J412" s="36">
        <f>G412+H412</f>
        <v>0</v>
      </c>
      <c r="K412" s="36">
        <f>G412/D412*100</f>
        <v>0</v>
      </c>
      <c r="L412" s="36"/>
      <c r="M412" s="36"/>
      <c r="N412" s="36">
        <v>0</v>
      </c>
      <c r="O412" s="36"/>
      <c r="P412" s="36">
        <f>N412</f>
        <v>0</v>
      </c>
    </row>
    <row r="413" spans="1:16" ht="11.25">
      <c r="A413" s="43" t="s">
        <v>7</v>
      </c>
      <c r="B413" s="32"/>
      <c r="C413" s="32"/>
      <c r="D413" s="134"/>
      <c r="E413" s="134"/>
      <c r="F413" s="35"/>
      <c r="G413" s="134"/>
      <c r="H413" s="134"/>
      <c r="I413" s="134"/>
      <c r="J413" s="35"/>
      <c r="K413" s="35"/>
      <c r="L413" s="134"/>
      <c r="M413" s="134"/>
      <c r="N413" s="134"/>
      <c r="O413" s="134"/>
      <c r="P413" s="35"/>
    </row>
    <row r="414" spans="1:16" ht="24" customHeight="1">
      <c r="A414" s="44" t="s">
        <v>67</v>
      </c>
      <c r="B414" s="34"/>
      <c r="C414" s="34"/>
      <c r="D414" s="35">
        <v>15000</v>
      </c>
      <c r="E414" s="35"/>
      <c r="F414" s="35">
        <f>D414</f>
        <v>15000</v>
      </c>
      <c r="G414" s="35">
        <v>0</v>
      </c>
      <c r="H414" s="35"/>
      <c r="I414" s="35"/>
      <c r="J414" s="35">
        <f>G414</f>
        <v>0</v>
      </c>
      <c r="K414" s="35">
        <f>G414/D414*100</f>
        <v>0</v>
      </c>
      <c r="L414" s="35"/>
      <c r="M414" s="35"/>
      <c r="N414" s="35">
        <v>0</v>
      </c>
      <c r="O414" s="35"/>
      <c r="P414" s="35">
        <f>N414</f>
        <v>0</v>
      </c>
    </row>
    <row r="415" spans="1:235" s="92" customFormat="1" ht="36.75" customHeight="1">
      <c r="A415" s="96" t="s">
        <v>381</v>
      </c>
      <c r="B415" s="96"/>
      <c r="C415" s="96"/>
      <c r="D415" s="133">
        <f>D419*D421</f>
        <v>0</v>
      </c>
      <c r="E415" s="133"/>
      <c r="F415" s="133">
        <f>F419*F421</f>
        <v>0</v>
      </c>
      <c r="G415" s="188">
        <f>G419*G421</f>
        <v>119999.9999996</v>
      </c>
      <c r="H415" s="133"/>
      <c r="I415" s="133"/>
      <c r="J415" s="133">
        <f>G415+H415</f>
        <v>119999.9999996</v>
      </c>
      <c r="K415" s="133"/>
      <c r="L415" s="133"/>
      <c r="M415" s="133"/>
      <c r="N415" s="133">
        <f>N419*N421</f>
        <v>119999.9999996</v>
      </c>
      <c r="O415" s="133"/>
      <c r="P415" s="133">
        <f>N415</f>
        <v>119999.9999996</v>
      </c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  <c r="BZ415" s="91"/>
      <c r="CA415" s="91"/>
      <c r="CB415" s="91"/>
      <c r="CC415" s="91"/>
      <c r="CD415" s="91"/>
      <c r="CE415" s="91"/>
      <c r="CF415" s="91"/>
      <c r="CG415" s="91"/>
      <c r="CH415" s="91"/>
      <c r="CI415" s="91"/>
      <c r="CJ415" s="91"/>
      <c r="CK415" s="91"/>
      <c r="CL415" s="91"/>
      <c r="CM415" s="91"/>
      <c r="CN415" s="91"/>
      <c r="CO415" s="91"/>
      <c r="CP415" s="91"/>
      <c r="CQ415" s="91"/>
      <c r="CR415" s="91"/>
      <c r="CS415" s="91"/>
      <c r="CT415" s="91"/>
      <c r="CU415" s="91"/>
      <c r="CV415" s="91"/>
      <c r="CW415" s="91"/>
      <c r="CX415" s="91"/>
      <c r="CY415" s="91"/>
      <c r="CZ415" s="91"/>
      <c r="DA415" s="91"/>
      <c r="DB415" s="91"/>
      <c r="DC415" s="91"/>
      <c r="DD415" s="91"/>
      <c r="DE415" s="91"/>
      <c r="DF415" s="91"/>
      <c r="DG415" s="91"/>
      <c r="DH415" s="91"/>
      <c r="DI415" s="91"/>
      <c r="DJ415" s="91"/>
      <c r="DK415" s="91"/>
      <c r="DL415" s="91"/>
      <c r="DM415" s="91"/>
      <c r="DN415" s="91"/>
      <c r="DO415" s="91"/>
      <c r="DP415" s="91"/>
      <c r="DQ415" s="91"/>
      <c r="DR415" s="91"/>
      <c r="DS415" s="91"/>
      <c r="DT415" s="91"/>
      <c r="DU415" s="91"/>
      <c r="DV415" s="91"/>
      <c r="DW415" s="91"/>
      <c r="DX415" s="91"/>
      <c r="DY415" s="91"/>
      <c r="DZ415" s="91"/>
      <c r="EA415" s="91"/>
      <c r="EB415" s="91"/>
      <c r="EC415" s="91"/>
      <c r="ED415" s="91"/>
      <c r="EE415" s="91"/>
      <c r="EF415" s="91"/>
      <c r="EG415" s="91"/>
      <c r="EH415" s="91"/>
      <c r="EI415" s="91"/>
      <c r="EJ415" s="91"/>
      <c r="EK415" s="91"/>
      <c r="EL415" s="91"/>
      <c r="EM415" s="91"/>
      <c r="EN415" s="91"/>
      <c r="EO415" s="91"/>
      <c r="EP415" s="91"/>
      <c r="EQ415" s="91"/>
      <c r="ER415" s="91"/>
      <c r="ES415" s="91"/>
      <c r="ET415" s="91"/>
      <c r="EU415" s="91"/>
      <c r="EV415" s="91"/>
      <c r="EW415" s="91"/>
      <c r="EX415" s="91"/>
      <c r="EY415" s="91"/>
      <c r="EZ415" s="91"/>
      <c r="FA415" s="91"/>
      <c r="FB415" s="91"/>
      <c r="FC415" s="91"/>
      <c r="FD415" s="91"/>
      <c r="FE415" s="91"/>
      <c r="FF415" s="91"/>
      <c r="FG415" s="91"/>
      <c r="FH415" s="91"/>
      <c r="FI415" s="91"/>
      <c r="FJ415" s="91"/>
      <c r="FK415" s="91"/>
      <c r="FL415" s="91"/>
      <c r="FM415" s="91"/>
      <c r="FN415" s="91"/>
      <c r="FO415" s="91"/>
      <c r="FP415" s="91"/>
      <c r="FQ415" s="91"/>
      <c r="FR415" s="91"/>
      <c r="FS415" s="91"/>
      <c r="FT415" s="91"/>
      <c r="FU415" s="91"/>
      <c r="FV415" s="91"/>
      <c r="FW415" s="91"/>
      <c r="FX415" s="91"/>
      <c r="FY415" s="91"/>
      <c r="FZ415" s="91"/>
      <c r="GA415" s="91"/>
      <c r="GB415" s="91"/>
      <c r="GC415" s="91"/>
      <c r="GD415" s="91"/>
      <c r="GE415" s="91"/>
      <c r="GF415" s="91"/>
      <c r="GG415" s="91"/>
      <c r="GH415" s="91"/>
      <c r="GI415" s="91"/>
      <c r="GJ415" s="91"/>
      <c r="GK415" s="91"/>
      <c r="GL415" s="91"/>
      <c r="GM415" s="91"/>
      <c r="GN415" s="91"/>
      <c r="GO415" s="91"/>
      <c r="GP415" s="91"/>
      <c r="GQ415" s="91"/>
      <c r="GR415" s="91"/>
      <c r="GS415" s="91"/>
      <c r="GT415" s="91"/>
      <c r="GU415" s="91"/>
      <c r="GV415" s="91"/>
      <c r="GW415" s="91"/>
      <c r="GX415" s="91"/>
      <c r="GY415" s="91"/>
      <c r="GZ415" s="91"/>
      <c r="HA415" s="91"/>
      <c r="HB415" s="91"/>
      <c r="HC415" s="91"/>
      <c r="HD415" s="91"/>
      <c r="HE415" s="91"/>
      <c r="HF415" s="91"/>
      <c r="HG415" s="91"/>
      <c r="HH415" s="91"/>
      <c r="HI415" s="91"/>
      <c r="HJ415" s="91"/>
      <c r="HK415" s="91"/>
      <c r="HL415" s="91"/>
      <c r="HM415" s="91"/>
      <c r="HN415" s="91"/>
      <c r="HO415" s="91"/>
      <c r="HP415" s="91"/>
      <c r="HQ415" s="91"/>
      <c r="HR415" s="91"/>
      <c r="HS415" s="91"/>
      <c r="HT415" s="91"/>
      <c r="HU415" s="91"/>
      <c r="HV415" s="91"/>
      <c r="HW415" s="91"/>
      <c r="HX415" s="91"/>
      <c r="HY415" s="91"/>
      <c r="HZ415" s="91"/>
      <c r="IA415" s="91"/>
    </row>
    <row r="416" spans="1:16" ht="11.25">
      <c r="A416" s="43" t="s">
        <v>4</v>
      </c>
      <c r="B416" s="32"/>
      <c r="C416" s="32"/>
      <c r="D416" s="134"/>
      <c r="E416" s="134"/>
      <c r="F416" s="134"/>
      <c r="G416" s="134"/>
      <c r="H416" s="134"/>
      <c r="I416" s="134"/>
      <c r="J416" s="134"/>
      <c r="K416" s="35"/>
      <c r="L416" s="134"/>
      <c r="M416" s="134"/>
      <c r="N416" s="134"/>
      <c r="O416" s="134"/>
      <c r="P416" s="134"/>
    </row>
    <row r="417" spans="1:16" ht="15" customHeight="1">
      <c r="A417" s="44" t="s">
        <v>65</v>
      </c>
      <c r="B417" s="34"/>
      <c r="C417" s="34"/>
      <c r="D417" s="36">
        <v>0</v>
      </c>
      <c r="E417" s="36"/>
      <c r="F417" s="36">
        <f>D417</f>
        <v>0</v>
      </c>
      <c r="G417" s="36">
        <v>7</v>
      </c>
      <c r="H417" s="36"/>
      <c r="I417" s="36"/>
      <c r="J417" s="36">
        <f>G417+H417</f>
        <v>7</v>
      </c>
      <c r="K417" s="36" t="e">
        <f>G417/D417*100</f>
        <v>#DIV/0!</v>
      </c>
      <c r="L417" s="36"/>
      <c r="M417" s="36"/>
      <c r="N417" s="36">
        <v>7</v>
      </c>
      <c r="O417" s="36"/>
      <c r="P417" s="36">
        <f>N417</f>
        <v>7</v>
      </c>
    </row>
    <row r="418" spans="1:16" ht="11.25">
      <c r="A418" s="43" t="s">
        <v>5</v>
      </c>
      <c r="B418" s="32"/>
      <c r="C418" s="32"/>
      <c r="D418" s="135"/>
      <c r="E418" s="135"/>
      <c r="F418" s="36"/>
      <c r="G418" s="135"/>
      <c r="H418" s="135"/>
      <c r="I418" s="135"/>
      <c r="J418" s="36"/>
      <c r="K418" s="36"/>
      <c r="L418" s="135"/>
      <c r="M418" s="135"/>
      <c r="N418" s="135"/>
      <c r="O418" s="135"/>
      <c r="P418" s="36"/>
    </row>
    <row r="419" spans="1:16" ht="24" customHeight="1">
      <c r="A419" s="44" t="s">
        <v>66</v>
      </c>
      <c r="B419" s="34"/>
      <c r="C419" s="34"/>
      <c r="D419" s="36">
        <v>0</v>
      </c>
      <c r="E419" s="36"/>
      <c r="F419" s="36">
        <f>D419</f>
        <v>0</v>
      </c>
      <c r="G419" s="36">
        <v>7</v>
      </c>
      <c r="H419" s="36"/>
      <c r="I419" s="36"/>
      <c r="J419" s="36">
        <f>G419+H419</f>
        <v>7</v>
      </c>
      <c r="K419" s="36" t="e">
        <f>G419/D419*100</f>
        <v>#DIV/0!</v>
      </c>
      <c r="L419" s="36"/>
      <c r="M419" s="36"/>
      <c r="N419" s="36">
        <v>7</v>
      </c>
      <c r="O419" s="36"/>
      <c r="P419" s="36">
        <f>N419</f>
        <v>7</v>
      </c>
    </row>
    <row r="420" spans="1:16" ht="11.25">
      <c r="A420" s="43" t="s">
        <v>7</v>
      </c>
      <c r="B420" s="32"/>
      <c r="C420" s="32"/>
      <c r="D420" s="134"/>
      <c r="E420" s="134"/>
      <c r="F420" s="35"/>
      <c r="G420" s="134"/>
      <c r="H420" s="134"/>
      <c r="I420" s="134"/>
      <c r="J420" s="35"/>
      <c r="K420" s="35"/>
      <c r="L420" s="134"/>
      <c r="M420" s="134"/>
      <c r="N420" s="134"/>
      <c r="O420" s="134"/>
      <c r="P420" s="35"/>
    </row>
    <row r="421" spans="1:16" ht="24" customHeight="1">
      <c r="A421" s="44" t="s">
        <v>67</v>
      </c>
      <c r="B421" s="34"/>
      <c r="C421" s="34"/>
      <c r="D421" s="35">
        <v>0</v>
      </c>
      <c r="E421" s="35"/>
      <c r="F421" s="35">
        <f>D421</f>
        <v>0</v>
      </c>
      <c r="G421" s="35">
        <v>17142.8571428</v>
      </c>
      <c r="H421" s="35"/>
      <c r="I421" s="35"/>
      <c r="J421" s="35">
        <f>G421</f>
        <v>17142.8571428</v>
      </c>
      <c r="K421" s="35" t="e">
        <f>G421/D421*100</f>
        <v>#DIV/0!</v>
      </c>
      <c r="L421" s="35"/>
      <c r="M421" s="35"/>
      <c r="N421" s="35">
        <v>17142.8571428</v>
      </c>
      <c r="O421" s="35"/>
      <c r="P421" s="35">
        <f>N421</f>
        <v>17142.8571428</v>
      </c>
    </row>
    <row r="422" spans="1:235" s="92" customFormat="1" ht="33.75">
      <c r="A422" s="96" t="s">
        <v>382</v>
      </c>
      <c r="B422" s="96"/>
      <c r="C422" s="96"/>
      <c r="D422" s="100">
        <f>(D426*D431)+(D427*D432)+2.8</f>
        <v>293680</v>
      </c>
      <c r="E422" s="100"/>
      <c r="F422" s="100">
        <f>D422</f>
        <v>293680</v>
      </c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  <c r="BY422" s="91"/>
      <c r="BZ422" s="91"/>
      <c r="CA422" s="91"/>
      <c r="CB422" s="91"/>
      <c r="CC422" s="91"/>
      <c r="CD422" s="91"/>
      <c r="CE422" s="91"/>
      <c r="CF422" s="91"/>
      <c r="CG422" s="91"/>
      <c r="CH422" s="91"/>
      <c r="CI422" s="91"/>
      <c r="CJ422" s="91"/>
      <c r="CK422" s="91"/>
      <c r="CL422" s="91"/>
      <c r="CM422" s="91"/>
      <c r="CN422" s="91"/>
      <c r="CO422" s="91"/>
      <c r="CP422" s="91"/>
      <c r="CQ422" s="91"/>
      <c r="CR422" s="91"/>
      <c r="CS422" s="91"/>
      <c r="CT422" s="91"/>
      <c r="CU422" s="91"/>
      <c r="CV422" s="91"/>
      <c r="CW422" s="91"/>
      <c r="CX422" s="91"/>
      <c r="CY422" s="91"/>
      <c r="CZ422" s="91"/>
      <c r="DA422" s="91"/>
      <c r="DB422" s="91"/>
      <c r="DC422" s="91"/>
      <c r="DD422" s="91"/>
      <c r="DE422" s="91"/>
      <c r="DF422" s="91"/>
      <c r="DG422" s="91"/>
      <c r="DH422" s="91"/>
      <c r="DI422" s="91"/>
      <c r="DJ422" s="91"/>
      <c r="DK422" s="91"/>
      <c r="DL422" s="91"/>
      <c r="DM422" s="91"/>
      <c r="DN422" s="91"/>
      <c r="DO422" s="91"/>
      <c r="DP422" s="91"/>
      <c r="DQ422" s="91"/>
      <c r="DR422" s="91"/>
      <c r="DS422" s="91"/>
      <c r="DT422" s="91"/>
      <c r="DU422" s="91"/>
      <c r="DV422" s="91"/>
      <c r="DW422" s="91"/>
      <c r="DX422" s="91"/>
      <c r="DY422" s="91"/>
      <c r="DZ422" s="91"/>
      <c r="EA422" s="91"/>
      <c r="EB422" s="91"/>
      <c r="EC422" s="91"/>
      <c r="ED422" s="91"/>
      <c r="EE422" s="91"/>
      <c r="EF422" s="91"/>
      <c r="EG422" s="91"/>
      <c r="EH422" s="91"/>
      <c r="EI422" s="91"/>
      <c r="EJ422" s="91"/>
      <c r="EK422" s="91"/>
      <c r="EL422" s="91"/>
      <c r="EM422" s="91"/>
      <c r="EN422" s="91"/>
      <c r="EO422" s="91"/>
      <c r="EP422" s="91"/>
      <c r="EQ422" s="91"/>
      <c r="ER422" s="91"/>
      <c r="ES422" s="91"/>
      <c r="ET422" s="91"/>
      <c r="EU422" s="91"/>
      <c r="EV422" s="91"/>
      <c r="EW422" s="91"/>
      <c r="EX422" s="91"/>
      <c r="EY422" s="91"/>
      <c r="EZ422" s="91"/>
      <c r="FA422" s="91"/>
      <c r="FB422" s="91"/>
      <c r="FC422" s="91"/>
      <c r="FD422" s="91"/>
      <c r="FE422" s="91"/>
      <c r="FF422" s="91"/>
      <c r="FG422" s="91"/>
      <c r="FH422" s="91"/>
      <c r="FI422" s="91"/>
      <c r="FJ422" s="91"/>
      <c r="FK422" s="91"/>
      <c r="FL422" s="91"/>
      <c r="FM422" s="91"/>
      <c r="FN422" s="91"/>
      <c r="FO422" s="91"/>
      <c r="FP422" s="91"/>
      <c r="FQ422" s="91"/>
      <c r="FR422" s="91"/>
      <c r="FS422" s="91"/>
      <c r="FT422" s="91"/>
      <c r="FU422" s="91"/>
      <c r="FV422" s="91"/>
      <c r="FW422" s="91"/>
      <c r="FX422" s="91"/>
      <c r="FY422" s="91"/>
      <c r="FZ422" s="91"/>
      <c r="GA422" s="91"/>
      <c r="GB422" s="91"/>
      <c r="GC422" s="91"/>
      <c r="GD422" s="91"/>
      <c r="GE422" s="91"/>
      <c r="GF422" s="91"/>
      <c r="GG422" s="91"/>
      <c r="GH422" s="91"/>
      <c r="GI422" s="91"/>
      <c r="GJ422" s="91"/>
      <c r="GK422" s="91"/>
      <c r="GL422" s="91"/>
      <c r="GM422" s="91"/>
      <c r="GN422" s="91"/>
      <c r="GO422" s="91"/>
      <c r="GP422" s="91"/>
      <c r="GQ422" s="91"/>
      <c r="GR422" s="91"/>
      <c r="GS422" s="91"/>
      <c r="GT422" s="91"/>
      <c r="GU422" s="91"/>
      <c r="GV422" s="91"/>
      <c r="GW422" s="91"/>
      <c r="GX422" s="91"/>
      <c r="GY422" s="91"/>
      <c r="GZ422" s="91"/>
      <c r="HA422" s="91"/>
      <c r="HB422" s="91"/>
      <c r="HC422" s="91"/>
      <c r="HD422" s="91"/>
      <c r="HE422" s="91"/>
      <c r="HF422" s="91"/>
      <c r="HG422" s="91"/>
      <c r="HH422" s="91"/>
      <c r="HI422" s="91"/>
      <c r="HJ422" s="91"/>
      <c r="HK422" s="91"/>
      <c r="HL422" s="91"/>
      <c r="HM422" s="91"/>
      <c r="HN422" s="91"/>
      <c r="HO422" s="91"/>
      <c r="HP422" s="91"/>
      <c r="HQ422" s="91"/>
      <c r="HR422" s="91"/>
      <c r="HS422" s="91"/>
      <c r="HT422" s="91"/>
      <c r="HU422" s="91"/>
      <c r="HV422" s="91"/>
      <c r="HW422" s="91"/>
      <c r="HX422" s="91"/>
      <c r="HY422" s="91"/>
      <c r="HZ422" s="91"/>
      <c r="IA422" s="91"/>
    </row>
    <row r="423" spans="1:16" ht="11.25">
      <c r="A423" s="43" t="s">
        <v>5</v>
      </c>
      <c r="B423" s="32"/>
      <c r="C423" s="32"/>
      <c r="D423" s="134"/>
      <c r="E423" s="134"/>
      <c r="F423" s="35"/>
      <c r="G423" s="134"/>
      <c r="H423" s="134"/>
      <c r="I423" s="134"/>
      <c r="J423" s="35"/>
      <c r="K423" s="38"/>
      <c r="L423" s="136"/>
      <c r="M423" s="136"/>
      <c r="N423" s="134"/>
      <c r="O423" s="134"/>
      <c r="P423" s="35"/>
    </row>
    <row r="424" spans="1:16" ht="24" customHeight="1">
      <c r="A424" s="44" t="s">
        <v>202</v>
      </c>
      <c r="B424" s="34"/>
      <c r="C424" s="34"/>
      <c r="D424" s="36"/>
      <c r="E424" s="36"/>
      <c r="F424" s="36">
        <v>230</v>
      </c>
      <c r="G424" s="36"/>
      <c r="H424" s="36"/>
      <c r="I424" s="36"/>
      <c r="J424" s="36"/>
      <c r="K424" s="36"/>
      <c r="L424" s="36"/>
      <c r="M424" s="36"/>
      <c r="N424" s="36"/>
      <c r="O424" s="36"/>
      <c r="P424" s="36"/>
    </row>
    <row r="425" spans="1:16" ht="13.5" customHeight="1">
      <c r="A425" s="44" t="s">
        <v>68</v>
      </c>
      <c r="B425" s="34"/>
      <c r="C425" s="3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</row>
    <row r="426" spans="1:16" ht="23.25" customHeight="1">
      <c r="A426" s="44" t="s">
        <v>203</v>
      </c>
      <c r="B426" s="34"/>
      <c r="C426" s="34"/>
      <c r="D426" s="36">
        <v>180</v>
      </c>
      <c r="E426" s="36"/>
      <c r="F426" s="36">
        <f>D426</f>
        <v>180</v>
      </c>
      <c r="G426" s="36"/>
      <c r="H426" s="36"/>
      <c r="I426" s="36"/>
      <c r="J426" s="36"/>
      <c r="K426" s="36"/>
      <c r="L426" s="36"/>
      <c r="M426" s="36"/>
      <c r="N426" s="36"/>
      <c r="O426" s="36"/>
      <c r="P426" s="36"/>
    </row>
    <row r="427" spans="1:16" ht="27" customHeight="1">
      <c r="A427" s="44" t="s">
        <v>204</v>
      </c>
      <c r="B427" s="34"/>
      <c r="C427" s="34"/>
      <c r="D427" s="36">
        <v>540</v>
      </c>
      <c r="E427" s="36"/>
      <c r="F427" s="36">
        <f>D427</f>
        <v>540</v>
      </c>
      <c r="G427" s="36"/>
      <c r="H427" s="36"/>
      <c r="I427" s="36"/>
      <c r="J427" s="36"/>
      <c r="K427" s="36"/>
      <c r="L427" s="36"/>
      <c r="M427" s="36"/>
      <c r="N427" s="36"/>
      <c r="O427" s="36"/>
      <c r="P427" s="36"/>
    </row>
    <row r="428" spans="1:16" ht="11.25">
      <c r="A428" s="43" t="s">
        <v>7</v>
      </c>
      <c r="B428" s="32"/>
      <c r="C428" s="32"/>
      <c r="D428" s="135"/>
      <c r="E428" s="135"/>
      <c r="F428" s="36"/>
      <c r="G428" s="135"/>
      <c r="H428" s="135"/>
      <c r="I428" s="135"/>
      <c r="J428" s="36"/>
      <c r="K428" s="37"/>
      <c r="L428" s="103"/>
      <c r="M428" s="103"/>
      <c r="N428" s="135"/>
      <c r="O428" s="135"/>
      <c r="P428" s="36"/>
    </row>
    <row r="429" spans="1:16" ht="35.25" customHeight="1">
      <c r="A429" s="44" t="s">
        <v>205</v>
      </c>
      <c r="B429" s="34"/>
      <c r="C429" s="34"/>
      <c r="D429" s="36"/>
      <c r="E429" s="36"/>
      <c r="F429" s="36">
        <f>D429</f>
        <v>0</v>
      </c>
      <c r="G429" s="36"/>
      <c r="H429" s="36"/>
      <c r="I429" s="36"/>
      <c r="J429" s="36"/>
      <c r="K429" s="37"/>
      <c r="L429" s="37"/>
      <c r="M429" s="37"/>
      <c r="N429" s="36"/>
      <c r="O429" s="36"/>
      <c r="P429" s="36"/>
    </row>
    <row r="430" spans="1:16" ht="11.25">
      <c r="A430" s="44" t="s">
        <v>68</v>
      </c>
      <c r="B430" s="34"/>
      <c r="C430" s="34"/>
      <c r="D430" s="35"/>
      <c r="E430" s="35"/>
      <c r="F430" s="35"/>
      <c r="G430" s="35"/>
      <c r="H430" s="35"/>
      <c r="I430" s="35"/>
      <c r="J430" s="35"/>
      <c r="K430" s="38"/>
      <c r="L430" s="38"/>
      <c r="M430" s="38"/>
      <c r="N430" s="35"/>
      <c r="O430" s="35"/>
      <c r="P430" s="35"/>
    </row>
    <row r="431" spans="1:16" ht="23.25" customHeight="1">
      <c r="A431" s="44" t="s">
        <v>203</v>
      </c>
      <c r="B431" s="34"/>
      <c r="C431" s="34"/>
      <c r="D431" s="36">
        <v>122.96</v>
      </c>
      <c r="E431" s="36"/>
      <c r="F431" s="36">
        <f>D431</f>
        <v>122.96</v>
      </c>
      <c r="G431" s="36"/>
      <c r="H431" s="36"/>
      <c r="I431" s="36"/>
      <c r="J431" s="36"/>
      <c r="K431" s="38"/>
      <c r="L431" s="38"/>
      <c r="M431" s="38"/>
      <c r="N431" s="36"/>
      <c r="O431" s="36"/>
      <c r="P431" s="36"/>
    </row>
    <row r="432" spans="1:16" ht="24" customHeight="1">
      <c r="A432" s="44" t="s">
        <v>204</v>
      </c>
      <c r="B432" s="34"/>
      <c r="C432" s="34"/>
      <c r="D432" s="36">
        <v>502.86</v>
      </c>
      <c r="E432" s="36"/>
      <c r="F432" s="36">
        <f>D432</f>
        <v>502.86</v>
      </c>
      <c r="G432" s="36"/>
      <c r="H432" s="36"/>
      <c r="I432" s="36"/>
      <c r="J432" s="36"/>
      <c r="K432" s="38"/>
      <c r="L432" s="38"/>
      <c r="M432" s="38"/>
      <c r="N432" s="36"/>
      <c r="O432" s="36"/>
      <c r="P432" s="36"/>
    </row>
    <row r="433" spans="1:235" s="92" customFormat="1" ht="33.75">
      <c r="A433" s="96" t="s">
        <v>383</v>
      </c>
      <c r="B433" s="96"/>
      <c r="C433" s="96"/>
      <c r="D433" s="100"/>
      <c r="E433" s="100"/>
      <c r="F433" s="100"/>
      <c r="G433" s="100">
        <f>G437*G442+G438*G443</f>
        <v>99999.9999984</v>
      </c>
      <c r="H433" s="100"/>
      <c r="I433" s="100"/>
      <c r="J433" s="100">
        <f>G433+H433</f>
        <v>99999.9999984</v>
      </c>
      <c r="K433" s="100"/>
      <c r="L433" s="100"/>
      <c r="M433" s="100"/>
      <c r="N433" s="100">
        <f>(N437*N442)+(N438*N443)</f>
        <v>299213.19999972</v>
      </c>
      <c r="O433" s="100"/>
      <c r="P433" s="100">
        <f>N433</f>
        <v>299213.19999972</v>
      </c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  <c r="BY433" s="91"/>
      <c r="BZ433" s="91"/>
      <c r="CA433" s="91"/>
      <c r="CB433" s="91"/>
      <c r="CC433" s="91"/>
      <c r="CD433" s="91"/>
      <c r="CE433" s="91"/>
      <c r="CF433" s="91"/>
      <c r="CG433" s="91"/>
      <c r="CH433" s="91"/>
      <c r="CI433" s="91"/>
      <c r="CJ433" s="91"/>
      <c r="CK433" s="91"/>
      <c r="CL433" s="91"/>
      <c r="CM433" s="91"/>
      <c r="CN433" s="91"/>
      <c r="CO433" s="91"/>
      <c r="CP433" s="91"/>
      <c r="CQ433" s="91"/>
      <c r="CR433" s="91"/>
      <c r="CS433" s="91"/>
      <c r="CT433" s="91"/>
      <c r="CU433" s="91"/>
      <c r="CV433" s="91"/>
      <c r="CW433" s="91"/>
      <c r="CX433" s="91"/>
      <c r="CY433" s="91"/>
      <c r="CZ433" s="91"/>
      <c r="DA433" s="91"/>
      <c r="DB433" s="91"/>
      <c r="DC433" s="91"/>
      <c r="DD433" s="91"/>
      <c r="DE433" s="91"/>
      <c r="DF433" s="91"/>
      <c r="DG433" s="91"/>
      <c r="DH433" s="91"/>
      <c r="DI433" s="91"/>
      <c r="DJ433" s="91"/>
      <c r="DK433" s="91"/>
      <c r="DL433" s="91"/>
      <c r="DM433" s="91"/>
      <c r="DN433" s="91"/>
      <c r="DO433" s="91"/>
      <c r="DP433" s="91"/>
      <c r="DQ433" s="91"/>
      <c r="DR433" s="91"/>
      <c r="DS433" s="91"/>
      <c r="DT433" s="91"/>
      <c r="DU433" s="91"/>
      <c r="DV433" s="91"/>
      <c r="DW433" s="91"/>
      <c r="DX433" s="91"/>
      <c r="DY433" s="91"/>
      <c r="DZ433" s="91"/>
      <c r="EA433" s="91"/>
      <c r="EB433" s="91"/>
      <c r="EC433" s="91"/>
      <c r="ED433" s="91"/>
      <c r="EE433" s="91"/>
      <c r="EF433" s="91"/>
      <c r="EG433" s="91"/>
      <c r="EH433" s="91"/>
      <c r="EI433" s="91"/>
      <c r="EJ433" s="91"/>
      <c r="EK433" s="91"/>
      <c r="EL433" s="91"/>
      <c r="EM433" s="91"/>
      <c r="EN433" s="91"/>
      <c r="EO433" s="91"/>
      <c r="EP433" s="91"/>
      <c r="EQ433" s="91"/>
      <c r="ER433" s="91"/>
      <c r="ES433" s="91"/>
      <c r="ET433" s="91"/>
      <c r="EU433" s="91"/>
      <c r="EV433" s="91"/>
      <c r="EW433" s="91"/>
      <c r="EX433" s="91"/>
      <c r="EY433" s="91"/>
      <c r="EZ433" s="91"/>
      <c r="FA433" s="91"/>
      <c r="FB433" s="91"/>
      <c r="FC433" s="91"/>
      <c r="FD433" s="91"/>
      <c r="FE433" s="91"/>
      <c r="FF433" s="91"/>
      <c r="FG433" s="91"/>
      <c r="FH433" s="91"/>
      <c r="FI433" s="91"/>
      <c r="FJ433" s="91"/>
      <c r="FK433" s="91"/>
      <c r="FL433" s="91"/>
      <c r="FM433" s="91"/>
      <c r="FN433" s="91"/>
      <c r="FO433" s="91"/>
      <c r="FP433" s="91"/>
      <c r="FQ433" s="91"/>
      <c r="FR433" s="91"/>
      <c r="FS433" s="91"/>
      <c r="FT433" s="91"/>
      <c r="FU433" s="91"/>
      <c r="FV433" s="91"/>
      <c r="FW433" s="91"/>
      <c r="FX433" s="91"/>
      <c r="FY433" s="91"/>
      <c r="FZ433" s="91"/>
      <c r="GA433" s="91"/>
      <c r="GB433" s="91"/>
      <c r="GC433" s="91"/>
      <c r="GD433" s="91"/>
      <c r="GE433" s="91"/>
      <c r="GF433" s="91"/>
      <c r="GG433" s="91"/>
      <c r="GH433" s="91"/>
      <c r="GI433" s="91"/>
      <c r="GJ433" s="91"/>
      <c r="GK433" s="91"/>
      <c r="GL433" s="91"/>
      <c r="GM433" s="91"/>
      <c r="GN433" s="91"/>
      <c r="GO433" s="91"/>
      <c r="GP433" s="91"/>
      <c r="GQ433" s="91"/>
      <c r="GR433" s="91"/>
      <c r="GS433" s="91"/>
      <c r="GT433" s="91"/>
      <c r="GU433" s="91"/>
      <c r="GV433" s="91"/>
      <c r="GW433" s="91"/>
      <c r="GX433" s="91"/>
      <c r="GY433" s="91"/>
      <c r="GZ433" s="91"/>
      <c r="HA433" s="91"/>
      <c r="HB433" s="91"/>
      <c r="HC433" s="91"/>
      <c r="HD433" s="91"/>
      <c r="HE433" s="91"/>
      <c r="HF433" s="91"/>
      <c r="HG433" s="91"/>
      <c r="HH433" s="91"/>
      <c r="HI433" s="91"/>
      <c r="HJ433" s="91"/>
      <c r="HK433" s="91"/>
      <c r="HL433" s="91"/>
      <c r="HM433" s="91"/>
      <c r="HN433" s="91"/>
      <c r="HO433" s="91"/>
      <c r="HP433" s="91"/>
      <c r="HQ433" s="91"/>
      <c r="HR433" s="91"/>
      <c r="HS433" s="91"/>
      <c r="HT433" s="91"/>
      <c r="HU433" s="91"/>
      <c r="HV433" s="91"/>
      <c r="HW433" s="91"/>
      <c r="HX433" s="91"/>
      <c r="HY433" s="91"/>
      <c r="HZ433" s="91"/>
      <c r="IA433" s="91"/>
    </row>
    <row r="434" spans="1:16" ht="11.25">
      <c r="A434" s="43" t="s">
        <v>5</v>
      </c>
      <c r="B434" s="32"/>
      <c r="C434" s="32"/>
      <c r="D434" s="134"/>
      <c r="E434" s="134"/>
      <c r="F434" s="35"/>
      <c r="G434" s="134"/>
      <c r="H434" s="134"/>
      <c r="I434" s="134"/>
      <c r="J434" s="35"/>
      <c r="K434" s="38"/>
      <c r="L434" s="136"/>
      <c r="M434" s="136"/>
      <c r="N434" s="134"/>
      <c r="O434" s="134"/>
      <c r="P434" s="35"/>
    </row>
    <row r="435" spans="1:16" ht="24" customHeight="1">
      <c r="A435" s="44" t="s">
        <v>202</v>
      </c>
      <c r="B435" s="34"/>
      <c r="C435" s="34"/>
      <c r="D435" s="36"/>
      <c r="E435" s="36"/>
      <c r="F435" s="36"/>
      <c r="G435" s="36">
        <v>270</v>
      </c>
      <c r="H435" s="36"/>
      <c r="I435" s="36"/>
      <c r="J435" s="36">
        <v>257</v>
      </c>
      <c r="K435" s="36" t="e">
        <f>G435/D435*100</f>
        <v>#DIV/0!</v>
      </c>
      <c r="L435" s="36"/>
      <c r="M435" s="36"/>
      <c r="N435" s="36">
        <v>765</v>
      </c>
      <c r="O435" s="36"/>
      <c r="P435" s="36">
        <v>765</v>
      </c>
    </row>
    <row r="436" spans="1:16" ht="13.5" customHeight="1">
      <c r="A436" s="44" t="s">
        <v>68</v>
      </c>
      <c r="B436" s="34"/>
      <c r="C436" s="3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</row>
    <row r="437" spans="1:16" ht="23.25" customHeight="1">
      <c r="A437" s="44" t="s">
        <v>203</v>
      </c>
      <c r="B437" s="34"/>
      <c r="C437" s="34"/>
      <c r="D437" s="36"/>
      <c r="E437" s="36"/>
      <c r="F437" s="36"/>
      <c r="G437" s="36">
        <v>77</v>
      </c>
      <c r="H437" s="36"/>
      <c r="I437" s="36"/>
      <c r="J437" s="36">
        <f>G437+H437</f>
        <v>77</v>
      </c>
      <c r="K437" s="36"/>
      <c r="L437" s="36"/>
      <c r="M437" s="36"/>
      <c r="N437" s="36">
        <v>225</v>
      </c>
      <c r="O437" s="36"/>
      <c r="P437" s="36">
        <f>N437</f>
        <v>225</v>
      </c>
    </row>
    <row r="438" spans="1:16" ht="27" customHeight="1">
      <c r="A438" s="44" t="s">
        <v>204</v>
      </c>
      <c r="B438" s="34"/>
      <c r="C438" s="34"/>
      <c r="D438" s="36"/>
      <c r="E438" s="36"/>
      <c r="F438" s="36"/>
      <c r="G438" s="36">
        <v>180</v>
      </c>
      <c r="H438" s="36"/>
      <c r="I438" s="36"/>
      <c r="J438" s="36">
        <f>G438+H438</f>
        <v>180</v>
      </c>
      <c r="K438" s="36"/>
      <c r="L438" s="36"/>
      <c r="M438" s="36"/>
      <c r="N438" s="36">
        <v>540</v>
      </c>
      <c r="O438" s="36"/>
      <c r="P438" s="36">
        <f>N438</f>
        <v>540</v>
      </c>
    </row>
    <row r="439" spans="1:16" ht="11.25">
      <c r="A439" s="43" t="s">
        <v>7</v>
      </c>
      <c r="B439" s="32"/>
      <c r="C439" s="32"/>
      <c r="D439" s="135"/>
      <c r="E439" s="135"/>
      <c r="F439" s="36"/>
      <c r="G439" s="135"/>
      <c r="H439" s="135"/>
      <c r="I439" s="135"/>
      <c r="J439" s="36"/>
      <c r="K439" s="37"/>
      <c r="L439" s="103"/>
      <c r="M439" s="103"/>
      <c r="N439" s="135"/>
      <c r="O439" s="135"/>
      <c r="P439" s="36"/>
    </row>
    <row r="440" spans="1:16" ht="36" customHeight="1">
      <c r="A440" s="44" t="s">
        <v>205</v>
      </c>
      <c r="B440" s="34"/>
      <c r="C440" s="34"/>
      <c r="D440" s="36"/>
      <c r="E440" s="36"/>
      <c r="F440" s="36"/>
      <c r="G440" s="36"/>
      <c r="H440" s="36"/>
      <c r="I440" s="36"/>
      <c r="J440" s="36">
        <f>G440</f>
        <v>0</v>
      </c>
      <c r="K440" s="37" t="e">
        <f>G440/D440*100</f>
        <v>#DIV/0!</v>
      </c>
      <c r="L440" s="37"/>
      <c r="M440" s="37"/>
      <c r="N440" s="36"/>
      <c r="O440" s="36"/>
      <c r="P440" s="36">
        <f>N440</f>
        <v>0</v>
      </c>
    </row>
    <row r="441" spans="1:16" ht="11.25">
      <c r="A441" s="44" t="s">
        <v>68</v>
      </c>
      <c r="B441" s="34"/>
      <c r="C441" s="34"/>
      <c r="D441" s="35"/>
      <c r="E441" s="35"/>
      <c r="F441" s="35"/>
      <c r="G441" s="35"/>
      <c r="H441" s="35"/>
      <c r="I441" s="35"/>
      <c r="J441" s="35"/>
      <c r="K441" s="38"/>
      <c r="L441" s="38"/>
      <c r="M441" s="38"/>
      <c r="N441" s="35"/>
      <c r="O441" s="35"/>
      <c r="P441" s="35"/>
    </row>
    <row r="442" spans="1:16" ht="23.25" customHeight="1">
      <c r="A442" s="44" t="s">
        <v>203</v>
      </c>
      <c r="B442" s="34"/>
      <c r="C442" s="34"/>
      <c r="D442" s="36"/>
      <c r="E442" s="36"/>
      <c r="F442" s="36"/>
      <c r="G442" s="36">
        <v>123</v>
      </c>
      <c r="H442" s="36"/>
      <c r="I442" s="36"/>
      <c r="J442" s="36">
        <f>G442</f>
        <v>123</v>
      </c>
      <c r="K442" s="38"/>
      <c r="L442" s="38"/>
      <c r="M442" s="38"/>
      <c r="N442" s="36">
        <v>123</v>
      </c>
      <c r="O442" s="36"/>
      <c r="P442" s="36">
        <f>N442</f>
        <v>123</v>
      </c>
    </row>
    <row r="443" spans="1:16" ht="24" customHeight="1">
      <c r="A443" s="44" t="s">
        <v>204</v>
      </c>
      <c r="B443" s="34"/>
      <c r="C443" s="34"/>
      <c r="D443" s="36"/>
      <c r="E443" s="36"/>
      <c r="F443" s="36"/>
      <c r="G443" s="36">
        <v>502.93888888</v>
      </c>
      <c r="H443" s="36"/>
      <c r="I443" s="36"/>
      <c r="J443" s="36">
        <f>G443</f>
        <v>502.93888888</v>
      </c>
      <c r="K443" s="38"/>
      <c r="L443" s="38"/>
      <c r="M443" s="38"/>
      <c r="N443" s="36">
        <v>502.848518518</v>
      </c>
      <c r="O443" s="36"/>
      <c r="P443" s="36">
        <f>N443</f>
        <v>502.848518518</v>
      </c>
    </row>
    <row r="444" spans="1:235" s="92" customFormat="1" ht="24" customHeight="1">
      <c r="A444" s="96" t="s">
        <v>384</v>
      </c>
      <c r="B444" s="96"/>
      <c r="C444" s="96"/>
      <c r="D444" s="100">
        <f>(D446*D448)+0.02</f>
        <v>51000.002</v>
      </c>
      <c r="E444" s="100"/>
      <c r="F444" s="100">
        <f>D444</f>
        <v>51000.002</v>
      </c>
      <c r="G444" s="100">
        <v>75000</v>
      </c>
      <c r="H444" s="100"/>
      <c r="I444" s="100"/>
      <c r="J444" s="100">
        <f>G444</f>
        <v>75000</v>
      </c>
      <c r="K444" s="100"/>
      <c r="L444" s="100"/>
      <c r="M444" s="100"/>
      <c r="N444" s="100">
        <v>75000</v>
      </c>
      <c r="O444" s="100"/>
      <c r="P444" s="100">
        <f>N444</f>
        <v>75000</v>
      </c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  <c r="BZ444" s="91"/>
      <c r="CA444" s="91"/>
      <c r="CB444" s="91"/>
      <c r="CC444" s="91"/>
      <c r="CD444" s="91"/>
      <c r="CE444" s="91"/>
      <c r="CF444" s="91"/>
      <c r="CG444" s="91"/>
      <c r="CH444" s="91"/>
      <c r="CI444" s="91"/>
      <c r="CJ444" s="91"/>
      <c r="CK444" s="91"/>
      <c r="CL444" s="91"/>
      <c r="CM444" s="91"/>
      <c r="CN444" s="91"/>
      <c r="CO444" s="91"/>
      <c r="CP444" s="91"/>
      <c r="CQ444" s="91"/>
      <c r="CR444" s="91"/>
      <c r="CS444" s="91"/>
      <c r="CT444" s="91"/>
      <c r="CU444" s="91"/>
      <c r="CV444" s="91"/>
      <c r="CW444" s="91"/>
      <c r="CX444" s="91"/>
      <c r="CY444" s="91"/>
      <c r="CZ444" s="91"/>
      <c r="DA444" s="91"/>
      <c r="DB444" s="91"/>
      <c r="DC444" s="91"/>
      <c r="DD444" s="91"/>
      <c r="DE444" s="91"/>
      <c r="DF444" s="91"/>
      <c r="DG444" s="91"/>
      <c r="DH444" s="91"/>
      <c r="DI444" s="91"/>
      <c r="DJ444" s="91"/>
      <c r="DK444" s="91"/>
      <c r="DL444" s="91"/>
      <c r="DM444" s="91"/>
      <c r="DN444" s="91"/>
      <c r="DO444" s="91"/>
      <c r="DP444" s="91"/>
      <c r="DQ444" s="91"/>
      <c r="DR444" s="91"/>
      <c r="DS444" s="91"/>
      <c r="DT444" s="91"/>
      <c r="DU444" s="91"/>
      <c r="DV444" s="91"/>
      <c r="DW444" s="91"/>
      <c r="DX444" s="91"/>
      <c r="DY444" s="91"/>
      <c r="DZ444" s="91"/>
      <c r="EA444" s="91"/>
      <c r="EB444" s="91"/>
      <c r="EC444" s="91"/>
      <c r="ED444" s="91"/>
      <c r="EE444" s="91"/>
      <c r="EF444" s="91"/>
      <c r="EG444" s="91"/>
      <c r="EH444" s="91"/>
      <c r="EI444" s="91"/>
      <c r="EJ444" s="91"/>
      <c r="EK444" s="91"/>
      <c r="EL444" s="91"/>
      <c r="EM444" s="91"/>
      <c r="EN444" s="91"/>
      <c r="EO444" s="91"/>
      <c r="EP444" s="91"/>
      <c r="EQ444" s="91"/>
      <c r="ER444" s="91"/>
      <c r="ES444" s="91"/>
      <c r="ET444" s="91"/>
      <c r="EU444" s="91"/>
      <c r="EV444" s="91"/>
      <c r="EW444" s="91"/>
      <c r="EX444" s="91"/>
      <c r="EY444" s="91"/>
      <c r="EZ444" s="91"/>
      <c r="FA444" s="91"/>
      <c r="FB444" s="91"/>
      <c r="FC444" s="91"/>
      <c r="FD444" s="91"/>
      <c r="FE444" s="91"/>
      <c r="FF444" s="91"/>
      <c r="FG444" s="91"/>
      <c r="FH444" s="91"/>
      <c r="FI444" s="91"/>
      <c r="FJ444" s="91"/>
      <c r="FK444" s="91"/>
      <c r="FL444" s="91"/>
      <c r="FM444" s="91"/>
      <c r="FN444" s="91"/>
      <c r="FO444" s="91"/>
      <c r="FP444" s="91"/>
      <c r="FQ444" s="91"/>
      <c r="FR444" s="91"/>
      <c r="FS444" s="91"/>
      <c r="FT444" s="91"/>
      <c r="FU444" s="91"/>
      <c r="FV444" s="91"/>
      <c r="FW444" s="91"/>
      <c r="FX444" s="91"/>
      <c r="FY444" s="91"/>
      <c r="FZ444" s="91"/>
      <c r="GA444" s="91"/>
      <c r="GB444" s="91"/>
      <c r="GC444" s="91"/>
      <c r="GD444" s="91"/>
      <c r="GE444" s="91"/>
      <c r="GF444" s="91"/>
      <c r="GG444" s="91"/>
      <c r="GH444" s="91"/>
      <c r="GI444" s="91"/>
      <c r="GJ444" s="91"/>
      <c r="GK444" s="91"/>
      <c r="GL444" s="91"/>
      <c r="GM444" s="91"/>
      <c r="GN444" s="91"/>
      <c r="GO444" s="91"/>
      <c r="GP444" s="91"/>
      <c r="GQ444" s="91"/>
      <c r="GR444" s="91"/>
      <c r="GS444" s="91"/>
      <c r="GT444" s="91"/>
      <c r="GU444" s="91"/>
      <c r="GV444" s="91"/>
      <c r="GW444" s="91"/>
      <c r="GX444" s="91"/>
      <c r="GY444" s="91"/>
      <c r="GZ444" s="91"/>
      <c r="HA444" s="91"/>
      <c r="HB444" s="91"/>
      <c r="HC444" s="91"/>
      <c r="HD444" s="91"/>
      <c r="HE444" s="91"/>
      <c r="HF444" s="91"/>
      <c r="HG444" s="91"/>
      <c r="HH444" s="91"/>
      <c r="HI444" s="91"/>
      <c r="HJ444" s="91"/>
      <c r="HK444" s="91"/>
      <c r="HL444" s="91"/>
      <c r="HM444" s="91"/>
      <c r="HN444" s="91"/>
      <c r="HO444" s="91"/>
      <c r="HP444" s="91"/>
      <c r="HQ444" s="91"/>
      <c r="HR444" s="91"/>
      <c r="HS444" s="91"/>
      <c r="HT444" s="91"/>
      <c r="HU444" s="91"/>
      <c r="HV444" s="91"/>
      <c r="HW444" s="91"/>
      <c r="HX444" s="91"/>
      <c r="HY444" s="91"/>
      <c r="HZ444" s="91"/>
      <c r="IA444" s="91"/>
    </row>
    <row r="445" spans="1:16" ht="12.75" customHeight="1">
      <c r="A445" s="43" t="s">
        <v>238</v>
      </c>
      <c r="B445" s="65"/>
      <c r="C445" s="65"/>
      <c r="D445" s="39"/>
      <c r="E445" s="39"/>
      <c r="F445" s="39"/>
      <c r="G445" s="39"/>
      <c r="H445" s="39"/>
      <c r="I445" s="39"/>
      <c r="J445" s="39"/>
      <c r="K445" s="137"/>
      <c r="L445" s="39"/>
      <c r="M445" s="39"/>
      <c r="N445" s="39"/>
      <c r="O445" s="39"/>
      <c r="P445" s="39"/>
    </row>
    <row r="446" spans="1:16" ht="24" customHeight="1">
      <c r="A446" s="55" t="s">
        <v>237</v>
      </c>
      <c r="B446" s="34"/>
      <c r="C446" s="34"/>
      <c r="D446" s="36">
        <v>6600</v>
      </c>
      <c r="E446" s="36"/>
      <c r="F446" s="36">
        <f>D446</f>
        <v>6600</v>
      </c>
      <c r="G446" s="36">
        <v>7200</v>
      </c>
      <c r="H446" s="36"/>
      <c r="I446" s="36"/>
      <c r="J446" s="36">
        <f>G446</f>
        <v>7200</v>
      </c>
      <c r="K446" s="38"/>
      <c r="L446" s="38"/>
      <c r="M446" s="38"/>
      <c r="N446" s="36">
        <v>7200</v>
      </c>
      <c r="O446" s="36"/>
      <c r="P446" s="36">
        <f>N446</f>
        <v>7200</v>
      </c>
    </row>
    <row r="447" spans="1:16" ht="11.25">
      <c r="A447" s="43" t="s">
        <v>7</v>
      </c>
      <c r="B447" s="34"/>
      <c r="C447" s="34"/>
      <c r="D447" s="36"/>
      <c r="E447" s="36"/>
      <c r="F447" s="36"/>
      <c r="G447" s="36"/>
      <c r="H447" s="36"/>
      <c r="I447" s="36"/>
      <c r="J447" s="36"/>
      <c r="K447" s="38"/>
      <c r="L447" s="38"/>
      <c r="M447" s="38"/>
      <c r="N447" s="36"/>
      <c r="O447" s="36"/>
      <c r="P447" s="36"/>
    </row>
    <row r="448" spans="1:16" ht="24" customHeight="1">
      <c r="A448" s="44" t="s">
        <v>239</v>
      </c>
      <c r="B448" s="34"/>
      <c r="C448" s="34"/>
      <c r="D448" s="36">
        <f>7727.27/1000</f>
        <v>7.727270000000001</v>
      </c>
      <c r="E448" s="36"/>
      <c r="F448" s="36">
        <f>D448</f>
        <v>7.727270000000001</v>
      </c>
      <c r="G448" s="36">
        <f>G444/G446</f>
        <v>10.416666666666666</v>
      </c>
      <c r="H448" s="36"/>
      <c r="I448" s="36"/>
      <c r="J448" s="36">
        <f>G448</f>
        <v>10.416666666666666</v>
      </c>
      <c r="K448" s="38"/>
      <c r="L448" s="38"/>
      <c r="M448" s="38"/>
      <c r="N448" s="36">
        <f>N444/N446</f>
        <v>10.416666666666666</v>
      </c>
      <c r="O448" s="36"/>
      <c r="P448" s="36">
        <f>N448</f>
        <v>10.416666666666666</v>
      </c>
    </row>
    <row r="449" spans="1:235" s="92" customFormat="1" ht="38.25" customHeight="1">
      <c r="A449" s="96" t="s">
        <v>385</v>
      </c>
      <c r="B449" s="96"/>
      <c r="C449" s="96"/>
      <c r="D449" s="100"/>
      <c r="E449" s="100"/>
      <c r="F449" s="100"/>
      <c r="G449" s="100">
        <f>G451*G453</f>
        <v>168999.9999996</v>
      </c>
      <c r="H449" s="100"/>
      <c r="I449" s="100"/>
      <c r="J449" s="100">
        <f>G449</f>
        <v>168999.9999996</v>
      </c>
      <c r="K449" s="103"/>
      <c r="L449" s="103"/>
      <c r="M449" s="103"/>
      <c r="N449" s="100">
        <f>N451*N453</f>
        <v>169999.999992</v>
      </c>
      <c r="O449" s="100"/>
      <c r="P449" s="100">
        <f>N449</f>
        <v>169999.999992</v>
      </c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  <c r="BZ449" s="91"/>
      <c r="CA449" s="91"/>
      <c r="CB449" s="91"/>
      <c r="CC449" s="91"/>
      <c r="CD449" s="91"/>
      <c r="CE449" s="91"/>
      <c r="CF449" s="91"/>
      <c r="CG449" s="91"/>
      <c r="CH449" s="91"/>
      <c r="CI449" s="91"/>
      <c r="CJ449" s="91"/>
      <c r="CK449" s="91"/>
      <c r="CL449" s="91"/>
      <c r="CM449" s="91"/>
      <c r="CN449" s="91"/>
      <c r="CO449" s="91"/>
      <c r="CP449" s="91"/>
      <c r="CQ449" s="91"/>
      <c r="CR449" s="91"/>
      <c r="CS449" s="91"/>
      <c r="CT449" s="91"/>
      <c r="CU449" s="91"/>
      <c r="CV449" s="91"/>
      <c r="CW449" s="91"/>
      <c r="CX449" s="91"/>
      <c r="CY449" s="91"/>
      <c r="CZ449" s="91"/>
      <c r="DA449" s="91"/>
      <c r="DB449" s="91"/>
      <c r="DC449" s="91"/>
      <c r="DD449" s="91"/>
      <c r="DE449" s="91"/>
      <c r="DF449" s="91"/>
      <c r="DG449" s="91"/>
      <c r="DH449" s="91"/>
      <c r="DI449" s="91"/>
      <c r="DJ449" s="91"/>
      <c r="DK449" s="91"/>
      <c r="DL449" s="91"/>
      <c r="DM449" s="91"/>
      <c r="DN449" s="91"/>
      <c r="DO449" s="91"/>
      <c r="DP449" s="91"/>
      <c r="DQ449" s="91"/>
      <c r="DR449" s="91"/>
      <c r="DS449" s="91"/>
      <c r="DT449" s="91"/>
      <c r="DU449" s="91"/>
      <c r="DV449" s="91"/>
      <c r="DW449" s="91"/>
      <c r="DX449" s="91"/>
      <c r="DY449" s="91"/>
      <c r="DZ449" s="91"/>
      <c r="EA449" s="91"/>
      <c r="EB449" s="91"/>
      <c r="EC449" s="91"/>
      <c r="ED449" s="91"/>
      <c r="EE449" s="91"/>
      <c r="EF449" s="91"/>
      <c r="EG449" s="91"/>
      <c r="EH449" s="91"/>
      <c r="EI449" s="91"/>
      <c r="EJ449" s="91"/>
      <c r="EK449" s="91"/>
      <c r="EL449" s="91"/>
      <c r="EM449" s="91"/>
      <c r="EN449" s="91"/>
      <c r="EO449" s="91"/>
      <c r="EP449" s="91"/>
      <c r="EQ449" s="91"/>
      <c r="ER449" s="91"/>
      <c r="ES449" s="91"/>
      <c r="ET449" s="91"/>
      <c r="EU449" s="91"/>
      <c r="EV449" s="91"/>
      <c r="EW449" s="91"/>
      <c r="EX449" s="91"/>
      <c r="EY449" s="91"/>
      <c r="EZ449" s="91"/>
      <c r="FA449" s="91"/>
      <c r="FB449" s="91"/>
      <c r="FC449" s="91"/>
      <c r="FD449" s="91"/>
      <c r="FE449" s="91"/>
      <c r="FF449" s="91"/>
      <c r="FG449" s="91"/>
      <c r="FH449" s="91"/>
      <c r="FI449" s="91"/>
      <c r="FJ449" s="91"/>
      <c r="FK449" s="91"/>
      <c r="FL449" s="91"/>
      <c r="FM449" s="91"/>
      <c r="FN449" s="91"/>
      <c r="FO449" s="91"/>
      <c r="FP449" s="91"/>
      <c r="FQ449" s="91"/>
      <c r="FR449" s="91"/>
      <c r="FS449" s="91"/>
      <c r="FT449" s="91"/>
      <c r="FU449" s="91"/>
      <c r="FV449" s="91"/>
      <c r="FW449" s="91"/>
      <c r="FX449" s="91"/>
      <c r="FY449" s="91"/>
      <c r="FZ449" s="91"/>
      <c r="GA449" s="91"/>
      <c r="GB449" s="91"/>
      <c r="GC449" s="91"/>
      <c r="GD449" s="91"/>
      <c r="GE449" s="91"/>
      <c r="GF449" s="91"/>
      <c r="GG449" s="91"/>
      <c r="GH449" s="91"/>
      <c r="GI449" s="91"/>
      <c r="GJ449" s="91"/>
      <c r="GK449" s="91"/>
      <c r="GL449" s="91"/>
      <c r="GM449" s="91"/>
      <c r="GN449" s="91"/>
      <c r="GO449" s="91"/>
      <c r="GP449" s="91"/>
      <c r="GQ449" s="91"/>
      <c r="GR449" s="91"/>
      <c r="GS449" s="91"/>
      <c r="GT449" s="91"/>
      <c r="GU449" s="91"/>
      <c r="GV449" s="91"/>
      <c r="GW449" s="91"/>
      <c r="GX449" s="91"/>
      <c r="GY449" s="91"/>
      <c r="GZ449" s="91"/>
      <c r="HA449" s="91"/>
      <c r="HB449" s="91"/>
      <c r="HC449" s="91"/>
      <c r="HD449" s="91"/>
      <c r="HE449" s="91"/>
      <c r="HF449" s="91"/>
      <c r="HG449" s="91"/>
      <c r="HH449" s="91"/>
      <c r="HI449" s="91"/>
      <c r="HJ449" s="91"/>
      <c r="HK449" s="91"/>
      <c r="HL449" s="91"/>
      <c r="HM449" s="91"/>
      <c r="HN449" s="91"/>
      <c r="HO449" s="91"/>
      <c r="HP449" s="91"/>
      <c r="HQ449" s="91"/>
      <c r="HR449" s="91"/>
      <c r="HS449" s="91"/>
      <c r="HT449" s="91"/>
      <c r="HU449" s="91"/>
      <c r="HV449" s="91"/>
      <c r="HW449" s="91"/>
      <c r="HX449" s="91"/>
      <c r="HY449" s="91"/>
      <c r="HZ449" s="91"/>
      <c r="IA449" s="91"/>
    </row>
    <row r="450" spans="1:16" ht="11.25">
      <c r="A450" s="43" t="s">
        <v>238</v>
      </c>
      <c r="B450" s="65"/>
      <c r="C450" s="65"/>
      <c r="D450" s="39"/>
      <c r="E450" s="39"/>
      <c r="F450" s="39"/>
      <c r="G450" s="39"/>
      <c r="H450" s="39"/>
      <c r="I450" s="39"/>
      <c r="J450" s="39"/>
      <c r="K450" s="38"/>
      <c r="L450" s="38"/>
      <c r="M450" s="38"/>
      <c r="N450" s="36"/>
      <c r="O450" s="36"/>
      <c r="P450" s="36"/>
    </row>
    <row r="451" spans="1:16" ht="45">
      <c r="A451" s="55" t="s">
        <v>292</v>
      </c>
      <c r="B451" s="34"/>
      <c r="C451" s="34"/>
      <c r="D451" s="36"/>
      <c r="E451" s="36"/>
      <c r="F451" s="36"/>
      <c r="G451" s="36">
        <v>12</v>
      </c>
      <c r="H451" s="36"/>
      <c r="I451" s="36"/>
      <c r="J451" s="36">
        <f>G451</f>
        <v>12</v>
      </c>
      <c r="K451" s="38"/>
      <c r="L451" s="38"/>
      <c r="M451" s="38"/>
      <c r="N451" s="36">
        <v>12</v>
      </c>
      <c r="O451" s="36"/>
      <c r="P451" s="36">
        <f>N451</f>
        <v>12</v>
      </c>
    </row>
    <row r="452" spans="1:16" ht="11.25">
      <c r="A452" s="43" t="s">
        <v>7</v>
      </c>
      <c r="B452" s="34"/>
      <c r="C452" s="34"/>
      <c r="D452" s="36"/>
      <c r="E452" s="36"/>
      <c r="F452" s="36"/>
      <c r="G452" s="36"/>
      <c r="H452" s="36"/>
      <c r="I452" s="36"/>
      <c r="J452" s="36"/>
      <c r="K452" s="38"/>
      <c r="L452" s="38"/>
      <c r="M452" s="38"/>
      <c r="N452" s="36"/>
      <c r="O452" s="36"/>
      <c r="P452" s="36"/>
    </row>
    <row r="453" spans="1:16" ht="38.25" customHeight="1">
      <c r="A453" s="44" t="s">
        <v>293</v>
      </c>
      <c r="B453" s="34"/>
      <c r="C453" s="34"/>
      <c r="D453" s="36"/>
      <c r="E453" s="36"/>
      <c r="F453" s="36"/>
      <c r="G453" s="36">
        <v>14083.3333333</v>
      </c>
      <c r="H453" s="36"/>
      <c r="I453" s="36"/>
      <c r="J453" s="36">
        <f>G453</f>
        <v>14083.3333333</v>
      </c>
      <c r="K453" s="38"/>
      <c r="L453" s="38"/>
      <c r="M453" s="38"/>
      <c r="N453" s="36">
        <v>14166.666666</v>
      </c>
      <c r="O453" s="36"/>
      <c r="P453" s="36">
        <f>N453</f>
        <v>14166.666666</v>
      </c>
    </row>
    <row r="454" spans="1:16" ht="2.25" customHeight="1" hidden="1">
      <c r="A454" s="44"/>
      <c r="B454" s="34"/>
      <c r="C454" s="34"/>
      <c r="D454" s="36"/>
      <c r="E454" s="36"/>
      <c r="F454" s="36"/>
      <c r="G454" s="36"/>
      <c r="H454" s="36"/>
      <c r="I454" s="36"/>
      <c r="J454" s="36"/>
      <c r="K454" s="38"/>
      <c r="L454" s="38"/>
      <c r="M454" s="38"/>
      <c r="N454" s="36"/>
      <c r="O454" s="36"/>
      <c r="P454" s="36"/>
    </row>
    <row r="455" spans="1:16" ht="24" customHeight="1" hidden="1">
      <c r="A455" s="44"/>
      <c r="B455" s="34"/>
      <c r="C455" s="34"/>
      <c r="D455" s="36"/>
      <c r="E455" s="36"/>
      <c r="F455" s="36"/>
      <c r="G455" s="36"/>
      <c r="H455" s="36"/>
      <c r="I455" s="36"/>
      <c r="J455" s="36"/>
      <c r="K455" s="38"/>
      <c r="L455" s="38"/>
      <c r="M455" s="38"/>
      <c r="N455" s="36"/>
      <c r="O455" s="36"/>
      <c r="P455" s="36"/>
    </row>
    <row r="456" spans="1:16" ht="24" customHeight="1" hidden="1">
      <c r="A456" s="44"/>
      <c r="B456" s="34"/>
      <c r="C456" s="34"/>
      <c r="D456" s="36"/>
      <c r="E456" s="36"/>
      <c r="F456" s="36"/>
      <c r="G456" s="36"/>
      <c r="H456" s="36"/>
      <c r="I456" s="36"/>
      <c r="J456" s="36"/>
      <c r="K456" s="38"/>
      <c r="L456" s="38"/>
      <c r="M456" s="38"/>
      <c r="N456" s="36"/>
      <c r="O456" s="36"/>
      <c r="P456" s="36"/>
    </row>
    <row r="457" spans="1:16" ht="24" customHeight="1" hidden="1">
      <c r="A457" s="44"/>
      <c r="B457" s="34"/>
      <c r="C457" s="34"/>
      <c r="D457" s="36"/>
      <c r="E457" s="36"/>
      <c r="F457" s="36"/>
      <c r="G457" s="36"/>
      <c r="H457" s="36"/>
      <c r="I457" s="36"/>
      <c r="J457" s="36"/>
      <c r="K457" s="38"/>
      <c r="L457" s="38"/>
      <c r="M457" s="38"/>
      <c r="N457" s="36"/>
      <c r="O457" s="36"/>
      <c r="P457" s="36"/>
    </row>
    <row r="458" spans="1:235" s="92" customFormat="1" ht="33.75">
      <c r="A458" s="96" t="s">
        <v>386</v>
      </c>
      <c r="B458" s="96"/>
      <c r="C458" s="96"/>
      <c r="D458" s="100">
        <v>216</v>
      </c>
      <c r="E458" s="100"/>
      <c r="F458" s="100">
        <f>D458</f>
        <v>216</v>
      </c>
      <c r="G458" s="100">
        <f>G460*G462</f>
        <v>33300</v>
      </c>
      <c r="H458" s="100"/>
      <c r="I458" s="100"/>
      <c r="J458" s="100">
        <f>G458</f>
        <v>33300</v>
      </c>
      <c r="K458" s="103"/>
      <c r="L458" s="103"/>
      <c r="M458" s="103"/>
      <c r="N458" s="100">
        <f>N460*N462</f>
        <v>9999.999996</v>
      </c>
      <c r="O458" s="100"/>
      <c r="P458" s="100">
        <f>N458</f>
        <v>9999.999996</v>
      </c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  <c r="BY458" s="91"/>
      <c r="BZ458" s="91"/>
      <c r="CA458" s="91"/>
      <c r="CB458" s="91"/>
      <c r="CC458" s="91"/>
      <c r="CD458" s="91"/>
      <c r="CE458" s="91"/>
      <c r="CF458" s="91"/>
      <c r="CG458" s="91"/>
      <c r="CH458" s="91"/>
      <c r="CI458" s="91"/>
      <c r="CJ458" s="91"/>
      <c r="CK458" s="91"/>
      <c r="CL458" s="91"/>
      <c r="CM458" s="91"/>
      <c r="CN458" s="91"/>
      <c r="CO458" s="91"/>
      <c r="CP458" s="91"/>
      <c r="CQ458" s="91"/>
      <c r="CR458" s="91"/>
      <c r="CS458" s="91"/>
      <c r="CT458" s="91"/>
      <c r="CU458" s="91"/>
      <c r="CV458" s="91"/>
      <c r="CW458" s="91"/>
      <c r="CX458" s="91"/>
      <c r="CY458" s="91"/>
      <c r="CZ458" s="91"/>
      <c r="DA458" s="91"/>
      <c r="DB458" s="91"/>
      <c r="DC458" s="91"/>
      <c r="DD458" s="91"/>
      <c r="DE458" s="91"/>
      <c r="DF458" s="91"/>
      <c r="DG458" s="91"/>
      <c r="DH458" s="91"/>
      <c r="DI458" s="91"/>
      <c r="DJ458" s="91"/>
      <c r="DK458" s="91"/>
      <c r="DL458" s="91"/>
      <c r="DM458" s="91"/>
      <c r="DN458" s="91"/>
      <c r="DO458" s="91"/>
      <c r="DP458" s="91"/>
      <c r="DQ458" s="91"/>
      <c r="DR458" s="91"/>
      <c r="DS458" s="91"/>
      <c r="DT458" s="91"/>
      <c r="DU458" s="91"/>
      <c r="DV458" s="91"/>
      <c r="DW458" s="91"/>
      <c r="DX458" s="91"/>
      <c r="DY458" s="91"/>
      <c r="DZ458" s="91"/>
      <c r="EA458" s="91"/>
      <c r="EB458" s="91"/>
      <c r="EC458" s="91"/>
      <c r="ED458" s="91"/>
      <c r="EE458" s="91"/>
      <c r="EF458" s="91"/>
      <c r="EG458" s="91"/>
      <c r="EH458" s="91"/>
      <c r="EI458" s="91"/>
      <c r="EJ458" s="91"/>
      <c r="EK458" s="91"/>
      <c r="EL458" s="91"/>
      <c r="EM458" s="91"/>
      <c r="EN458" s="91"/>
      <c r="EO458" s="91"/>
      <c r="EP458" s="91"/>
      <c r="EQ458" s="91"/>
      <c r="ER458" s="91"/>
      <c r="ES458" s="91"/>
      <c r="ET458" s="91"/>
      <c r="EU458" s="91"/>
      <c r="EV458" s="91"/>
      <c r="EW458" s="91"/>
      <c r="EX458" s="91"/>
      <c r="EY458" s="91"/>
      <c r="EZ458" s="91"/>
      <c r="FA458" s="91"/>
      <c r="FB458" s="91"/>
      <c r="FC458" s="91"/>
      <c r="FD458" s="91"/>
      <c r="FE458" s="91"/>
      <c r="FF458" s="91"/>
      <c r="FG458" s="91"/>
      <c r="FH458" s="91"/>
      <c r="FI458" s="91"/>
      <c r="FJ458" s="91"/>
      <c r="FK458" s="91"/>
      <c r="FL458" s="91"/>
      <c r="FM458" s="91"/>
      <c r="FN458" s="91"/>
      <c r="FO458" s="91"/>
      <c r="FP458" s="91"/>
      <c r="FQ458" s="91"/>
      <c r="FR458" s="91"/>
      <c r="FS458" s="91"/>
      <c r="FT458" s="91"/>
      <c r="FU458" s="91"/>
      <c r="FV458" s="91"/>
      <c r="FW458" s="91"/>
      <c r="FX458" s="91"/>
      <c r="FY458" s="91"/>
      <c r="FZ458" s="91"/>
      <c r="GA458" s="91"/>
      <c r="GB458" s="91"/>
      <c r="GC458" s="91"/>
      <c r="GD458" s="91"/>
      <c r="GE458" s="91"/>
      <c r="GF458" s="91"/>
      <c r="GG458" s="91"/>
      <c r="GH458" s="91"/>
      <c r="GI458" s="91"/>
      <c r="GJ458" s="91"/>
      <c r="GK458" s="91"/>
      <c r="GL458" s="91"/>
      <c r="GM458" s="91"/>
      <c r="GN458" s="91"/>
      <c r="GO458" s="91"/>
      <c r="GP458" s="91"/>
      <c r="GQ458" s="91"/>
      <c r="GR458" s="91"/>
      <c r="GS458" s="91"/>
      <c r="GT458" s="91"/>
      <c r="GU458" s="91"/>
      <c r="GV458" s="91"/>
      <c r="GW458" s="91"/>
      <c r="GX458" s="91"/>
      <c r="GY458" s="91"/>
      <c r="GZ458" s="91"/>
      <c r="HA458" s="91"/>
      <c r="HB458" s="91"/>
      <c r="HC458" s="91"/>
      <c r="HD458" s="91"/>
      <c r="HE458" s="91"/>
      <c r="HF458" s="91"/>
      <c r="HG458" s="91"/>
      <c r="HH458" s="91"/>
      <c r="HI458" s="91"/>
      <c r="HJ458" s="91"/>
      <c r="HK458" s="91"/>
      <c r="HL458" s="91"/>
      <c r="HM458" s="91"/>
      <c r="HN458" s="91"/>
      <c r="HO458" s="91"/>
      <c r="HP458" s="91"/>
      <c r="HQ458" s="91"/>
      <c r="HR458" s="91"/>
      <c r="HS458" s="91"/>
      <c r="HT458" s="91"/>
      <c r="HU458" s="91"/>
      <c r="HV458" s="91"/>
      <c r="HW458" s="91"/>
      <c r="HX458" s="91"/>
      <c r="HY458" s="91"/>
      <c r="HZ458" s="91"/>
      <c r="IA458" s="91"/>
    </row>
    <row r="459" spans="1:16" ht="11.25">
      <c r="A459" s="43" t="s">
        <v>238</v>
      </c>
      <c r="B459" s="65"/>
      <c r="C459" s="65"/>
      <c r="D459" s="39"/>
      <c r="E459" s="39"/>
      <c r="F459" s="39"/>
      <c r="G459" s="39"/>
      <c r="H459" s="39"/>
      <c r="I459" s="39"/>
      <c r="J459" s="39"/>
      <c r="K459" s="38"/>
      <c r="L459" s="38"/>
      <c r="M459" s="38"/>
      <c r="N459" s="36"/>
      <c r="O459" s="36"/>
      <c r="P459" s="36"/>
    </row>
    <row r="460" spans="1:16" ht="39" customHeight="1">
      <c r="A460" s="55" t="s">
        <v>294</v>
      </c>
      <c r="B460" s="34"/>
      <c r="C460" s="34"/>
      <c r="D460" s="36">
        <v>2</v>
      </c>
      <c r="E460" s="36"/>
      <c r="F460" s="36">
        <f>D460</f>
        <v>2</v>
      </c>
      <c r="G460" s="36">
        <v>12</v>
      </c>
      <c r="H460" s="36"/>
      <c r="I460" s="36"/>
      <c r="J460" s="36">
        <f>G460</f>
        <v>12</v>
      </c>
      <c r="K460" s="38"/>
      <c r="L460" s="38"/>
      <c r="M460" s="38"/>
      <c r="N460" s="36">
        <v>12</v>
      </c>
      <c r="O460" s="36"/>
      <c r="P460" s="36">
        <f>N460</f>
        <v>12</v>
      </c>
    </row>
    <row r="461" spans="1:16" ht="11.25">
      <c r="A461" s="43" t="s">
        <v>7</v>
      </c>
      <c r="B461" s="34"/>
      <c r="C461" s="34"/>
      <c r="D461" s="36"/>
      <c r="E461" s="36"/>
      <c r="F461" s="36"/>
      <c r="G461" s="36"/>
      <c r="H461" s="36"/>
      <c r="I461" s="36"/>
      <c r="J461" s="36"/>
      <c r="K461" s="38"/>
      <c r="L461" s="38"/>
      <c r="M461" s="38"/>
      <c r="N461" s="36"/>
      <c r="O461" s="36"/>
      <c r="P461" s="36"/>
    </row>
    <row r="462" spans="1:16" ht="33.75" customHeight="1">
      <c r="A462" s="44" t="s">
        <v>295</v>
      </c>
      <c r="B462" s="34"/>
      <c r="C462" s="34"/>
      <c r="D462" s="36">
        <f>D458/D460</f>
        <v>108</v>
      </c>
      <c r="E462" s="36"/>
      <c r="F462" s="36">
        <f>D462</f>
        <v>108</v>
      </c>
      <c r="G462" s="36">
        <v>2775</v>
      </c>
      <c r="H462" s="36"/>
      <c r="I462" s="36"/>
      <c r="J462" s="36">
        <f>G462</f>
        <v>2775</v>
      </c>
      <c r="K462" s="38"/>
      <c r="L462" s="38"/>
      <c r="M462" s="38"/>
      <c r="N462" s="36">
        <v>833.333333</v>
      </c>
      <c r="O462" s="36"/>
      <c r="P462" s="36">
        <f>N462</f>
        <v>833.333333</v>
      </c>
    </row>
    <row r="463" spans="1:235" s="85" customFormat="1" ht="12">
      <c r="A463" s="125" t="s">
        <v>348</v>
      </c>
      <c r="B463" s="122"/>
      <c r="C463" s="122"/>
      <c r="D463" s="123"/>
      <c r="E463" s="123">
        <f>E467+E475+E480</f>
        <v>534080</v>
      </c>
      <c r="F463" s="123">
        <f>E463</f>
        <v>534080</v>
      </c>
      <c r="G463" s="123">
        <f>0</f>
        <v>0</v>
      </c>
      <c r="H463" s="123">
        <f>H467+H475+H480+H494+H501+H487</f>
        <v>878509.9999997</v>
      </c>
      <c r="I463" s="123">
        <f>I467+I475+I480+I494+I501</f>
        <v>0</v>
      </c>
      <c r="J463" s="123">
        <f>H463</f>
        <v>878509.9999997</v>
      </c>
      <c r="K463" s="138"/>
      <c r="L463" s="139"/>
      <c r="M463" s="139"/>
      <c r="N463" s="123"/>
      <c r="O463" s="123">
        <f>O467+O475+O480+O487</f>
        <v>569509.9999997</v>
      </c>
      <c r="P463" s="123">
        <f>O463</f>
        <v>569509.9999997</v>
      </c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21"/>
      <c r="AV463" s="121"/>
      <c r="AW463" s="121"/>
      <c r="AX463" s="121"/>
      <c r="AY463" s="121"/>
      <c r="AZ463" s="121"/>
      <c r="BA463" s="121"/>
      <c r="BB463" s="121"/>
      <c r="BC463" s="121"/>
      <c r="BD463" s="121"/>
      <c r="BE463" s="121"/>
      <c r="BF463" s="121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21"/>
      <c r="BS463" s="121"/>
      <c r="BT463" s="121"/>
      <c r="BU463" s="121"/>
      <c r="BV463" s="121"/>
      <c r="BW463" s="121"/>
      <c r="BX463" s="121"/>
      <c r="BY463" s="121"/>
      <c r="BZ463" s="121"/>
      <c r="CA463" s="121"/>
      <c r="CB463" s="121"/>
      <c r="CC463" s="121"/>
      <c r="CD463" s="121"/>
      <c r="CE463" s="121"/>
      <c r="CF463" s="121"/>
      <c r="CG463" s="121"/>
      <c r="CH463" s="121"/>
      <c r="CI463" s="121"/>
      <c r="CJ463" s="121"/>
      <c r="CK463" s="121"/>
      <c r="CL463" s="121"/>
      <c r="CM463" s="121"/>
      <c r="CN463" s="121"/>
      <c r="CO463" s="121"/>
      <c r="CP463" s="121"/>
      <c r="CQ463" s="121"/>
      <c r="CR463" s="121"/>
      <c r="CS463" s="121"/>
      <c r="CT463" s="121"/>
      <c r="CU463" s="121"/>
      <c r="CV463" s="121"/>
      <c r="CW463" s="121"/>
      <c r="CX463" s="121"/>
      <c r="CY463" s="121"/>
      <c r="CZ463" s="121"/>
      <c r="DA463" s="121"/>
      <c r="DB463" s="121"/>
      <c r="DC463" s="121"/>
      <c r="DD463" s="121"/>
      <c r="DE463" s="121"/>
      <c r="DF463" s="121"/>
      <c r="DG463" s="121"/>
      <c r="DH463" s="121"/>
      <c r="DI463" s="121"/>
      <c r="DJ463" s="121"/>
      <c r="DK463" s="121"/>
      <c r="DL463" s="121"/>
      <c r="DM463" s="121"/>
      <c r="DN463" s="121"/>
      <c r="DO463" s="121"/>
      <c r="DP463" s="121"/>
      <c r="DQ463" s="121"/>
      <c r="DR463" s="121"/>
      <c r="DS463" s="121"/>
      <c r="DT463" s="121"/>
      <c r="DU463" s="121"/>
      <c r="DV463" s="121"/>
      <c r="DW463" s="121"/>
      <c r="DX463" s="121"/>
      <c r="DY463" s="121"/>
      <c r="DZ463" s="121"/>
      <c r="EA463" s="121"/>
      <c r="EB463" s="121"/>
      <c r="EC463" s="121"/>
      <c r="ED463" s="121"/>
      <c r="EE463" s="121"/>
      <c r="EF463" s="121"/>
      <c r="EG463" s="121"/>
      <c r="EH463" s="121"/>
      <c r="EI463" s="121"/>
      <c r="EJ463" s="121"/>
      <c r="EK463" s="121"/>
      <c r="EL463" s="121"/>
      <c r="EM463" s="121"/>
      <c r="EN463" s="121"/>
      <c r="EO463" s="121"/>
      <c r="EP463" s="121"/>
      <c r="EQ463" s="121"/>
      <c r="ER463" s="121"/>
      <c r="ES463" s="121"/>
      <c r="ET463" s="121"/>
      <c r="EU463" s="121"/>
      <c r="EV463" s="121"/>
      <c r="EW463" s="121"/>
      <c r="EX463" s="121"/>
      <c r="EY463" s="121"/>
      <c r="EZ463" s="121"/>
      <c r="FA463" s="121"/>
      <c r="FB463" s="121"/>
      <c r="FC463" s="121"/>
      <c r="FD463" s="121"/>
      <c r="FE463" s="121"/>
      <c r="FF463" s="121"/>
      <c r="FG463" s="121"/>
      <c r="FH463" s="121"/>
      <c r="FI463" s="121"/>
      <c r="FJ463" s="121"/>
      <c r="FK463" s="121"/>
      <c r="FL463" s="121"/>
      <c r="FM463" s="121"/>
      <c r="FN463" s="121"/>
      <c r="FO463" s="121"/>
      <c r="FP463" s="121"/>
      <c r="FQ463" s="121"/>
      <c r="FR463" s="121"/>
      <c r="FS463" s="121"/>
      <c r="FT463" s="121"/>
      <c r="FU463" s="121"/>
      <c r="FV463" s="121"/>
      <c r="FW463" s="121"/>
      <c r="FX463" s="121"/>
      <c r="FY463" s="121"/>
      <c r="FZ463" s="121"/>
      <c r="GA463" s="121"/>
      <c r="GB463" s="121"/>
      <c r="GC463" s="121"/>
      <c r="GD463" s="121"/>
      <c r="GE463" s="121"/>
      <c r="GF463" s="121"/>
      <c r="GG463" s="121"/>
      <c r="GH463" s="121"/>
      <c r="GI463" s="121"/>
      <c r="GJ463" s="121"/>
      <c r="GK463" s="121"/>
      <c r="GL463" s="121"/>
      <c r="GM463" s="121"/>
      <c r="GN463" s="121"/>
      <c r="GO463" s="121"/>
      <c r="GP463" s="121"/>
      <c r="GQ463" s="121"/>
      <c r="GR463" s="121"/>
      <c r="GS463" s="121"/>
      <c r="GT463" s="121"/>
      <c r="GU463" s="121"/>
      <c r="GV463" s="121"/>
      <c r="GW463" s="121"/>
      <c r="GX463" s="121"/>
      <c r="GY463" s="121"/>
      <c r="GZ463" s="121"/>
      <c r="HA463" s="121"/>
      <c r="HB463" s="121"/>
      <c r="HC463" s="121"/>
      <c r="HD463" s="121"/>
      <c r="HE463" s="121"/>
      <c r="HF463" s="121"/>
      <c r="HG463" s="121"/>
      <c r="HH463" s="121"/>
      <c r="HI463" s="121"/>
      <c r="HJ463" s="121"/>
      <c r="HK463" s="121"/>
      <c r="HL463" s="121"/>
      <c r="HM463" s="121"/>
      <c r="HN463" s="121"/>
      <c r="HO463" s="121"/>
      <c r="HP463" s="121"/>
      <c r="HQ463" s="121"/>
      <c r="HR463" s="121"/>
      <c r="HS463" s="121"/>
      <c r="HT463" s="121"/>
      <c r="HU463" s="121"/>
      <c r="HV463" s="121"/>
      <c r="HW463" s="121"/>
      <c r="HX463" s="121"/>
      <c r="HY463" s="121"/>
      <c r="HZ463" s="121"/>
      <c r="IA463" s="121"/>
    </row>
    <row r="464" spans="1:235" s="85" customFormat="1" ht="12">
      <c r="A464" s="125" t="s">
        <v>346</v>
      </c>
      <c r="B464" s="122"/>
      <c r="C464" s="122"/>
      <c r="D464" s="123"/>
      <c r="E464" s="123">
        <f>E467+E475+E480</f>
        <v>534080</v>
      </c>
      <c r="F464" s="123">
        <f aca="true" t="shared" si="43" ref="F464:N464">F467+F475+F480</f>
        <v>534080</v>
      </c>
      <c r="G464" s="123">
        <f t="shared" si="43"/>
        <v>0</v>
      </c>
      <c r="H464" s="123">
        <f>33.5026841552*H472</f>
        <v>64399.99999992592</v>
      </c>
      <c r="I464" s="123">
        <f>33.502928*I472</f>
        <v>0</v>
      </c>
      <c r="J464" s="123">
        <f>33.5026841552*J472</f>
        <v>64399.99999992592</v>
      </c>
      <c r="K464" s="123">
        <f t="shared" si="43"/>
        <v>0</v>
      </c>
      <c r="L464" s="123">
        <f t="shared" si="43"/>
        <v>0</v>
      </c>
      <c r="M464" s="123">
        <f t="shared" si="43"/>
        <v>0</v>
      </c>
      <c r="N464" s="123">
        <f t="shared" si="43"/>
        <v>0</v>
      </c>
      <c r="O464" s="123">
        <v>0</v>
      </c>
      <c r="P464" s="123">
        <v>0</v>
      </c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21"/>
      <c r="AV464" s="121"/>
      <c r="AW464" s="121"/>
      <c r="AX464" s="121"/>
      <c r="AY464" s="121"/>
      <c r="AZ464" s="121"/>
      <c r="BA464" s="121"/>
      <c r="BB464" s="121"/>
      <c r="BC464" s="121"/>
      <c r="BD464" s="121"/>
      <c r="BE464" s="121"/>
      <c r="BF464" s="121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21"/>
      <c r="BS464" s="121"/>
      <c r="BT464" s="121"/>
      <c r="BU464" s="121"/>
      <c r="BV464" s="121"/>
      <c r="BW464" s="121"/>
      <c r="BX464" s="121"/>
      <c r="BY464" s="121"/>
      <c r="BZ464" s="121"/>
      <c r="CA464" s="121"/>
      <c r="CB464" s="121"/>
      <c r="CC464" s="121"/>
      <c r="CD464" s="121"/>
      <c r="CE464" s="121"/>
      <c r="CF464" s="121"/>
      <c r="CG464" s="121"/>
      <c r="CH464" s="121"/>
      <c r="CI464" s="121"/>
      <c r="CJ464" s="121"/>
      <c r="CK464" s="121"/>
      <c r="CL464" s="121"/>
      <c r="CM464" s="121"/>
      <c r="CN464" s="121"/>
      <c r="CO464" s="121"/>
      <c r="CP464" s="121"/>
      <c r="CQ464" s="121"/>
      <c r="CR464" s="121"/>
      <c r="CS464" s="121"/>
      <c r="CT464" s="121"/>
      <c r="CU464" s="121"/>
      <c r="CV464" s="121"/>
      <c r="CW464" s="121"/>
      <c r="CX464" s="121"/>
      <c r="CY464" s="121"/>
      <c r="CZ464" s="121"/>
      <c r="DA464" s="121"/>
      <c r="DB464" s="121"/>
      <c r="DC464" s="121"/>
      <c r="DD464" s="121"/>
      <c r="DE464" s="121"/>
      <c r="DF464" s="121"/>
      <c r="DG464" s="121"/>
      <c r="DH464" s="121"/>
      <c r="DI464" s="121"/>
      <c r="DJ464" s="121"/>
      <c r="DK464" s="121"/>
      <c r="DL464" s="121"/>
      <c r="DM464" s="121"/>
      <c r="DN464" s="121"/>
      <c r="DO464" s="121"/>
      <c r="DP464" s="121"/>
      <c r="DQ464" s="121"/>
      <c r="DR464" s="121"/>
      <c r="DS464" s="121"/>
      <c r="DT464" s="121"/>
      <c r="DU464" s="121"/>
      <c r="DV464" s="121"/>
      <c r="DW464" s="121"/>
      <c r="DX464" s="121"/>
      <c r="DY464" s="121"/>
      <c r="DZ464" s="121"/>
      <c r="EA464" s="121"/>
      <c r="EB464" s="121"/>
      <c r="EC464" s="121"/>
      <c r="ED464" s="121"/>
      <c r="EE464" s="121"/>
      <c r="EF464" s="121"/>
      <c r="EG464" s="121"/>
      <c r="EH464" s="121"/>
      <c r="EI464" s="121"/>
      <c r="EJ464" s="121"/>
      <c r="EK464" s="121"/>
      <c r="EL464" s="121"/>
      <c r="EM464" s="121"/>
      <c r="EN464" s="121"/>
      <c r="EO464" s="121"/>
      <c r="EP464" s="121"/>
      <c r="EQ464" s="121"/>
      <c r="ER464" s="121"/>
      <c r="ES464" s="121"/>
      <c r="ET464" s="121"/>
      <c r="EU464" s="121"/>
      <c r="EV464" s="121"/>
      <c r="EW464" s="121"/>
      <c r="EX464" s="121"/>
      <c r="EY464" s="121"/>
      <c r="EZ464" s="121"/>
      <c r="FA464" s="121"/>
      <c r="FB464" s="121"/>
      <c r="FC464" s="121"/>
      <c r="FD464" s="121"/>
      <c r="FE464" s="121"/>
      <c r="FF464" s="121"/>
      <c r="FG464" s="121"/>
      <c r="FH464" s="121"/>
      <c r="FI464" s="121"/>
      <c r="FJ464" s="121"/>
      <c r="FK464" s="121"/>
      <c r="FL464" s="121"/>
      <c r="FM464" s="121"/>
      <c r="FN464" s="121"/>
      <c r="FO464" s="121"/>
      <c r="FP464" s="121"/>
      <c r="FQ464" s="121"/>
      <c r="FR464" s="121"/>
      <c r="FS464" s="121"/>
      <c r="FT464" s="121"/>
      <c r="FU464" s="121"/>
      <c r="FV464" s="121"/>
      <c r="FW464" s="121"/>
      <c r="FX464" s="121"/>
      <c r="FY464" s="121"/>
      <c r="FZ464" s="121"/>
      <c r="GA464" s="121"/>
      <c r="GB464" s="121"/>
      <c r="GC464" s="121"/>
      <c r="GD464" s="121"/>
      <c r="GE464" s="121"/>
      <c r="GF464" s="121"/>
      <c r="GG464" s="121"/>
      <c r="GH464" s="121"/>
      <c r="GI464" s="121"/>
      <c r="GJ464" s="121"/>
      <c r="GK464" s="121"/>
      <c r="GL464" s="121"/>
      <c r="GM464" s="121"/>
      <c r="GN464" s="121"/>
      <c r="GO464" s="121"/>
      <c r="GP464" s="121"/>
      <c r="GQ464" s="121"/>
      <c r="GR464" s="121"/>
      <c r="GS464" s="121"/>
      <c r="GT464" s="121"/>
      <c r="GU464" s="121"/>
      <c r="GV464" s="121"/>
      <c r="GW464" s="121"/>
      <c r="GX464" s="121"/>
      <c r="GY464" s="121"/>
      <c r="GZ464" s="121"/>
      <c r="HA464" s="121"/>
      <c r="HB464" s="121"/>
      <c r="HC464" s="121"/>
      <c r="HD464" s="121"/>
      <c r="HE464" s="121"/>
      <c r="HF464" s="121"/>
      <c r="HG464" s="121"/>
      <c r="HH464" s="121"/>
      <c r="HI464" s="121"/>
      <c r="HJ464" s="121"/>
      <c r="HK464" s="121"/>
      <c r="HL464" s="121"/>
      <c r="HM464" s="121"/>
      <c r="HN464" s="121"/>
      <c r="HO464" s="121"/>
      <c r="HP464" s="121"/>
      <c r="HQ464" s="121"/>
      <c r="HR464" s="121"/>
      <c r="HS464" s="121"/>
      <c r="HT464" s="121"/>
      <c r="HU464" s="121"/>
      <c r="HV464" s="121"/>
      <c r="HW464" s="121"/>
      <c r="HX464" s="121"/>
      <c r="HY464" s="121"/>
      <c r="HZ464" s="121"/>
      <c r="IA464" s="121"/>
    </row>
    <row r="465" spans="1:235" s="85" customFormat="1" ht="12">
      <c r="A465" s="125" t="s">
        <v>347</v>
      </c>
      <c r="B465" s="122"/>
      <c r="C465" s="122"/>
      <c r="D465" s="123"/>
      <c r="E465" s="123">
        <f>E487+E494+E501</f>
        <v>0</v>
      </c>
      <c r="F465" s="123">
        <f>F487+F494+F501</f>
        <v>0</v>
      </c>
      <c r="G465" s="123">
        <f>G487+G494+G501</f>
        <v>0</v>
      </c>
      <c r="H465" s="123">
        <f>H467-H464+H475+H487+H494+H501</f>
        <v>814109.999999774</v>
      </c>
      <c r="I465" s="123">
        <f aca="true" t="shared" si="44" ref="I465:P465">I467-I464+I475+I487+I494+I501</f>
        <v>0</v>
      </c>
      <c r="J465" s="123">
        <f t="shared" si="44"/>
        <v>814109.999999774</v>
      </c>
      <c r="K465" s="123">
        <f t="shared" si="44"/>
        <v>0</v>
      </c>
      <c r="L465" s="123">
        <f t="shared" si="44"/>
        <v>0</v>
      </c>
      <c r="M465" s="123">
        <f t="shared" si="44"/>
        <v>0</v>
      </c>
      <c r="N465" s="123">
        <f t="shared" si="44"/>
        <v>0</v>
      </c>
      <c r="O465" s="123">
        <f t="shared" si="44"/>
        <v>569509.9999997</v>
      </c>
      <c r="P465" s="123">
        <f t="shared" si="44"/>
        <v>569509.9999997</v>
      </c>
      <c r="Q465" s="123">
        <f>Q487+Q494+Q501</f>
        <v>0</v>
      </c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21"/>
      <c r="AV465" s="121"/>
      <c r="AW465" s="121"/>
      <c r="AX465" s="121"/>
      <c r="AY465" s="121"/>
      <c r="AZ465" s="121"/>
      <c r="BA465" s="121"/>
      <c r="BB465" s="121"/>
      <c r="BC465" s="121"/>
      <c r="BD465" s="121"/>
      <c r="BE465" s="121"/>
      <c r="BF465" s="121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21"/>
      <c r="BS465" s="121"/>
      <c r="BT465" s="121"/>
      <c r="BU465" s="121"/>
      <c r="BV465" s="121"/>
      <c r="BW465" s="121"/>
      <c r="BX465" s="121"/>
      <c r="BY465" s="121"/>
      <c r="BZ465" s="121"/>
      <c r="CA465" s="121"/>
      <c r="CB465" s="121"/>
      <c r="CC465" s="121"/>
      <c r="CD465" s="121"/>
      <c r="CE465" s="121"/>
      <c r="CF465" s="121"/>
      <c r="CG465" s="121"/>
      <c r="CH465" s="121"/>
      <c r="CI465" s="121"/>
      <c r="CJ465" s="121"/>
      <c r="CK465" s="121"/>
      <c r="CL465" s="121"/>
      <c r="CM465" s="121"/>
      <c r="CN465" s="121"/>
      <c r="CO465" s="121"/>
      <c r="CP465" s="121"/>
      <c r="CQ465" s="121"/>
      <c r="CR465" s="121"/>
      <c r="CS465" s="121"/>
      <c r="CT465" s="121"/>
      <c r="CU465" s="121"/>
      <c r="CV465" s="121"/>
      <c r="CW465" s="121"/>
      <c r="CX465" s="121"/>
      <c r="CY465" s="121"/>
      <c r="CZ465" s="121"/>
      <c r="DA465" s="121"/>
      <c r="DB465" s="121"/>
      <c r="DC465" s="121"/>
      <c r="DD465" s="121"/>
      <c r="DE465" s="121"/>
      <c r="DF465" s="121"/>
      <c r="DG465" s="121"/>
      <c r="DH465" s="121"/>
      <c r="DI465" s="121"/>
      <c r="DJ465" s="121"/>
      <c r="DK465" s="121"/>
      <c r="DL465" s="121"/>
      <c r="DM465" s="121"/>
      <c r="DN465" s="121"/>
      <c r="DO465" s="121"/>
      <c r="DP465" s="121"/>
      <c r="DQ465" s="121"/>
      <c r="DR465" s="121"/>
      <c r="DS465" s="121"/>
      <c r="DT465" s="121"/>
      <c r="DU465" s="121"/>
      <c r="DV465" s="121"/>
      <c r="DW465" s="121"/>
      <c r="DX465" s="121"/>
      <c r="DY465" s="121"/>
      <c r="DZ465" s="121"/>
      <c r="EA465" s="121"/>
      <c r="EB465" s="121"/>
      <c r="EC465" s="121"/>
      <c r="ED465" s="121"/>
      <c r="EE465" s="121"/>
      <c r="EF465" s="121"/>
      <c r="EG465" s="121"/>
      <c r="EH465" s="121"/>
      <c r="EI465" s="121"/>
      <c r="EJ465" s="121"/>
      <c r="EK465" s="121"/>
      <c r="EL465" s="121"/>
      <c r="EM465" s="121"/>
      <c r="EN465" s="121"/>
      <c r="EO465" s="121"/>
      <c r="EP465" s="121"/>
      <c r="EQ465" s="121"/>
      <c r="ER465" s="121"/>
      <c r="ES465" s="121"/>
      <c r="ET465" s="121"/>
      <c r="EU465" s="121"/>
      <c r="EV465" s="121"/>
      <c r="EW465" s="121"/>
      <c r="EX465" s="121"/>
      <c r="EY465" s="121"/>
      <c r="EZ465" s="121"/>
      <c r="FA465" s="121"/>
      <c r="FB465" s="121"/>
      <c r="FC465" s="121"/>
      <c r="FD465" s="121"/>
      <c r="FE465" s="121"/>
      <c r="FF465" s="121"/>
      <c r="FG465" s="121"/>
      <c r="FH465" s="121"/>
      <c r="FI465" s="121"/>
      <c r="FJ465" s="121"/>
      <c r="FK465" s="121"/>
      <c r="FL465" s="121"/>
      <c r="FM465" s="121"/>
      <c r="FN465" s="121"/>
      <c r="FO465" s="121"/>
      <c r="FP465" s="121"/>
      <c r="FQ465" s="121"/>
      <c r="FR465" s="121"/>
      <c r="FS465" s="121"/>
      <c r="FT465" s="121"/>
      <c r="FU465" s="121"/>
      <c r="FV465" s="121"/>
      <c r="FW465" s="121"/>
      <c r="FX465" s="121"/>
      <c r="FY465" s="121"/>
      <c r="FZ465" s="121"/>
      <c r="GA465" s="121"/>
      <c r="GB465" s="121"/>
      <c r="GC465" s="121"/>
      <c r="GD465" s="121"/>
      <c r="GE465" s="121"/>
      <c r="GF465" s="121"/>
      <c r="GG465" s="121"/>
      <c r="GH465" s="121"/>
      <c r="GI465" s="121"/>
      <c r="GJ465" s="121"/>
      <c r="GK465" s="121"/>
      <c r="GL465" s="121"/>
      <c r="GM465" s="121"/>
      <c r="GN465" s="121"/>
      <c r="GO465" s="121"/>
      <c r="GP465" s="121"/>
      <c r="GQ465" s="121"/>
      <c r="GR465" s="121"/>
      <c r="GS465" s="121"/>
      <c r="GT465" s="121"/>
      <c r="GU465" s="121"/>
      <c r="GV465" s="121"/>
      <c r="GW465" s="121"/>
      <c r="GX465" s="121"/>
      <c r="GY465" s="121"/>
      <c r="GZ465" s="121"/>
      <c r="HA465" s="121"/>
      <c r="HB465" s="121"/>
      <c r="HC465" s="121"/>
      <c r="HD465" s="121"/>
      <c r="HE465" s="121"/>
      <c r="HF465" s="121"/>
      <c r="HG465" s="121"/>
      <c r="HH465" s="121"/>
      <c r="HI465" s="121"/>
      <c r="HJ465" s="121"/>
      <c r="HK465" s="121"/>
      <c r="HL465" s="121"/>
      <c r="HM465" s="121"/>
      <c r="HN465" s="121"/>
      <c r="HO465" s="121"/>
      <c r="HP465" s="121"/>
      <c r="HQ465" s="121"/>
      <c r="HR465" s="121"/>
      <c r="HS465" s="121"/>
      <c r="HT465" s="121"/>
      <c r="HU465" s="121"/>
      <c r="HV465" s="121"/>
      <c r="HW465" s="121"/>
      <c r="HX465" s="121"/>
      <c r="HY465" s="121"/>
      <c r="HZ465" s="121"/>
      <c r="IA465" s="121"/>
    </row>
    <row r="466" spans="1:16" ht="90.75" customHeight="1">
      <c r="A466" s="45" t="s">
        <v>318</v>
      </c>
      <c r="B466" s="41"/>
      <c r="C466" s="41"/>
      <c r="D466" s="39"/>
      <c r="E466" s="39"/>
      <c r="F466" s="39"/>
      <c r="G466" s="39"/>
      <c r="H466" s="39"/>
      <c r="I466" s="39"/>
      <c r="J466" s="39"/>
      <c r="K466" s="140"/>
      <c r="L466" s="40"/>
      <c r="M466" s="40"/>
      <c r="N466" s="39"/>
      <c r="O466" s="39"/>
      <c r="P466" s="39"/>
    </row>
    <row r="467" spans="1:235" s="85" customFormat="1" ht="24.75" customHeight="1">
      <c r="A467" s="96" t="s">
        <v>387</v>
      </c>
      <c r="B467" s="96"/>
      <c r="C467" s="96"/>
      <c r="D467" s="100"/>
      <c r="E467" s="100">
        <f>E470*E472+1.32</f>
        <v>180690</v>
      </c>
      <c r="F467" s="100">
        <f>E467</f>
        <v>180690</v>
      </c>
      <c r="G467" s="100"/>
      <c r="H467" s="100">
        <f>H470*H472</f>
        <v>180689.9999997</v>
      </c>
      <c r="I467" s="100"/>
      <c r="J467" s="100">
        <f>H467</f>
        <v>180689.9999997</v>
      </c>
      <c r="K467" s="138"/>
      <c r="L467" s="100"/>
      <c r="M467" s="100"/>
      <c r="N467" s="100"/>
      <c r="O467" s="100">
        <f>O470*O472</f>
        <v>180689.9999997</v>
      </c>
      <c r="P467" s="100">
        <f>O467</f>
        <v>180689.9999997</v>
      </c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21"/>
      <c r="AV467" s="121"/>
      <c r="AW467" s="121"/>
      <c r="AX467" s="121"/>
      <c r="AY467" s="121"/>
      <c r="AZ467" s="121"/>
      <c r="BA467" s="121"/>
      <c r="BB467" s="121"/>
      <c r="BC467" s="121"/>
      <c r="BD467" s="121"/>
      <c r="BE467" s="121"/>
      <c r="BF467" s="121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21"/>
      <c r="BS467" s="121"/>
      <c r="BT467" s="121"/>
      <c r="BU467" s="121"/>
      <c r="BV467" s="121"/>
      <c r="BW467" s="121"/>
      <c r="BX467" s="121"/>
      <c r="BY467" s="121"/>
      <c r="BZ467" s="121"/>
      <c r="CA467" s="121"/>
      <c r="CB467" s="121"/>
      <c r="CC467" s="121"/>
      <c r="CD467" s="121"/>
      <c r="CE467" s="121"/>
      <c r="CF467" s="121"/>
      <c r="CG467" s="121"/>
      <c r="CH467" s="121"/>
      <c r="CI467" s="121"/>
      <c r="CJ467" s="121"/>
      <c r="CK467" s="121"/>
      <c r="CL467" s="121"/>
      <c r="CM467" s="121"/>
      <c r="CN467" s="121"/>
      <c r="CO467" s="121"/>
      <c r="CP467" s="121"/>
      <c r="CQ467" s="121"/>
      <c r="CR467" s="121"/>
      <c r="CS467" s="121"/>
      <c r="CT467" s="121"/>
      <c r="CU467" s="121"/>
      <c r="CV467" s="121"/>
      <c r="CW467" s="121"/>
      <c r="CX467" s="121"/>
      <c r="CY467" s="121"/>
      <c r="CZ467" s="121"/>
      <c r="DA467" s="121"/>
      <c r="DB467" s="121"/>
      <c r="DC467" s="121"/>
      <c r="DD467" s="121"/>
      <c r="DE467" s="121"/>
      <c r="DF467" s="121"/>
      <c r="DG467" s="121"/>
      <c r="DH467" s="121"/>
      <c r="DI467" s="121"/>
      <c r="DJ467" s="121"/>
      <c r="DK467" s="121"/>
      <c r="DL467" s="121"/>
      <c r="DM467" s="121"/>
      <c r="DN467" s="121"/>
      <c r="DO467" s="121"/>
      <c r="DP467" s="121"/>
      <c r="DQ467" s="121"/>
      <c r="DR467" s="121"/>
      <c r="DS467" s="121"/>
      <c r="DT467" s="121"/>
      <c r="DU467" s="121"/>
      <c r="DV467" s="121"/>
      <c r="DW467" s="121"/>
      <c r="DX467" s="121"/>
      <c r="DY467" s="121"/>
      <c r="DZ467" s="121"/>
      <c r="EA467" s="121"/>
      <c r="EB467" s="121"/>
      <c r="EC467" s="121"/>
      <c r="ED467" s="121"/>
      <c r="EE467" s="121"/>
      <c r="EF467" s="121"/>
      <c r="EG467" s="121"/>
      <c r="EH467" s="121"/>
      <c r="EI467" s="121"/>
      <c r="EJ467" s="121"/>
      <c r="EK467" s="121"/>
      <c r="EL467" s="121"/>
      <c r="EM467" s="121"/>
      <c r="EN467" s="121"/>
      <c r="EO467" s="121"/>
      <c r="EP467" s="121"/>
      <c r="EQ467" s="121"/>
      <c r="ER467" s="121"/>
      <c r="ES467" s="121"/>
      <c r="ET467" s="121"/>
      <c r="EU467" s="121"/>
      <c r="EV467" s="121"/>
      <c r="EW467" s="121"/>
      <c r="EX467" s="121"/>
      <c r="EY467" s="121"/>
      <c r="EZ467" s="121"/>
      <c r="FA467" s="121"/>
      <c r="FB467" s="121"/>
      <c r="FC467" s="121"/>
      <c r="FD467" s="121"/>
      <c r="FE467" s="121"/>
      <c r="FF467" s="121"/>
      <c r="FG467" s="121"/>
      <c r="FH467" s="121"/>
      <c r="FI467" s="121"/>
      <c r="FJ467" s="121"/>
      <c r="FK467" s="121"/>
      <c r="FL467" s="121"/>
      <c r="FM467" s="121"/>
      <c r="FN467" s="121"/>
      <c r="FO467" s="121"/>
      <c r="FP467" s="121"/>
      <c r="FQ467" s="121"/>
      <c r="FR467" s="121"/>
      <c r="FS467" s="121"/>
      <c r="FT467" s="121"/>
      <c r="FU467" s="121"/>
      <c r="FV467" s="121"/>
      <c r="FW467" s="121"/>
      <c r="FX467" s="121"/>
      <c r="FY467" s="121"/>
      <c r="FZ467" s="121"/>
      <c r="GA467" s="121"/>
      <c r="GB467" s="121"/>
      <c r="GC467" s="121"/>
      <c r="GD467" s="121"/>
      <c r="GE467" s="121"/>
      <c r="GF467" s="121"/>
      <c r="GG467" s="121"/>
      <c r="GH467" s="121"/>
      <c r="GI467" s="121"/>
      <c r="GJ467" s="121"/>
      <c r="GK467" s="121"/>
      <c r="GL467" s="121"/>
      <c r="GM467" s="121"/>
      <c r="GN467" s="121"/>
      <c r="GO467" s="121"/>
      <c r="GP467" s="121"/>
      <c r="GQ467" s="121"/>
      <c r="GR467" s="121"/>
      <c r="GS467" s="121"/>
      <c r="GT467" s="121"/>
      <c r="GU467" s="121"/>
      <c r="GV467" s="121"/>
      <c r="GW467" s="121"/>
      <c r="GX467" s="121"/>
      <c r="GY467" s="121"/>
      <c r="GZ467" s="121"/>
      <c r="HA467" s="121"/>
      <c r="HB467" s="121"/>
      <c r="HC467" s="121"/>
      <c r="HD467" s="121"/>
      <c r="HE467" s="121"/>
      <c r="HF467" s="121"/>
      <c r="HG467" s="121"/>
      <c r="HH467" s="121"/>
      <c r="HI467" s="121"/>
      <c r="HJ467" s="121"/>
      <c r="HK467" s="121"/>
      <c r="HL467" s="121"/>
      <c r="HM467" s="121"/>
      <c r="HN467" s="121"/>
      <c r="HO467" s="121"/>
      <c r="HP467" s="121"/>
      <c r="HQ467" s="121"/>
      <c r="HR467" s="121"/>
      <c r="HS467" s="121"/>
      <c r="HT467" s="121"/>
      <c r="HU467" s="121"/>
      <c r="HV467" s="121"/>
      <c r="HW467" s="121"/>
      <c r="HX467" s="121"/>
      <c r="HY467" s="121"/>
      <c r="HZ467" s="121"/>
      <c r="IA467" s="121"/>
    </row>
    <row r="468" spans="1:16" ht="11.25">
      <c r="A468" s="43" t="s">
        <v>5</v>
      </c>
      <c r="B468" s="31"/>
      <c r="C468" s="31"/>
      <c r="D468" s="134"/>
      <c r="E468" s="134"/>
      <c r="F468" s="35"/>
      <c r="G468" s="134"/>
      <c r="H468" s="134"/>
      <c r="I468" s="134"/>
      <c r="J468" s="35"/>
      <c r="K468" s="35"/>
      <c r="L468" s="134"/>
      <c r="M468" s="134"/>
      <c r="N468" s="134"/>
      <c r="O468" s="134"/>
      <c r="P468" s="35"/>
    </row>
    <row r="469" spans="1:16" ht="26.25" customHeight="1">
      <c r="A469" s="44" t="s">
        <v>206</v>
      </c>
      <c r="B469" s="33"/>
      <c r="C469" s="33"/>
      <c r="D469" s="36"/>
      <c r="E469" s="36">
        <v>33</v>
      </c>
      <c r="F469" s="36">
        <f>E469</f>
        <v>33</v>
      </c>
      <c r="G469" s="36"/>
      <c r="H469" s="36">
        <v>33</v>
      </c>
      <c r="I469" s="36"/>
      <c r="J469" s="36">
        <f>H469</f>
        <v>33</v>
      </c>
      <c r="K469" s="36" t="e">
        <f>G469/D469*100</f>
        <v>#DIV/0!</v>
      </c>
      <c r="L469" s="36"/>
      <c r="M469" s="36"/>
      <c r="N469" s="36"/>
      <c r="O469" s="36">
        <v>33</v>
      </c>
      <c r="P469" s="36">
        <f>O469</f>
        <v>33</v>
      </c>
    </row>
    <row r="470" spans="1:16" ht="26.25" customHeight="1">
      <c r="A470" s="44" t="s">
        <v>69</v>
      </c>
      <c r="B470" s="33"/>
      <c r="C470" s="33"/>
      <c r="D470" s="36"/>
      <c r="E470" s="36">
        <v>94</v>
      </c>
      <c r="F470" s="36">
        <v>94</v>
      </c>
      <c r="G470" s="36"/>
      <c r="H470" s="36">
        <v>94</v>
      </c>
      <c r="I470" s="36"/>
      <c r="J470" s="36">
        <v>94</v>
      </c>
      <c r="K470" s="36"/>
      <c r="L470" s="36"/>
      <c r="M470" s="36"/>
      <c r="N470" s="36"/>
      <c r="O470" s="36">
        <v>94</v>
      </c>
      <c r="P470" s="36">
        <v>94</v>
      </c>
    </row>
    <row r="471" spans="1:16" ht="11.25">
      <c r="A471" s="43" t="s">
        <v>7</v>
      </c>
      <c r="B471" s="31"/>
      <c r="C471" s="31"/>
      <c r="D471" s="134"/>
      <c r="E471" s="134"/>
      <c r="F471" s="35"/>
      <c r="G471" s="134"/>
      <c r="H471" s="134"/>
      <c r="I471" s="134"/>
      <c r="J471" s="35"/>
      <c r="K471" s="35"/>
      <c r="L471" s="134"/>
      <c r="M471" s="134"/>
      <c r="N471" s="134"/>
      <c r="O471" s="134"/>
      <c r="P471" s="35"/>
    </row>
    <row r="472" spans="1:16" ht="23.25" customHeight="1">
      <c r="A472" s="44" t="s">
        <v>70</v>
      </c>
      <c r="B472" s="33"/>
      <c r="C472" s="33"/>
      <c r="D472" s="35"/>
      <c r="E472" s="35">
        <v>1922.22</v>
      </c>
      <c r="F472" s="35">
        <f>E472</f>
        <v>1922.22</v>
      </c>
      <c r="G472" s="35"/>
      <c r="H472" s="35">
        <v>1922.23404255</v>
      </c>
      <c r="I472" s="35"/>
      <c r="J472" s="35">
        <f>H472</f>
        <v>1922.23404255</v>
      </c>
      <c r="K472" s="35" t="e">
        <f>G472/D472*100</f>
        <v>#DIV/0!</v>
      </c>
      <c r="L472" s="35"/>
      <c r="M472" s="35"/>
      <c r="N472" s="35"/>
      <c r="O472" s="35">
        <v>1922.23404255</v>
      </c>
      <c r="P472" s="35">
        <f>O472</f>
        <v>1922.23404255</v>
      </c>
    </row>
    <row r="473" spans="1:16" ht="11.25">
      <c r="A473" s="54" t="s">
        <v>6</v>
      </c>
      <c r="B473" s="33"/>
      <c r="C473" s="33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</row>
    <row r="474" spans="1:16" ht="29.25" customHeight="1">
      <c r="A474" s="55" t="s">
        <v>207</v>
      </c>
      <c r="B474" s="33"/>
      <c r="C474" s="33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</row>
    <row r="475" spans="1:235" s="92" customFormat="1" ht="33.75" customHeight="1">
      <c r="A475" s="96" t="s">
        <v>388</v>
      </c>
      <c r="B475" s="96"/>
      <c r="C475" s="96"/>
      <c r="D475" s="100"/>
      <c r="E475" s="100">
        <f>E479</f>
        <v>162140</v>
      </c>
      <c r="F475" s="100">
        <f>E475</f>
        <v>162140</v>
      </c>
      <c r="G475" s="100"/>
      <c r="H475" s="100">
        <f>H479</f>
        <v>257570</v>
      </c>
      <c r="I475" s="100"/>
      <c r="J475" s="100">
        <f>H475</f>
        <v>257570</v>
      </c>
      <c r="K475" s="100"/>
      <c r="L475" s="100"/>
      <c r="M475" s="100"/>
      <c r="N475" s="100"/>
      <c r="O475" s="100">
        <f>O479</f>
        <v>257570</v>
      </c>
      <c r="P475" s="100">
        <f>O475</f>
        <v>257570</v>
      </c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  <c r="BY475" s="91"/>
      <c r="BZ475" s="91"/>
      <c r="CA475" s="91"/>
      <c r="CB475" s="91"/>
      <c r="CC475" s="91"/>
      <c r="CD475" s="91"/>
      <c r="CE475" s="91"/>
      <c r="CF475" s="91"/>
      <c r="CG475" s="91"/>
      <c r="CH475" s="91"/>
      <c r="CI475" s="91"/>
      <c r="CJ475" s="91"/>
      <c r="CK475" s="91"/>
      <c r="CL475" s="91"/>
      <c r="CM475" s="91"/>
      <c r="CN475" s="91"/>
      <c r="CO475" s="91"/>
      <c r="CP475" s="91"/>
      <c r="CQ475" s="91"/>
      <c r="CR475" s="91"/>
      <c r="CS475" s="91"/>
      <c r="CT475" s="91"/>
      <c r="CU475" s="91"/>
      <c r="CV475" s="91"/>
      <c r="CW475" s="91"/>
      <c r="CX475" s="91"/>
      <c r="CY475" s="91"/>
      <c r="CZ475" s="91"/>
      <c r="DA475" s="91"/>
      <c r="DB475" s="91"/>
      <c r="DC475" s="91"/>
      <c r="DD475" s="91"/>
      <c r="DE475" s="91"/>
      <c r="DF475" s="91"/>
      <c r="DG475" s="91"/>
      <c r="DH475" s="91"/>
      <c r="DI475" s="91"/>
      <c r="DJ475" s="91"/>
      <c r="DK475" s="91"/>
      <c r="DL475" s="91"/>
      <c r="DM475" s="91"/>
      <c r="DN475" s="91"/>
      <c r="DO475" s="91"/>
      <c r="DP475" s="91"/>
      <c r="DQ475" s="91"/>
      <c r="DR475" s="91"/>
      <c r="DS475" s="91"/>
      <c r="DT475" s="91"/>
      <c r="DU475" s="91"/>
      <c r="DV475" s="91"/>
      <c r="DW475" s="91"/>
      <c r="DX475" s="91"/>
      <c r="DY475" s="91"/>
      <c r="DZ475" s="91"/>
      <c r="EA475" s="91"/>
      <c r="EB475" s="91"/>
      <c r="EC475" s="91"/>
      <c r="ED475" s="91"/>
      <c r="EE475" s="91"/>
      <c r="EF475" s="91"/>
      <c r="EG475" s="91"/>
      <c r="EH475" s="91"/>
      <c r="EI475" s="91"/>
      <c r="EJ475" s="91"/>
      <c r="EK475" s="91"/>
      <c r="EL475" s="91"/>
      <c r="EM475" s="91"/>
      <c r="EN475" s="91"/>
      <c r="EO475" s="91"/>
      <c r="EP475" s="91"/>
      <c r="EQ475" s="91"/>
      <c r="ER475" s="91"/>
      <c r="ES475" s="91"/>
      <c r="ET475" s="91"/>
      <c r="EU475" s="91"/>
      <c r="EV475" s="91"/>
      <c r="EW475" s="91"/>
      <c r="EX475" s="91"/>
      <c r="EY475" s="91"/>
      <c r="EZ475" s="91"/>
      <c r="FA475" s="91"/>
      <c r="FB475" s="91"/>
      <c r="FC475" s="91"/>
      <c r="FD475" s="91"/>
      <c r="FE475" s="91"/>
      <c r="FF475" s="91"/>
      <c r="FG475" s="91"/>
      <c r="FH475" s="91"/>
      <c r="FI475" s="91"/>
      <c r="FJ475" s="91"/>
      <c r="FK475" s="91"/>
      <c r="FL475" s="91"/>
      <c r="FM475" s="91"/>
      <c r="FN475" s="91"/>
      <c r="FO475" s="91"/>
      <c r="FP475" s="91"/>
      <c r="FQ475" s="91"/>
      <c r="FR475" s="91"/>
      <c r="FS475" s="91"/>
      <c r="FT475" s="91"/>
      <c r="FU475" s="91"/>
      <c r="FV475" s="91"/>
      <c r="FW475" s="91"/>
      <c r="FX475" s="91"/>
      <c r="FY475" s="91"/>
      <c r="FZ475" s="91"/>
      <c r="GA475" s="91"/>
      <c r="GB475" s="91"/>
      <c r="GC475" s="91"/>
      <c r="GD475" s="91"/>
      <c r="GE475" s="91"/>
      <c r="GF475" s="91"/>
      <c r="GG475" s="91"/>
      <c r="GH475" s="91"/>
      <c r="GI475" s="91"/>
      <c r="GJ475" s="91"/>
      <c r="GK475" s="91"/>
      <c r="GL475" s="91"/>
      <c r="GM475" s="91"/>
      <c r="GN475" s="91"/>
      <c r="GO475" s="91"/>
      <c r="GP475" s="91"/>
      <c r="GQ475" s="91"/>
      <c r="GR475" s="91"/>
      <c r="GS475" s="91"/>
      <c r="GT475" s="91"/>
      <c r="GU475" s="91"/>
      <c r="GV475" s="91"/>
      <c r="GW475" s="91"/>
      <c r="GX475" s="91"/>
      <c r="GY475" s="91"/>
      <c r="GZ475" s="91"/>
      <c r="HA475" s="91"/>
      <c r="HB475" s="91"/>
      <c r="HC475" s="91"/>
      <c r="HD475" s="91"/>
      <c r="HE475" s="91"/>
      <c r="HF475" s="91"/>
      <c r="HG475" s="91"/>
      <c r="HH475" s="91"/>
      <c r="HI475" s="91"/>
      <c r="HJ475" s="91"/>
      <c r="HK475" s="91"/>
      <c r="HL475" s="91"/>
      <c r="HM475" s="91"/>
      <c r="HN475" s="91"/>
      <c r="HO475" s="91"/>
      <c r="HP475" s="91"/>
      <c r="HQ475" s="91"/>
      <c r="HR475" s="91"/>
      <c r="HS475" s="91"/>
      <c r="HT475" s="91"/>
      <c r="HU475" s="91"/>
      <c r="HV475" s="91"/>
      <c r="HW475" s="91"/>
      <c r="HX475" s="91"/>
      <c r="HY475" s="91"/>
      <c r="HZ475" s="91"/>
      <c r="IA475" s="91"/>
    </row>
    <row r="476" spans="1:16" ht="11.25">
      <c r="A476" s="43" t="s">
        <v>5</v>
      </c>
      <c r="B476" s="31"/>
      <c r="C476" s="31"/>
      <c r="D476" s="134"/>
      <c r="E476" s="134"/>
      <c r="F476" s="35"/>
      <c r="G476" s="134"/>
      <c r="H476" s="134"/>
      <c r="I476" s="134"/>
      <c r="J476" s="35"/>
      <c r="K476" s="35"/>
      <c r="L476" s="134"/>
      <c r="M476" s="134"/>
      <c r="N476" s="134"/>
      <c r="O476" s="134"/>
      <c r="P476" s="35"/>
    </row>
    <row r="477" spans="1:16" ht="27.75" customHeight="1">
      <c r="A477" s="44" t="s">
        <v>208</v>
      </c>
      <c r="B477" s="33"/>
      <c r="C477" s="33"/>
      <c r="D477" s="36"/>
      <c r="E477" s="36">
        <v>236</v>
      </c>
      <c r="F477" s="36">
        <f>E477</f>
        <v>236</v>
      </c>
      <c r="G477" s="36"/>
      <c r="H477" s="36">
        <v>236</v>
      </c>
      <c r="I477" s="36"/>
      <c r="J477" s="36">
        <f>H477</f>
        <v>236</v>
      </c>
      <c r="K477" s="36" t="e">
        <f>G477/D477*100</f>
        <v>#DIV/0!</v>
      </c>
      <c r="L477" s="36"/>
      <c r="M477" s="36"/>
      <c r="N477" s="36"/>
      <c r="O477" s="36">
        <v>236</v>
      </c>
      <c r="P477" s="36">
        <f>O477</f>
        <v>236</v>
      </c>
    </row>
    <row r="478" spans="1:16" ht="11.25">
      <c r="A478" s="43" t="s">
        <v>7</v>
      </c>
      <c r="B478" s="31"/>
      <c r="C478" s="31"/>
      <c r="D478" s="141"/>
      <c r="E478" s="141"/>
      <c r="F478" s="80"/>
      <c r="G478" s="141"/>
      <c r="H478" s="141"/>
      <c r="I478" s="141"/>
      <c r="J478" s="80"/>
      <c r="K478" s="80"/>
      <c r="L478" s="141"/>
      <c r="M478" s="141"/>
      <c r="N478" s="141"/>
      <c r="O478" s="141"/>
      <c r="P478" s="80"/>
    </row>
    <row r="479" spans="1:16" ht="24" customHeight="1">
      <c r="A479" s="46" t="s">
        <v>209</v>
      </c>
      <c r="B479" s="47"/>
      <c r="C479" s="76"/>
      <c r="D479" s="75"/>
      <c r="E479" s="75">
        <v>162140</v>
      </c>
      <c r="F479" s="75">
        <f>E479</f>
        <v>162140</v>
      </c>
      <c r="G479" s="75"/>
      <c r="H479" s="75">
        <v>257570</v>
      </c>
      <c r="I479" s="75"/>
      <c r="J479" s="75">
        <f>H479</f>
        <v>257570</v>
      </c>
      <c r="K479" s="75" t="e">
        <f>G479/D479*100</f>
        <v>#DIV/0!</v>
      </c>
      <c r="L479" s="75"/>
      <c r="M479" s="75"/>
      <c r="N479" s="75"/>
      <c r="O479" s="75">
        <v>257570</v>
      </c>
      <c r="P479" s="75">
        <f>O479</f>
        <v>257570</v>
      </c>
    </row>
    <row r="480" spans="1:235" s="92" customFormat="1" ht="33.75">
      <c r="A480" s="96" t="s">
        <v>389</v>
      </c>
      <c r="B480" s="96"/>
      <c r="C480" s="97"/>
      <c r="D480" s="105"/>
      <c r="E480" s="105">
        <v>191250</v>
      </c>
      <c r="F480" s="105">
        <f>E480</f>
        <v>191250</v>
      </c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  <c r="BY480" s="91"/>
      <c r="BZ480" s="91"/>
      <c r="CA480" s="91"/>
      <c r="CB480" s="91"/>
      <c r="CC480" s="91"/>
      <c r="CD480" s="91"/>
      <c r="CE480" s="91"/>
      <c r="CF480" s="91"/>
      <c r="CG480" s="91"/>
      <c r="CH480" s="91"/>
      <c r="CI480" s="91"/>
      <c r="CJ480" s="91"/>
      <c r="CK480" s="91"/>
      <c r="CL480" s="91"/>
      <c r="CM480" s="91"/>
      <c r="CN480" s="91"/>
      <c r="CO480" s="91"/>
      <c r="CP480" s="91"/>
      <c r="CQ480" s="91"/>
      <c r="CR480" s="91"/>
      <c r="CS480" s="91"/>
      <c r="CT480" s="91"/>
      <c r="CU480" s="91"/>
      <c r="CV480" s="91"/>
      <c r="CW480" s="91"/>
      <c r="CX480" s="91"/>
      <c r="CY480" s="91"/>
      <c r="CZ480" s="91"/>
      <c r="DA480" s="91"/>
      <c r="DB480" s="91"/>
      <c r="DC480" s="91"/>
      <c r="DD480" s="91"/>
      <c r="DE480" s="91"/>
      <c r="DF480" s="91"/>
      <c r="DG480" s="91"/>
      <c r="DH480" s="91"/>
      <c r="DI480" s="91"/>
      <c r="DJ480" s="91"/>
      <c r="DK480" s="91"/>
      <c r="DL480" s="91"/>
      <c r="DM480" s="91"/>
      <c r="DN480" s="91"/>
      <c r="DO480" s="91"/>
      <c r="DP480" s="91"/>
      <c r="DQ480" s="91"/>
      <c r="DR480" s="91"/>
      <c r="DS480" s="91"/>
      <c r="DT480" s="91"/>
      <c r="DU480" s="91"/>
      <c r="DV480" s="91"/>
      <c r="DW480" s="91"/>
      <c r="DX480" s="91"/>
      <c r="DY480" s="91"/>
      <c r="DZ480" s="91"/>
      <c r="EA480" s="91"/>
      <c r="EB480" s="91"/>
      <c r="EC480" s="91"/>
      <c r="ED480" s="91"/>
      <c r="EE480" s="91"/>
      <c r="EF480" s="91"/>
      <c r="EG480" s="91"/>
      <c r="EH480" s="91"/>
      <c r="EI480" s="91"/>
      <c r="EJ480" s="91"/>
      <c r="EK480" s="91"/>
      <c r="EL480" s="91"/>
      <c r="EM480" s="91"/>
      <c r="EN480" s="91"/>
      <c r="EO480" s="91"/>
      <c r="EP480" s="91"/>
      <c r="EQ480" s="91"/>
      <c r="ER480" s="91"/>
      <c r="ES480" s="91"/>
      <c r="ET480" s="91"/>
      <c r="EU480" s="91"/>
      <c r="EV480" s="91"/>
      <c r="EW480" s="91"/>
      <c r="EX480" s="91"/>
      <c r="EY480" s="91"/>
      <c r="EZ480" s="91"/>
      <c r="FA480" s="91"/>
      <c r="FB480" s="91"/>
      <c r="FC480" s="91"/>
      <c r="FD480" s="91"/>
      <c r="FE480" s="91"/>
      <c r="FF480" s="91"/>
      <c r="FG480" s="91"/>
      <c r="FH480" s="91"/>
      <c r="FI480" s="91"/>
      <c r="FJ480" s="91"/>
      <c r="FK480" s="91"/>
      <c r="FL480" s="91"/>
      <c r="FM480" s="91"/>
      <c r="FN480" s="91"/>
      <c r="FO480" s="91"/>
      <c r="FP480" s="91"/>
      <c r="FQ480" s="91"/>
      <c r="FR480" s="91"/>
      <c r="FS480" s="91"/>
      <c r="FT480" s="91"/>
      <c r="FU480" s="91"/>
      <c r="FV480" s="91"/>
      <c r="FW480" s="91"/>
      <c r="FX480" s="91"/>
      <c r="FY480" s="91"/>
      <c r="FZ480" s="91"/>
      <c r="GA480" s="91"/>
      <c r="GB480" s="91"/>
      <c r="GC480" s="91"/>
      <c r="GD480" s="91"/>
      <c r="GE480" s="91"/>
      <c r="GF480" s="91"/>
      <c r="GG480" s="91"/>
      <c r="GH480" s="91"/>
      <c r="GI480" s="91"/>
      <c r="GJ480" s="91"/>
      <c r="GK480" s="91"/>
      <c r="GL480" s="91"/>
      <c r="GM480" s="91"/>
      <c r="GN480" s="91"/>
      <c r="GO480" s="91"/>
      <c r="GP480" s="91"/>
      <c r="GQ480" s="91"/>
      <c r="GR480" s="91"/>
      <c r="GS480" s="91"/>
      <c r="GT480" s="91"/>
      <c r="GU480" s="91"/>
      <c r="GV480" s="91"/>
      <c r="GW480" s="91"/>
      <c r="GX480" s="91"/>
      <c r="GY480" s="91"/>
      <c r="GZ480" s="91"/>
      <c r="HA480" s="91"/>
      <c r="HB480" s="91"/>
      <c r="HC480" s="91"/>
      <c r="HD480" s="91"/>
      <c r="HE480" s="91"/>
      <c r="HF480" s="91"/>
      <c r="HG480" s="91"/>
      <c r="HH480" s="91"/>
      <c r="HI480" s="91"/>
      <c r="HJ480" s="91"/>
      <c r="HK480" s="91"/>
      <c r="HL480" s="91"/>
      <c r="HM480" s="91"/>
      <c r="HN480" s="91"/>
      <c r="HO480" s="91"/>
      <c r="HP480" s="91"/>
      <c r="HQ480" s="91"/>
      <c r="HR480" s="91"/>
      <c r="HS480" s="91"/>
      <c r="HT480" s="91"/>
      <c r="HU480" s="91"/>
      <c r="HV480" s="91"/>
      <c r="HW480" s="91"/>
      <c r="HX480" s="91"/>
      <c r="HY480" s="91"/>
      <c r="HZ480" s="91"/>
      <c r="IA480" s="91"/>
    </row>
    <row r="481" spans="1:16" ht="11.25">
      <c r="A481" s="43" t="s">
        <v>4</v>
      </c>
      <c r="B481" s="32"/>
      <c r="C481" s="32"/>
      <c r="D481" s="142"/>
      <c r="E481" s="142"/>
      <c r="F481" s="142"/>
      <c r="G481" s="142"/>
      <c r="H481" s="142"/>
      <c r="I481" s="142"/>
      <c r="J481" s="142"/>
      <c r="K481" s="143"/>
      <c r="L481" s="142"/>
      <c r="M481" s="142"/>
      <c r="N481" s="142"/>
      <c r="O481" s="142"/>
      <c r="P481" s="142"/>
    </row>
    <row r="482" spans="1:16" ht="11.25">
      <c r="A482" s="44" t="s">
        <v>65</v>
      </c>
      <c r="B482" s="34"/>
      <c r="C482" s="34"/>
      <c r="D482" s="36"/>
      <c r="E482" s="36">
        <f>E480/E486</f>
        <v>11.417910447761194</v>
      </c>
      <c r="F482" s="36">
        <f>E482</f>
        <v>11.417910447761194</v>
      </c>
      <c r="G482" s="36"/>
      <c r="H482" s="36"/>
      <c r="I482" s="36"/>
      <c r="J482" s="36"/>
      <c r="K482" s="36"/>
      <c r="L482" s="36"/>
      <c r="M482" s="36"/>
      <c r="N482" s="36"/>
      <c r="O482" s="36"/>
      <c r="P482" s="36"/>
    </row>
    <row r="483" spans="1:16" ht="11.25">
      <c r="A483" s="43" t="s">
        <v>5</v>
      </c>
      <c r="B483" s="32"/>
      <c r="C483" s="32"/>
      <c r="D483" s="135"/>
      <c r="E483" s="135"/>
      <c r="F483" s="36"/>
      <c r="G483" s="135"/>
      <c r="H483" s="135"/>
      <c r="I483" s="135"/>
      <c r="J483" s="36"/>
      <c r="K483" s="36"/>
      <c r="L483" s="135"/>
      <c r="M483" s="135"/>
      <c r="N483" s="135"/>
      <c r="O483" s="135"/>
      <c r="P483" s="36"/>
    </row>
    <row r="484" spans="1:16" ht="24" customHeight="1">
      <c r="A484" s="44" t="s">
        <v>66</v>
      </c>
      <c r="B484" s="34"/>
      <c r="C484" s="34"/>
      <c r="D484" s="36"/>
      <c r="E484" s="36">
        <v>11</v>
      </c>
      <c r="F484" s="36">
        <f>E484</f>
        <v>11</v>
      </c>
      <c r="G484" s="36"/>
      <c r="H484" s="36"/>
      <c r="I484" s="36"/>
      <c r="J484" s="36"/>
      <c r="K484" s="36"/>
      <c r="L484" s="36"/>
      <c r="M484" s="36"/>
      <c r="N484" s="36"/>
      <c r="O484" s="36"/>
      <c r="P484" s="36"/>
    </row>
    <row r="485" spans="1:16" ht="11.25">
      <c r="A485" s="43" t="s">
        <v>7</v>
      </c>
      <c r="B485" s="32"/>
      <c r="C485" s="32"/>
      <c r="D485" s="134"/>
      <c r="E485" s="134"/>
      <c r="F485" s="35"/>
      <c r="G485" s="134"/>
      <c r="H485" s="134"/>
      <c r="I485" s="134"/>
      <c r="J485" s="35"/>
      <c r="K485" s="35"/>
      <c r="L485" s="134"/>
      <c r="M485" s="134"/>
      <c r="N485" s="134"/>
      <c r="O485" s="134"/>
      <c r="P485" s="35"/>
    </row>
    <row r="486" spans="1:16" ht="24" customHeight="1">
      <c r="A486" s="46" t="s">
        <v>67</v>
      </c>
      <c r="B486" s="79"/>
      <c r="C486" s="79"/>
      <c r="D486" s="80"/>
      <c r="E486" s="80">
        <v>16750</v>
      </c>
      <c r="F486" s="80">
        <f>E486</f>
        <v>16750</v>
      </c>
      <c r="G486" s="80"/>
      <c r="H486" s="80"/>
      <c r="I486" s="80"/>
      <c r="J486" s="80"/>
      <c r="K486" s="80"/>
      <c r="L486" s="80"/>
      <c r="M486" s="80"/>
      <c r="N486" s="80"/>
      <c r="O486" s="80"/>
      <c r="P486" s="80"/>
    </row>
    <row r="487" spans="1:235" s="92" customFormat="1" ht="33.75">
      <c r="A487" s="96" t="s">
        <v>390</v>
      </c>
      <c r="B487" s="96"/>
      <c r="C487" s="97"/>
      <c r="D487" s="105"/>
      <c r="E487" s="105"/>
      <c r="F487" s="105"/>
      <c r="G487" s="105"/>
      <c r="H487" s="105">
        <f>H491*H493</f>
        <v>131250</v>
      </c>
      <c r="I487" s="105">
        <f aca="true" t="shared" si="45" ref="I487:Q487">I491*I493</f>
        <v>0</v>
      </c>
      <c r="J487" s="105">
        <f t="shared" si="45"/>
        <v>131250</v>
      </c>
      <c r="K487" s="105">
        <f t="shared" si="45"/>
        <v>0</v>
      </c>
      <c r="L487" s="105">
        <f t="shared" si="45"/>
        <v>0</v>
      </c>
      <c r="M487" s="105">
        <f t="shared" si="45"/>
        <v>0</v>
      </c>
      <c r="N487" s="105">
        <f t="shared" si="45"/>
        <v>0</v>
      </c>
      <c r="O487" s="105">
        <f t="shared" si="45"/>
        <v>131250</v>
      </c>
      <c r="P487" s="105">
        <f t="shared" si="45"/>
        <v>131250</v>
      </c>
      <c r="Q487" s="98">
        <f t="shared" si="45"/>
        <v>0</v>
      </c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  <c r="BY487" s="91"/>
      <c r="BZ487" s="91"/>
      <c r="CA487" s="91"/>
      <c r="CB487" s="91"/>
      <c r="CC487" s="91"/>
      <c r="CD487" s="91"/>
      <c r="CE487" s="91"/>
      <c r="CF487" s="91"/>
      <c r="CG487" s="91"/>
      <c r="CH487" s="91"/>
      <c r="CI487" s="91"/>
      <c r="CJ487" s="91"/>
      <c r="CK487" s="91"/>
      <c r="CL487" s="91"/>
      <c r="CM487" s="91"/>
      <c r="CN487" s="91"/>
      <c r="CO487" s="91"/>
      <c r="CP487" s="91"/>
      <c r="CQ487" s="91"/>
      <c r="CR487" s="91"/>
      <c r="CS487" s="91"/>
      <c r="CT487" s="91"/>
      <c r="CU487" s="91"/>
      <c r="CV487" s="91"/>
      <c r="CW487" s="91"/>
      <c r="CX487" s="91"/>
      <c r="CY487" s="91"/>
      <c r="CZ487" s="91"/>
      <c r="DA487" s="91"/>
      <c r="DB487" s="91"/>
      <c r="DC487" s="91"/>
      <c r="DD487" s="91"/>
      <c r="DE487" s="91"/>
      <c r="DF487" s="91"/>
      <c r="DG487" s="91"/>
      <c r="DH487" s="91"/>
      <c r="DI487" s="91"/>
      <c r="DJ487" s="91"/>
      <c r="DK487" s="91"/>
      <c r="DL487" s="91"/>
      <c r="DM487" s="91"/>
      <c r="DN487" s="91"/>
      <c r="DO487" s="91"/>
      <c r="DP487" s="91"/>
      <c r="DQ487" s="91"/>
      <c r="DR487" s="91"/>
      <c r="DS487" s="91"/>
      <c r="DT487" s="91"/>
      <c r="DU487" s="91"/>
      <c r="DV487" s="91"/>
      <c r="DW487" s="91"/>
      <c r="DX487" s="91"/>
      <c r="DY487" s="91"/>
      <c r="DZ487" s="91"/>
      <c r="EA487" s="91"/>
      <c r="EB487" s="91"/>
      <c r="EC487" s="91"/>
      <c r="ED487" s="91"/>
      <c r="EE487" s="91"/>
      <c r="EF487" s="91"/>
      <c r="EG487" s="91"/>
      <c r="EH487" s="91"/>
      <c r="EI487" s="91"/>
      <c r="EJ487" s="91"/>
      <c r="EK487" s="91"/>
      <c r="EL487" s="91"/>
      <c r="EM487" s="91"/>
      <c r="EN487" s="91"/>
      <c r="EO487" s="91"/>
      <c r="EP487" s="91"/>
      <c r="EQ487" s="91"/>
      <c r="ER487" s="91"/>
      <c r="ES487" s="91"/>
      <c r="ET487" s="91"/>
      <c r="EU487" s="91"/>
      <c r="EV487" s="91"/>
      <c r="EW487" s="91"/>
      <c r="EX487" s="91"/>
      <c r="EY487" s="91"/>
      <c r="EZ487" s="91"/>
      <c r="FA487" s="91"/>
      <c r="FB487" s="91"/>
      <c r="FC487" s="91"/>
      <c r="FD487" s="91"/>
      <c r="FE487" s="91"/>
      <c r="FF487" s="91"/>
      <c r="FG487" s="91"/>
      <c r="FH487" s="91"/>
      <c r="FI487" s="91"/>
      <c r="FJ487" s="91"/>
      <c r="FK487" s="91"/>
      <c r="FL487" s="91"/>
      <c r="FM487" s="91"/>
      <c r="FN487" s="91"/>
      <c r="FO487" s="91"/>
      <c r="FP487" s="91"/>
      <c r="FQ487" s="91"/>
      <c r="FR487" s="91"/>
      <c r="FS487" s="91"/>
      <c r="FT487" s="91"/>
      <c r="FU487" s="91"/>
      <c r="FV487" s="91"/>
      <c r="FW487" s="91"/>
      <c r="FX487" s="91"/>
      <c r="FY487" s="91"/>
      <c r="FZ487" s="91"/>
      <c r="GA487" s="91"/>
      <c r="GB487" s="91"/>
      <c r="GC487" s="91"/>
      <c r="GD487" s="91"/>
      <c r="GE487" s="91"/>
      <c r="GF487" s="91"/>
      <c r="GG487" s="91"/>
      <c r="GH487" s="91"/>
      <c r="GI487" s="91"/>
      <c r="GJ487" s="91"/>
      <c r="GK487" s="91"/>
      <c r="GL487" s="91"/>
      <c r="GM487" s="91"/>
      <c r="GN487" s="91"/>
      <c r="GO487" s="91"/>
      <c r="GP487" s="91"/>
      <c r="GQ487" s="91"/>
      <c r="GR487" s="91"/>
      <c r="GS487" s="91"/>
      <c r="GT487" s="91"/>
      <c r="GU487" s="91"/>
      <c r="GV487" s="91"/>
      <c r="GW487" s="91"/>
      <c r="GX487" s="91"/>
      <c r="GY487" s="91"/>
      <c r="GZ487" s="91"/>
      <c r="HA487" s="91"/>
      <c r="HB487" s="91"/>
      <c r="HC487" s="91"/>
      <c r="HD487" s="91"/>
      <c r="HE487" s="91"/>
      <c r="HF487" s="91"/>
      <c r="HG487" s="91"/>
      <c r="HH487" s="91"/>
      <c r="HI487" s="91"/>
      <c r="HJ487" s="91"/>
      <c r="HK487" s="91"/>
      <c r="HL487" s="91"/>
      <c r="HM487" s="91"/>
      <c r="HN487" s="91"/>
      <c r="HO487" s="91"/>
      <c r="HP487" s="91"/>
      <c r="HQ487" s="91"/>
      <c r="HR487" s="91"/>
      <c r="HS487" s="91"/>
      <c r="HT487" s="91"/>
      <c r="HU487" s="91"/>
      <c r="HV487" s="91"/>
      <c r="HW487" s="91"/>
      <c r="HX487" s="91"/>
      <c r="HY487" s="91"/>
      <c r="HZ487" s="91"/>
      <c r="IA487" s="91"/>
    </row>
    <row r="488" spans="1:16" ht="11.25">
      <c r="A488" s="43" t="s">
        <v>4</v>
      </c>
      <c r="B488" s="32"/>
      <c r="C488" s="32"/>
      <c r="D488" s="142"/>
      <c r="E488" s="142"/>
      <c r="F488" s="142"/>
      <c r="G488" s="142"/>
      <c r="H488" s="142"/>
      <c r="I488" s="142"/>
      <c r="J488" s="142"/>
      <c r="K488" s="143"/>
      <c r="L488" s="142"/>
      <c r="M488" s="142"/>
      <c r="N488" s="142"/>
      <c r="O488" s="142"/>
      <c r="P488" s="142"/>
    </row>
    <row r="489" spans="1:16" ht="11.25">
      <c r="A489" s="44" t="s">
        <v>65</v>
      </c>
      <c r="B489" s="34"/>
      <c r="C489" s="34"/>
      <c r="D489" s="36"/>
      <c r="E489" s="36"/>
      <c r="F489" s="36"/>
      <c r="G489" s="36"/>
      <c r="H489" s="36">
        <v>8</v>
      </c>
      <c r="I489" s="36"/>
      <c r="J489" s="36">
        <v>8</v>
      </c>
      <c r="K489" s="36"/>
      <c r="L489" s="36"/>
      <c r="M489" s="36"/>
      <c r="N489" s="36"/>
      <c r="O489" s="36">
        <v>8</v>
      </c>
      <c r="P489" s="36">
        <v>8</v>
      </c>
    </row>
    <row r="490" spans="1:16" ht="11.25">
      <c r="A490" s="43" t="s">
        <v>5</v>
      </c>
      <c r="B490" s="32"/>
      <c r="C490" s="32"/>
      <c r="D490" s="135"/>
      <c r="E490" s="135"/>
      <c r="F490" s="36"/>
      <c r="G490" s="135"/>
      <c r="H490" s="135"/>
      <c r="I490" s="135"/>
      <c r="J490" s="36"/>
      <c r="K490" s="36"/>
      <c r="L490" s="135"/>
      <c r="M490" s="135"/>
      <c r="N490" s="135"/>
      <c r="O490" s="135"/>
      <c r="P490" s="36"/>
    </row>
    <row r="491" spans="1:16" ht="24" customHeight="1">
      <c r="A491" s="44" t="s">
        <v>66</v>
      </c>
      <c r="B491" s="34"/>
      <c r="C491" s="34"/>
      <c r="D491" s="36"/>
      <c r="E491" s="36"/>
      <c r="F491" s="36"/>
      <c r="G491" s="36"/>
      <c r="H491" s="36">
        <v>8</v>
      </c>
      <c r="I491" s="36"/>
      <c r="J491" s="36">
        <v>8</v>
      </c>
      <c r="K491" s="36"/>
      <c r="L491" s="36"/>
      <c r="M491" s="36"/>
      <c r="N491" s="36"/>
      <c r="O491" s="36">
        <v>8</v>
      </c>
      <c r="P491" s="36">
        <v>8</v>
      </c>
    </row>
    <row r="492" spans="1:16" ht="11.25">
      <c r="A492" s="43" t="s">
        <v>7</v>
      </c>
      <c r="B492" s="32"/>
      <c r="C492" s="32"/>
      <c r="D492" s="134"/>
      <c r="E492" s="134"/>
      <c r="F492" s="35"/>
      <c r="G492" s="134"/>
      <c r="H492" s="134"/>
      <c r="I492" s="134"/>
      <c r="J492" s="35"/>
      <c r="K492" s="35"/>
      <c r="L492" s="134"/>
      <c r="M492" s="134"/>
      <c r="N492" s="134"/>
      <c r="O492" s="134"/>
      <c r="P492" s="35"/>
    </row>
    <row r="493" spans="1:16" ht="24" customHeight="1">
      <c r="A493" s="46" t="s">
        <v>67</v>
      </c>
      <c r="B493" s="79"/>
      <c r="C493" s="79"/>
      <c r="D493" s="80"/>
      <c r="E493" s="80"/>
      <c r="F493" s="80"/>
      <c r="G493" s="80"/>
      <c r="H493" s="80">
        <v>16406.25</v>
      </c>
      <c r="I493" s="80"/>
      <c r="J493" s="80">
        <v>16406.25</v>
      </c>
      <c r="K493" s="80"/>
      <c r="L493" s="80"/>
      <c r="M493" s="80"/>
      <c r="N493" s="80"/>
      <c r="O493" s="80">
        <v>16406.25</v>
      </c>
      <c r="P493" s="80">
        <v>16406.25</v>
      </c>
    </row>
    <row r="494" spans="1:235" s="92" customFormat="1" ht="35.25" customHeight="1">
      <c r="A494" s="96" t="s">
        <v>391</v>
      </c>
      <c r="B494" s="104"/>
      <c r="C494" s="104"/>
      <c r="D494" s="105"/>
      <c r="E494" s="105"/>
      <c r="F494" s="105"/>
      <c r="G494" s="105"/>
      <c r="H494" s="105">
        <f>H498*H500</f>
        <v>110000</v>
      </c>
      <c r="I494" s="105"/>
      <c r="J494" s="105">
        <f>H494</f>
        <v>110000</v>
      </c>
      <c r="K494" s="105"/>
      <c r="L494" s="105"/>
      <c r="M494" s="105"/>
      <c r="N494" s="105"/>
      <c r="O494" s="105"/>
      <c r="P494" s="105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  <c r="BY494" s="91"/>
      <c r="BZ494" s="91"/>
      <c r="CA494" s="91"/>
      <c r="CB494" s="91"/>
      <c r="CC494" s="91"/>
      <c r="CD494" s="91"/>
      <c r="CE494" s="91"/>
      <c r="CF494" s="91"/>
      <c r="CG494" s="91"/>
      <c r="CH494" s="91"/>
      <c r="CI494" s="91"/>
      <c r="CJ494" s="91"/>
      <c r="CK494" s="91"/>
      <c r="CL494" s="91"/>
      <c r="CM494" s="91"/>
      <c r="CN494" s="91"/>
      <c r="CO494" s="91"/>
      <c r="CP494" s="91"/>
      <c r="CQ494" s="91"/>
      <c r="CR494" s="91"/>
      <c r="CS494" s="91"/>
      <c r="CT494" s="91"/>
      <c r="CU494" s="91"/>
      <c r="CV494" s="91"/>
      <c r="CW494" s="91"/>
      <c r="CX494" s="91"/>
      <c r="CY494" s="91"/>
      <c r="CZ494" s="91"/>
      <c r="DA494" s="91"/>
      <c r="DB494" s="91"/>
      <c r="DC494" s="91"/>
      <c r="DD494" s="91"/>
      <c r="DE494" s="91"/>
      <c r="DF494" s="91"/>
      <c r="DG494" s="91"/>
      <c r="DH494" s="91"/>
      <c r="DI494" s="91"/>
      <c r="DJ494" s="91"/>
      <c r="DK494" s="91"/>
      <c r="DL494" s="91"/>
      <c r="DM494" s="91"/>
      <c r="DN494" s="91"/>
      <c r="DO494" s="91"/>
      <c r="DP494" s="91"/>
      <c r="DQ494" s="91"/>
      <c r="DR494" s="91"/>
      <c r="DS494" s="91"/>
      <c r="DT494" s="91"/>
      <c r="DU494" s="91"/>
      <c r="DV494" s="91"/>
      <c r="DW494" s="91"/>
      <c r="DX494" s="91"/>
      <c r="DY494" s="91"/>
      <c r="DZ494" s="91"/>
      <c r="EA494" s="91"/>
      <c r="EB494" s="91"/>
      <c r="EC494" s="91"/>
      <c r="ED494" s="91"/>
      <c r="EE494" s="91"/>
      <c r="EF494" s="91"/>
      <c r="EG494" s="91"/>
      <c r="EH494" s="91"/>
      <c r="EI494" s="91"/>
      <c r="EJ494" s="91"/>
      <c r="EK494" s="91"/>
      <c r="EL494" s="91"/>
      <c r="EM494" s="91"/>
      <c r="EN494" s="91"/>
      <c r="EO494" s="91"/>
      <c r="EP494" s="91"/>
      <c r="EQ494" s="91"/>
      <c r="ER494" s="91"/>
      <c r="ES494" s="91"/>
      <c r="ET494" s="91"/>
      <c r="EU494" s="91"/>
      <c r="EV494" s="91"/>
      <c r="EW494" s="91"/>
      <c r="EX494" s="91"/>
      <c r="EY494" s="91"/>
      <c r="EZ494" s="91"/>
      <c r="FA494" s="91"/>
      <c r="FB494" s="91"/>
      <c r="FC494" s="91"/>
      <c r="FD494" s="91"/>
      <c r="FE494" s="91"/>
      <c r="FF494" s="91"/>
      <c r="FG494" s="91"/>
      <c r="FH494" s="91"/>
      <c r="FI494" s="91"/>
      <c r="FJ494" s="91"/>
      <c r="FK494" s="91"/>
      <c r="FL494" s="91"/>
      <c r="FM494" s="91"/>
      <c r="FN494" s="91"/>
      <c r="FO494" s="91"/>
      <c r="FP494" s="91"/>
      <c r="FQ494" s="91"/>
      <c r="FR494" s="91"/>
      <c r="FS494" s="91"/>
      <c r="FT494" s="91"/>
      <c r="FU494" s="91"/>
      <c r="FV494" s="91"/>
      <c r="FW494" s="91"/>
      <c r="FX494" s="91"/>
      <c r="FY494" s="91"/>
      <c r="FZ494" s="91"/>
      <c r="GA494" s="91"/>
      <c r="GB494" s="91"/>
      <c r="GC494" s="91"/>
      <c r="GD494" s="91"/>
      <c r="GE494" s="91"/>
      <c r="GF494" s="91"/>
      <c r="GG494" s="91"/>
      <c r="GH494" s="91"/>
      <c r="GI494" s="91"/>
      <c r="GJ494" s="91"/>
      <c r="GK494" s="91"/>
      <c r="GL494" s="91"/>
      <c r="GM494" s="91"/>
      <c r="GN494" s="91"/>
      <c r="GO494" s="91"/>
      <c r="GP494" s="91"/>
      <c r="GQ494" s="91"/>
      <c r="GR494" s="91"/>
      <c r="GS494" s="91"/>
      <c r="GT494" s="91"/>
      <c r="GU494" s="91"/>
      <c r="GV494" s="91"/>
      <c r="GW494" s="91"/>
      <c r="GX494" s="91"/>
      <c r="GY494" s="91"/>
      <c r="GZ494" s="91"/>
      <c r="HA494" s="91"/>
      <c r="HB494" s="91"/>
      <c r="HC494" s="91"/>
      <c r="HD494" s="91"/>
      <c r="HE494" s="91"/>
      <c r="HF494" s="91"/>
      <c r="HG494" s="91"/>
      <c r="HH494" s="91"/>
      <c r="HI494" s="91"/>
      <c r="HJ494" s="91"/>
      <c r="HK494" s="91"/>
      <c r="HL494" s="91"/>
      <c r="HM494" s="91"/>
      <c r="HN494" s="91"/>
      <c r="HO494" s="91"/>
      <c r="HP494" s="91"/>
      <c r="HQ494" s="91"/>
      <c r="HR494" s="91"/>
      <c r="HS494" s="91"/>
      <c r="HT494" s="91"/>
      <c r="HU494" s="91"/>
      <c r="HV494" s="91"/>
      <c r="HW494" s="91"/>
      <c r="HX494" s="91"/>
      <c r="HY494" s="91"/>
      <c r="HZ494" s="91"/>
      <c r="IA494" s="91"/>
    </row>
    <row r="495" spans="1:16" ht="11.25">
      <c r="A495" s="43" t="s">
        <v>4</v>
      </c>
      <c r="B495" s="81"/>
      <c r="C495" s="81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</row>
    <row r="496" spans="1:16" ht="33.75">
      <c r="A496" s="44" t="s">
        <v>311</v>
      </c>
      <c r="B496" s="81"/>
      <c r="C496" s="81"/>
      <c r="D496" s="75"/>
      <c r="E496" s="75"/>
      <c r="F496" s="75"/>
      <c r="G496" s="75"/>
      <c r="H496" s="75">
        <v>110000</v>
      </c>
      <c r="I496" s="75"/>
      <c r="J496" s="75">
        <f>H496</f>
        <v>110000</v>
      </c>
      <c r="K496" s="75"/>
      <c r="L496" s="75"/>
      <c r="M496" s="75"/>
      <c r="N496" s="75"/>
      <c r="O496" s="75"/>
      <c r="P496" s="75"/>
    </row>
    <row r="497" spans="1:16" ht="11.25">
      <c r="A497" s="43" t="s">
        <v>5</v>
      </c>
      <c r="B497" s="81"/>
      <c r="C497" s="81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</row>
    <row r="498" spans="1:16" ht="45">
      <c r="A498" s="107" t="s">
        <v>329</v>
      </c>
      <c r="B498" s="81"/>
      <c r="C498" s="81"/>
      <c r="D498" s="75"/>
      <c r="E498" s="75"/>
      <c r="F498" s="75"/>
      <c r="G498" s="75"/>
      <c r="H498" s="75">
        <v>1</v>
      </c>
      <c r="I498" s="75"/>
      <c r="J498" s="75">
        <v>1</v>
      </c>
      <c r="K498" s="75"/>
      <c r="L498" s="75"/>
      <c r="M498" s="75"/>
      <c r="N498" s="75"/>
      <c r="O498" s="75"/>
      <c r="P498" s="75"/>
    </row>
    <row r="499" spans="1:16" ht="11.25">
      <c r="A499" s="43" t="s">
        <v>7</v>
      </c>
      <c r="B499" s="81"/>
      <c r="C499" s="81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</row>
    <row r="500" spans="1:16" ht="39" customHeight="1">
      <c r="A500" s="46" t="s">
        <v>312</v>
      </c>
      <c r="B500" s="81"/>
      <c r="C500" s="81"/>
      <c r="D500" s="75"/>
      <c r="E500" s="75"/>
      <c r="F500" s="75"/>
      <c r="G500" s="75"/>
      <c r="H500" s="75">
        <v>110000</v>
      </c>
      <c r="I500" s="75"/>
      <c r="J500" s="75">
        <f>J496/H498</f>
        <v>110000</v>
      </c>
      <c r="K500" s="75"/>
      <c r="L500" s="75"/>
      <c r="M500" s="75"/>
      <c r="N500" s="75"/>
      <c r="O500" s="75"/>
      <c r="P500" s="75"/>
    </row>
    <row r="501" spans="1:235" s="92" customFormat="1" ht="39" customHeight="1">
      <c r="A501" s="99" t="s">
        <v>392</v>
      </c>
      <c r="B501" s="104"/>
      <c r="C501" s="104"/>
      <c r="D501" s="105"/>
      <c r="E501" s="105"/>
      <c r="F501" s="105"/>
      <c r="G501" s="105"/>
      <c r="H501" s="105">
        <f>H503*H507</f>
        <v>199000</v>
      </c>
      <c r="I501" s="105"/>
      <c r="J501" s="105">
        <f>G501+H501</f>
        <v>199000</v>
      </c>
      <c r="K501" s="105"/>
      <c r="L501" s="105"/>
      <c r="M501" s="105"/>
      <c r="N501" s="105"/>
      <c r="O501" s="105"/>
      <c r="P501" s="105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  <c r="BY501" s="91"/>
      <c r="BZ501" s="91"/>
      <c r="CA501" s="91"/>
      <c r="CB501" s="91"/>
      <c r="CC501" s="91"/>
      <c r="CD501" s="91"/>
      <c r="CE501" s="91"/>
      <c r="CF501" s="91"/>
      <c r="CG501" s="91"/>
      <c r="CH501" s="91"/>
      <c r="CI501" s="91"/>
      <c r="CJ501" s="91"/>
      <c r="CK501" s="91"/>
      <c r="CL501" s="91"/>
      <c r="CM501" s="91"/>
      <c r="CN501" s="91"/>
      <c r="CO501" s="91"/>
      <c r="CP501" s="91"/>
      <c r="CQ501" s="91"/>
      <c r="CR501" s="91"/>
      <c r="CS501" s="91"/>
      <c r="CT501" s="91"/>
      <c r="CU501" s="91"/>
      <c r="CV501" s="91"/>
      <c r="CW501" s="91"/>
      <c r="CX501" s="91"/>
      <c r="CY501" s="91"/>
      <c r="CZ501" s="91"/>
      <c r="DA501" s="91"/>
      <c r="DB501" s="91"/>
      <c r="DC501" s="91"/>
      <c r="DD501" s="91"/>
      <c r="DE501" s="91"/>
      <c r="DF501" s="91"/>
      <c r="DG501" s="91"/>
      <c r="DH501" s="91"/>
      <c r="DI501" s="91"/>
      <c r="DJ501" s="91"/>
      <c r="DK501" s="91"/>
      <c r="DL501" s="91"/>
      <c r="DM501" s="91"/>
      <c r="DN501" s="91"/>
      <c r="DO501" s="91"/>
      <c r="DP501" s="91"/>
      <c r="DQ501" s="91"/>
      <c r="DR501" s="91"/>
      <c r="DS501" s="91"/>
      <c r="DT501" s="91"/>
      <c r="DU501" s="91"/>
      <c r="DV501" s="91"/>
      <c r="DW501" s="91"/>
      <c r="DX501" s="91"/>
      <c r="DY501" s="91"/>
      <c r="DZ501" s="91"/>
      <c r="EA501" s="91"/>
      <c r="EB501" s="91"/>
      <c r="EC501" s="91"/>
      <c r="ED501" s="91"/>
      <c r="EE501" s="91"/>
      <c r="EF501" s="91"/>
      <c r="EG501" s="91"/>
      <c r="EH501" s="91"/>
      <c r="EI501" s="91"/>
      <c r="EJ501" s="91"/>
      <c r="EK501" s="91"/>
      <c r="EL501" s="91"/>
      <c r="EM501" s="91"/>
      <c r="EN501" s="91"/>
      <c r="EO501" s="91"/>
      <c r="EP501" s="91"/>
      <c r="EQ501" s="91"/>
      <c r="ER501" s="91"/>
      <c r="ES501" s="91"/>
      <c r="ET501" s="91"/>
      <c r="EU501" s="91"/>
      <c r="EV501" s="91"/>
      <c r="EW501" s="91"/>
      <c r="EX501" s="91"/>
      <c r="EY501" s="91"/>
      <c r="EZ501" s="91"/>
      <c r="FA501" s="91"/>
      <c r="FB501" s="91"/>
      <c r="FC501" s="91"/>
      <c r="FD501" s="91"/>
      <c r="FE501" s="91"/>
      <c r="FF501" s="91"/>
      <c r="FG501" s="91"/>
      <c r="FH501" s="91"/>
      <c r="FI501" s="91"/>
      <c r="FJ501" s="91"/>
      <c r="FK501" s="91"/>
      <c r="FL501" s="91"/>
      <c r="FM501" s="91"/>
      <c r="FN501" s="91"/>
      <c r="FO501" s="91"/>
      <c r="FP501" s="91"/>
      <c r="FQ501" s="91"/>
      <c r="FR501" s="91"/>
      <c r="FS501" s="91"/>
      <c r="FT501" s="91"/>
      <c r="FU501" s="91"/>
      <c r="FV501" s="91"/>
      <c r="FW501" s="91"/>
      <c r="FX501" s="91"/>
      <c r="FY501" s="91"/>
      <c r="FZ501" s="91"/>
      <c r="GA501" s="91"/>
      <c r="GB501" s="91"/>
      <c r="GC501" s="91"/>
      <c r="GD501" s="91"/>
      <c r="GE501" s="91"/>
      <c r="GF501" s="91"/>
      <c r="GG501" s="91"/>
      <c r="GH501" s="91"/>
      <c r="GI501" s="91"/>
      <c r="GJ501" s="91"/>
      <c r="GK501" s="91"/>
      <c r="GL501" s="91"/>
      <c r="GM501" s="91"/>
      <c r="GN501" s="91"/>
      <c r="GO501" s="91"/>
      <c r="GP501" s="91"/>
      <c r="GQ501" s="91"/>
      <c r="GR501" s="91"/>
      <c r="GS501" s="91"/>
      <c r="GT501" s="91"/>
      <c r="GU501" s="91"/>
      <c r="GV501" s="91"/>
      <c r="GW501" s="91"/>
      <c r="GX501" s="91"/>
      <c r="GY501" s="91"/>
      <c r="GZ501" s="91"/>
      <c r="HA501" s="91"/>
      <c r="HB501" s="91"/>
      <c r="HC501" s="91"/>
      <c r="HD501" s="91"/>
      <c r="HE501" s="91"/>
      <c r="HF501" s="91"/>
      <c r="HG501" s="91"/>
      <c r="HH501" s="91"/>
      <c r="HI501" s="91"/>
      <c r="HJ501" s="91"/>
      <c r="HK501" s="91"/>
      <c r="HL501" s="91"/>
      <c r="HM501" s="91"/>
      <c r="HN501" s="91"/>
      <c r="HO501" s="91"/>
      <c r="HP501" s="91"/>
      <c r="HQ501" s="91"/>
      <c r="HR501" s="91"/>
      <c r="HS501" s="91"/>
      <c r="HT501" s="91"/>
      <c r="HU501" s="91"/>
      <c r="HV501" s="91"/>
      <c r="HW501" s="91"/>
      <c r="HX501" s="91"/>
      <c r="HY501" s="91"/>
      <c r="HZ501" s="91"/>
      <c r="IA501" s="91"/>
    </row>
    <row r="502" spans="1:16" ht="11.25">
      <c r="A502" s="87" t="s">
        <v>319</v>
      </c>
      <c r="B502" s="81"/>
      <c r="C502" s="81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</row>
    <row r="503" spans="1:16" ht="33.75">
      <c r="A503" s="86" t="s">
        <v>320</v>
      </c>
      <c r="B503" s="81"/>
      <c r="C503" s="81"/>
      <c r="D503" s="75"/>
      <c r="E503" s="75"/>
      <c r="F503" s="75"/>
      <c r="G503" s="75"/>
      <c r="H503" s="75">
        <v>1</v>
      </c>
      <c r="I503" s="75"/>
      <c r="J503" s="75">
        <f>H503+G503</f>
        <v>1</v>
      </c>
      <c r="K503" s="75"/>
      <c r="L503" s="75"/>
      <c r="M503" s="75"/>
      <c r="N503" s="75"/>
      <c r="O503" s="75"/>
      <c r="P503" s="75"/>
    </row>
    <row r="504" spans="1:16" ht="11.25">
      <c r="A504" s="87" t="s">
        <v>321</v>
      </c>
      <c r="B504" s="81"/>
      <c r="C504" s="81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</row>
    <row r="505" spans="1:16" ht="33.75">
      <c r="A505" s="86" t="s">
        <v>322</v>
      </c>
      <c r="B505" s="81"/>
      <c r="C505" s="81"/>
      <c r="D505" s="75"/>
      <c r="E505" s="75"/>
      <c r="F505" s="75"/>
      <c r="G505" s="75"/>
      <c r="H505" s="75">
        <v>199000</v>
      </c>
      <c r="I505" s="75"/>
      <c r="J505" s="75">
        <f>G505+H505</f>
        <v>199000</v>
      </c>
      <c r="K505" s="75"/>
      <c r="L505" s="75"/>
      <c r="M505" s="75"/>
      <c r="N505" s="75"/>
      <c r="O505" s="75"/>
      <c r="P505" s="75"/>
    </row>
    <row r="506" spans="1:16" ht="11.25">
      <c r="A506" s="87" t="s">
        <v>323</v>
      </c>
      <c r="B506" s="81"/>
      <c r="C506" s="81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</row>
    <row r="507" spans="1:16" ht="37.5" customHeight="1">
      <c r="A507" s="86" t="s">
        <v>324</v>
      </c>
      <c r="B507" s="81"/>
      <c r="C507" s="81"/>
      <c r="D507" s="75"/>
      <c r="E507" s="75"/>
      <c r="F507" s="75"/>
      <c r="G507" s="75"/>
      <c r="H507" s="75">
        <v>199000</v>
      </c>
      <c r="I507" s="75"/>
      <c r="J507" s="75">
        <f>G507+H507</f>
        <v>199000</v>
      </c>
      <c r="K507" s="75"/>
      <c r="L507" s="75"/>
      <c r="M507" s="75"/>
      <c r="N507" s="75"/>
      <c r="O507" s="75"/>
      <c r="P507" s="75"/>
    </row>
    <row r="508" spans="1:235" s="85" customFormat="1" ht="16.5" customHeight="1">
      <c r="A508" s="108">
        <v>100302</v>
      </c>
      <c r="B508" s="108"/>
      <c r="C508" s="108"/>
      <c r="D508" s="119">
        <f>D509</f>
        <v>2172800</v>
      </c>
      <c r="E508" s="119">
        <f>E517</f>
        <v>13000</v>
      </c>
      <c r="F508" s="119">
        <f>D508+E508</f>
        <v>2185800</v>
      </c>
      <c r="G508" s="119">
        <f>G509</f>
        <v>298340</v>
      </c>
      <c r="H508" s="119"/>
      <c r="I508" s="119">
        <f>I509</f>
        <v>0</v>
      </c>
      <c r="J508" s="119">
        <f>G508</f>
        <v>298340</v>
      </c>
      <c r="K508" s="119" t="e">
        <f>#REF!+K509</f>
        <v>#REF!</v>
      </c>
      <c r="L508" s="119" t="e">
        <f>#REF!+L509</f>
        <v>#REF!</v>
      </c>
      <c r="M508" s="119" t="e">
        <f>#REF!+M509</f>
        <v>#REF!</v>
      </c>
      <c r="N508" s="119">
        <f>N509</f>
        <v>94700</v>
      </c>
      <c r="O508" s="119">
        <f>O509</f>
        <v>0</v>
      </c>
      <c r="P508" s="119">
        <f>N508</f>
        <v>94700</v>
      </c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21"/>
      <c r="AV508" s="121"/>
      <c r="AW508" s="121"/>
      <c r="AX508" s="121"/>
      <c r="AY508" s="121"/>
      <c r="AZ508" s="121"/>
      <c r="BA508" s="121"/>
      <c r="BB508" s="121"/>
      <c r="BC508" s="121"/>
      <c r="BD508" s="121"/>
      <c r="BE508" s="121"/>
      <c r="BF508" s="121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21"/>
      <c r="BS508" s="121"/>
      <c r="BT508" s="121"/>
      <c r="BU508" s="121"/>
      <c r="BV508" s="121"/>
      <c r="BW508" s="121"/>
      <c r="BX508" s="121"/>
      <c r="BY508" s="121"/>
      <c r="BZ508" s="121"/>
      <c r="CA508" s="121"/>
      <c r="CB508" s="121"/>
      <c r="CC508" s="121"/>
      <c r="CD508" s="121"/>
      <c r="CE508" s="121"/>
      <c r="CF508" s="121"/>
      <c r="CG508" s="121"/>
      <c r="CH508" s="121"/>
      <c r="CI508" s="121"/>
      <c r="CJ508" s="121"/>
      <c r="CK508" s="121"/>
      <c r="CL508" s="121"/>
      <c r="CM508" s="121"/>
      <c r="CN508" s="121"/>
      <c r="CO508" s="121"/>
      <c r="CP508" s="121"/>
      <c r="CQ508" s="121"/>
      <c r="CR508" s="121"/>
      <c r="CS508" s="121"/>
      <c r="CT508" s="121"/>
      <c r="CU508" s="121"/>
      <c r="CV508" s="121"/>
      <c r="CW508" s="121"/>
      <c r="CX508" s="121"/>
      <c r="CY508" s="121"/>
      <c r="CZ508" s="121"/>
      <c r="DA508" s="121"/>
      <c r="DB508" s="121"/>
      <c r="DC508" s="121"/>
      <c r="DD508" s="121"/>
      <c r="DE508" s="121"/>
      <c r="DF508" s="121"/>
      <c r="DG508" s="121"/>
      <c r="DH508" s="121"/>
      <c r="DI508" s="121"/>
      <c r="DJ508" s="121"/>
      <c r="DK508" s="121"/>
      <c r="DL508" s="121"/>
      <c r="DM508" s="121"/>
      <c r="DN508" s="121"/>
      <c r="DO508" s="121"/>
      <c r="DP508" s="121"/>
      <c r="DQ508" s="121"/>
      <c r="DR508" s="121"/>
      <c r="DS508" s="121"/>
      <c r="DT508" s="121"/>
      <c r="DU508" s="121"/>
      <c r="DV508" s="121"/>
      <c r="DW508" s="121"/>
      <c r="DX508" s="121"/>
      <c r="DY508" s="121"/>
      <c r="DZ508" s="121"/>
      <c r="EA508" s="121"/>
      <c r="EB508" s="121"/>
      <c r="EC508" s="121"/>
      <c r="ED508" s="121"/>
      <c r="EE508" s="121"/>
      <c r="EF508" s="121"/>
      <c r="EG508" s="121"/>
      <c r="EH508" s="121"/>
      <c r="EI508" s="121"/>
      <c r="EJ508" s="121"/>
      <c r="EK508" s="121"/>
      <c r="EL508" s="121"/>
      <c r="EM508" s="121"/>
      <c r="EN508" s="121"/>
      <c r="EO508" s="121"/>
      <c r="EP508" s="121"/>
      <c r="EQ508" s="121"/>
      <c r="ER508" s="121"/>
      <c r="ES508" s="121"/>
      <c r="ET508" s="121"/>
      <c r="EU508" s="121"/>
      <c r="EV508" s="121"/>
      <c r="EW508" s="121"/>
      <c r="EX508" s="121"/>
      <c r="EY508" s="121"/>
      <c r="EZ508" s="121"/>
      <c r="FA508" s="121"/>
      <c r="FB508" s="121"/>
      <c r="FC508" s="121"/>
      <c r="FD508" s="121"/>
      <c r="FE508" s="121"/>
      <c r="FF508" s="121"/>
      <c r="FG508" s="121"/>
      <c r="FH508" s="121"/>
      <c r="FI508" s="121"/>
      <c r="FJ508" s="121"/>
      <c r="FK508" s="121"/>
      <c r="FL508" s="121"/>
      <c r="FM508" s="121"/>
      <c r="FN508" s="121"/>
      <c r="FO508" s="121"/>
      <c r="FP508" s="121"/>
      <c r="FQ508" s="121"/>
      <c r="FR508" s="121"/>
      <c r="FS508" s="121"/>
      <c r="FT508" s="121"/>
      <c r="FU508" s="121"/>
      <c r="FV508" s="121"/>
      <c r="FW508" s="121"/>
      <c r="FX508" s="121"/>
      <c r="FY508" s="121"/>
      <c r="FZ508" s="121"/>
      <c r="GA508" s="121"/>
      <c r="GB508" s="121"/>
      <c r="GC508" s="121"/>
      <c r="GD508" s="121"/>
      <c r="GE508" s="121"/>
      <c r="GF508" s="121"/>
      <c r="GG508" s="121"/>
      <c r="GH508" s="121"/>
      <c r="GI508" s="121"/>
      <c r="GJ508" s="121"/>
      <c r="GK508" s="121"/>
      <c r="GL508" s="121"/>
      <c r="GM508" s="121"/>
      <c r="GN508" s="121"/>
      <c r="GO508" s="121"/>
      <c r="GP508" s="121"/>
      <c r="GQ508" s="121"/>
      <c r="GR508" s="121"/>
      <c r="GS508" s="121"/>
      <c r="GT508" s="121"/>
      <c r="GU508" s="121"/>
      <c r="GV508" s="121"/>
      <c r="GW508" s="121"/>
      <c r="GX508" s="121"/>
      <c r="GY508" s="121"/>
      <c r="GZ508" s="121"/>
      <c r="HA508" s="121"/>
      <c r="HB508" s="121"/>
      <c r="HC508" s="121"/>
      <c r="HD508" s="121"/>
      <c r="HE508" s="121"/>
      <c r="HF508" s="121"/>
      <c r="HG508" s="121"/>
      <c r="HH508" s="121"/>
      <c r="HI508" s="121"/>
      <c r="HJ508" s="121"/>
      <c r="HK508" s="121"/>
      <c r="HL508" s="121"/>
      <c r="HM508" s="121"/>
      <c r="HN508" s="121"/>
      <c r="HO508" s="121"/>
      <c r="HP508" s="121"/>
      <c r="HQ508" s="121"/>
      <c r="HR508" s="121"/>
      <c r="HS508" s="121"/>
      <c r="HT508" s="121"/>
      <c r="HU508" s="121"/>
      <c r="HV508" s="121"/>
      <c r="HW508" s="121"/>
      <c r="HX508" s="121"/>
      <c r="HY508" s="121"/>
      <c r="HZ508" s="121"/>
      <c r="IA508" s="121"/>
    </row>
    <row r="509" spans="1:235" s="92" customFormat="1" ht="29.25" customHeight="1">
      <c r="A509" s="82" t="s">
        <v>393</v>
      </c>
      <c r="B509" s="88"/>
      <c r="C509" s="88"/>
      <c r="D509" s="89">
        <f>D512</f>
        <v>2172800</v>
      </c>
      <c r="E509" s="89"/>
      <c r="F509" s="89">
        <f>D509</f>
        <v>2172800</v>
      </c>
      <c r="G509" s="89">
        <f>G512</f>
        <v>298340</v>
      </c>
      <c r="H509" s="89"/>
      <c r="I509" s="89">
        <f>I512</f>
        <v>0</v>
      </c>
      <c r="J509" s="89">
        <f>G509</f>
        <v>298340</v>
      </c>
      <c r="K509" s="89"/>
      <c r="L509" s="89"/>
      <c r="M509" s="89"/>
      <c r="N509" s="89">
        <f>N512</f>
        <v>94700</v>
      </c>
      <c r="O509" s="89">
        <f>O512</f>
        <v>0</v>
      </c>
      <c r="P509" s="89">
        <f>N509</f>
        <v>94700</v>
      </c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  <c r="BZ509" s="91"/>
      <c r="CA509" s="91"/>
      <c r="CB509" s="91"/>
      <c r="CC509" s="91"/>
      <c r="CD509" s="91"/>
      <c r="CE509" s="91"/>
      <c r="CF509" s="91"/>
      <c r="CG509" s="91"/>
      <c r="CH509" s="91"/>
      <c r="CI509" s="91"/>
      <c r="CJ509" s="91"/>
      <c r="CK509" s="91"/>
      <c r="CL509" s="91"/>
      <c r="CM509" s="91"/>
      <c r="CN509" s="91"/>
      <c r="CO509" s="91"/>
      <c r="CP509" s="91"/>
      <c r="CQ509" s="91"/>
      <c r="CR509" s="91"/>
      <c r="CS509" s="91"/>
      <c r="CT509" s="91"/>
      <c r="CU509" s="91"/>
      <c r="CV509" s="91"/>
      <c r="CW509" s="91"/>
      <c r="CX509" s="91"/>
      <c r="CY509" s="91"/>
      <c r="CZ509" s="91"/>
      <c r="DA509" s="91"/>
      <c r="DB509" s="91"/>
      <c r="DC509" s="91"/>
      <c r="DD509" s="91"/>
      <c r="DE509" s="91"/>
      <c r="DF509" s="91"/>
      <c r="DG509" s="91"/>
      <c r="DH509" s="91"/>
      <c r="DI509" s="91"/>
      <c r="DJ509" s="91"/>
      <c r="DK509" s="91"/>
      <c r="DL509" s="91"/>
      <c r="DM509" s="91"/>
      <c r="DN509" s="91"/>
      <c r="DO509" s="91"/>
      <c r="DP509" s="91"/>
      <c r="DQ509" s="91"/>
      <c r="DR509" s="91"/>
      <c r="DS509" s="91"/>
      <c r="DT509" s="91"/>
      <c r="DU509" s="91"/>
      <c r="DV509" s="91"/>
      <c r="DW509" s="91"/>
      <c r="DX509" s="91"/>
      <c r="DY509" s="91"/>
      <c r="DZ509" s="91"/>
      <c r="EA509" s="91"/>
      <c r="EB509" s="91"/>
      <c r="EC509" s="91"/>
      <c r="ED509" s="91"/>
      <c r="EE509" s="91"/>
      <c r="EF509" s="91"/>
      <c r="EG509" s="91"/>
      <c r="EH509" s="91"/>
      <c r="EI509" s="91"/>
      <c r="EJ509" s="91"/>
      <c r="EK509" s="91"/>
      <c r="EL509" s="91"/>
      <c r="EM509" s="91"/>
      <c r="EN509" s="91"/>
      <c r="EO509" s="91"/>
      <c r="EP509" s="91"/>
      <c r="EQ509" s="91"/>
      <c r="ER509" s="91"/>
      <c r="ES509" s="91"/>
      <c r="ET509" s="91"/>
      <c r="EU509" s="91"/>
      <c r="EV509" s="91"/>
      <c r="EW509" s="91"/>
      <c r="EX509" s="91"/>
      <c r="EY509" s="91"/>
      <c r="EZ509" s="91"/>
      <c r="FA509" s="91"/>
      <c r="FB509" s="91"/>
      <c r="FC509" s="91"/>
      <c r="FD509" s="91"/>
      <c r="FE509" s="91"/>
      <c r="FF509" s="91"/>
      <c r="FG509" s="91"/>
      <c r="FH509" s="91"/>
      <c r="FI509" s="91"/>
      <c r="FJ509" s="91"/>
      <c r="FK509" s="91"/>
      <c r="FL509" s="91"/>
      <c r="FM509" s="91"/>
      <c r="FN509" s="91"/>
      <c r="FO509" s="91"/>
      <c r="FP509" s="91"/>
      <c r="FQ509" s="91"/>
      <c r="FR509" s="91"/>
      <c r="FS509" s="91"/>
      <c r="FT509" s="91"/>
      <c r="FU509" s="91"/>
      <c r="FV509" s="91"/>
      <c r="FW509" s="91"/>
      <c r="FX509" s="91"/>
      <c r="FY509" s="91"/>
      <c r="FZ509" s="91"/>
      <c r="GA509" s="91"/>
      <c r="GB509" s="91"/>
      <c r="GC509" s="91"/>
      <c r="GD509" s="91"/>
      <c r="GE509" s="91"/>
      <c r="GF509" s="91"/>
      <c r="GG509" s="91"/>
      <c r="GH509" s="91"/>
      <c r="GI509" s="91"/>
      <c r="GJ509" s="91"/>
      <c r="GK509" s="91"/>
      <c r="GL509" s="91"/>
      <c r="GM509" s="91"/>
      <c r="GN509" s="91"/>
      <c r="GO509" s="91"/>
      <c r="GP509" s="91"/>
      <c r="GQ509" s="91"/>
      <c r="GR509" s="91"/>
      <c r="GS509" s="91"/>
      <c r="GT509" s="91"/>
      <c r="GU509" s="91"/>
      <c r="GV509" s="91"/>
      <c r="GW509" s="91"/>
      <c r="GX509" s="91"/>
      <c r="GY509" s="91"/>
      <c r="GZ509" s="91"/>
      <c r="HA509" s="91"/>
      <c r="HB509" s="91"/>
      <c r="HC509" s="91"/>
      <c r="HD509" s="91"/>
      <c r="HE509" s="91"/>
      <c r="HF509" s="91"/>
      <c r="HG509" s="91"/>
      <c r="HH509" s="91"/>
      <c r="HI509" s="91"/>
      <c r="HJ509" s="91"/>
      <c r="HK509" s="91"/>
      <c r="HL509" s="91"/>
      <c r="HM509" s="91"/>
      <c r="HN509" s="91"/>
      <c r="HO509" s="91"/>
      <c r="HP509" s="91"/>
      <c r="HQ509" s="91"/>
      <c r="HR509" s="91"/>
      <c r="HS509" s="91"/>
      <c r="HT509" s="91"/>
      <c r="HU509" s="91"/>
      <c r="HV509" s="91"/>
      <c r="HW509" s="91"/>
      <c r="HX509" s="91"/>
      <c r="HY509" s="91"/>
      <c r="HZ509" s="91"/>
      <c r="IA509" s="91"/>
    </row>
    <row r="510" spans="1:16" ht="26.25" customHeight="1">
      <c r="A510" s="45" t="s">
        <v>210</v>
      </c>
      <c r="B510" s="7"/>
      <c r="C510" s="7"/>
      <c r="D510" s="130"/>
      <c r="E510" s="130"/>
      <c r="F510" s="130"/>
      <c r="G510" s="130"/>
      <c r="H510" s="130"/>
      <c r="I510" s="130"/>
      <c r="J510" s="130"/>
      <c r="K510" s="14"/>
      <c r="L510" s="14"/>
      <c r="M510" s="14"/>
      <c r="N510" s="130"/>
      <c r="O510" s="130"/>
      <c r="P510" s="130"/>
    </row>
    <row r="511" spans="1:16" ht="11.25">
      <c r="A511" s="20" t="s">
        <v>4</v>
      </c>
      <c r="B511" s="7"/>
      <c r="C511" s="7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</row>
    <row r="512" spans="1:16" ht="35.25" customHeight="1">
      <c r="A512" s="55" t="s">
        <v>266</v>
      </c>
      <c r="B512" s="59"/>
      <c r="C512" s="59"/>
      <c r="D512" s="62">
        <f>458700+125100+1589000</f>
        <v>2172800</v>
      </c>
      <c r="E512" s="62"/>
      <c r="F512" s="62">
        <f>D512</f>
        <v>2172800</v>
      </c>
      <c r="G512" s="14">
        <f>221340+30000+96800-49800</f>
        <v>298340</v>
      </c>
      <c r="H512" s="14"/>
      <c r="I512" s="14"/>
      <c r="J512" s="14">
        <f>G512</f>
        <v>298340</v>
      </c>
      <c r="K512" s="14"/>
      <c r="L512" s="14"/>
      <c r="M512" s="14"/>
      <c r="N512" s="14">
        <f>N514*N516</f>
        <v>94700</v>
      </c>
      <c r="O512" s="14"/>
      <c r="P512" s="14">
        <f>N512</f>
        <v>94700</v>
      </c>
    </row>
    <row r="513" spans="1:16" ht="11.25">
      <c r="A513" s="54" t="s">
        <v>5</v>
      </c>
      <c r="B513" s="59"/>
      <c r="C513" s="59"/>
      <c r="D513" s="62"/>
      <c r="E513" s="62"/>
      <c r="F513" s="62"/>
      <c r="G513" s="14"/>
      <c r="H513" s="14"/>
      <c r="I513" s="14"/>
      <c r="J513" s="14"/>
      <c r="K513" s="14"/>
      <c r="L513" s="14"/>
      <c r="M513" s="14"/>
      <c r="N513" s="14"/>
      <c r="O513" s="14"/>
      <c r="P513" s="14"/>
    </row>
    <row r="514" spans="1:16" ht="27" customHeight="1">
      <c r="A514" s="55" t="s">
        <v>240</v>
      </c>
      <c r="B514" s="59"/>
      <c r="C514" s="59"/>
      <c r="D514" s="62">
        <v>3</v>
      </c>
      <c r="E514" s="62"/>
      <c r="F514" s="62">
        <f>D514</f>
        <v>3</v>
      </c>
      <c r="G514" s="14">
        <v>6</v>
      </c>
      <c r="H514" s="14"/>
      <c r="I514" s="14"/>
      <c r="J514" s="14">
        <v>6</v>
      </c>
      <c r="K514" s="14"/>
      <c r="L514" s="14"/>
      <c r="M514" s="14"/>
      <c r="N514" s="14">
        <v>1</v>
      </c>
      <c r="O514" s="14"/>
      <c r="P514" s="14">
        <f>N514</f>
        <v>1</v>
      </c>
    </row>
    <row r="515" spans="1:16" ht="11.25">
      <c r="A515" s="54" t="s">
        <v>7</v>
      </c>
      <c r="B515" s="59"/>
      <c r="C515" s="59"/>
      <c r="D515" s="62"/>
      <c r="E515" s="62"/>
      <c r="F515" s="62"/>
      <c r="G515" s="14"/>
      <c r="H515" s="14"/>
      <c r="I515" s="14"/>
      <c r="J515" s="14"/>
      <c r="K515" s="14"/>
      <c r="L515" s="14"/>
      <c r="M515" s="14"/>
      <c r="N515" s="14"/>
      <c r="O515" s="14"/>
      <c r="P515" s="14"/>
    </row>
    <row r="516" spans="1:16" ht="24.75" customHeight="1">
      <c r="A516" s="21" t="s">
        <v>213</v>
      </c>
      <c r="B516" s="7"/>
      <c r="C516" s="7"/>
      <c r="D516" s="62">
        <f>D512/D514</f>
        <v>724266.6666666666</v>
      </c>
      <c r="E516" s="62"/>
      <c r="F516" s="62">
        <f>F512/F514</f>
        <v>724266.6666666666</v>
      </c>
      <c r="G516" s="14">
        <f>G512/G514</f>
        <v>49723.333333333336</v>
      </c>
      <c r="H516" s="14"/>
      <c r="I516" s="14"/>
      <c r="J516" s="14">
        <f>J512/J514</f>
        <v>49723.333333333336</v>
      </c>
      <c r="K516" s="14"/>
      <c r="L516" s="14"/>
      <c r="M516" s="14"/>
      <c r="N516" s="14">
        <v>94700</v>
      </c>
      <c r="O516" s="14"/>
      <c r="P516" s="14">
        <f>P512/P514</f>
        <v>94700</v>
      </c>
    </row>
    <row r="517" spans="1:235" s="92" customFormat="1" ht="33.75">
      <c r="A517" s="82" t="s">
        <v>394</v>
      </c>
      <c r="B517" s="88"/>
      <c r="C517" s="88"/>
      <c r="D517" s="89" t="str">
        <f>D519</f>
        <v> </v>
      </c>
      <c r="E517" s="89">
        <f>E519</f>
        <v>13000</v>
      </c>
      <c r="F517" s="89">
        <f>E517</f>
        <v>13000</v>
      </c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  <c r="BZ517" s="91"/>
      <c r="CA517" s="91"/>
      <c r="CB517" s="91"/>
      <c r="CC517" s="91"/>
      <c r="CD517" s="91"/>
      <c r="CE517" s="91"/>
      <c r="CF517" s="91"/>
      <c r="CG517" s="91"/>
      <c r="CH517" s="91"/>
      <c r="CI517" s="91"/>
      <c r="CJ517" s="91"/>
      <c r="CK517" s="91"/>
      <c r="CL517" s="91"/>
      <c r="CM517" s="91"/>
      <c r="CN517" s="91"/>
      <c r="CO517" s="91"/>
      <c r="CP517" s="91"/>
      <c r="CQ517" s="91"/>
      <c r="CR517" s="91"/>
      <c r="CS517" s="91"/>
      <c r="CT517" s="91"/>
      <c r="CU517" s="91"/>
      <c r="CV517" s="91"/>
      <c r="CW517" s="91"/>
      <c r="CX517" s="91"/>
      <c r="CY517" s="91"/>
      <c r="CZ517" s="91"/>
      <c r="DA517" s="91"/>
      <c r="DB517" s="91"/>
      <c r="DC517" s="91"/>
      <c r="DD517" s="91"/>
      <c r="DE517" s="91"/>
      <c r="DF517" s="91"/>
      <c r="DG517" s="91"/>
      <c r="DH517" s="91"/>
      <c r="DI517" s="91"/>
      <c r="DJ517" s="91"/>
      <c r="DK517" s="91"/>
      <c r="DL517" s="91"/>
      <c r="DM517" s="91"/>
      <c r="DN517" s="91"/>
      <c r="DO517" s="91"/>
      <c r="DP517" s="91"/>
      <c r="DQ517" s="91"/>
      <c r="DR517" s="91"/>
      <c r="DS517" s="91"/>
      <c r="DT517" s="91"/>
      <c r="DU517" s="91"/>
      <c r="DV517" s="91"/>
      <c r="DW517" s="91"/>
      <c r="DX517" s="91"/>
      <c r="DY517" s="91"/>
      <c r="DZ517" s="91"/>
      <c r="EA517" s="91"/>
      <c r="EB517" s="91"/>
      <c r="EC517" s="91"/>
      <c r="ED517" s="91"/>
      <c r="EE517" s="91"/>
      <c r="EF517" s="91"/>
      <c r="EG517" s="91"/>
      <c r="EH517" s="91"/>
      <c r="EI517" s="91"/>
      <c r="EJ517" s="91"/>
      <c r="EK517" s="91"/>
      <c r="EL517" s="91"/>
      <c r="EM517" s="91"/>
      <c r="EN517" s="91"/>
      <c r="EO517" s="91"/>
      <c r="EP517" s="91"/>
      <c r="EQ517" s="91"/>
      <c r="ER517" s="91"/>
      <c r="ES517" s="91"/>
      <c r="ET517" s="91"/>
      <c r="EU517" s="91"/>
      <c r="EV517" s="91"/>
      <c r="EW517" s="91"/>
      <c r="EX517" s="91"/>
      <c r="EY517" s="91"/>
      <c r="EZ517" s="91"/>
      <c r="FA517" s="91"/>
      <c r="FB517" s="91"/>
      <c r="FC517" s="91"/>
      <c r="FD517" s="91"/>
      <c r="FE517" s="91"/>
      <c r="FF517" s="91"/>
      <c r="FG517" s="91"/>
      <c r="FH517" s="91"/>
      <c r="FI517" s="91"/>
      <c r="FJ517" s="91"/>
      <c r="FK517" s="91"/>
      <c r="FL517" s="91"/>
      <c r="FM517" s="91"/>
      <c r="FN517" s="91"/>
      <c r="FO517" s="91"/>
      <c r="FP517" s="91"/>
      <c r="FQ517" s="91"/>
      <c r="FR517" s="91"/>
      <c r="FS517" s="91"/>
      <c r="FT517" s="91"/>
      <c r="FU517" s="91"/>
      <c r="FV517" s="91"/>
      <c r="FW517" s="91"/>
      <c r="FX517" s="91"/>
      <c r="FY517" s="91"/>
      <c r="FZ517" s="91"/>
      <c r="GA517" s="91"/>
      <c r="GB517" s="91"/>
      <c r="GC517" s="91"/>
      <c r="GD517" s="91"/>
      <c r="GE517" s="91"/>
      <c r="GF517" s="91"/>
      <c r="GG517" s="91"/>
      <c r="GH517" s="91"/>
      <c r="GI517" s="91"/>
      <c r="GJ517" s="91"/>
      <c r="GK517" s="91"/>
      <c r="GL517" s="91"/>
      <c r="GM517" s="91"/>
      <c r="GN517" s="91"/>
      <c r="GO517" s="91"/>
      <c r="GP517" s="91"/>
      <c r="GQ517" s="91"/>
      <c r="GR517" s="91"/>
      <c r="GS517" s="91"/>
      <c r="GT517" s="91"/>
      <c r="GU517" s="91"/>
      <c r="GV517" s="91"/>
      <c r="GW517" s="91"/>
      <c r="GX517" s="91"/>
      <c r="GY517" s="91"/>
      <c r="GZ517" s="91"/>
      <c r="HA517" s="91"/>
      <c r="HB517" s="91"/>
      <c r="HC517" s="91"/>
      <c r="HD517" s="91"/>
      <c r="HE517" s="91"/>
      <c r="HF517" s="91"/>
      <c r="HG517" s="91"/>
      <c r="HH517" s="91"/>
      <c r="HI517" s="91"/>
      <c r="HJ517" s="91"/>
      <c r="HK517" s="91"/>
      <c r="HL517" s="91"/>
      <c r="HM517" s="91"/>
      <c r="HN517" s="91"/>
      <c r="HO517" s="91"/>
      <c r="HP517" s="91"/>
      <c r="HQ517" s="91"/>
      <c r="HR517" s="91"/>
      <c r="HS517" s="91"/>
      <c r="HT517" s="91"/>
      <c r="HU517" s="91"/>
      <c r="HV517" s="91"/>
      <c r="HW517" s="91"/>
      <c r="HX517" s="91"/>
      <c r="HY517" s="91"/>
      <c r="HZ517" s="91"/>
      <c r="IA517" s="91"/>
    </row>
    <row r="518" spans="1:16" ht="11.25">
      <c r="A518" s="54" t="s">
        <v>4</v>
      </c>
      <c r="B518" s="7"/>
      <c r="C518" s="7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</row>
    <row r="519" spans="1:16" ht="15" customHeight="1">
      <c r="A519" s="55" t="s">
        <v>63</v>
      </c>
      <c r="B519" s="7"/>
      <c r="C519" s="7"/>
      <c r="D519" s="14" t="s">
        <v>267</v>
      </c>
      <c r="E519" s="14">
        <v>13000</v>
      </c>
      <c r="F519" s="14">
        <f>E519</f>
        <v>13000</v>
      </c>
      <c r="G519" s="14"/>
      <c r="H519" s="14"/>
      <c r="I519" s="14"/>
      <c r="J519" s="14"/>
      <c r="K519" s="14"/>
      <c r="L519" s="14"/>
      <c r="M519" s="14"/>
      <c r="N519" s="14"/>
      <c r="O519" s="14"/>
      <c r="P519" s="14"/>
    </row>
    <row r="520" spans="1:16" ht="11.25">
      <c r="A520" s="54" t="s">
        <v>5</v>
      </c>
      <c r="B520" s="7"/>
      <c r="C520" s="7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</row>
    <row r="521" spans="1:16" ht="41.25" customHeight="1">
      <c r="A521" s="55" t="s">
        <v>256</v>
      </c>
      <c r="B521" s="7"/>
      <c r="C521" s="7"/>
      <c r="D521" s="14" t="s">
        <v>267</v>
      </c>
      <c r="E521" s="14">
        <v>1</v>
      </c>
      <c r="F521" s="14">
        <f>E521</f>
        <v>1</v>
      </c>
      <c r="G521" s="14"/>
      <c r="H521" s="14"/>
      <c r="I521" s="14"/>
      <c r="J521" s="14"/>
      <c r="K521" s="14"/>
      <c r="L521" s="14"/>
      <c r="M521" s="14"/>
      <c r="N521" s="14"/>
      <c r="O521" s="14"/>
      <c r="P521" s="14"/>
    </row>
    <row r="522" spans="1:16" ht="11.25">
      <c r="A522" s="54" t="s">
        <v>7</v>
      </c>
      <c r="B522" s="7"/>
      <c r="C522" s="7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</row>
    <row r="523" spans="1:16" ht="35.25" customHeight="1">
      <c r="A523" s="55" t="s">
        <v>257</v>
      </c>
      <c r="B523" s="7"/>
      <c r="C523" s="7"/>
      <c r="D523" s="14" t="s">
        <v>267</v>
      </c>
      <c r="E523" s="14">
        <v>13000</v>
      </c>
      <c r="F523" s="14">
        <f>E523</f>
        <v>13000</v>
      </c>
      <c r="G523" s="14"/>
      <c r="H523" s="14"/>
      <c r="I523" s="14"/>
      <c r="J523" s="14"/>
      <c r="K523" s="14"/>
      <c r="L523" s="14"/>
      <c r="M523" s="14"/>
      <c r="N523" s="14"/>
      <c r="O523" s="14"/>
      <c r="P523" s="14"/>
    </row>
    <row r="524" spans="1:235" s="85" customFormat="1" ht="15" customHeight="1">
      <c r="A524" s="108">
        <v>100202</v>
      </c>
      <c r="B524" s="77"/>
      <c r="C524" s="77"/>
      <c r="D524" s="89">
        <f>D526+D533+D540+D549+D556</f>
        <v>2702500</v>
      </c>
      <c r="E524" s="89"/>
      <c r="F524" s="89">
        <f>D524</f>
        <v>2702500</v>
      </c>
      <c r="G524" s="89">
        <f>G526+G533+G549+G563+G570+G540+G556+G577</f>
        <v>6256810</v>
      </c>
      <c r="H524" s="89">
        <f aca="true" t="shared" si="46" ref="H524:O524">H526+H533+H549+H563+H570+H540+H556+H577</f>
        <v>4469999.99994</v>
      </c>
      <c r="I524" s="89">
        <f t="shared" si="46"/>
        <v>0</v>
      </c>
      <c r="J524" s="89">
        <f>G524+H524</f>
        <v>10726809.99994</v>
      </c>
      <c r="K524" s="89">
        <f t="shared" si="46"/>
        <v>0</v>
      </c>
      <c r="L524" s="89">
        <f t="shared" si="46"/>
        <v>0</v>
      </c>
      <c r="M524" s="89">
        <f t="shared" si="46"/>
        <v>0</v>
      </c>
      <c r="N524" s="89">
        <f t="shared" si="46"/>
        <v>6169560</v>
      </c>
      <c r="O524" s="89">
        <f t="shared" si="46"/>
        <v>0</v>
      </c>
      <c r="P524" s="89">
        <f>N524+O524</f>
        <v>6169560</v>
      </c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21"/>
      <c r="AV524" s="121"/>
      <c r="AW524" s="121"/>
      <c r="AX524" s="121"/>
      <c r="AY524" s="121"/>
      <c r="AZ524" s="121"/>
      <c r="BA524" s="121"/>
      <c r="BB524" s="121"/>
      <c r="BC524" s="121"/>
      <c r="BD524" s="121"/>
      <c r="BE524" s="121"/>
      <c r="BF524" s="121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21"/>
      <c r="BS524" s="121"/>
      <c r="BT524" s="121"/>
      <c r="BU524" s="121"/>
      <c r="BV524" s="121"/>
      <c r="BW524" s="121"/>
      <c r="BX524" s="121"/>
      <c r="BY524" s="121"/>
      <c r="BZ524" s="121"/>
      <c r="CA524" s="121"/>
      <c r="CB524" s="121"/>
      <c r="CC524" s="121"/>
      <c r="CD524" s="121"/>
      <c r="CE524" s="121"/>
      <c r="CF524" s="121"/>
      <c r="CG524" s="121"/>
      <c r="CH524" s="121"/>
      <c r="CI524" s="121"/>
      <c r="CJ524" s="121"/>
      <c r="CK524" s="121"/>
      <c r="CL524" s="121"/>
      <c r="CM524" s="121"/>
      <c r="CN524" s="121"/>
      <c r="CO524" s="121"/>
      <c r="CP524" s="121"/>
      <c r="CQ524" s="121"/>
      <c r="CR524" s="121"/>
      <c r="CS524" s="121"/>
      <c r="CT524" s="121"/>
      <c r="CU524" s="121"/>
      <c r="CV524" s="121"/>
      <c r="CW524" s="121"/>
      <c r="CX524" s="121"/>
      <c r="CY524" s="121"/>
      <c r="CZ524" s="121"/>
      <c r="DA524" s="121"/>
      <c r="DB524" s="121"/>
      <c r="DC524" s="121"/>
      <c r="DD524" s="121"/>
      <c r="DE524" s="121"/>
      <c r="DF524" s="121"/>
      <c r="DG524" s="121"/>
      <c r="DH524" s="121"/>
      <c r="DI524" s="121"/>
      <c r="DJ524" s="121"/>
      <c r="DK524" s="121"/>
      <c r="DL524" s="121"/>
      <c r="DM524" s="121"/>
      <c r="DN524" s="121"/>
      <c r="DO524" s="121"/>
      <c r="DP524" s="121"/>
      <c r="DQ524" s="121"/>
      <c r="DR524" s="121"/>
      <c r="DS524" s="121"/>
      <c r="DT524" s="121"/>
      <c r="DU524" s="121"/>
      <c r="DV524" s="121"/>
      <c r="DW524" s="121"/>
      <c r="DX524" s="121"/>
      <c r="DY524" s="121"/>
      <c r="DZ524" s="121"/>
      <c r="EA524" s="121"/>
      <c r="EB524" s="121"/>
      <c r="EC524" s="121"/>
      <c r="ED524" s="121"/>
      <c r="EE524" s="121"/>
      <c r="EF524" s="121"/>
      <c r="EG524" s="121"/>
      <c r="EH524" s="121"/>
      <c r="EI524" s="121"/>
      <c r="EJ524" s="121"/>
      <c r="EK524" s="121"/>
      <c r="EL524" s="121"/>
      <c r="EM524" s="121"/>
      <c r="EN524" s="121"/>
      <c r="EO524" s="121"/>
      <c r="EP524" s="121"/>
      <c r="EQ524" s="121"/>
      <c r="ER524" s="121"/>
      <c r="ES524" s="121"/>
      <c r="ET524" s="121"/>
      <c r="EU524" s="121"/>
      <c r="EV524" s="121"/>
      <c r="EW524" s="121"/>
      <c r="EX524" s="121"/>
      <c r="EY524" s="121"/>
      <c r="EZ524" s="121"/>
      <c r="FA524" s="121"/>
      <c r="FB524" s="121"/>
      <c r="FC524" s="121"/>
      <c r="FD524" s="121"/>
      <c r="FE524" s="121"/>
      <c r="FF524" s="121"/>
      <c r="FG524" s="121"/>
      <c r="FH524" s="121"/>
      <c r="FI524" s="121"/>
      <c r="FJ524" s="121"/>
      <c r="FK524" s="121"/>
      <c r="FL524" s="121"/>
      <c r="FM524" s="121"/>
      <c r="FN524" s="121"/>
      <c r="FO524" s="121"/>
      <c r="FP524" s="121"/>
      <c r="FQ524" s="121"/>
      <c r="FR524" s="121"/>
      <c r="FS524" s="121"/>
      <c r="FT524" s="121"/>
      <c r="FU524" s="121"/>
      <c r="FV524" s="121"/>
      <c r="FW524" s="121"/>
      <c r="FX524" s="121"/>
      <c r="FY524" s="121"/>
      <c r="FZ524" s="121"/>
      <c r="GA524" s="121"/>
      <c r="GB524" s="121"/>
      <c r="GC524" s="121"/>
      <c r="GD524" s="121"/>
      <c r="GE524" s="121"/>
      <c r="GF524" s="121"/>
      <c r="GG524" s="121"/>
      <c r="GH524" s="121"/>
      <c r="GI524" s="121"/>
      <c r="GJ524" s="121"/>
      <c r="GK524" s="121"/>
      <c r="GL524" s="121"/>
      <c r="GM524" s="121"/>
      <c r="GN524" s="121"/>
      <c r="GO524" s="121"/>
      <c r="GP524" s="121"/>
      <c r="GQ524" s="121"/>
      <c r="GR524" s="121"/>
      <c r="GS524" s="121"/>
      <c r="GT524" s="121"/>
      <c r="GU524" s="121"/>
      <c r="GV524" s="121"/>
      <c r="GW524" s="121"/>
      <c r="GX524" s="121"/>
      <c r="GY524" s="121"/>
      <c r="GZ524" s="121"/>
      <c r="HA524" s="121"/>
      <c r="HB524" s="121"/>
      <c r="HC524" s="121"/>
      <c r="HD524" s="121"/>
      <c r="HE524" s="121"/>
      <c r="HF524" s="121"/>
      <c r="HG524" s="121"/>
      <c r="HH524" s="121"/>
      <c r="HI524" s="121"/>
      <c r="HJ524" s="121"/>
      <c r="HK524" s="121"/>
      <c r="HL524" s="121"/>
      <c r="HM524" s="121"/>
      <c r="HN524" s="121"/>
      <c r="HO524" s="121"/>
      <c r="HP524" s="121"/>
      <c r="HQ524" s="121"/>
      <c r="HR524" s="121"/>
      <c r="HS524" s="121"/>
      <c r="HT524" s="121"/>
      <c r="HU524" s="121"/>
      <c r="HV524" s="121"/>
      <c r="HW524" s="121"/>
      <c r="HX524" s="121"/>
      <c r="HY524" s="121"/>
      <c r="HZ524" s="121"/>
      <c r="IA524" s="121"/>
    </row>
    <row r="525" spans="1:16" ht="23.25" customHeight="1">
      <c r="A525" s="21" t="s">
        <v>211</v>
      </c>
      <c r="B525" s="7"/>
      <c r="C525" s="7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</row>
    <row r="526" spans="1:235" s="92" customFormat="1" ht="27.75" customHeight="1">
      <c r="A526" s="82" t="s">
        <v>395</v>
      </c>
      <c r="B526" s="88"/>
      <c r="C526" s="88"/>
      <c r="D526" s="89">
        <f>D528</f>
        <v>2200000</v>
      </c>
      <c r="E526" s="89"/>
      <c r="F526" s="89">
        <f>D526</f>
        <v>2200000</v>
      </c>
      <c r="G526" s="89">
        <f>G530*G532</f>
        <v>5886610</v>
      </c>
      <c r="H526" s="89"/>
      <c r="I526" s="89"/>
      <c r="J526" s="89">
        <f>G526</f>
        <v>5886610</v>
      </c>
      <c r="K526" s="89"/>
      <c r="L526" s="89"/>
      <c r="M526" s="89"/>
      <c r="N526" s="89">
        <f>N530*N532</f>
        <v>6169560</v>
      </c>
      <c r="O526" s="89">
        <f>O530*O532</f>
        <v>0</v>
      </c>
      <c r="P526" s="89">
        <f>N526</f>
        <v>6169560</v>
      </c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  <c r="BY526" s="91"/>
      <c r="BZ526" s="91"/>
      <c r="CA526" s="91"/>
      <c r="CB526" s="91"/>
      <c r="CC526" s="91"/>
      <c r="CD526" s="91"/>
      <c r="CE526" s="91"/>
      <c r="CF526" s="91"/>
      <c r="CG526" s="91"/>
      <c r="CH526" s="91"/>
      <c r="CI526" s="91"/>
      <c r="CJ526" s="91"/>
      <c r="CK526" s="91"/>
      <c r="CL526" s="91"/>
      <c r="CM526" s="91"/>
      <c r="CN526" s="91"/>
      <c r="CO526" s="91"/>
      <c r="CP526" s="91"/>
      <c r="CQ526" s="91"/>
      <c r="CR526" s="91"/>
      <c r="CS526" s="91"/>
      <c r="CT526" s="91"/>
      <c r="CU526" s="91"/>
      <c r="CV526" s="91"/>
      <c r="CW526" s="91"/>
      <c r="CX526" s="91"/>
      <c r="CY526" s="91"/>
      <c r="CZ526" s="91"/>
      <c r="DA526" s="91"/>
      <c r="DB526" s="91"/>
      <c r="DC526" s="91"/>
      <c r="DD526" s="91"/>
      <c r="DE526" s="91"/>
      <c r="DF526" s="91"/>
      <c r="DG526" s="91"/>
      <c r="DH526" s="91"/>
      <c r="DI526" s="91"/>
      <c r="DJ526" s="91"/>
      <c r="DK526" s="91"/>
      <c r="DL526" s="91"/>
      <c r="DM526" s="91"/>
      <c r="DN526" s="91"/>
      <c r="DO526" s="91"/>
      <c r="DP526" s="91"/>
      <c r="DQ526" s="91"/>
      <c r="DR526" s="91"/>
      <c r="DS526" s="91"/>
      <c r="DT526" s="91"/>
      <c r="DU526" s="91"/>
      <c r="DV526" s="91"/>
      <c r="DW526" s="91"/>
      <c r="DX526" s="91"/>
      <c r="DY526" s="91"/>
      <c r="DZ526" s="91"/>
      <c r="EA526" s="91"/>
      <c r="EB526" s="91"/>
      <c r="EC526" s="91"/>
      <c r="ED526" s="91"/>
      <c r="EE526" s="91"/>
      <c r="EF526" s="91"/>
      <c r="EG526" s="91"/>
      <c r="EH526" s="91"/>
      <c r="EI526" s="91"/>
      <c r="EJ526" s="91"/>
      <c r="EK526" s="91"/>
      <c r="EL526" s="91"/>
      <c r="EM526" s="91"/>
      <c r="EN526" s="91"/>
      <c r="EO526" s="91"/>
      <c r="EP526" s="91"/>
      <c r="EQ526" s="91"/>
      <c r="ER526" s="91"/>
      <c r="ES526" s="91"/>
      <c r="ET526" s="91"/>
      <c r="EU526" s="91"/>
      <c r="EV526" s="91"/>
      <c r="EW526" s="91"/>
      <c r="EX526" s="91"/>
      <c r="EY526" s="91"/>
      <c r="EZ526" s="91"/>
      <c r="FA526" s="91"/>
      <c r="FB526" s="91"/>
      <c r="FC526" s="91"/>
      <c r="FD526" s="91"/>
      <c r="FE526" s="91"/>
      <c r="FF526" s="91"/>
      <c r="FG526" s="91"/>
      <c r="FH526" s="91"/>
      <c r="FI526" s="91"/>
      <c r="FJ526" s="91"/>
      <c r="FK526" s="91"/>
      <c r="FL526" s="91"/>
      <c r="FM526" s="91"/>
      <c r="FN526" s="91"/>
      <c r="FO526" s="91"/>
      <c r="FP526" s="91"/>
      <c r="FQ526" s="91"/>
      <c r="FR526" s="91"/>
      <c r="FS526" s="91"/>
      <c r="FT526" s="91"/>
      <c r="FU526" s="91"/>
      <c r="FV526" s="91"/>
      <c r="FW526" s="91"/>
      <c r="FX526" s="91"/>
      <c r="FY526" s="91"/>
      <c r="FZ526" s="91"/>
      <c r="GA526" s="91"/>
      <c r="GB526" s="91"/>
      <c r="GC526" s="91"/>
      <c r="GD526" s="91"/>
      <c r="GE526" s="91"/>
      <c r="GF526" s="91"/>
      <c r="GG526" s="91"/>
      <c r="GH526" s="91"/>
      <c r="GI526" s="91"/>
      <c r="GJ526" s="91"/>
      <c r="GK526" s="91"/>
      <c r="GL526" s="91"/>
      <c r="GM526" s="91"/>
      <c r="GN526" s="91"/>
      <c r="GO526" s="91"/>
      <c r="GP526" s="91"/>
      <c r="GQ526" s="91"/>
      <c r="GR526" s="91"/>
      <c r="GS526" s="91"/>
      <c r="GT526" s="91"/>
      <c r="GU526" s="91"/>
      <c r="GV526" s="91"/>
      <c r="GW526" s="91"/>
      <c r="GX526" s="91"/>
      <c r="GY526" s="91"/>
      <c r="GZ526" s="91"/>
      <c r="HA526" s="91"/>
      <c r="HB526" s="91"/>
      <c r="HC526" s="91"/>
      <c r="HD526" s="91"/>
      <c r="HE526" s="91"/>
      <c r="HF526" s="91"/>
      <c r="HG526" s="91"/>
      <c r="HH526" s="91"/>
      <c r="HI526" s="91"/>
      <c r="HJ526" s="91"/>
      <c r="HK526" s="91"/>
      <c r="HL526" s="91"/>
      <c r="HM526" s="91"/>
      <c r="HN526" s="91"/>
      <c r="HO526" s="91"/>
      <c r="HP526" s="91"/>
      <c r="HQ526" s="91"/>
      <c r="HR526" s="91"/>
      <c r="HS526" s="91"/>
      <c r="HT526" s="91"/>
      <c r="HU526" s="91"/>
      <c r="HV526" s="91"/>
      <c r="HW526" s="91"/>
      <c r="HX526" s="91"/>
      <c r="HY526" s="91"/>
      <c r="HZ526" s="91"/>
      <c r="IA526" s="91"/>
    </row>
    <row r="527" spans="1:16" ht="12" customHeight="1">
      <c r="A527" s="20" t="s">
        <v>4</v>
      </c>
      <c r="B527" s="7"/>
      <c r="C527" s="7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</row>
    <row r="528" spans="1:16" ht="13.5" customHeight="1">
      <c r="A528" s="21" t="s">
        <v>63</v>
      </c>
      <c r="B528" s="7"/>
      <c r="C528" s="7"/>
      <c r="D528" s="14">
        <v>2200000</v>
      </c>
      <c r="E528" s="14"/>
      <c r="F528" s="14">
        <f>D528</f>
        <v>2200000</v>
      </c>
      <c r="G528" s="14">
        <f>G530*G532</f>
        <v>5886610</v>
      </c>
      <c r="H528" s="14"/>
      <c r="I528" s="14"/>
      <c r="J528" s="14">
        <f>G528</f>
        <v>5886610</v>
      </c>
      <c r="K528" s="14"/>
      <c r="L528" s="14"/>
      <c r="M528" s="14"/>
      <c r="N528" s="14">
        <f>N530*N532</f>
        <v>6169560</v>
      </c>
      <c r="O528" s="14"/>
      <c r="P528" s="14">
        <f>N528</f>
        <v>6169560</v>
      </c>
    </row>
    <row r="529" spans="1:16" ht="12" customHeight="1">
      <c r="A529" s="20" t="s">
        <v>5</v>
      </c>
      <c r="B529" s="7"/>
      <c r="C529" s="7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</row>
    <row r="530" spans="1:16" ht="33" customHeight="1">
      <c r="A530" s="21" t="s">
        <v>64</v>
      </c>
      <c r="B530" s="7"/>
      <c r="C530" s="7"/>
      <c r="D530" s="14">
        <v>1</v>
      </c>
      <c r="E530" s="14"/>
      <c r="F530" s="14">
        <v>1</v>
      </c>
      <c r="G530" s="14">
        <v>1</v>
      </c>
      <c r="H530" s="14"/>
      <c r="I530" s="14"/>
      <c r="J530" s="14">
        <v>1</v>
      </c>
      <c r="K530" s="14"/>
      <c r="L530" s="14"/>
      <c r="M530" s="14"/>
      <c r="N530" s="14">
        <v>1</v>
      </c>
      <c r="O530" s="14"/>
      <c r="P530" s="14">
        <f>N530</f>
        <v>1</v>
      </c>
    </row>
    <row r="531" spans="1:16" ht="11.25">
      <c r="A531" s="20" t="s">
        <v>7</v>
      </c>
      <c r="B531" s="7"/>
      <c r="C531" s="7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</row>
    <row r="532" spans="1:16" ht="21" customHeight="1">
      <c r="A532" s="21" t="s">
        <v>213</v>
      </c>
      <c r="B532" s="7"/>
      <c r="C532" s="7"/>
      <c r="D532" s="14">
        <f>D528/D530</f>
        <v>2200000</v>
      </c>
      <c r="E532" s="14"/>
      <c r="F532" s="14">
        <f>D532</f>
        <v>2200000</v>
      </c>
      <c r="G532" s="14">
        <f>4829000+1057610</f>
        <v>5886610</v>
      </c>
      <c r="H532" s="14"/>
      <c r="I532" s="14"/>
      <c r="J532" s="14">
        <f>G532</f>
        <v>5886610</v>
      </c>
      <c r="K532" s="14"/>
      <c r="L532" s="14"/>
      <c r="M532" s="14"/>
      <c r="N532" s="14">
        <v>6169560</v>
      </c>
      <c r="O532" s="14"/>
      <c r="P532" s="14">
        <f>N532</f>
        <v>6169560</v>
      </c>
    </row>
    <row r="533" spans="1:235" s="92" customFormat="1" ht="25.5" customHeight="1">
      <c r="A533" s="82" t="s">
        <v>396</v>
      </c>
      <c r="B533" s="88"/>
      <c r="C533" s="88"/>
      <c r="D533" s="89"/>
      <c r="E533" s="89"/>
      <c r="F533" s="89"/>
      <c r="G533" s="89">
        <f>G537*G539</f>
        <v>120000</v>
      </c>
      <c r="H533" s="89"/>
      <c r="I533" s="89"/>
      <c r="J533" s="89">
        <f>G533</f>
        <v>120000</v>
      </c>
      <c r="K533" s="89"/>
      <c r="L533" s="89"/>
      <c r="M533" s="89"/>
      <c r="N533" s="89"/>
      <c r="O533" s="89"/>
      <c r="P533" s="89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  <c r="BZ533" s="91"/>
      <c r="CA533" s="91"/>
      <c r="CB533" s="91"/>
      <c r="CC533" s="91"/>
      <c r="CD533" s="91"/>
      <c r="CE533" s="91"/>
      <c r="CF533" s="91"/>
      <c r="CG533" s="91"/>
      <c r="CH533" s="91"/>
      <c r="CI533" s="91"/>
      <c r="CJ533" s="91"/>
      <c r="CK533" s="91"/>
      <c r="CL533" s="91"/>
      <c r="CM533" s="91"/>
      <c r="CN533" s="91"/>
      <c r="CO533" s="91"/>
      <c r="CP533" s="91"/>
      <c r="CQ533" s="91"/>
      <c r="CR533" s="91"/>
      <c r="CS533" s="91"/>
      <c r="CT533" s="91"/>
      <c r="CU533" s="91"/>
      <c r="CV533" s="91"/>
      <c r="CW533" s="91"/>
      <c r="CX533" s="91"/>
      <c r="CY533" s="91"/>
      <c r="CZ533" s="91"/>
      <c r="DA533" s="91"/>
      <c r="DB533" s="91"/>
      <c r="DC533" s="91"/>
      <c r="DD533" s="91"/>
      <c r="DE533" s="91"/>
      <c r="DF533" s="91"/>
      <c r="DG533" s="91"/>
      <c r="DH533" s="91"/>
      <c r="DI533" s="91"/>
      <c r="DJ533" s="91"/>
      <c r="DK533" s="91"/>
      <c r="DL533" s="91"/>
      <c r="DM533" s="91"/>
      <c r="DN533" s="91"/>
      <c r="DO533" s="91"/>
      <c r="DP533" s="91"/>
      <c r="DQ533" s="91"/>
      <c r="DR533" s="91"/>
      <c r="DS533" s="91"/>
      <c r="DT533" s="91"/>
      <c r="DU533" s="91"/>
      <c r="DV533" s="91"/>
      <c r="DW533" s="91"/>
      <c r="DX533" s="91"/>
      <c r="DY533" s="91"/>
      <c r="DZ533" s="91"/>
      <c r="EA533" s="91"/>
      <c r="EB533" s="91"/>
      <c r="EC533" s="91"/>
      <c r="ED533" s="91"/>
      <c r="EE533" s="91"/>
      <c r="EF533" s="91"/>
      <c r="EG533" s="91"/>
      <c r="EH533" s="91"/>
      <c r="EI533" s="91"/>
      <c r="EJ533" s="91"/>
      <c r="EK533" s="91"/>
      <c r="EL533" s="91"/>
      <c r="EM533" s="91"/>
      <c r="EN533" s="91"/>
      <c r="EO533" s="91"/>
      <c r="EP533" s="91"/>
      <c r="EQ533" s="91"/>
      <c r="ER533" s="91"/>
      <c r="ES533" s="91"/>
      <c r="ET533" s="91"/>
      <c r="EU533" s="91"/>
      <c r="EV533" s="91"/>
      <c r="EW533" s="91"/>
      <c r="EX533" s="91"/>
      <c r="EY533" s="91"/>
      <c r="EZ533" s="91"/>
      <c r="FA533" s="91"/>
      <c r="FB533" s="91"/>
      <c r="FC533" s="91"/>
      <c r="FD533" s="91"/>
      <c r="FE533" s="91"/>
      <c r="FF533" s="91"/>
      <c r="FG533" s="91"/>
      <c r="FH533" s="91"/>
      <c r="FI533" s="91"/>
      <c r="FJ533" s="91"/>
      <c r="FK533" s="91"/>
      <c r="FL533" s="91"/>
      <c r="FM533" s="91"/>
      <c r="FN533" s="91"/>
      <c r="FO533" s="91"/>
      <c r="FP533" s="91"/>
      <c r="FQ533" s="91"/>
      <c r="FR533" s="91"/>
      <c r="FS533" s="91"/>
      <c r="FT533" s="91"/>
      <c r="FU533" s="91"/>
      <c r="FV533" s="91"/>
      <c r="FW533" s="91"/>
      <c r="FX533" s="91"/>
      <c r="FY533" s="91"/>
      <c r="FZ533" s="91"/>
      <c r="GA533" s="91"/>
      <c r="GB533" s="91"/>
      <c r="GC533" s="91"/>
      <c r="GD533" s="91"/>
      <c r="GE533" s="91"/>
      <c r="GF533" s="91"/>
      <c r="GG533" s="91"/>
      <c r="GH533" s="91"/>
      <c r="GI533" s="91"/>
      <c r="GJ533" s="91"/>
      <c r="GK533" s="91"/>
      <c r="GL533" s="91"/>
      <c r="GM533" s="91"/>
      <c r="GN533" s="91"/>
      <c r="GO533" s="91"/>
      <c r="GP533" s="91"/>
      <c r="GQ533" s="91"/>
      <c r="GR533" s="91"/>
      <c r="GS533" s="91"/>
      <c r="GT533" s="91"/>
      <c r="GU533" s="91"/>
      <c r="GV533" s="91"/>
      <c r="GW533" s="91"/>
      <c r="GX533" s="91"/>
      <c r="GY533" s="91"/>
      <c r="GZ533" s="91"/>
      <c r="HA533" s="91"/>
      <c r="HB533" s="91"/>
      <c r="HC533" s="91"/>
      <c r="HD533" s="91"/>
      <c r="HE533" s="91"/>
      <c r="HF533" s="91"/>
      <c r="HG533" s="91"/>
      <c r="HH533" s="91"/>
      <c r="HI533" s="91"/>
      <c r="HJ533" s="91"/>
      <c r="HK533" s="91"/>
      <c r="HL533" s="91"/>
      <c r="HM533" s="91"/>
      <c r="HN533" s="91"/>
      <c r="HO533" s="91"/>
      <c r="HP533" s="91"/>
      <c r="HQ533" s="91"/>
      <c r="HR533" s="91"/>
      <c r="HS533" s="91"/>
      <c r="HT533" s="91"/>
      <c r="HU533" s="91"/>
      <c r="HV533" s="91"/>
      <c r="HW533" s="91"/>
      <c r="HX533" s="91"/>
      <c r="HY533" s="91"/>
      <c r="HZ533" s="91"/>
      <c r="IA533" s="91"/>
    </row>
    <row r="534" spans="1:16" ht="11.25">
      <c r="A534" s="20" t="s">
        <v>4</v>
      </c>
      <c r="B534" s="7"/>
      <c r="C534" s="7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</row>
    <row r="535" spans="1:16" ht="14.25" customHeight="1">
      <c r="A535" s="21" t="s">
        <v>63</v>
      </c>
      <c r="B535" s="7"/>
      <c r="C535" s="7"/>
      <c r="D535" s="14"/>
      <c r="E535" s="14"/>
      <c r="F535" s="14"/>
      <c r="G535" s="14">
        <v>120000</v>
      </c>
      <c r="H535" s="14"/>
      <c r="I535" s="14"/>
      <c r="J535" s="14">
        <f>G535</f>
        <v>120000</v>
      </c>
      <c r="K535" s="14"/>
      <c r="L535" s="14"/>
      <c r="M535" s="14"/>
      <c r="N535" s="14"/>
      <c r="O535" s="14"/>
      <c r="P535" s="14"/>
    </row>
    <row r="536" spans="1:16" ht="11.25">
      <c r="A536" s="20" t="s">
        <v>5</v>
      </c>
      <c r="B536" s="7"/>
      <c r="C536" s="7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</row>
    <row r="537" spans="1:16" ht="23.25" customHeight="1">
      <c r="A537" s="21" t="s">
        <v>212</v>
      </c>
      <c r="B537" s="7"/>
      <c r="C537" s="7"/>
      <c r="D537" s="14"/>
      <c r="E537" s="14"/>
      <c r="F537" s="14"/>
      <c r="G537" s="14">
        <v>2</v>
      </c>
      <c r="H537" s="14"/>
      <c r="I537" s="14"/>
      <c r="J537" s="14">
        <v>2</v>
      </c>
      <c r="K537" s="14"/>
      <c r="L537" s="14"/>
      <c r="M537" s="14"/>
      <c r="N537" s="14"/>
      <c r="O537" s="14"/>
      <c r="P537" s="14"/>
    </row>
    <row r="538" spans="1:16" ht="11.25">
      <c r="A538" s="20" t="s">
        <v>7</v>
      </c>
      <c r="B538" s="7"/>
      <c r="C538" s="7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</row>
    <row r="539" spans="1:16" ht="24.75" customHeight="1">
      <c r="A539" s="21" t="s">
        <v>214</v>
      </c>
      <c r="B539" s="7"/>
      <c r="C539" s="7"/>
      <c r="D539" s="14"/>
      <c r="E539" s="14"/>
      <c r="F539" s="14"/>
      <c r="G539" s="14">
        <v>60000</v>
      </c>
      <c r="H539" s="14"/>
      <c r="I539" s="14"/>
      <c r="J539" s="14">
        <f>G539</f>
        <v>60000</v>
      </c>
      <c r="K539" s="14"/>
      <c r="L539" s="14"/>
      <c r="M539" s="14"/>
      <c r="N539" s="14"/>
      <c r="O539" s="14"/>
      <c r="P539" s="14"/>
    </row>
    <row r="540" spans="1:235" s="92" customFormat="1" ht="15" customHeight="1">
      <c r="A540" s="82" t="s">
        <v>397</v>
      </c>
      <c r="B540" s="88"/>
      <c r="C540" s="88"/>
      <c r="D540" s="89">
        <f>D542</f>
        <v>150400</v>
      </c>
      <c r="E540" s="89"/>
      <c r="F540" s="89">
        <f>D540</f>
        <v>150400</v>
      </c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  <c r="BZ540" s="91"/>
      <c r="CA540" s="91"/>
      <c r="CB540" s="91"/>
      <c r="CC540" s="91"/>
      <c r="CD540" s="91"/>
      <c r="CE540" s="91"/>
      <c r="CF540" s="91"/>
      <c r="CG540" s="91"/>
      <c r="CH540" s="91"/>
      <c r="CI540" s="91"/>
      <c r="CJ540" s="91"/>
      <c r="CK540" s="91"/>
      <c r="CL540" s="91"/>
      <c r="CM540" s="91"/>
      <c r="CN540" s="91"/>
      <c r="CO540" s="91"/>
      <c r="CP540" s="91"/>
      <c r="CQ540" s="91"/>
      <c r="CR540" s="91"/>
      <c r="CS540" s="91"/>
      <c r="CT540" s="91"/>
      <c r="CU540" s="91"/>
      <c r="CV540" s="91"/>
      <c r="CW540" s="91"/>
      <c r="CX540" s="91"/>
      <c r="CY540" s="91"/>
      <c r="CZ540" s="91"/>
      <c r="DA540" s="91"/>
      <c r="DB540" s="91"/>
      <c r="DC540" s="91"/>
      <c r="DD540" s="91"/>
      <c r="DE540" s="91"/>
      <c r="DF540" s="91"/>
      <c r="DG540" s="91"/>
      <c r="DH540" s="91"/>
      <c r="DI540" s="91"/>
      <c r="DJ540" s="91"/>
      <c r="DK540" s="91"/>
      <c r="DL540" s="91"/>
      <c r="DM540" s="91"/>
      <c r="DN540" s="91"/>
      <c r="DO540" s="91"/>
      <c r="DP540" s="91"/>
      <c r="DQ540" s="91"/>
      <c r="DR540" s="91"/>
      <c r="DS540" s="91"/>
      <c r="DT540" s="91"/>
      <c r="DU540" s="91"/>
      <c r="DV540" s="91"/>
      <c r="DW540" s="91"/>
      <c r="DX540" s="91"/>
      <c r="DY540" s="91"/>
      <c r="DZ540" s="91"/>
      <c r="EA540" s="91"/>
      <c r="EB540" s="91"/>
      <c r="EC540" s="91"/>
      <c r="ED540" s="91"/>
      <c r="EE540" s="91"/>
      <c r="EF540" s="91"/>
      <c r="EG540" s="91"/>
      <c r="EH540" s="91"/>
      <c r="EI540" s="91"/>
      <c r="EJ540" s="91"/>
      <c r="EK540" s="91"/>
      <c r="EL540" s="91"/>
      <c r="EM540" s="91"/>
      <c r="EN540" s="91"/>
      <c r="EO540" s="91"/>
      <c r="EP540" s="91"/>
      <c r="EQ540" s="91"/>
      <c r="ER540" s="91"/>
      <c r="ES540" s="91"/>
      <c r="ET540" s="91"/>
      <c r="EU540" s="91"/>
      <c r="EV540" s="91"/>
      <c r="EW540" s="91"/>
      <c r="EX540" s="91"/>
      <c r="EY540" s="91"/>
      <c r="EZ540" s="91"/>
      <c r="FA540" s="91"/>
      <c r="FB540" s="91"/>
      <c r="FC540" s="91"/>
      <c r="FD540" s="91"/>
      <c r="FE540" s="91"/>
      <c r="FF540" s="91"/>
      <c r="FG540" s="91"/>
      <c r="FH540" s="91"/>
      <c r="FI540" s="91"/>
      <c r="FJ540" s="91"/>
      <c r="FK540" s="91"/>
      <c r="FL540" s="91"/>
      <c r="FM540" s="91"/>
      <c r="FN540" s="91"/>
      <c r="FO540" s="91"/>
      <c r="FP540" s="91"/>
      <c r="FQ540" s="91"/>
      <c r="FR540" s="91"/>
      <c r="FS540" s="91"/>
      <c r="FT540" s="91"/>
      <c r="FU540" s="91"/>
      <c r="FV540" s="91"/>
      <c r="FW540" s="91"/>
      <c r="FX540" s="91"/>
      <c r="FY540" s="91"/>
      <c r="FZ540" s="91"/>
      <c r="GA540" s="91"/>
      <c r="GB540" s="91"/>
      <c r="GC540" s="91"/>
      <c r="GD540" s="91"/>
      <c r="GE540" s="91"/>
      <c r="GF540" s="91"/>
      <c r="GG540" s="91"/>
      <c r="GH540" s="91"/>
      <c r="GI540" s="91"/>
      <c r="GJ540" s="91"/>
      <c r="GK540" s="91"/>
      <c r="GL540" s="91"/>
      <c r="GM540" s="91"/>
      <c r="GN540" s="91"/>
      <c r="GO540" s="91"/>
      <c r="GP540" s="91"/>
      <c r="GQ540" s="91"/>
      <c r="GR540" s="91"/>
      <c r="GS540" s="91"/>
      <c r="GT540" s="91"/>
      <c r="GU540" s="91"/>
      <c r="GV540" s="91"/>
      <c r="GW540" s="91"/>
      <c r="GX540" s="91"/>
      <c r="GY540" s="91"/>
      <c r="GZ540" s="91"/>
      <c r="HA540" s="91"/>
      <c r="HB540" s="91"/>
      <c r="HC540" s="91"/>
      <c r="HD540" s="91"/>
      <c r="HE540" s="91"/>
      <c r="HF540" s="91"/>
      <c r="HG540" s="91"/>
      <c r="HH540" s="91"/>
      <c r="HI540" s="91"/>
      <c r="HJ540" s="91"/>
      <c r="HK540" s="91"/>
      <c r="HL540" s="91"/>
      <c r="HM540" s="91"/>
      <c r="HN540" s="91"/>
      <c r="HO540" s="91"/>
      <c r="HP540" s="91"/>
      <c r="HQ540" s="91"/>
      <c r="HR540" s="91"/>
      <c r="HS540" s="91"/>
      <c r="HT540" s="91"/>
      <c r="HU540" s="91"/>
      <c r="HV540" s="91"/>
      <c r="HW540" s="91"/>
      <c r="HX540" s="91"/>
      <c r="HY540" s="91"/>
      <c r="HZ540" s="91"/>
      <c r="IA540" s="91"/>
    </row>
    <row r="541" spans="1:16" ht="12" customHeight="1">
      <c r="A541" s="20" t="s">
        <v>4</v>
      </c>
      <c r="B541" s="7"/>
      <c r="C541" s="7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</row>
    <row r="542" spans="1:16" ht="12" customHeight="1">
      <c r="A542" s="21" t="s">
        <v>63</v>
      </c>
      <c r="B542" s="7"/>
      <c r="C542" s="7"/>
      <c r="D542" s="14">
        <f>(D544*D547)+(D545*D548)-0.03</f>
        <v>150400</v>
      </c>
      <c r="E542" s="14"/>
      <c r="F542" s="14">
        <f>D542</f>
        <v>150400</v>
      </c>
      <c r="G542" s="14"/>
      <c r="H542" s="14"/>
      <c r="I542" s="14"/>
      <c r="J542" s="14"/>
      <c r="K542" s="14"/>
      <c r="L542" s="14"/>
      <c r="M542" s="14"/>
      <c r="N542" s="14"/>
      <c r="O542" s="14"/>
      <c r="P542" s="14"/>
    </row>
    <row r="543" spans="1:16" ht="12" customHeight="1">
      <c r="A543" s="20" t="s">
        <v>5</v>
      </c>
      <c r="B543" s="7"/>
      <c r="C543" s="7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</row>
    <row r="544" spans="1:16" ht="24.75" customHeight="1">
      <c r="A544" s="21" t="s">
        <v>243</v>
      </c>
      <c r="B544" s="7"/>
      <c r="C544" s="7"/>
      <c r="D544" s="14">
        <v>57</v>
      </c>
      <c r="E544" s="14"/>
      <c r="F544" s="14">
        <v>57</v>
      </c>
      <c r="G544" s="14"/>
      <c r="H544" s="14"/>
      <c r="I544" s="14"/>
      <c r="J544" s="14"/>
      <c r="K544" s="14"/>
      <c r="L544" s="14"/>
      <c r="M544" s="14"/>
      <c r="N544" s="14"/>
      <c r="O544" s="14"/>
      <c r="P544" s="14"/>
    </row>
    <row r="545" spans="1:16" ht="15.75" customHeight="1">
      <c r="A545" s="21" t="s">
        <v>241</v>
      </c>
      <c r="B545" s="7"/>
      <c r="C545" s="7"/>
      <c r="D545" s="14">
        <v>145</v>
      </c>
      <c r="E545" s="14"/>
      <c r="F545" s="14">
        <f>D545</f>
        <v>145</v>
      </c>
      <c r="G545" s="14"/>
      <c r="H545" s="14"/>
      <c r="I545" s="14"/>
      <c r="J545" s="14"/>
      <c r="K545" s="14"/>
      <c r="L545" s="14"/>
      <c r="M545" s="14"/>
      <c r="N545" s="14"/>
      <c r="O545" s="14"/>
      <c r="P545" s="14"/>
    </row>
    <row r="546" spans="1:16" ht="12.75" customHeight="1">
      <c r="A546" s="20" t="s">
        <v>7</v>
      </c>
      <c r="B546" s="7"/>
      <c r="C546" s="7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</row>
    <row r="547" spans="1:16" ht="24.75" customHeight="1">
      <c r="A547" s="21" t="s">
        <v>242</v>
      </c>
      <c r="B547" s="7"/>
      <c r="C547" s="7"/>
      <c r="D547" s="14">
        <v>1950.89</v>
      </c>
      <c r="E547" s="14"/>
      <c r="F547" s="14">
        <f>D547</f>
        <v>1950.89</v>
      </c>
      <c r="G547" s="14"/>
      <c r="H547" s="14"/>
      <c r="I547" s="14"/>
      <c r="J547" s="14"/>
      <c r="K547" s="14"/>
      <c r="L547" s="14"/>
      <c r="M547" s="14"/>
      <c r="N547" s="14"/>
      <c r="O547" s="14"/>
      <c r="P547" s="14"/>
    </row>
    <row r="548" spans="1:16" ht="24.75" customHeight="1">
      <c r="A548" s="21" t="s">
        <v>244</v>
      </c>
      <c r="B548" s="7"/>
      <c r="C548" s="7"/>
      <c r="D548" s="14">
        <v>270.34</v>
      </c>
      <c r="E548" s="14"/>
      <c r="F548" s="14">
        <f>D548</f>
        <v>270.34</v>
      </c>
      <c r="G548" s="14"/>
      <c r="H548" s="14"/>
      <c r="I548" s="14"/>
      <c r="J548" s="14"/>
      <c r="K548" s="14"/>
      <c r="L548" s="14"/>
      <c r="M548" s="14"/>
      <c r="N548" s="14"/>
      <c r="O548" s="14"/>
      <c r="P548" s="14"/>
    </row>
    <row r="549" spans="1:235" s="92" customFormat="1" ht="41.25" customHeight="1">
      <c r="A549" s="82" t="s">
        <v>398</v>
      </c>
      <c r="B549" s="88"/>
      <c r="C549" s="88"/>
      <c r="D549" s="89">
        <v>127900</v>
      </c>
      <c r="E549" s="89"/>
      <c r="F549" s="89">
        <f>D549</f>
        <v>127900</v>
      </c>
      <c r="G549" s="89">
        <f>G553*G555</f>
        <v>130000</v>
      </c>
      <c r="H549" s="89"/>
      <c r="I549" s="89"/>
      <c r="J549" s="89">
        <f>G549</f>
        <v>130000</v>
      </c>
      <c r="K549" s="89"/>
      <c r="L549" s="89"/>
      <c r="M549" s="89"/>
      <c r="N549" s="89"/>
      <c r="O549" s="89"/>
      <c r="P549" s="89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  <c r="BZ549" s="91"/>
      <c r="CA549" s="91"/>
      <c r="CB549" s="91"/>
      <c r="CC549" s="91"/>
      <c r="CD549" s="91"/>
      <c r="CE549" s="91"/>
      <c r="CF549" s="91"/>
      <c r="CG549" s="91"/>
      <c r="CH549" s="91"/>
      <c r="CI549" s="91"/>
      <c r="CJ549" s="91"/>
      <c r="CK549" s="91"/>
      <c r="CL549" s="91"/>
      <c r="CM549" s="91"/>
      <c r="CN549" s="91"/>
      <c r="CO549" s="91"/>
      <c r="CP549" s="91"/>
      <c r="CQ549" s="91"/>
      <c r="CR549" s="91"/>
      <c r="CS549" s="91"/>
      <c r="CT549" s="91"/>
      <c r="CU549" s="91"/>
      <c r="CV549" s="91"/>
      <c r="CW549" s="91"/>
      <c r="CX549" s="91"/>
      <c r="CY549" s="91"/>
      <c r="CZ549" s="91"/>
      <c r="DA549" s="91"/>
      <c r="DB549" s="91"/>
      <c r="DC549" s="91"/>
      <c r="DD549" s="91"/>
      <c r="DE549" s="91"/>
      <c r="DF549" s="91"/>
      <c r="DG549" s="91"/>
      <c r="DH549" s="91"/>
      <c r="DI549" s="91"/>
      <c r="DJ549" s="91"/>
      <c r="DK549" s="91"/>
      <c r="DL549" s="91"/>
      <c r="DM549" s="91"/>
      <c r="DN549" s="91"/>
      <c r="DO549" s="91"/>
      <c r="DP549" s="91"/>
      <c r="DQ549" s="91"/>
      <c r="DR549" s="91"/>
      <c r="DS549" s="91"/>
      <c r="DT549" s="91"/>
      <c r="DU549" s="91"/>
      <c r="DV549" s="91"/>
      <c r="DW549" s="91"/>
      <c r="DX549" s="91"/>
      <c r="DY549" s="91"/>
      <c r="DZ549" s="91"/>
      <c r="EA549" s="91"/>
      <c r="EB549" s="91"/>
      <c r="EC549" s="91"/>
      <c r="ED549" s="91"/>
      <c r="EE549" s="91"/>
      <c r="EF549" s="91"/>
      <c r="EG549" s="91"/>
      <c r="EH549" s="91"/>
      <c r="EI549" s="91"/>
      <c r="EJ549" s="91"/>
      <c r="EK549" s="91"/>
      <c r="EL549" s="91"/>
      <c r="EM549" s="91"/>
      <c r="EN549" s="91"/>
      <c r="EO549" s="91"/>
      <c r="EP549" s="91"/>
      <c r="EQ549" s="91"/>
      <c r="ER549" s="91"/>
      <c r="ES549" s="91"/>
      <c r="ET549" s="91"/>
      <c r="EU549" s="91"/>
      <c r="EV549" s="91"/>
      <c r="EW549" s="91"/>
      <c r="EX549" s="91"/>
      <c r="EY549" s="91"/>
      <c r="EZ549" s="91"/>
      <c r="FA549" s="91"/>
      <c r="FB549" s="91"/>
      <c r="FC549" s="91"/>
      <c r="FD549" s="91"/>
      <c r="FE549" s="91"/>
      <c r="FF549" s="91"/>
      <c r="FG549" s="91"/>
      <c r="FH549" s="91"/>
      <c r="FI549" s="91"/>
      <c r="FJ549" s="91"/>
      <c r="FK549" s="91"/>
      <c r="FL549" s="91"/>
      <c r="FM549" s="91"/>
      <c r="FN549" s="91"/>
      <c r="FO549" s="91"/>
      <c r="FP549" s="91"/>
      <c r="FQ549" s="91"/>
      <c r="FR549" s="91"/>
      <c r="FS549" s="91"/>
      <c r="FT549" s="91"/>
      <c r="FU549" s="91"/>
      <c r="FV549" s="91"/>
      <c r="FW549" s="91"/>
      <c r="FX549" s="91"/>
      <c r="FY549" s="91"/>
      <c r="FZ549" s="91"/>
      <c r="GA549" s="91"/>
      <c r="GB549" s="91"/>
      <c r="GC549" s="91"/>
      <c r="GD549" s="91"/>
      <c r="GE549" s="91"/>
      <c r="GF549" s="91"/>
      <c r="GG549" s="91"/>
      <c r="GH549" s="91"/>
      <c r="GI549" s="91"/>
      <c r="GJ549" s="91"/>
      <c r="GK549" s="91"/>
      <c r="GL549" s="91"/>
      <c r="GM549" s="91"/>
      <c r="GN549" s="91"/>
      <c r="GO549" s="91"/>
      <c r="GP549" s="91"/>
      <c r="GQ549" s="91"/>
      <c r="GR549" s="91"/>
      <c r="GS549" s="91"/>
      <c r="GT549" s="91"/>
      <c r="GU549" s="91"/>
      <c r="GV549" s="91"/>
      <c r="GW549" s="91"/>
      <c r="GX549" s="91"/>
      <c r="GY549" s="91"/>
      <c r="GZ549" s="91"/>
      <c r="HA549" s="91"/>
      <c r="HB549" s="91"/>
      <c r="HC549" s="91"/>
      <c r="HD549" s="91"/>
      <c r="HE549" s="91"/>
      <c r="HF549" s="91"/>
      <c r="HG549" s="91"/>
      <c r="HH549" s="91"/>
      <c r="HI549" s="91"/>
      <c r="HJ549" s="91"/>
      <c r="HK549" s="91"/>
      <c r="HL549" s="91"/>
      <c r="HM549" s="91"/>
      <c r="HN549" s="91"/>
      <c r="HO549" s="91"/>
      <c r="HP549" s="91"/>
      <c r="HQ549" s="91"/>
      <c r="HR549" s="91"/>
      <c r="HS549" s="91"/>
      <c r="HT549" s="91"/>
      <c r="HU549" s="91"/>
      <c r="HV549" s="91"/>
      <c r="HW549" s="91"/>
      <c r="HX549" s="91"/>
      <c r="HY549" s="91"/>
      <c r="HZ549" s="91"/>
      <c r="IA549" s="91"/>
    </row>
    <row r="550" spans="1:16" ht="11.25" customHeight="1">
      <c r="A550" s="20" t="s">
        <v>4</v>
      </c>
      <c r="B550" s="7"/>
      <c r="C550" s="7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</row>
    <row r="551" spans="1:16" ht="14.25" customHeight="1">
      <c r="A551" s="21" t="s">
        <v>63</v>
      </c>
      <c r="B551" s="7"/>
      <c r="C551" s="7"/>
      <c r="D551" s="62">
        <f>D549</f>
        <v>127900</v>
      </c>
      <c r="E551" s="14"/>
      <c r="F551" s="14">
        <f>D551</f>
        <v>127900</v>
      </c>
      <c r="G551" s="14">
        <v>130000</v>
      </c>
      <c r="H551" s="14"/>
      <c r="I551" s="14"/>
      <c r="J551" s="14">
        <f>G551</f>
        <v>130000</v>
      </c>
      <c r="K551" s="14"/>
      <c r="L551" s="14"/>
      <c r="M551" s="14"/>
      <c r="N551" s="14"/>
      <c r="O551" s="14"/>
      <c r="P551" s="14"/>
    </row>
    <row r="552" spans="1:16" ht="10.5" customHeight="1">
      <c r="A552" s="20" t="s">
        <v>5</v>
      </c>
      <c r="B552" s="7"/>
      <c r="C552" s="7"/>
      <c r="D552" s="62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</row>
    <row r="553" spans="1:16" ht="24.75" customHeight="1">
      <c r="A553" s="21" t="s">
        <v>248</v>
      </c>
      <c r="B553" s="7"/>
      <c r="C553" s="7"/>
      <c r="D553" s="62">
        <v>4</v>
      </c>
      <c r="E553" s="14"/>
      <c r="F553" s="14">
        <f>D553</f>
        <v>4</v>
      </c>
      <c r="G553" s="14">
        <v>4</v>
      </c>
      <c r="H553" s="14"/>
      <c r="I553" s="14"/>
      <c r="J553" s="14">
        <v>4</v>
      </c>
      <c r="K553" s="14"/>
      <c r="L553" s="14"/>
      <c r="M553" s="14"/>
      <c r="N553" s="14"/>
      <c r="O553" s="14"/>
      <c r="P553" s="14"/>
    </row>
    <row r="554" spans="1:16" ht="11.25">
      <c r="A554" s="20" t="s">
        <v>7</v>
      </c>
      <c r="B554" s="7"/>
      <c r="C554" s="7"/>
      <c r="D554" s="62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</row>
    <row r="555" spans="1:16" ht="24.75" customHeight="1">
      <c r="A555" s="21" t="s">
        <v>247</v>
      </c>
      <c r="B555" s="7"/>
      <c r="C555" s="7"/>
      <c r="D555" s="62">
        <f>D549/D553</f>
        <v>31975</v>
      </c>
      <c r="E555" s="14"/>
      <c r="F555" s="14">
        <f>D555</f>
        <v>31975</v>
      </c>
      <c r="G555" s="14">
        <v>32500</v>
      </c>
      <c r="H555" s="14"/>
      <c r="I555" s="14"/>
      <c r="J555" s="14">
        <f>G555</f>
        <v>32500</v>
      </c>
      <c r="K555" s="14"/>
      <c r="L555" s="14"/>
      <c r="M555" s="14"/>
      <c r="N555" s="14"/>
      <c r="O555" s="14"/>
      <c r="P555" s="14"/>
    </row>
    <row r="556" spans="1:235" s="92" customFormat="1" ht="25.5" customHeight="1">
      <c r="A556" s="82" t="s">
        <v>399</v>
      </c>
      <c r="B556" s="88"/>
      <c r="C556" s="88"/>
      <c r="D556" s="89">
        <v>224200</v>
      </c>
      <c r="E556" s="89"/>
      <c r="F556" s="89">
        <f>D556</f>
        <v>224200</v>
      </c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  <c r="BY556" s="91"/>
      <c r="BZ556" s="91"/>
      <c r="CA556" s="91"/>
      <c r="CB556" s="91"/>
      <c r="CC556" s="91"/>
      <c r="CD556" s="91"/>
      <c r="CE556" s="91"/>
      <c r="CF556" s="91"/>
      <c r="CG556" s="91"/>
      <c r="CH556" s="91"/>
      <c r="CI556" s="91"/>
      <c r="CJ556" s="91"/>
      <c r="CK556" s="91"/>
      <c r="CL556" s="91"/>
      <c r="CM556" s="91"/>
      <c r="CN556" s="91"/>
      <c r="CO556" s="91"/>
      <c r="CP556" s="91"/>
      <c r="CQ556" s="91"/>
      <c r="CR556" s="91"/>
      <c r="CS556" s="91"/>
      <c r="CT556" s="91"/>
      <c r="CU556" s="91"/>
      <c r="CV556" s="91"/>
      <c r="CW556" s="91"/>
      <c r="CX556" s="91"/>
      <c r="CY556" s="91"/>
      <c r="CZ556" s="91"/>
      <c r="DA556" s="91"/>
      <c r="DB556" s="91"/>
      <c r="DC556" s="91"/>
      <c r="DD556" s="91"/>
      <c r="DE556" s="91"/>
      <c r="DF556" s="91"/>
      <c r="DG556" s="91"/>
      <c r="DH556" s="91"/>
      <c r="DI556" s="91"/>
      <c r="DJ556" s="91"/>
      <c r="DK556" s="91"/>
      <c r="DL556" s="91"/>
      <c r="DM556" s="91"/>
      <c r="DN556" s="91"/>
      <c r="DO556" s="91"/>
      <c r="DP556" s="91"/>
      <c r="DQ556" s="91"/>
      <c r="DR556" s="91"/>
      <c r="DS556" s="91"/>
      <c r="DT556" s="91"/>
      <c r="DU556" s="91"/>
      <c r="DV556" s="91"/>
      <c r="DW556" s="91"/>
      <c r="DX556" s="91"/>
      <c r="DY556" s="91"/>
      <c r="DZ556" s="91"/>
      <c r="EA556" s="91"/>
      <c r="EB556" s="91"/>
      <c r="EC556" s="91"/>
      <c r="ED556" s="91"/>
      <c r="EE556" s="91"/>
      <c r="EF556" s="91"/>
      <c r="EG556" s="91"/>
      <c r="EH556" s="91"/>
      <c r="EI556" s="91"/>
      <c r="EJ556" s="91"/>
      <c r="EK556" s="91"/>
      <c r="EL556" s="91"/>
      <c r="EM556" s="91"/>
      <c r="EN556" s="91"/>
      <c r="EO556" s="91"/>
      <c r="EP556" s="91"/>
      <c r="EQ556" s="91"/>
      <c r="ER556" s="91"/>
      <c r="ES556" s="91"/>
      <c r="ET556" s="91"/>
      <c r="EU556" s="91"/>
      <c r="EV556" s="91"/>
      <c r="EW556" s="91"/>
      <c r="EX556" s="91"/>
      <c r="EY556" s="91"/>
      <c r="EZ556" s="91"/>
      <c r="FA556" s="91"/>
      <c r="FB556" s="91"/>
      <c r="FC556" s="91"/>
      <c r="FD556" s="91"/>
      <c r="FE556" s="91"/>
      <c r="FF556" s="91"/>
      <c r="FG556" s="91"/>
      <c r="FH556" s="91"/>
      <c r="FI556" s="91"/>
      <c r="FJ556" s="91"/>
      <c r="FK556" s="91"/>
      <c r="FL556" s="91"/>
      <c r="FM556" s="91"/>
      <c r="FN556" s="91"/>
      <c r="FO556" s="91"/>
      <c r="FP556" s="91"/>
      <c r="FQ556" s="91"/>
      <c r="FR556" s="91"/>
      <c r="FS556" s="91"/>
      <c r="FT556" s="91"/>
      <c r="FU556" s="91"/>
      <c r="FV556" s="91"/>
      <c r="FW556" s="91"/>
      <c r="FX556" s="91"/>
      <c r="FY556" s="91"/>
      <c r="FZ556" s="91"/>
      <c r="GA556" s="91"/>
      <c r="GB556" s="91"/>
      <c r="GC556" s="91"/>
      <c r="GD556" s="91"/>
      <c r="GE556" s="91"/>
      <c r="GF556" s="91"/>
      <c r="GG556" s="91"/>
      <c r="GH556" s="91"/>
      <c r="GI556" s="91"/>
      <c r="GJ556" s="91"/>
      <c r="GK556" s="91"/>
      <c r="GL556" s="91"/>
      <c r="GM556" s="91"/>
      <c r="GN556" s="91"/>
      <c r="GO556" s="91"/>
      <c r="GP556" s="91"/>
      <c r="GQ556" s="91"/>
      <c r="GR556" s="91"/>
      <c r="GS556" s="91"/>
      <c r="GT556" s="91"/>
      <c r="GU556" s="91"/>
      <c r="GV556" s="91"/>
      <c r="GW556" s="91"/>
      <c r="GX556" s="91"/>
      <c r="GY556" s="91"/>
      <c r="GZ556" s="91"/>
      <c r="HA556" s="91"/>
      <c r="HB556" s="91"/>
      <c r="HC556" s="91"/>
      <c r="HD556" s="91"/>
      <c r="HE556" s="91"/>
      <c r="HF556" s="91"/>
      <c r="HG556" s="91"/>
      <c r="HH556" s="91"/>
      <c r="HI556" s="91"/>
      <c r="HJ556" s="91"/>
      <c r="HK556" s="91"/>
      <c r="HL556" s="91"/>
      <c r="HM556" s="91"/>
      <c r="HN556" s="91"/>
      <c r="HO556" s="91"/>
      <c r="HP556" s="91"/>
      <c r="HQ556" s="91"/>
      <c r="HR556" s="91"/>
      <c r="HS556" s="91"/>
      <c r="HT556" s="91"/>
      <c r="HU556" s="91"/>
      <c r="HV556" s="91"/>
      <c r="HW556" s="91"/>
      <c r="HX556" s="91"/>
      <c r="HY556" s="91"/>
      <c r="HZ556" s="91"/>
      <c r="IA556" s="91"/>
    </row>
    <row r="557" spans="1:16" ht="11.25" customHeight="1">
      <c r="A557" s="20" t="s">
        <v>4</v>
      </c>
      <c r="B557" s="7"/>
      <c r="C557" s="7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</row>
    <row r="558" spans="1:16" ht="14.25" customHeight="1">
      <c r="A558" s="21" t="s">
        <v>63</v>
      </c>
      <c r="B558" s="7"/>
      <c r="C558" s="7"/>
      <c r="D558" s="62">
        <f>D556</f>
        <v>224200</v>
      </c>
      <c r="E558" s="14"/>
      <c r="F558" s="14">
        <v>224200</v>
      </c>
      <c r="G558" s="14"/>
      <c r="H558" s="14"/>
      <c r="I558" s="14"/>
      <c r="J558" s="14"/>
      <c r="K558" s="14"/>
      <c r="L558" s="14"/>
      <c r="M558" s="14"/>
      <c r="N558" s="14"/>
      <c r="O558" s="14"/>
      <c r="P558" s="14"/>
    </row>
    <row r="559" spans="1:16" ht="10.5" customHeight="1">
      <c r="A559" s="20" t="s">
        <v>5</v>
      </c>
      <c r="B559" s="7"/>
      <c r="C559" s="7"/>
      <c r="D559" s="62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</row>
    <row r="560" spans="1:16" ht="24.75" customHeight="1">
      <c r="A560" s="21" t="s">
        <v>261</v>
      </c>
      <c r="B560" s="7"/>
      <c r="C560" s="7"/>
      <c r="D560" s="62">
        <v>398</v>
      </c>
      <c r="E560" s="14"/>
      <c r="F560" s="14">
        <f>D560</f>
        <v>398</v>
      </c>
      <c r="G560" s="14"/>
      <c r="H560" s="14"/>
      <c r="I560" s="14"/>
      <c r="J560" s="14"/>
      <c r="K560" s="14"/>
      <c r="L560" s="14"/>
      <c r="M560" s="14"/>
      <c r="N560" s="14"/>
      <c r="O560" s="14"/>
      <c r="P560" s="14"/>
    </row>
    <row r="561" spans="1:16" ht="11.25">
      <c r="A561" s="20" t="s">
        <v>7</v>
      </c>
      <c r="B561" s="7"/>
      <c r="C561" s="7"/>
      <c r="D561" s="62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</row>
    <row r="562" spans="1:16" ht="24.75" customHeight="1">
      <c r="A562" s="21" t="s">
        <v>262</v>
      </c>
      <c r="B562" s="7"/>
      <c r="C562" s="7"/>
      <c r="D562" s="62">
        <f>D556/D560</f>
        <v>563.3165829145729</v>
      </c>
      <c r="E562" s="14"/>
      <c r="F562" s="14">
        <f>D562</f>
        <v>563.3165829145729</v>
      </c>
      <c r="G562" s="14"/>
      <c r="H562" s="14"/>
      <c r="I562" s="14"/>
      <c r="J562" s="14"/>
      <c r="K562" s="14"/>
      <c r="L562" s="14"/>
      <c r="M562" s="14"/>
      <c r="N562" s="14"/>
      <c r="O562" s="14"/>
      <c r="P562" s="14"/>
    </row>
    <row r="563" spans="1:235" s="92" customFormat="1" ht="45.75" customHeight="1">
      <c r="A563" s="82" t="s">
        <v>400</v>
      </c>
      <c r="B563" s="88"/>
      <c r="C563" s="88"/>
      <c r="D563" s="89"/>
      <c r="E563" s="89"/>
      <c r="F563" s="89"/>
      <c r="G563" s="89">
        <f>G567*G569</f>
        <v>70100</v>
      </c>
      <c r="H563" s="89"/>
      <c r="I563" s="89"/>
      <c r="J563" s="89">
        <f>G563</f>
        <v>70100</v>
      </c>
      <c r="K563" s="89"/>
      <c r="L563" s="89"/>
      <c r="M563" s="89"/>
      <c r="N563" s="89"/>
      <c r="O563" s="89"/>
      <c r="P563" s="89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  <c r="BY563" s="91"/>
      <c r="BZ563" s="91"/>
      <c r="CA563" s="91"/>
      <c r="CB563" s="91"/>
      <c r="CC563" s="91"/>
      <c r="CD563" s="91"/>
      <c r="CE563" s="91"/>
      <c r="CF563" s="91"/>
      <c r="CG563" s="91"/>
      <c r="CH563" s="91"/>
      <c r="CI563" s="91"/>
      <c r="CJ563" s="91"/>
      <c r="CK563" s="91"/>
      <c r="CL563" s="91"/>
      <c r="CM563" s="91"/>
      <c r="CN563" s="91"/>
      <c r="CO563" s="91"/>
      <c r="CP563" s="91"/>
      <c r="CQ563" s="91"/>
      <c r="CR563" s="91"/>
      <c r="CS563" s="91"/>
      <c r="CT563" s="91"/>
      <c r="CU563" s="91"/>
      <c r="CV563" s="91"/>
      <c r="CW563" s="91"/>
      <c r="CX563" s="91"/>
      <c r="CY563" s="91"/>
      <c r="CZ563" s="91"/>
      <c r="DA563" s="91"/>
      <c r="DB563" s="91"/>
      <c r="DC563" s="91"/>
      <c r="DD563" s="91"/>
      <c r="DE563" s="91"/>
      <c r="DF563" s="91"/>
      <c r="DG563" s="91"/>
      <c r="DH563" s="91"/>
      <c r="DI563" s="91"/>
      <c r="DJ563" s="91"/>
      <c r="DK563" s="91"/>
      <c r="DL563" s="91"/>
      <c r="DM563" s="91"/>
      <c r="DN563" s="91"/>
      <c r="DO563" s="91"/>
      <c r="DP563" s="91"/>
      <c r="DQ563" s="91"/>
      <c r="DR563" s="91"/>
      <c r="DS563" s="91"/>
      <c r="DT563" s="91"/>
      <c r="DU563" s="91"/>
      <c r="DV563" s="91"/>
      <c r="DW563" s="91"/>
      <c r="DX563" s="91"/>
      <c r="DY563" s="91"/>
      <c r="DZ563" s="91"/>
      <c r="EA563" s="91"/>
      <c r="EB563" s="91"/>
      <c r="EC563" s="91"/>
      <c r="ED563" s="91"/>
      <c r="EE563" s="91"/>
      <c r="EF563" s="91"/>
      <c r="EG563" s="91"/>
      <c r="EH563" s="91"/>
      <c r="EI563" s="91"/>
      <c r="EJ563" s="91"/>
      <c r="EK563" s="91"/>
      <c r="EL563" s="91"/>
      <c r="EM563" s="91"/>
      <c r="EN563" s="91"/>
      <c r="EO563" s="91"/>
      <c r="EP563" s="91"/>
      <c r="EQ563" s="91"/>
      <c r="ER563" s="91"/>
      <c r="ES563" s="91"/>
      <c r="ET563" s="91"/>
      <c r="EU563" s="91"/>
      <c r="EV563" s="91"/>
      <c r="EW563" s="91"/>
      <c r="EX563" s="91"/>
      <c r="EY563" s="91"/>
      <c r="EZ563" s="91"/>
      <c r="FA563" s="91"/>
      <c r="FB563" s="91"/>
      <c r="FC563" s="91"/>
      <c r="FD563" s="91"/>
      <c r="FE563" s="91"/>
      <c r="FF563" s="91"/>
      <c r="FG563" s="91"/>
      <c r="FH563" s="91"/>
      <c r="FI563" s="91"/>
      <c r="FJ563" s="91"/>
      <c r="FK563" s="91"/>
      <c r="FL563" s="91"/>
      <c r="FM563" s="91"/>
      <c r="FN563" s="91"/>
      <c r="FO563" s="91"/>
      <c r="FP563" s="91"/>
      <c r="FQ563" s="91"/>
      <c r="FR563" s="91"/>
      <c r="FS563" s="91"/>
      <c r="FT563" s="91"/>
      <c r="FU563" s="91"/>
      <c r="FV563" s="91"/>
      <c r="FW563" s="91"/>
      <c r="FX563" s="91"/>
      <c r="FY563" s="91"/>
      <c r="FZ563" s="91"/>
      <c r="GA563" s="91"/>
      <c r="GB563" s="91"/>
      <c r="GC563" s="91"/>
      <c r="GD563" s="91"/>
      <c r="GE563" s="91"/>
      <c r="GF563" s="91"/>
      <c r="GG563" s="91"/>
      <c r="GH563" s="91"/>
      <c r="GI563" s="91"/>
      <c r="GJ563" s="91"/>
      <c r="GK563" s="91"/>
      <c r="GL563" s="91"/>
      <c r="GM563" s="91"/>
      <c r="GN563" s="91"/>
      <c r="GO563" s="91"/>
      <c r="GP563" s="91"/>
      <c r="GQ563" s="91"/>
      <c r="GR563" s="91"/>
      <c r="GS563" s="91"/>
      <c r="GT563" s="91"/>
      <c r="GU563" s="91"/>
      <c r="GV563" s="91"/>
      <c r="GW563" s="91"/>
      <c r="GX563" s="91"/>
      <c r="GY563" s="91"/>
      <c r="GZ563" s="91"/>
      <c r="HA563" s="91"/>
      <c r="HB563" s="91"/>
      <c r="HC563" s="91"/>
      <c r="HD563" s="91"/>
      <c r="HE563" s="91"/>
      <c r="HF563" s="91"/>
      <c r="HG563" s="91"/>
      <c r="HH563" s="91"/>
      <c r="HI563" s="91"/>
      <c r="HJ563" s="91"/>
      <c r="HK563" s="91"/>
      <c r="HL563" s="91"/>
      <c r="HM563" s="91"/>
      <c r="HN563" s="91"/>
      <c r="HO563" s="91"/>
      <c r="HP563" s="91"/>
      <c r="HQ563" s="91"/>
      <c r="HR563" s="91"/>
      <c r="HS563" s="91"/>
      <c r="HT563" s="91"/>
      <c r="HU563" s="91"/>
      <c r="HV563" s="91"/>
      <c r="HW563" s="91"/>
      <c r="HX563" s="91"/>
      <c r="HY563" s="91"/>
      <c r="HZ563" s="91"/>
      <c r="IA563" s="91"/>
    </row>
    <row r="564" spans="1:16" ht="12.75" customHeight="1">
      <c r="A564" s="20" t="s">
        <v>4</v>
      </c>
      <c r="B564" s="7"/>
      <c r="C564" s="7"/>
      <c r="D564" s="62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</row>
    <row r="565" spans="1:16" ht="11.25">
      <c r="A565" s="21" t="s">
        <v>63</v>
      </c>
      <c r="B565" s="7"/>
      <c r="C565" s="7"/>
      <c r="D565" s="62"/>
      <c r="E565" s="14"/>
      <c r="F565" s="14"/>
      <c r="G565" s="14">
        <v>70100</v>
      </c>
      <c r="H565" s="14"/>
      <c r="I565" s="14"/>
      <c r="J565" s="14">
        <f>G565</f>
        <v>70100</v>
      </c>
      <c r="K565" s="14"/>
      <c r="L565" s="14"/>
      <c r="M565" s="14"/>
      <c r="N565" s="14"/>
      <c r="O565" s="14"/>
      <c r="P565" s="14"/>
    </row>
    <row r="566" spans="1:16" ht="11.25">
      <c r="A566" s="20" t="s">
        <v>5</v>
      </c>
      <c r="B566" s="7"/>
      <c r="C566" s="7"/>
      <c r="D566" s="62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</row>
    <row r="567" spans="1:16" ht="15" customHeight="1">
      <c r="A567" s="21" t="s">
        <v>300</v>
      </c>
      <c r="B567" s="7"/>
      <c r="C567" s="7"/>
      <c r="D567" s="62"/>
      <c r="E567" s="14"/>
      <c r="F567" s="14"/>
      <c r="G567" s="14">
        <v>1</v>
      </c>
      <c r="H567" s="14"/>
      <c r="I567" s="14"/>
      <c r="J567" s="14">
        <v>1</v>
      </c>
      <c r="K567" s="14"/>
      <c r="L567" s="14"/>
      <c r="M567" s="14"/>
      <c r="N567" s="14"/>
      <c r="O567" s="14"/>
      <c r="P567" s="14"/>
    </row>
    <row r="568" spans="1:16" ht="11.25">
      <c r="A568" s="20" t="s">
        <v>7</v>
      </c>
      <c r="B568" s="7"/>
      <c r="C568" s="7"/>
      <c r="D568" s="62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</row>
    <row r="569" spans="1:16" ht="22.5">
      <c r="A569" s="21" t="s">
        <v>301</v>
      </c>
      <c r="B569" s="7"/>
      <c r="C569" s="7"/>
      <c r="D569" s="62"/>
      <c r="E569" s="14"/>
      <c r="F569" s="14"/>
      <c r="G569" s="14">
        <v>70100</v>
      </c>
      <c r="H569" s="14"/>
      <c r="I569" s="14"/>
      <c r="J569" s="14">
        <f>G569</f>
        <v>70100</v>
      </c>
      <c r="K569" s="14"/>
      <c r="L569" s="14"/>
      <c r="M569" s="14"/>
      <c r="N569" s="14"/>
      <c r="O569" s="14"/>
      <c r="P569" s="14"/>
    </row>
    <row r="570" spans="1:235" s="92" customFormat="1" ht="24.75" customHeight="1">
      <c r="A570" s="82" t="s">
        <v>401</v>
      </c>
      <c r="B570" s="88"/>
      <c r="C570" s="88"/>
      <c r="D570" s="89"/>
      <c r="E570" s="89"/>
      <c r="F570" s="89"/>
      <c r="G570" s="89">
        <f>G574*G576</f>
        <v>50100</v>
      </c>
      <c r="H570" s="89"/>
      <c r="I570" s="89"/>
      <c r="J570" s="89">
        <f>G570</f>
        <v>50100</v>
      </c>
      <c r="K570" s="89"/>
      <c r="L570" s="89"/>
      <c r="M570" s="89"/>
      <c r="N570" s="89"/>
      <c r="O570" s="89"/>
      <c r="P570" s="89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  <c r="BY570" s="91"/>
      <c r="BZ570" s="91"/>
      <c r="CA570" s="91"/>
      <c r="CB570" s="91"/>
      <c r="CC570" s="91"/>
      <c r="CD570" s="91"/>
      <c r="CE570" s="91"/>
      <c r="CF570" s="91"/>
      <c r="CG570" s="91"/>
      <c r="CH570" s="91"/>
      <c r="CI570" s="91"/>
      <c r="CJ570" s="91"/>
      <c r="CK570" s="91"/>
      <c r="CL570" s="91"/>
      <c r="CM570" s="91"/>
      <c r="CN570" s="91"/>
      <c r="CO570" s="91"/>
      <c r="CP570" s="91"/>
      <c r="CQ570" s="91"/>
      <c r="CR570" s="91"/>
      <c r="CS570" s="91"/>
      <c r="CT570" s="91"/>
      <c r="CU570" s="91"/>
      <c r="CV570" s="91"/>
      <c r="CW570" s="91"/>
      <c r="CX570" s="91"/>
      <c r="CY570" s="91"/>
      <c r="CZ570" s="91"/>
      <c r="DA570" s="91"/>
      <c r="DB570" s="91"/>
      <c r="DC570" s="91"/>
      <c r="DD570" s="91"/>
      <c r="DE570" s="91"/>
      <c r="DF570" s="91"/>
      <c r="DG570" s="91"/>
      <c r="DH570" s="91"/>
      <c r="DI570" s="91"/>
      <c r="DJ570" s="91"/>
      <c r="DK570" s="91"/>
      <c r="DL570" s="91"/>
      <c r="DM570" s="91"/>
      <c r="DN570" s="91"/>
      <c r="DO570" s="91"/>
      <c r="DP570" s="91"/>
      <c r="DQ570" s="91"/>
      <c r="DR570" s="91"/>
      <c r="DS570" s="91"/>
      <c r="DT570" s="91"/>
      <c r="DU570" s="91"/>
      <c r="DV570" s="91"/>
      <c r="DW570" s="91"/>
      <c r="DX570" s="91"/>
      <c r="DY570" s="91"/>
      <c r="DZ570" s="91"/>
      <c r="EA570" s="91"/>
      <c r="EB570" s="91"/>
      <c r="EC570" s="91"/>
      <c r="ED570" s="91"/>
      <c r="EE570" s="91"/>
      <c r="EF570" s="91"/>
      <c r="EG570" s="91"/>
      <c r="EH570" s="91"/>
      <c r="EI570" s="91"/>
      <c r="EJ570" s="91"/>
      <c r="EK570" s="91"/>
      <c r="EL570" s="91"/>
      <c r="EM570" s="91"/>
      <c r="EN570" s="91"/>
      <c r="EO570" s="91"/>
      <c r="EP570" s="91"/>
      <c r="EQ570" s="91"/>
      <c r="ER570" s="91"/>
      <c r="ES570" s="91"/>
      <c r="ET570" s="91"/>
      <c r="EU570" s="91"/>
      <c r="EV570" s="91"/>
      <c r="EW570" s="91"/>
      <c r="EX570" s="91"/>
      <c r="EY570" s="91"/>
      <c r="EZ570" s="91"/>
      <c r="FA570" s="91"/>
      <c r="FB570" s="91"/>
      <c r="FC570" s="91"/>
      <c r="FD570" s="91"/>
      <c r="FE570" s="91"/>
      <c r="FF570" s="91"/>
      <c r="FG570" s="91"/>
      <c r="FH570" s="91"/>
      <c r="FI570" s="91"/>
      <c r="FJ570" s="91"/>
      <c r="FK570" s="91"/>
      <c r="FL570" s="91"/>
      <c r="FM570" s="91"/>
      <c r="FN570" s="91"/>
      <c r="FO570" s="91"/>
      <c r="FP570" s="91"/>
      <c r="FQ570" s="91"/>
      <c r="FR570" s="91"/>
      <c r="FS570" s="91"/>
      <c r="FT570" s="91"/>
      <c r="FU570" s="91"/>
      <c r="FV570" s="91"/>
      <c r="FW570" s="91"/>
      <c r="FX570" s="91"/>
      <c r="FY570" s="91"/>
      <c r="FZ570" s="91"/>
      <c r="GA570" s="91"/>
      <c r="GB570" s="91"/>
      <c r="GC570" s="91"/>
      <c r="GD570" s="91"/>
      <c r="GE570" s="91"/>
      <c r="GF570" s="91"/>
      <c r="GG570" s="91"/>
      <c r="GH570" s="91"/>
      <c r="GI570" s="91"/>
      <c r="GJ570" s="91"/>
      <c r="GK570" s="91"/>
      <c r="GL570" s="91"/>
      <c r="GM570" s="91"/>
      <c r="GN570" s="91"/>
      <c r="GO570" s="91"/>
      <c r="GP570" s="91"/>
      <c r="GQ570" s="91"/>
      <c r="GR570" s="91"/>
      <c r="GS570" s="91"/>
      <c r="GT570" s="91"/>
      <c r="GU570" s="91"/>
      <c r="GV570" s="91"/>
      <c r="GW570" s="91"/>
      <c r="GX570" s="91"/>
      <c r="GY570" s="91"/>
      <c r="GZ570" s="91"/>
      <c r="HA570" s="91"/>
      <c r="HB570" s="91"/>
      <c r="HC570" s="91"/>
      <c r="HD570" s="91"/>
      <c r="HE570" s="91"/>
      <c r="HF570" s="91"/>
      <c r="HG570" s="91"/>
      <c r="HH570" s="91"/>
      <c r="HI570" s="91"/>
      <c r="HJ570" s="91"/>
      <c r="HK570" s="91"/>
      <c r="HL570" s="91"/>
      <c r="HM570" s="91"/>
      <c r="HN570" s="91"/>
      <c r="HO570" s="91"/>
      <c r="HP570" s="91"/>
      <c r="HQ570" s="91"/>
      <c r="HR570" s="91"/>
      <c r="HS570" s="91"/>
      <c r="HT570" s="91"/>
      <c r="HU570" s="91"/>
      <c r="HV570" s="91"/>
      <c r="HW570" s="91"/>
      <c r="HX570" s="91"/>
      <c r="HY570" s="91"/>
      <c r="HZ570" s="91"/>
      <c r="IA570" s="91"/>
    </row>
    <row r="571" spans="1:16" ht="11.25">
      <c r="A571" s="20" t="s">
        <v>4</v>
      </c>
      <c r="B571" s="7"/>
      <c r="C571" s="7"/>
      <c r="D571" s="62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</row>
    <row r="572" spans="1:16" ht="11.25">
      <c r="A572" s="21" t="s">
        <v>63</v>
      </c>
      <c r="B572" s="7"/>
      <c r="C572" s="7"/>
      <c r="D572" s="62"/>
      <c r="E572" s="14"/>
      <c r="F572" s="14"/>
      <c r="G572" s="14">
        <v>50100</v>
      </c>
      <c r="H572" s="14"/>
      <c r="I572" s="14"/>
      <c r="J572" s="14">
        <f>G572</f>
        <v>50100</v>
      </c>
      <c r="K572" s="14"/>
      <c r="L572" s="14"/>
      <c r="M572" s="14"/>
      <c r="N572" s="14"/>
      <c r="O572" s="14"/>
      <c r="P572" s="14"/>
    </row>
    <row r="573" spans="1:16" ht="11.25">
      <c r="A573" s="20" t="s">
        <v>5</v>
      </c>
      <c r="B573" s="7"/>
      <c r="C573" s="7"/>
      <c r="D573" s="62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</row>
    <row r="574" spans="1:16" ht="14.25" customHeight="1">
      <c r="A574" s="21" t="s">
        <v>300</v>
      </c>
      <c r="B574" s="7"/>
      <c r="C574" s="7"/>
      <c r="D574" s="62"/>
      <c r="E574" s="14"/>
      <c r="F574" s="14"/>
      <c r="G574" s="14">
        <v>1</v>
      </c>
      <c r="H574" s="14"/>
      <c r="I574" s="14"/>
      <c r="J574" s="14">
        <v>1</v>
      </c>
      <c r="K574" s="14"/>
      <c r="L574" s="14"/>
      <c r="M574" s="14"/>
      <c r="N574" s="14"/>
      <c r="O574" s="14"/>
      <c r="P574" s="14"/>
    </row>
    <row r="575" spans="1:16" ht="12" customHeight="1">
      <c r="A575" s="20" t="s">
        <v>7</v>
      </c>
      <c r="B575" s="7"/>
      <c r="C575" s="7"/>
      <c r="D575" s="62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</row>
    <row r="576" spans="1:16" ht="24.75" customHeight="1">
      <c r="A576" s="21" t="s">
        <v>301</v>
      </c>
      <c r="B576" s="7"/>
      <c r="C576" s="7"/>
      <c r="D576" s="62"/>
      <c r="E576" s="14"/>
      <c r="F576" s="14"/>
      <c r="G576" s="14">
        <v>50100</v>
      </c>
      <c r="H576" s="14"/>
      <c r="I576" s="14"/>
      <c r="J576" s="14">
        <f>G576</f>
        <v>50100</v>
      </c>
      <c r="K576" s="14"/>
      <c r="L576" s="14"/>
      <c r="M576" s="14"/>
      <c r="N576" s="14"/>
      <c r="O576" s="14"/>
      <c r="P576" s="14"/>
    </row>
    <row r="577" spans="1:235" s="92" customFormat="1" ht="24.75" customHeight="1">
      <c r="A577" s="82" t="s">
        <v>402</v>
      </c>
      <c r="B577" s="88"/>
      <c r="C577" s="88"/>
      <c r="D577" s="89"/>
      <c r="E577" s="89"/>
      <c r="F577" s="89"/>
      <c r="G577" s="89"/>
      <c r="H577" s="89">
        <f>H581*H583</f>
        <v>4469999.99994</v>
      </c>
      <c r="I577" s="89"/>
      <c r="J577" s="89">
        <f>G577+H577</f>
        <v>4469999.99994</v>
      </c>
      <c r="K577" s="89"/>
      <c r="L577" s="89"/>
      <c r="M577" s="89"/>
      <c r="N577" s="89"/>
      <c r="O577" s="89">
        <f>O581*O583</f>
        <v>0</v>
      </c>
      <c r="P577" s="89">
        <f>O577</f>
        <v>0</v>
      </c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  <c r="BY577" s="91"/>
      <c r="BZ577" s="91"/>
      <c r="CA577" s="91"/>
      <c r="CB577" s="91"/>
      <c r="CC577" s="91"/>
      <c r="CD577" s="91"/>
      <c r="CE577" s="91"/>
      <c r="CF577" s="91"/>
      <c r="CG577" s="91"/>
      <c r="CH577" s="91"/>
      <c r="CI577" s="91"/>
      <c r="CJ577" s="91"/>
      <c r="CK577" s="91"/>
      <c r="CL577" s="91"/>
      <c r="CM577" s="91"/>
      <c r="CN577" s="91"/>
      <c r="CO577" s="91"/>
      <c r="CP577" s="91"/>
      <c r="CQ577" s="91"/>
      <c r="CR577" s="91"/>
      <c r="CS577" s="91"/>
      <c r="CT577" s="91"/>
      <c r="CU577" s="91"/>
      <c r="CV577" s="91"/>
      <c r="CW577" s="91"/>
      <c r="CX577" s="91"/>
      <c r="CY577" s="91"/>
      <c r="CZ577" s="91"/>
      <c r="DA577" s="91"/>
      <c r="DB577" s="91"/>
      <c r="DC577" s="91"/>
      <c r="DD577" s="91"/>
      <c r="DE577" s="91"/>
      <c r="DF577" s="91"/>
      <c r="DG577" s="91"/>
      <c r="DH577" s="91"/>
      <c r="DI577" s="91"/>
      <c r="DJ577" s="91"/>
      <c r="DK577" s="91"/>
      <c r="DL577" s="91"/>
      <c r="DM577" s="91"/>
      <c r="DN577" s="91"/>
      <c r="DO577" s="91"/>
      <c r="DP577" s="91"/>
      <c r="DQ577" s="91"/>
      <c r="DR577" s="91"/>
      <c r="DS577" s="91"/>
      <c r="DT577" s="91"/>
      <c r="DU577" s="91"/>
      <c r="DV577" s="91"/>
      <c r="DW577" s="91"/>
      <c r="DX577" s="91"/>
      <c r="DY577" s="91"/>
      <c r="DZ577" s="91"/>
      <c r="EA577" s="91"/>
      <c r="EB577" s="91"/>
      <c r="EC577" s="91"/>
      <c r="ED577" s="91"/>
      <c r="EE577" s="91"/>
      <c r="EF577" s="91"/>
      <c r="EG577" s="91"/>
      <c r="EH577" s="91"/>
      <c r="EI577" s="91"/>
      <c r="EJ577" s="91"/>
      <c r="EK577" s="91"/>
      <c r="EL577" s="91"/>
      <c r="EM577" s="91"/>
      <c r="EN577" s="91"/>
      <c r="EO577" s="91"/>
      <c r="EP577" s="91"/>
      <c r="EQ577" s="91"/>
      <c r="ER577" s="91"/>
      <c r="ES577" s="91"/>
      <c r="ET577" s="91"/>
      <c r="EU577" s="91"/>
      <c r="EV577" s="91"/>
      <c r="EW577" s="91"/>
      <c r="EX577" s="91"/>
      <c r="EY577" s="91"/>
      <c r="EZ577" s="91"/>
      <c r="FA577" s="91"/>
      <c r="FB577" s="91"/>
      <c r="FC577" s="91"/>
      <c r="FD577" s="91"/>
      <c r="FE577" s="91"/>
      <c r="FF577" s="91"/>
      <c r="FG577" s="91"/>
      <c r="FH577" s="91"/>
      <c r="FI577" s="91"/>
      <c r="FJ577" s="91"/>
      <c r="FK577" s="91"/>
      <c r="FL577" s="91"/>
      <c r="FM577" s="91"/>
      <c r="FN577" s="91"/>
      <c r="FO577" s="91"/>
      <c r="FP577" s="91"/>
      <c r="FQ577" s="91"/>
      <c r="FR577" s="91"/>
      <c r="FS577" s="91"/>
      <c r="FT577" s="91"/>
      <c r="FU577" s="91"/>
      <c r="FV577" s="91"/>
      <c r="FW577" s="91"/>
      <c r="FX577" s="91"/>
      <c r="FY577" s="91"/>
      <c r="FZ577" s="91"/>
      <c r="GA577" s="91"/>
      <c r="GB577" s="91"/>
      <c r="GC577" s="91"/>
      <c r="GD577" s="91"/>
      <c r="GE577" s="91"/>
      <c r="GF577" s="91"/>
      <c r="GG577" s="91"/>
      <c r="GH577" s="91"/>
      <c r="GI577" s="91"/>
      <c r="GJ577" s="91"/>
      <c r="GK577" s="91"/>
      <c r="GL577" s="91"/>
      <c r="GM577" s="91"/>
      <c r="GN577" s="91"/>
      <c r="GO577" s="91"/>
      <c r="GP577" s="91"/>
      <c r="GQ577" s="91"/>
      <c r="GR577" s="91"/>
      <c r="GS577" s="91"/>
      <c r="GT577" s="91"/>
      <c r="GU577" s="91"/>
      <c r="GV577" s="91"/>
      <c r="GW577" s="91"/>
      <c r="GX577" s="91"/>
      <c r="GY577" s="91"/>
      <c r="GZ577" s="91"/>
      <c r="HA577" s="91"/>
      <c r="HB577" s="91"/>
      <c r="HC577" s="91"/>
      <c r="HD577" s="91"/>
      <c r="HE577" s="91"/>
      <c r="HF577" s="91"/>
      <c r="HG577" s="91"/>
      <c r="HH577" s="91"/>
      <c r="HI577" s="91"/>
      <c r="HJ577" s="91"/>
      <c r="HK577" s="91"/>
      <c r="HL577" s="91"/>
      <c r="HM577" s="91"/>
      <c r="HN577" s="91"/>
      <c r="HO577" s="91"/>
      <c r="HP577" s="91"/>
      <c r="HQ577" s="91"/>
      <c r="HR577" s="91"/>
      <c r="HS577" s="91"/>
      <c r="HT577" s="91"/>
      <c r="HU577" s="91"/>
      <c r="HV577" s="91"/>
      <c r="HW577" s="91"/>
      <c r="HX577" s="91"/>
      <c r="HY577" s="91"/>
      <c r="HZ577" s="91"/>
      <c r="IA577" s="91"/>
    </row>
    <row r="578" spans="1:16" ht="11.25">
      <c r="A578" s="20" t="s">
        <v>4</v>
      </c>
      <c r="B578" s="7"/>
      <c r="C578" s="7"/>
      <c r="D578" s="62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</row>
    <row r="579" spans="1:16" ht="11.25">
      <c r="A579" s="21" t="s">
        <v>63</v>
      </c>
      <c r="B579" s="7"/>
      <c r="C579" s="7"/>
      <c r="D579" s="62"/>
      <c r="E579" s="14"/>
      <c r="F579" s="14"/>
      <c r="G579" s="14"/>
      <c r="H579" s="14">
        <f>3129500+300702+664532+174600+200666</f>
        <v>4470000</v>
      </c>
      <c r="I579" s="14"/>
      <c r="J579" s="14">
        <f>G579+H579</f>
        <v>4470000</v>
      </c>
      <c r="K579" s="14"/>
      <c r="L579" s="14"/>
      <c r="M579" s="14"/>
      <c r="N579" s="14"/>
      <c r="O579" s="14">
        <f>O581*O583</f>
        <v>0</v>
      </c>
      <c r="P579" s="14">
        <f>O579</f>
        <v>0</v>
      </c>
    </row>
    <row r="580" spans="1:16" ht="11.25">
      <c r="A580" s="20" t="s">
        <v>5</v>
      </c>
      <c r="B580" s="7"/>
      <c r="C580" s="7"/>
      <c r="D580" s="62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</row>
    <row r="581" spans="1:16" ht="22.5">
      <c r="A581" s="93" t="s">
        <v>325</v>
      </c>
      <c r="B581" s="7"/>
      <c r="C581" s="7"/>
      <c r="D581" s="62"/>
      <c r="E581" s="14"/>
      <c r="F581" s="14"/>
      <c r="G581" s="14"/>
      <c r="H581" s="14">
        <v>9</v>
      </c>
      <c r="I581" s="14"/>
      <c r="J581" s="14">
        <f>G581+H581</f>
        <v>9</v>
      </c>
      <c r="K581" s="14"/>
      <c r="L581" s="14"/>
      <c r="M581" s="14"/>
      <c r="N581" s="14"/>
      <c r="O581" s="14">
        <v>10</v>
      </c>
      <c r="P581" s="14">
        <f>O581</f>
        <v>10</v>
      </c>
    </row>
    <row r="582" spans="1:16" ht="11.25">
      <c r="A582" s="20" t="s">
        <v>7</v>
      </c>
      <c r="B582" s="7"/>
      <c r="C582" s="7"/>
      <c r="D582" s="62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</row>
    <row r="583" spans="1:16" ht="22.5">
      <c r="A583" s="55" t="s">
        <v>174</v>
      </c>
      <c r="B583" s="7"/>
      <c r="C583" s="7"/>
      <c r="D583" s="62"/>
      <c r="E583" s="14"/>
      <c r="F583" s="14"/>
      <c r="G583" s="14"/>
      <c r="H583" s="14">
        <v>496666.66666</v>
      </c>
      <c r="I583" s="14"/>
      <c r="J583" s="14">
        <f>G583+H583</f>
        <v>496666.66666</v>
      </c>
      <c r="K583" s="14"/>
      <c r="L583" s="14"/>
      <c r="M583" s="14"/>
      <c r="N583" s="14"/>
      <c r="O583" s="14"/>
      <c r="P583" s="14">
        <f>O583</f>
        <v>0</v>
      </c>
    </row>
    <row r="584" spans="1:235" s="85" customFormat="1" ht="13.5" customHeight="1">
      <c r="A584" s="108">
        <v>160101</v>
      </c>
      <c r="B584" s="77"/>
      <c r="C584" s="77"/>
      <c r="D584" s="89">
        <f>D587</f>
        <v>6000</v>
      </c>
      <c r="E584" s="89">
        <v>0</v>
      </c>
      <c r="F584" s="89">
        <f>D584</f>
        <v>6000</v>
      </c>
      <c r="G584" s="89">
        <f>G587</f>
        <v>495500</v>
      </c>
      <c r="H584" s="89">
        <f>H587</f>
        <v>0</v>
      </c>
      <c r="I584" s="89">
        <f>I587</f>
        <v>0</v>
      </c>
      <c r="J584" s="89">
        <f>J587</f>
        <v>495500</v>
      </c>
      <c r="K584" s="89"/>
      <c r="L584" s="89"/>
      <c r="M584" s="89"/>
      <c r="N584" s="89">
        <f>N587</f>
        <v>7799999.99999441</v>
      </c>
      <c r="O584" s="89">
        <f>O587</f>
        <v>0</v>
      </c>
      <c r="P584" s="89">
        <f>P587</f>
        <v>7799999.99999441</v>
      </c>
      <c r="Q584" s="89">
        <v>5500</v>
      </c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21"/>
      <c r="AV584" s="121"/>
      <c r="AW584" s="121"/>
      <c r="AX584" s="121"/>
      <c r="AY584" s="121"/>
      <c r="AZ584" s="121"/>
      <c r="BA584" s="121"/>
      <c r="BB584" s="121"/>
      <c r="BC584" s="121"/>
      <c r="BD584" s="121"/>
      <c r="BE584" s="121"/>
      <c r="BF584" s="121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21"/>
      <c r="BS584" s="121"/>
      <c r="BT584" s="121"/>
      <c r="BU584" s="121"/>
      <c r="BV584" s="121"/>
      <c r="BW584" s="121"/>
      <c r="BX584" s="121"/>
      <c r="BY584" s="121"/>
      <c r="BZ584" s="121"/>
      <c r="CA584" s="121"/>
      <c r="CB584" s="121"/>
      <c r="CC584" s="121"/>
      <c r="CD584" s="121"/>
      <c r="CE584" s="121"/>
      <c r="CF584" s="121"/>
      <c r="CG584" s="121"/>
      <c r="CH584" s="121"/>
      <c r="CI584" s="121"/>
      <c r="CJ584" s="121"/>
      <c r="CK584" s="121"/>
      <c r="CL584" s="121"/>
      <c r="CM584" s="121"/>
      <c r="CN584" s="121"/>
      <c r="CO584" s="121"/>
      <c r="CP584" s="121"/>
      <c r="CQ584" s="121"/>
      <c r="CR584" s="121"/>
      <c r="CS584" s="121"/>
      <c r="CT584" s="121"/>
      <c r="CU584" s="121"/>
      <c r="CV584" s="121"/>
      <c r="CW584" s="121"/>
      <c r="CX584" s="121"/>
      <c r="CY584" s="121"/>
      <c r="CZ584" s="121"/>
      <c r="DA584" s="121"/>
      <c r="DB584" s="121"/>
      <c r="DC584" s="121"/>
      <c r="DD584" s="121"/>
      <c r="DE584" s="121"/>
      <c r="DF584" s="121"/>
      <c r="DG584" s="121"/>
      <c r="DH584" s="121"/>
      <c r="DI584" s="121"/>
      <c r="DJ584" s="121"/>
      <c r="DK584" s="121"/>
      <c r="DL584" s="121"/>
      <c r="DM584" s="121"/>
      <c r="DN584" s="121"/>
      <c r="DO584" s="121"/>
      <c r="DP584" s="121"/>
      <c r="DQ584" s="121"/>
      <c r="DR584" s="121"/>
      <c r="DS584" s="121"/>
      <c r="DT584" s="121"/>
      <c r="DU584" s="121"/>
      <c r="DV584" s="121"/>
      <c r="DW584" s="121"/>
      <c r="DX584" s="121"/>
      <c r="DY584" s="121"/>
      <c r="DZ584" s="121"/>
      <c r="EA584" s="121"/>
      <c r="EB584" s="121"/>
      <c r="EC584" s="121"/>
      <c r="ED584" s="121"/>
      <c r="EE584" s="121"/>
      <c r="EF584" s="121"/>
      <c r="EG584" s="121"/>
      <c r="EH584" s="121"/>
      <c r="EI584" s="121"/>
      <c r="EJ584" s="121"/>
      <c r="EK584" s="121"/>
      <c r="EL584" s="121"/>
      <c r="EM584" s="121"/>
      <c r="EN584" s="121"/>
      <c r="EO584" s="121"/>
      <c r="EP584" s="121"/>
      <c r="EQ584" s="121"/>
      <c r="ER584" s="121"/>
      <c r="ES584" s="121"/>
      <c r="ET584" s="121"/>
      <c r="EU584" s="121"/>
      <c r="EV584" s="121"/>
      <c r="EW584" s="121"/>
      <c r="EX584" s="121"/>
      <c r="EY584" s="121"/>
      <c r="EZ584" s="121"/>
      <c r="FA584" s="121"/>
      <c r="FB584" s="121"/>
      <c r="FC584" s="121"/>
      <c r="FD584" s="121"/>
      <c r="FE584" s="121"/>
      <c r="FF584" s="121"/>
      <c r="FG584" s="121"/>
      <c r="FH584" s="121"/>
      <c r="FI584" s="121"/>
      <c r="FJ584" s="121"/>
      <c r="FK584" s="121"/>
      <c r="FL584" s="121"/>
      <c r="FM584" s="121"/>
      <c r="FN584" s="121"/>
      <c r="FO584" s="121"/>
      <c r="FP584" s="121"/>
      <c r="FQ584" s="121"/>
      <c r="FR584" s="121"/>
      <c r="FS584" s="121"/>
      <c r="FT584" s="121"/>
      <c r="FU584" s="121"/>
      <c r="FV584" s="121"/>
      <c r="FW584" s="121"/>
      <c r="FX584" s="121"/>
      <c r="FY584" s="121"/>
      <c r="FZ584" s="121"/>
      <c r="GA584" s="121"/>
      <c r="GB584" s="121"/>
      <c r="GC584" s="121"/>
      <c r="GD584" s="121"/>
      <c r="GE584" s="121"/>
      <c r="GF584" s="121"/>
      <c r="GG584" s="121"/>
      <c r="GH584" s="121"/>
      <c r="GI584" s="121"/>
      <c r="GJ584" s="121"/>
      <c r="GK584" s="121"/>
      <c r="GL584" s="121"/>
      <c r="GM584" s="121"/>
      <c r="GN584" s="121"/>
      <c r="GO584" s="121"/>
      <c r="GP584" s="121"/>
      <c r="GQ584" s="121"/>
      <c r="GR584" s="121"/>
      <c r="GS584" s="121"/>
      <c r="GT584" s="121"/>
      <c r="GU584" s="121"/>
      <c r="GV584" s="121"/>
      <c r="GW584" s="121"/>
      <c r="GX584" s="121"/>
      <c r="GY584" s="121"/>
      <c r="GZ584" s="121"/>
      <c r="HA584" s="121"/>
      <c r="HB584" s="121"/>
      <c r="HC584" s="121"/>
      <c r="HD584" s="121"/>
      <c r="HE584" s="121"/>
      <c r="HF584" s="121"/>
      <c r="HG584" s="121"/>
      <c r="HH584" s="121"/>
      <c r="HI584" s="121"/>
      <c r="HJ584" s="121"/>
      <c r="HK584" s="121"/>
      <c r="HL584" s="121"/>
      <c r="HM584" s="121"/>
      <c r="HN584" s="121"/>
      <c r="HO584" s="121"/>
      <c r="HP584" s="121"/>
      <c r="HQ584" s="121"/>
      <c r="HR584" s="121"/>
      <c r="HS584" s="121"/>
      <c r="HT584" s="121"/>
      <c r="HU584" s="121"/>
      <c r="HV584" s="121"/>
      <c r="HW584" s="121"/>
      <c r="HX584" s="121"/>
      <c r="HY584" s="121"/>
      <c r="HZ584" s="121"/>
      <c r="IA584" s="121"/>
    </row>
    <row r="585" spans="1:17" ht="35.25" customHeight="1">
      <c r="A585" s="22" t="s">
        <v>249</v>
      </c>
      <c r="B585" s="7"/>
      <c r="C585" s="7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6"/>
    </row>
    <row r="586" spans="1:17" ht="24.75" customHeight="1">
      <c r="A586" s="21" t="s">
        <v>246</v>
      </c>
      <c r="B586" s="7"/>
      <c r="C586" s="7"/>
      <c r="D586" s="62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6"/>
    </row>
    <row r="587" spans="1:235" s="92" customFormat="1" ht="15" customHeight="1">
      <c r="A587" s="82" t="s">
        <v>403</v>
      </c>
      <c r="B587" s="88"/>
      <c r="C587" s="88"/>
      <c r="D587" s="144">
        <f>D589</f>
        <v>6000</v>
      </c>
      <c r="E587" s="144"/>
      <c r="F587" s="144">
        <f>D587</f>
        <v>6000</v>
      </c>
      <c r="G587" s="89">
        <f>G589</f>
        <v>495500</v>
      </c>
      <c r="H587" s="89">
        <v>0</v>
      </c>
      <c r="I587" s="89">
        <f>I589</f>
        <v>0</v>
      </c>
      <c r="J587" s="89">
        <f>J589</f>
        <v>495500</v>
      </c>
      <c r="K587" s="89"/>
      <c r="L587" s="89"/>
      <c r="M587" s="89"/>
      <c r="N587" s="89">
        <f>N593*N597</f>
        <v>7799999.99999441</v>
      </c>
      <c r="O587" s="89"/>
      <c r="P587" s="89">
        <f>N587</f>
        <v>7799999.99999441</v>
      </c>
      <c r="Q587" s="90">
        <v>5500</v>
      </c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  <c r="BY587" s="91"/>
      <c r="BZ587" s="91"/>
      <c r="CA587" s="91"/>
      <c r="CB587" s="91"/>
      <c r="CC587" s="91"/>
      <c r="CD587" s="91"/>
      <c r="CE587" s="91"/>
      <c r="CF587" s="91"/>
      <c r="CG587" s="91"/>
      <c r="CH587" s="91"/>
      <c r="CI587" s="91"/>
      <c r="CJ587" s="91"/>
      <c r="CK587" s="91"/>
      <c r="CL587" s="91"/>
      <c r="CM587" s="91"/>
      <c r="CN587" s="91"/>
      <c r="CO587" s="91"/>
      <c r="CP587" s="91"/>
      <c r="CQ587" s="91"/>
      <c r="CR587" s="91"/>
      <c r="CS587" s="91"/>
      <c r="CT587" s="91"/>
      <c r="CU587" s="91"/>
      <c r="CV587" s="91"/>
      <c r="CW587" s="91"/>
      <c r="CX587" s="91"/>
      <c r="CY587" s="91"/>
      <c r="CZ587" s="91"/>
      <c r="DA587" s="91"/>
      <c r="DB587" s="91"/>
      <c r="DC587" s="91"/>
      <c r="DD587" s="91"/>
      <c r="DE587" s="91"/>
      <c r="DF587" s="91"/>
      <c r="DG587" s="91"/>
      <c r="DH587" s="91"/>
      <c r="DI587" s="91"/>
      <c r="DJ587" s="91"/>
      <c r="DK587" s="91"/>
      <c r="DL587" s="91"/>
      <c r="DM587" s="91"/>
      <c r="DN587" s="91"/>
      <c r="DO587" s="91"/>
      <c r="DP587" s="91"/>
      <c r="DQ587" s="91"/>
      <c r="DR587" s="91"/>
      <c r="DS587" s="91"/>
      <c r="DT587" s="91"/>
      <c r="DU587" s="91"/>
      <c r="DV587" s="91"/>
      <c r="DW587" s="91"/>
      <c r="DX587" s="91"/>
      <c r="DY587" s="91"/>
      <c r="DZ587" s="91"/>
      <c r="EA587" s="91"/>
      <c r="EB587" s="91"/>
      <c r="EC587" s="91"/>
      <c r="ED587" s="91"/>
      <c r="EE587" s="91"/>
      <c r="EF587" s="91"/>
      <c r="EG587" s="91"/>
      <c r="EH587" s="91"/>
      <c r="EI587" s="91"/>
      <c r="EJ587" s="91"/>
      <c r="EK587" s="91"/>
      <c r="EL587" s="91"/>
      <c r="EM587" s="91"/>
      <c r="EN587" s="91"/>
      <c r="EO587" s="91"/>
      <c r="EP587" s="91"/>
      <c r="EQ587" s="91"/>
      <c r="ER587" s="91"/>
      <c r="ES587" s="91"/>
      <c r="ET587" s="91"/>
      <c r="EU587" s="91"/>
      <c r="EV587" s="91"/>
      <c r="EW587" s="91"/>
      <c r="EX587" s="91"/>
      <c r="EY587" s="91"/>
      <c r="EZ587" s="91"/>
      <c r="FA587" s="91"/>
      <c r="FB587" s="91"/>
      <c r="FC587" s="91"/>
      <c r="FD587" s="91"/>
      <c r="FE587" s="91"/>
      <c r="FF587" s="91"/>
      <c r="FG587" s="91"/>
      <c r="FH587" s="91"/>
      <c r="FI587" s="91"/>
      <c r="FJ587" s="91"/>
      <c r="FK587" s="91"/>
      <c r="FL587" s="91"/>
      <c r="FM587" s="91"/>
      <c r="FN587" s="91"/>
      <c r="FO587" s="91"/>
      <c r="FP587" s="91"/>
      <c r="FQ587" s="91"/>
      <c r="FR587" s="91"/>
      <c r="FS587" s="91"/>
      <c r="FT587" s="91"/>
      <c r="FU587" s="91"/>
      <c r="FV587" s="91"/>
      <c r="FW587" s="91"/>
      <c r="FX587" s="91"/>
      <c r="FY587" s="91"/>
      <c r="FZ587" s="91"/>
      <c r="GA587" s="91"/>
      <c r="GB587" s="91"/>
      <c r="GC587" s="91"/>
      <c r="GD587" s="91"/>
      <c r="GE587" s="91"/>
      <c r="GF587" s="91"/>
      <c r="GG587" s="91"/>
      <c r="GH587" s="91"/>
      <c r="GI587" s="91"/>
      <c r="GJ587" s="91"/>
      <c r="GK587" s="91"/>
      <c r="GL587" s="91"/>
      <c r="GM587" s="91"/>
      <c r="GN587" s="91"/>
      <c r="GO587" s="91"/>
      <c r="GP587" s="91"/>
      <c r="GQ587" s="91"/>
      <c r="GR587" s="91"/>
      <c r="GS587" s="91"/>
      <c r="GT587" s="91"/>
      <c r="GU587" s="91"/>
      <c r="GV587" s="91"/>
      <c r="GW587" s="91"/>
      <c r="GX587" s="91"/>
      <c r="GY587" s="91"/>
      <c r="GZ587" s="91"/>
      <c r="HA587" s="91"/>
      <c r="HB587" s="91"/>
      <c r="HC587" s="91"/>
      <c r="HD587" s="91"/>
      <c r="HE587" s="91"/>
      <c r="HF587" s="91"/>
      <c r="HG587" s="91"/>
      <c r="HH587" s="91"/>
      <c r="HI587" s="91"/>
      <c r="HJ587" s="91"/>
      <c r="HK587" s="91"/>
      <c r="HL587" s="91"/>
      <c r="HM587" s="91"/>
      <c r="HN587" s="91"/>
      <c r="HO587" s="91"/>
      <c r="HP587" s="91"/>
      <c r="HQ587" s="91"/>
      <c r="HR587" s="91"/>
      <c r="HS587" s="91"/>
      <c r="HT587" s="91"/>
      <c r="HU587" s="91"/>
      <c r="HV587" s="91"/>
      <c r="HW587" s="91"/>
      <c r="HX587" s="91"/>
      <c r="HY587" s="91"/>
      <c r="HZ587" s="91"/>
      <c r="IA587" s="91"/>
    </row>
    <row r="588" spans="1:17" ht="12" customHeight="1">
      <c r="A588" s="20" t="s">
        <v>4</v>
      </c>
      <c r="B588" s="7"/>
      <c r="C588" s="7"/>
      <c r="D588" s="145"/>
      <c r="E588" s="146"/>
      <c r="F588" s="146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6"/>
    </row>
    <row r="589" spans="1:17" ht="12" customHeight="1">
      <c r="A589" s="21" t="s">
        <v>63</v>
      </c>
      <c r="B589" s="7"/>
      <c r="C589" s="7"/>
      <c r="D589" s="145">
        <f>(D591*D595)+(D592*D596)</f>
        <v>6000</v>
      </c>
      <c r="E589" s="146"/>
      <c r="F589" s="146">
        <f>D589</f>
        <v>6000</v>
      </c>
      <c r="G589" s="14">
        <v>495500</v>
      </c>
      <c r="H589" s="14"/>
      <c r="I589" s="14"/>
      <c r="J589" s="14">
        <f>J593*J597-1.6</f>
        <v>495500</v>
      </c>
      <c r="K589" s="14"/>
      <c r="L589" s="14"/>
      <c r="M589" s="14"/>
      <c r="N589" s="14">
        <f>N593*N597</f>
        <v>7799999.99999441</v>
      </c>
      <c r="O589" s="14"/>
      <c r="P589" s="14">
        <f>N589</f>
        <v>7799999.99999441</v>
      </c>
      <c r="Q589" s="6">
        <v>5500</v>
      </c>
    </row>
    <row r="590" spans="1:17" ht="12.75" customHeight="1">
      <c r="A590" s="20" t="s">
        <v>5</v>
      </c>
      <c r="B590" s="7"/>
      <c r="C590" s="7"/>
      <c r="D590" s="145"/>
      <c r="E590" s="146"/>
      <c r="F590" s="146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6"/>
    </row>
    <row r="591" spans="1:17" ht="23.25" customHeight="1">
      <c r="A591" s="21" t="s">
        <v>251</v>
      </c>
      <c r="B591" s="7"/>
      <c r="C591" s="7"/>
      <c r="D591" s="145">
        <v>1</v>
      </c>
      <c r="E591" s="146"/>
      <c r="F591" s="146">
        <f>D591</f>
        <v>1</v>
      </c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9">
        <v>1</v>
      </c>
    </row>
    <row r="592" spans="1:17" ht="22.5">
      <c r="A592" s="21" t="s">
        <v>264</v>
      </c>
      <c r="B592" s="7"/>
      <c r="C592" s="7"/>
      <c r="D592" s="145">
        <v>1</v>
      </c>
      <c r="E592" s="146"/>
      <c r="F592" s="146">
        <v>1</v>
      </c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9"/>
    </row>
    <row r="593" spans="1:17" ht="22.5">
      <c r="A593" s="21" t="s">
        <v>298</v>
      </c>
      <c r="B593" s="7"/>
      <c r="C593" s="7"/>
      <c r="D593" s="145"/>
      <c r="E593" s="146"/>
      <c r="F593" s="146"/>
      <c r="G593" s="187">
        <v>165</v>
      </c>
      <c r="H593" s="14"/>
      <c r="I593" s="14"/>
      <c r="J593" s="14">
        <v>165</v>
      </c>
      <c r="K593" s="14"/>
      <c r="L593" s="14"/>
      <c r="M593" s="14"/>
      <c r="N593" s="14">
        <v>2437</v>
      </c>
      <c r="O593" s="14"/>
      <c r="P593" s="14">
        <f>N593</f>
        <v>2437</v>
      </c>
      <c r="Q593" s="9"/>
    </row>
    <row r="594" spans="1:17" ht="12.75" customHeight="1">
      <c r="A594" s="20" t="s">
        <v>7</v>
      </c>
      <c r="B594" s="7"/>
      <c r="C594" s="7"/>
      <c r="D594" s="145"/>
      <c r="E594" s="146"/>
      <c r="F594" s="146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6"/>
    </row>
    <row r="595" spans="1:17" ht="24" customHeight="1">
      <c r="A595" s="21" t="s">
        <v>250</v>
      </c>
      <c r="B595" s="7"/>
      <c r="C595" s="7"/>
      <c r="D595" s="145">
        <v>3000</v>
      </c>
      <c r="E595" s="146"/>
      <c r="F595" s="146">
        <f>D595</f>
        <v>3000</v>
      </c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6"/>
    </row>
    <row r="596" spans="1:17" ht="26.25" customHeight="1">
      <c r="A596" s="21" t="s">
        <v>265</v>
      </c>
      <c r="B596" s="7"/>
      <c r="C596" s="7"/>
      <c r="D596" s="147">
        <v>3000</v>
      </c>
      <c r="E596" s="132"/>
      <c r="F596" s="132">
        <f>D596</f>
        <v>3000</v>
      </c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6">
        <v>5500</v>
      </c>
    </row>
    <row r="597" spans="1:17" ht="22.5">
      <c r="A597" s="21" t="s">
        <v>299</v>
      </c>
      <c r="B597" s="7"/>
      <c r="C597" s="7"/>
      <c r="D597" s="147"/>
      <c r="E597" s="132"/>
      <c r="F597" s="132"/>
      <c r="G597" s="14">
        <v>3003.03</v>
      </c>
      <c r="H597" s="14"/>
      <c r="I597" s="14"/>
      <c r="J597" s="14">
        <v>3003.04</v>
      </c>
      <c r="K597" s="14"/>
      <c r="L597" s="14"/>
      <c r="M597" s="14"/>
      <c r="N597" s="14">
        <v>3200.65654493</v>
      </c>
      <c r="O597" s="14"/>
      <c r="P597" s="14">
        <f>N597</f>
        <v>3200.65654493</v>
      </c>
      <c r="Q597" s="73"/>
    </row>
    <row r="598" spans="1:235" s="85" customFormat="1" ht="12">
      <c r="A598" s="108">
        <v>250903</v>
      </c>
      <c r="B598" s="77"/>
      <c r="C598" s="77"/>
      <c r="D598" s="89">
        <f>D601</f>
        <v>1214000</v>
      </c>
      <c r="E598" s="89">
        <v>0</v>
      </c>
      <c r="F598" s="89">
        <f>D598</f>
        <v>1214000</v>
      </c>
      <c r="G598" s="89">
        <f>G601</f>
        <v>8080000</v>
      </c>
      <c r="H598" s="89"/>
      <c r="I598" s="89">
        <f>I601</f>
        <v>0</v>
      </c>
      <c r="J598" s="89">
        <f>J601</f>
        <v>8080000</v>
      </c>
      <c r="K598" s="89"/>
      <c r="L598" s="89"/>
      <c r="M598" s="89"/>
      <c r="N598" s="89"/>
      <c r="O598" s="89"/>
      <c r="P598" s="89"/>
      <c r="Q598" s="84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21"/>
      <c r="AV598" s="121"/>
      <c r="AW598" s="121"/>
      <c r="AX598" s="121"/>
      <c r="AY598" s="121"/>
      <c r="AZ598" s="121"/>
      <c r="BA598" s="121"/>
      <c r="BB598" s="121"/>
      <c r="BC598" s="121"/>
      <c r="BD598" s="121"/>
      <c r="BE598" s="121"/>
      <c r="BF598" s="121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21"/>
      <c r="BS598" s="121"/>
      <c r="BT598" s="121"/>
      <c r="BU598" s="121"/>
      <c r="BV598" s="121"/>
      <c r="BW598" s="121"/>
      <c r="BX598" s="121"/>
      <c r="BY598" s="121"/>
      <c r="BZ598" s="121"/>
      <c r="CA598" s="121"/>
      <c r="CB598" s="121"/>
      <c r="CC598" s="121"/>
      <c r="CD598" s="121"/>
      <c r="CE598" s="121"/>
      <c r="CF598" s="121"/>
      <c r="CG598" s="121"/>
      <c r="CH598" s="121"/>
      <c r="CI598" s="121"/>
      <c r="CJ598" s="121"/>
      <c r="CK598" s="121"/>
      <c r="CL598" s="121"/>
      <c r="CM598" s="121"/>
      <c r="CN598" s="121"/>
      <c r="CO598" s="121"/>
      <c r="CP598" s="121"/>
      <c r="CQ598" s="121"/>
      <c r="CR598" s="121"/>
      <c r="CS598" s="121"/>
      <c r="CT598" s="121"/>
      <c r="CU598" s="121"/>
      <c r="CV598" s="121"/>
      <c r="CW598" s="121"/>
      <c r="CX598" s="121"/>
      <c r="CY598" s="121"/>
      <c r="CZ598" s="121"/>
      <c r="DA598" s="121"/>
      <c r="DB598" s="121"/>
      <c r="DC598" s="121"/>
      <c r="DD598" s="121"/>
      <c r="DE598" s="121"/>
      <c r="DF598" s="121"/>
      <c r="DG598" s="121"/>
      <c r="DH598" s="121"/>
      <c r="DI598" s="121"/>
      <c r="DJ598" s="121"/>
      <c r="DK598" s="121"/>
      <c r="DL598" s="121"/>
      <c r="DM598" s="121"/>
      <c r="DN598" s="121"/>
      <c r="DO598" s="121"/>
      <c r="DP598" s="121"/>
      <c r="DQ598" s="121"/>
      <c r="DR598" s="121"/>
      <c r="DS598" s="121"/>
      <c r="DT598" s="121"/>
      <c r="DU598" s="121"/>
      <c r="DV598" s="121"/>
      <c r="DW598" s="121"/>
      <c r="DX598" s="121"/>
      <c r="DY598" s="121"/>
      <c r="DZ598" s="121"/>
      <c r="EA598" s="121"/>
      <c r="EB598" s="121"/>
      <c r="EC598" s="121"/>
      <c r="ED598" s="121"/>
      <c r="EE598" s="121"/>
      <c r="EF598" s="121"/>
      <c r="EG598" s="121"/>
      <c r="EH598" s="121"/>
      <c r="EI598" s="121"/>
      <c r="EJ598" s="121"/>
      <c r="EK598" s="121"/>
      <c r="EL598" s="121"/>
      <c r="EM598" s="121"/>
      <c r="EN598" s="121"/>
      <c r="EO598" s="121"/>
      <c r="EP598" s="121"/>
      <c r="EQ598" s="121"/>
      <c r="ER598" s="121"/>
      <c r="ES598" s="121"/>
      <c r="ET598" s="121"/>
      <c r="EU598" s="121"/>
      <c r="EV598" s="121"/>
      <c r="EW598" s="121"/>
      <c r="EX598" s="121"/>
      <c r="EY598" s="121"/>
      <c r="EZ598" s="121"/>
      <c r="FA598" s="121"/>
      <c r="FB598" s="121"/>
      <c r="FC598" s="121"/>
      <c r="FD598" s="121"/>
      <c r="FE598" s="121"/>
      <c r="FF598" s="121"/>
      <c r="FG598" s="121"/>
      <c r="FH598" s="121"/>
      <c r="FI598" s="121"/>
      <c r="FJ598" s="121"/>
      <c r="FK598" s="121"/>
      <c r="FL598" s="121"/>
      <c r="FM598" s="121"/>
      <c r="FN598" s="121"/>
      <c r="FO598" s="121"/>
      <c r="FP598" s="121"/>
      <c r="FQ598" s="121"/>
      <c r="FR598" s="121"/>
      <c r="FS598" s="121"/>
      <c r="FT598" s="121"/>
      <c r="FU598" s="121"/>
      <c r="FV598" s="121"/>
      <c r="FW598" s="121"/>
      <c r="FX598" s="121"/>
      <c r="FY598" s="121"/>
      <c r="FZ598" s="121"/>
      <c r="GA598" s="121"/>
      <c r="GB598" s="121"/>
      <c r="GC598" s="121"/>
      <c r="GD598" s="121"/>
      <c r="GE598" s="121"/>
      <c r="GF598" s="121"/>
      <c r="GG598" s="121"/>
      <c r="GH598" s="121"/>
      <c r="GI598" s="121"/>
      <c r="GJ598" s="121"/>
      <c r="GK598" s="121"/>
      <c r="GL598" s="121"/>
      <c r="GM598" s="121"/>
      <c r="GN598" s="121"/>
      <c r="GO598" s="121"/>
      <c r="GP598" s="121"/>
      <c r="GQ598" s="121"/>
      <c r="GR598" s="121"/>
      <c r="GS598" s="121"/>
      <c r="GT598" s="121"/>
      <c r="GU598" s="121"/>
      <c r="GV598" s="121"/>
      <c r="GW598" s="121"/>
      <c r="GX598" s="121"/>
      <c r="GY598" s="121"/>
      <c r="GZ598" s="121"/>
      <c r="HA598" s="121"/>
      <c r="HB598" s="121"/>
      <c r="HC598" s="121"/>
      <c r="HD598" s="121"/>
      <c r="HE598" s="121"/>
      <c r="HF598" s="121"/>
      <c r="HG598" s="121"/>
      <c r="HH598" s="121"/>
      <c r="HI598" s="121"/>
      <c r="HJ598" s="121"/>
      <c r="HK598" s="121"/>
      <c r="HL598" s="121"/>
      <c r="HM598" s="121"/>
      <c r="HN598" s="121"/>
      <c r="HO598" s="121"/>
      <c r="HP598" s="121"/>
      <c r="HQ598" s="121"/>
      <c r="HR598" s="121"/>
      <c r="HS598" s="121"/>
      <c r="HT598" s="121"/>
      <c r="HU598" s="121"/>
      <c r="HV598" s="121"/>
      <c r="HW598" s="121"/>
      <c r="HX598" s="121"/>
      <c r="HY598" s="121"/>
      <c r="HZ598" s="121"/>
      <c r="IA598" s="121"/>
    </row>
    <row r="599" spans="1:17" ht="33.75">
      <c r="A599" s="22" t="s">
        <v>249</v>
      </c>
      <c r="B599" s="7"/>
      <c r="C599" s="7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73"/>
    </row>
    <row r="600" spans="1:17" ht="67.5">
      <c r="A600" s="21" t="s">
        <v>326</v>
      </c>
      <c r="B600" s="7"/>
      <c r="C600" s="7"/>
      <c r="D600" s="62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73"/>
    </row>
    <row r="601" spans="1:17" ht="102.75" customHeight="1">
      <c r="A601" s="19" t="s">
        <v>404</v>
      </c>
      <c r="B601" s="26"/>
      <c r="C601" s="26"/>
      <c r="D601" s="148">
        <f>D603</f>
        <v>1214000</v>
      </c>
      <c r="E601" s="148"/>
      <c r="F601" s="148">
        <f>D601</f>
        <v>1214000</v>
      </c>
      <c r="G601" s="56">
        <f>G603</f>
        <v>8080000</v>
      </c>
      <c r="H601" s="56"/>
      <c r="I601" s="56"/>
      <c r="J601" s="56">
        <f>J603</f>
        <v>8080000</v>
      </c>
      <c r="K601" s="25"/>
      <c r="L601" s="25"/>
      <c r="M601" s="25"/>
      <c r="N601" s="56"/>
      <c r="O601" s="56"/>
      <c r="P601" s="56"/>
      <c r="Q601" s="73"/>
    </row>
    <row r="602" spans="1:17" ht="11.25">
      <c r="A602" s="20" t="s">
        <v>4</v>
      </c>
      <c r="B602" s="7"/>
      <c r="C602" s="7"/>
      <c r="D602" s="145"/>
      <c r="E602" s="146"/>
      <c r="F602" s="146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73"/>
    </row>
    <row r="603" spans="1:17" ht="11.25">
      <c r="A603" s="21" t="s">
        <v>63</v>
      </c>
      <c r="B603" s="7"/>
      <c r="C603" s="7"/>
      <c r="D603" s="145">
        <f>D608*D605</f>
        <v>1214000</v>
      </c>
      <c r="E603" s="146"/>
      <c r="F603" s="146">
        <f>D603</f>
        <v>1214000</v>
      </c>
      <c r="G603" s="14">
        <f>G608*G605</f>
        <v>8080000</v>
      </c>
      <c r="H603" s="14"/>
      <c r="I603" s="14"/>
      <c r="J603" s="14">
        <f>G603</f>
        <v>8080000</v>
      </c>
      <c r="K603" s="14"/>
      <c r="L603" s="14"/>
      <c r="M603" s="14"/>
      <c r="N603" s="14"/>
      <c r="O603" s="14"/>
      <c r="P603" s="14"/>
      <c r="Q603" s="73"/>
    </row>
    <row r="604" spans="1:17" ht="11.25">
      <c r="A604" s="20" t="s">
        <v>5</v>
      </c>
      <c r="B604" s="7"/>
      <c r="C604" s="7"/>
      <c r="D604" s="145"/>
      <c r="E604" s="146"/>
      <c r="F604" s="146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73"/>
    </row>
    <row r="605" spans="1:17" ht="22.5">
      <c r="A605" s="21" t="s">
        <v>315</v>
      </c>
      <c r="B605" s="7"/>
      <c r="C605" s="7"/>
      <c r="D605" s="145">
        <v>2</v>
      </c>
      <c r="E605" s="146"/>
      <c r="F605" s="146">
        <v>2</v>
      </c>
      <c r="G605" s="14">
        <v>2</v>
      </c>
      <c r="H605" s="14"/>
      <c r="I605" s="14"/>
      <c r="J605" s="14">
        <f>G605</f>
        <v>2</v>
      </c>
      <c r="K605" s="14"/>
      <c r="L605" s="14"/>
      <c r="M605" s="14"/>
      <c r="N605" s="14"/>
      <c r="O605" s="14"/>
      <c r="P605" s="14"/>
      <c r="Q605" s="73"/>
    </row>
    <row r="606" spans="1:17" ht="22.5" hidden="1">
      <c r="A606" s="21" t="s">
        <v>264</v>
      </c>
      <c r="B606" s="7"/>
      <c r="C606" s="7"/>
      <c r="D606" s="145"/>
      <c r="E606" s="146"/>
      <c r="F606" s="146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73"/>
    </row>
    <row r="607" spans="1:17" ht="11.25">
      <c r="A607" s="20" t="s">
        <v>7</v>
      </c>
      <c r="B607" s="7"/>
      <c r="C607" s="7"/>
      <c r="D607" s="145"/>
      <c r="E607" s="146"/>
      <c r="F607" s="146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73"/>
    </row>
    <row r="608" spans="1:17" ht="22.5">
      <c r="A608" s="21" t="s">
        <v>316</v>
      </c>
      <c r="B608" s="7"/>
      <c r="C608" s="7"/>
      <c r="D608" s="145">
        <v>607000</v>
      </c>
      <c r="E608" s="146"/>
      <c r="F608" s="146">
        <f>D608</f>
        <v>607000</v>
      </c>
      <c r="G608" s="14">
        <v>4040000</v>
      </c>
      <c r="H608" s="14"/>
      <c r="I608" s="14"/>
      <c r="J608" s="14">
        <f>G608</f>
        <v>4040000</v>
      </c>
      <c r="K608" s="14"/>
      <c r="L608" s="14"/>
      <c r="M608" s="14"/>
      <c r="N608" s="14"/>
      <c r="O608" s="14"/>
      <c r="P608" s="14"/>
      <c r="Q608" s="73"/>
    </row>
    <row r="609" spans="1:235" ht="33.75" hidden="1">
      <c r="A609" s="21" t="s">
        <v>265</v>
      </c>
      <c r="B609" s="7"/>
      <c r="C609" s="7"/>
      <c r="D609" s="147"/>
      <c r="E609" s="132"/>
      <c r="F609" s="132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73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</row>
    <row r="610" spans="1:17" s="85" customFormat="1" ht="12">
      <c r="A610" s="108">
        <v>180107</v>
      </c>
      <c r="B610" s="77"/>
      <c r="C610" s="77"/>
      <c r="D610" s="89">
        <f>D613</f>
        <v>0</v>
      </c>
      <c r="E610" s="89">
        <v>0</v>
      </c>
      <c r="F610" s="89">
        <f>D610</f>
        <v>0</v>
      </c>
      <c r="G610" s="89">
        <f>G613</f>
        <v>1200000</v>
      </c>
      <c r="H610" s="89"/>
      <c r="I610" s="89">
        <f>I613</f>
        <v>0</v>
      </c>
      <c r="J610" s="89">
        <f>J613</f>
        <v>1200000</v>
      </c>
      <c r="K610" s="89"/>
      <c r="L610" s="89"/>
      <c r="M610" s="89"/>
      <c r="N610" s="89">
        <f>N613</f>
        <v>1000000</v>
      </c>
      <c r="O610" s="89"/>
      <c r="P610" s="89">
        <f>P613</f>
        <v>1000000</v>
      </c>
      <c r="Q610" s="84"/>
    </row>
    <row r="611" spans="1:235" ht="33.75">
      <c r="A611" s="22" t="s">
        <v>249</v>
      </c>
      <c r="B611" s="7"/>
      <c r="C611" s="7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73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</row>
    <row r="612" spans="1:235" ht="67.5">
      <c r="A612" s="21" t="s">
        <v>268</v>
      </c>
      <c r="B612" s="7"/>
      <c r="C612" s="7"/>
      <c r="D612" s="62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73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</row>
    <row r="613" spans="1:17" s="176" customFormat="1" ht="21">
      <c r="A613" s="177" t="s">
        <v>405</v>
      </c>
      <c r="B613" s="173"/>
      <c r="C613" s="173"/>
      <c r="D613" s="174">
        <f>200000-200000</f>
        <v>0</v>
      </c>
      <c r="E613" s="174"/>
      <c r="F613" s="174">
        <f>D613</f>
        <v>0</v>
      </c>
      <c r="G613" s="152">
        <f>G617*G620</f>
        <v>1200000</v>
      </c>
      <c r="H613" s="152"/>
      <c r="I613" s="152"/>
      <c r="J613" s="152">
        <f>G613</f>
        <v>1200000</v>
      </c>
      <c r="K613" s="152"/>
      <c r="L613" s="152"/>
      <c r="M613" s="152"/>
      <c r="N613" s="152">
        <f>N617*N620</f>
        <v>1000000</v>
      </c>
      <c r="O613" s="152"/>
      <c r="P613" s="152">
        <f>N613</f>
        <v>1000000</v>
      </c>
      <c r="Q613" s="175"/>
    </row>
    <row r="614" spans="1:235" ht="11.25">
      <c r="A614" s="20" t="s">
        <v>4</v>
      </c>
      <c r="B614" s="7"/>
      <c r="C614" s="7"/>
      <c r="D614" s="145"/>
      <c r="E614" s="146"/>
      <c r="F614" s="146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73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</row>
    <row r="615" spans="1:235" ht="33.75">
      <c r="A615" s="21" t="s">
        <v>275</v>
      </c>
      <c r="B615" s="7"/>
      <c r="C615" s="7"/>
      <c r="D615" s="145">
        <v>120</v>
      </c>
      <c r="E615" s="146"/>
      <c r="F615" s="146">
        <f>D615</f>
        <v>120</v>
      </c>
      <c r="G615" s="146">
        <v>120</v>
      </c>
      <c r="H615" s="146"/>
      <c r="I615" s="146"/>
      <c r="J615" s="146">
        <f>G615</f>
        <v>120</v>
      </c>
      <c r="K615" s="146">
        <f>H615</f>
        <v>0</v>
      </c>
      <c r="L615" s="146">
        <f>J615</f>
        <v>120</v>
      </c>
      <c r="M615" s="146">
        <f>K615</f>
        <v>0</v>
      </c>
      <c r="N615" s="146">
        <v>100</v>
      </c>
      <c r="O615" s="146"/>
      <c r="P615" s="146">
        <f>N615</f>
        <v>100</v>
      </c>
      <c r="Q615" s="73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</row>
    <row r="616" spans="1:235" ht="11.25">
      <c r="A616" s="20" t="s">
        <v>5</v>
      </c>
      <c r="B616" s="7"/>
      <c r="C616" s="7"/>
      <c r="D616" s="145"/>
      <c r="E616" s="146"/>
      <c r="F616" s="146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73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</row>
    <row r="617" spans="1:235" ht="32.25" customHeight="1">
      <c r="A617" s="21" t="s">
        <v>276</v>
      </c>
      <c r="B617" s="7"/>
      <c r="C617" s="7"/>
      <c r="D617" s="145">
        <v>120</v>
      </c>
      <c r="E617" s="146"/>
      <c r="F617" s="146">
        <v>120</v>
      </c>
      <c r="G617" s="14">
        <v>120</v>
      </c>
      <c r="H617" s="14"/>
      <c r="I617" s="14"/>
      <c r="J617" s="14">
        <f>G617</f>
        <v>120</v>
      </c>
      <c r="K617" s="14"/>
      <c r="L617" s="14"/>
      <c r="M617" s="14"/>
      <c r="N617" s="14">
        <v>100</v>
      </c>
      <c r="O617" s="14"/>
      <c r="P617" s="14">
        <f>N617</f>
        <v>100</v>
      </c>
      <c r="Q617" s="73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</row>
    <row r="618" spans="1:235" ht="22.5" hidden="1">
      <c r="A618" s="21" t="s">
        <v>264</v>
      </c>
      <c r="B618" s="7"/>
      <c r="C618" s="7"/>
      <c r="D618" s="145"/>
      <c r="E618" s="146"/>
      <c r="F618" s="146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73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</row>
    <row r="619" spans="1:235" ht="11.25">
      <c r="A619" s="20" t="s">
        <v>7</v>
      </c>
      <c r="B619" s="7"/>
      <c r="C619" s="7"/>
      <c r="D619" s="145"/>
      <c r="E619" s="146"/>
      <c r="F619" s="146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73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</row>
    <row r="620" spans="1:235" ht="22.5">
      <c r="A620" s="21" t="s">
        <v>277</v>
      </c>
      <c r="B620" s="7"/>
      <c r="C620" s="7"/>
      <c r="D620" s="145">
        <f>D613/D617</f>
        <v>0</v>
      </c>
      <c r="E620" s="146"/>
      <c r="F620" s="146">
        <f>D620</f>
        <v>0</v>
      </c>
      <c r="G620" s="14">
        <v>10000</v>
      </c>
      <c r="H620" s="14"/>
      <c r="I620" s="14"/>
      <c r="J620" s="14">
        <f>G620</f>
        <v>10000</v>
      </c>
      <c r="K620" s="14"/>
      <c r="L620" s="14"/>
      <c r="M620" s="14"/>
      <c r="N620" s="14">
        <v>10000</v>
      </c>
      <c r="O620" s="14"/>
      <c r="P620" s="14">
        <f>N620</f>
        <v>10000</v>
      </c>
      <c r="Q620" s="73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</row>
    <row r="621" spans="1:235" ht="11.25" hidden="1">
      <c r="A621" s="71"/>
      <c r="B621" s="53"/>
      <c r="C621" s="53"/>
      <c r="D621" s="149"/>
      <c r="E621" s="150"/>
      <c r="F621" s="150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3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</row>
    <row r="622" spans="1:235" ht="11.25" hidden="1">
      <c r="A622" s="71"/>
      <c r="B622" s="53"/>
      <c r="C622" s="53"/>
      <c r="D622" s="149"/>
      <c r="E622" s="150"/>
      <c r="F622" s="150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3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</row>
    <row r="623" spans="1:235" ht="11.25" hidden="1">
      <c r="A623" s="71"/>
      <c r="B623" s="53"/>
      <c r="C623" s="53"/>
      <c r="D623" s="149"/>
      <c r="E623" s="150"/>
      <c r="F623" s="150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</row>
    <row r="624" spans="1:235" ht="11.25" hidden="1">
      <c r="A624" s="71"/>
      <c r="B624" s="53"/>
      <c r="C624" s="53"/>
      <c r="D624" s="149"/>
      <c r="E624" s="150"/>
      <c r="F624" s="150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3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</row>
    <row r="625" spans="1:17" s="85" customFormat="1" ht="12">
      <c r="A625" s="108">
        <v>100208</v>
      </c>
      <c r="B625" s="77"/>
      <c r="C625" s="77"/>
      <c r="D625" s="89">
        <f>D628</f>
        <v>0</v>
      </c>
      <c r="E625" s="89">
        <f>E628</f>
        <v>1084420</v>
      </c>
      <c r="F625" s="89">
        <f>D625+E625</f>
        <v>1084420</v>
      </c>
      <c r="G625" s="89"/>
      <c r="H625" s="89">
        <f>H628</f>
        <v>3699999.9999893</v>
      </c>
      <c r="I625" s="89">
        <f>I628</f>
        <v>0</v>
      </c>
      <c r="J625" s="89">
        <f>J628</f>
        <v>3699999.9999893</v>
      </c>
      <c r="K625" s="89"/>
      <c r="L625" s="89"/>
      <c r="M625" s="89"/>
      <c r="N625" s="89"/>
      <c r="O625" s="89"/>
      <c r="P625" s="89"/>
      <c r="Q625" s="84"/>
    </row>
    <row r="626" spans="1:235" ht="33.75">
      <c r="A626" s="22" t="s">
        <v>249</v>
      </c>
      <c r="B626" s="7"/>
      <c r="C626" s="7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73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</row>
    <row r="627" spans="1:235" ht="22.5">
      <c r="A627" s="21" t="s">
        <v>278</v>
      </c>
      <c r="B627" s="7"/>
      <c r="C627" s="7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73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</row>
    <row r="628" spans="1:17" s="92" customFormat="1" ht="22.5">
      <c r="A628" s="82" t="s">
        <v>406</v>
      </c>
      <c r="B628" s="88"/>
      <c r="C628" s="88"/>
      <c r="D628" s="89"/>
      <c r="E628" s="89">
        <v>1084420</v>
      </c>
      <c r="F628" s="89">
        <f>D628+E628</f>
        <v>1084420</v>
      </c>
      <c r="G628" s="89"/>
      <c r="H628" s="89">
        <f>H632*H635</f>
        <v>3699999.9999893</v>
      </c>
      <c r="I628" s="89"/>
      <c r="J628" s="89">
        <f>H628</f>
        <v>3699999.9999893</v>
      </c>
      <c r="K628" s="89"/>
      <c r="L628" s="89"/>
      <c r="M628" s="89"/>
      <c r="N628" s="89"/>
      <c r="O628" s="89"/>
      <c r="P628" s="89"/>
      <c r="Q628" s="106"/>
    </row>
    <row r="629" spans="1:235" ht="11.25">
      <c r="A629" s="20" t="s">
        <v>4</v>
      </c>
      <c r="B629" s="7"/>
      <c r="C629" s="7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73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</row>
    <row r="630" spans="1:235" ht="11.25">
      <c r="A630" s="21" t="s">
        <v>63</v>
      </c>
      <c r="B630" s="7"/>
      <c r="C630" s="7"/>
      <c r="D630" s="14"/>
      <c r="E630" s="14">
        <f>E628</f>
        <v>1084420</v>
      </c>
      <c r="F630" s="14">
        <f>D630+E630</f>
        <v>1084420</v>
      </c>
      <c r="G630" s="14"/>
      <c r="H630" s="14">
        <f>H628</f>
        <v>3699999.9999893</v>
      </c>
      <c r="I630" s="14"/>
      <c r="J630" s="14">
        <f>H630</f>
        <v>3699999.9999893</v>
      </c>
      <c r="K630" s="14"/>
      <c r="L630" s="14"/>
      <c r="M630" s="14"/>
      <c r="N630" s="14"/>
      <c r="O630" s="14"/>
      <c r="P630" s="14"/>
      <c r="Q630" s="73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</row>
    <row r="631" spans="1:235" ht="11.25">
      <c r="A631" s="20" t="s">
        <v>5</v>
      </c>
      <c r="B631" s="7"/>
      <c r="C631" s="7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73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</row>
    <row r="632" spans="1:235" ht="26.25" customHeight="1">
      <c r="A632" s="21" t="s">
        <v>279</v>
      </c>
      <c r="B632" s="7"/>
      <c r="C632" s="7"/>
      <c r="D632" s="14"/>
      <c r="E632" s="14">
        <v>39</v>
      </c>
      <c r="F632" s="14">
        <f>D632+E632</f>
        <v>39</v>
      </c>
      <c r="G632" s="14"/>
      <c r="H632" s="14">
        <v>133</v>
      </c>
      <c r="I632" s="14"/>
      <c r="J632" s="14">
        <f>H632</f>
        <v>133</v>
      </c>
      <c r="K632" s="14"/>
      <c r="L632" s="14"/>
      <c r="M632" s="14"/>
      <c r="N632" s="14"/>
      <c r="O632" s="14"/>
      <c r="P632" s="14"/>
      <c r="Q632" s="73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</row>
    <row r="633" spans="1:235" ht="11.25" hidden="1">
      <c r="A633" s="21" t="s">
        <v>241</v>
      </c>
      <c r="B633" s="7"/>
      <c r="C633" s="7"/>
      <c r="D633" s="14">
        <v>145</v>
      </c>
      <c r="E633" s="14"/>
      <c r="F633" s="14">
        <f>D633</f>
        <v>145</v>
      </c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7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</row>
    <row r="634" spans="1:235" ht="11.25">
      <c r="A634" s="20" t="s">
        <v>7</v>
      </c>
      <c r="B634" s="7"/>
      <c r="C634" s="7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73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</row>
    <row r="635" spans="1:235" ht="22.5">
      <c r="A635" s="21" t="s">
        <v>280</v>
      </c>
      <c r="B635" s="7"/>
      <c r="C635" s="7"/>
      <c r="D635" s="14"/>
      <c r="E635" s="14">
        <f>E630/E632</f>
        <v>27805.641025641027</v>
      </c>
      <c r="F635" s="14">
        <f>F630/F632</f>
        <v>27805.641025641027</v>
      </c>
      <c r="G635" s="14"/>
      <c r="H635" s="14">
        <v>27819.5488721</v>
      </c>
      <c r="I635" s="14"/>
      <c r="J635" s="14">
        <f>H635</f>
        <v>27819.5488721</v>
      </c>
      <c r="K635" s="14"/>
      <c r="L635" s="14"/>
      <c r="M635" s="14"/>
      <c r="N635" s="14"/>
      <c r="O635" s="14"/>
      <c r="P635" s="14"/>
      <c r="Q635" s="73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</row>
    <row r="636" spans="1:235" ht="22.5" hidden="1">
      <c r="A636" s="21" t="s">
        <v>244</v>
      </c>
      <c r="B636" s="7"/>
      <c r="C636" s="7"/>
      <c r="D636" s="14">
        <v>270.34</v>
      </c>
      <c r="E636" s="14"/>
      <c r="F636" s="14">
        <f>D636</f>
        <v>270.34</v>
      </c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73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</row>
    <row r="637" spans="1:17" s="85" customFormat="1" ht="12">
      <c r="A637" s="108">
        <v>150202</v>
      </c>
      <c r="B637" s="77"/>
      <c r="C637" s="77"/>
      <c r="D637" s="89">
        <f>D640</f>
        <v>0</v>
      </c>
      <c r="E637" s="89">
        <v>0</v>
      </c>
      <c r="F637" s="89">
        <f>D637</f>
        <v>0</v>
      </c>
      <c r="G637" s="89">
        <f>G640+G655</f>
        <v>699400</v>
      </c>
      <c r="H637" s="89"/>
      <c r="I637" s="89">
        <f>I640</f>
        <v>0</v>
      </c>
      <c r="J637" s="89">
        <f>J640+J655</f>
        <v>699400</v>
      </c>
      <c r="K637" s="89"/>
      <c r="L637" s="89"/>
      <c r="M637" s="89"/>
      <c r="N637" s="89">
        <f>N640</f>
        <v>0</v>
      </c>
      <c r="O637" s="89"/>
      <c r="P637" s="89">
        <f>P640</f>
        <v>0</v>
      </c>
      <c r="Q637" s="84"/>
    </row>
    <row r="638" spans="1:235" ht="33.75">
      <c r="A638" s="22" t="s">
        <v>249</v>
      </c>
      <c r="B638" s="7"/>
      <c r="C638" s="7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73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</row>
    <row r="639" spans="1:235" ht="11.25">
      <c r="A639" s="21" t="s">
        <v>303</v>
      </c>
      <c r="B639" s="7"/>
      <c r="C639" s="7"/>
      <c r="D639" s="62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73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</row>
    <row r="640" spans="1:17" s="92" customFormat="1" ht="22.5">
      <c r="A640" s="82" t="s">
        <v>407</v>
      </c>
      <c r="B640" s="88"/>
      <c r="C640" s="88"/>
      <c r="D640" s="144"/>
      <c r="E640" s="144"/>
      <c r="F640" s="144">
        <f>D640</f>
        <v>0</v>
      </c>
      <c r="G640" s="89">
        <f>G645*G648</f>
        <v>499400</v>
      </c>
      <c r="H640" s="89"/>
      <c r="I640" s="89"/>
      <c r="J640" s="89">
        <f>G640</f>
        <v>499400</v>
      </c>
      <c r="K640" s="89"/>
      <c r="L640" s="89"/>
      <c r="M640" s="89"/>
      <c r="N640" s="89"/>
      <c r="O640" s="89"/>
      <c r="P640" s="89"/>
      <c r="Q640" s="106"/>
    </row>
    <row r="641" spans="1:235" ht="11.25">
      <c r="A641" s="20" t="s">
        <v>4</v>
      </c>
      <c r="B641" s="7"/>
      <c r="C641" s="7"/>
      <c r="D641" s="145"/>
      <c r="E641" s="146"/>
      <c r="F641" s="146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73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</row>
    <row r="642" spans="1:235" ht="10.5" customHeight="1">
      <c r="A642" s="21" t="s">
        <v>63</v>
      </c>
      <c r="B642" s="7"/>
      <c r="C642" s="7"/>
      <c r="D642" s="145"/>
      <c r="E642" s="146"/>
      <c r="F642" s="146"/>
      <c r="G642" s="14">
        <f>G648</f>
        <v>499400</v>
      </c>
      <c r="H642" s="14"/>
      <c r="I642" s="14"/>
      <c r="J642" s="14">
        <f>G642</f>
        <v>499400</v>
      </c>
      <c r="K642" s="14"/>
      <c r="L642" s="14"/>
      <c r="M642" s="14"/>
      <c r="N642" s="14"/>
      <c r="O642" s="14"/>
      <c r="P642" s="14"/>
      <c r="Q642" s="73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</row>
    <row r="643" spans="1:235" ht="11.25" hidden="1">
      <c r="A643" s="21" t="s">
        <v>63</v>
      </c>
      <c r="B643" s="7"/>
      <c r="C643" s="7"/>
      <c r="D643" s="145"/>
      <c r="E643" s="146"/>
      <c r="F643" s="146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7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</row>
    <row r="644" spans="1:235" ht="11.25">
      <c r="A644" s="20" t="s">
        <v>5</v>
      </c>
      <c r="B644" s="7"/>
      <c r="C644" s="7"/>
      <c r="D644" s="145"/>
      <c r="E644" s="146"/>
      <c r="F644" s="146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73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</row>
    <row r="645" spans="1:235" ht="10.5" customHeight="1">
      <c r="A645" s="21" t="s">
        <v>281</v>
      </c>
      <c r="B645" s="7"/>
      <c r="C645" s="7"/>
      <c r="D645" s="145"/>
      <c r="E645" s="146"/>
      <c r="F645" s="146">
        <f>D645</f>
        <v>0</v>
      </c>
      <c r="G645" s="146">
        <v>1</v>
      </c>
      <c r="H645" s="146"/>
      <c r="I645" s="146"/>
      <c r="J645" s="146">
        <f>G645</f>
        <v>1</v>
      </c>
      <c r="K645" s="146">
        <f>H645</f>
        <v>0</v>
      </c>
      <c r="L645" s="146">
        <f>J645</f>
        <v>1</v>
      </c>
      <c r="M645" s="146">
        <f>K645</f>
        <v>0</v>
      </c>
      <c r="N645" s="146"/>
      <c r="O645" s="146"/>
      <c r="P645" s="146"/>
      <c r="Q645" s="73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</row>
    <row r="646" spans="1:235" ht="11.25" hidden="1">
      <c r="A646" s="21" t="s">
        <v>296</v>
      </c>
      <c r="B646" s="7"/>
      <c r="C646" s="7"/>
      <c r="D646" s="145"/>
      <c r="E646" s="146"/>
      <c r="F646" s="146"/>
      <c r="G646" s="146">
        <v>1487</v>
      </c>
      <c r="H646" s="146"/>
      <c r="I646" s="146"/>
      <c r="J646" s="146">
        <f>G646</f>
        <v>1487</v>
      </c>
      <c r="K646" s="146"/>
      <c r="L646" s="146"/>
      <c r="M646" s="146"/>
      <c r="N646" s="146"/>
      <c r="O646" s="146"/>
      <c r="P646" s="146"/>
      <c r="Q646" s="73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</row>
    <row r="647" spans="1:235" ht="11.25">
      <c r="A647" s="20" t="s">
        <v>7</v>
      </c>
      <c r="B647" s="7"/>
      <c r="C647" s="7"/>
      <c r="D647" s="145"/>
      <c r="E647" s="146"/>
      <c r="F647" s="146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73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</row>
    <row r="648" spans="1:235" ht="11.25">
      <c r="A648" s="21" t="s">
        <v>282</v>
      </c>
      <c r="B648" s="7"/>
      <c r="C648" s="7"/>
      <c r="D648" s="145"/>
      <c r="E648" s="146"/>
      <c r="F648" s="146"/>
      <c r="G648" s="14">
        <f>465000+34400</f>
        <v>499400</v>
      </c>
      <c r="H648" s="14"/>
      <c r="I648" s="14"/>
      <c r="J648" s="14">
        <f>G648</f>
        <v>499400</v>
      </c>
      <c r="K648" s="14"/>
      <c r="L648" s="14"/>
      <c r="M648" s="14"/>
      <c r="N648" s="14"/>
      <c r="O648" s="14"/>
      <c r="P648" s="14"/>
      <c r="Q648" s="73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</row>
    <row r="649" spans="1:235" ht="11.25" hidden="1">
      <c r="A649" s="21"/>
      <c r="B649" s="7"/>
      <c r="C649" s="7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73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  <c r="IA649"/>
    </row>
    <row r="650" spans="1:235" ht="11.25" hidden="1">
      <c r="A650" s="21"/>
      <c r="B650" s="7"/>
      <c r="C650" s="7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73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</row>
    <row r="651" spans="1:235" ht="11.25" hidden="1">
      <c r="A651" s="21"/>
      <c r="B651" s="7"/>
      <c r="C651" s="7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73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  <c r="IA651"/>
    </row>
    <row r="652" spans="1:235" ht="11.25" hidden="1">
      <c r="A652" s="21"/>
      <c r="B652" s="7"/>
      <c r="C652" s="7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73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</row>
    <row r="653" spans="1:235" ht="11.25" hidden="1">
      <c r="A653" s="21"/>
      <c r="B653" s="7"/>
      <c r="C653" s="7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7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  <c r="IA653"/>
    </row>
    <row r="654" spans="1:235" ht="21" customHeight="1" hidden="1">
      <c r="A654" s="21" t="s">
        <v>297</v>
      </c>
      <c r="B654" s="7"/>
      <c r="C654" s="7"/>
      <c r="D654" s="14"/>
      <c r="E654" s="14"/>
      <c r="F654" s="14"/>
      <c r="G654" s="14">
        <v>3000</v>
      </c>
      <c r="H654" s="14"/>
      <c r="I654" s="14"/>
      <c r="J654" s="14">
        <f>G654</f>
        <v>3000</v>
      </c>
      <c r="K654" s="14"/>
      <c r="L654" s="14"/>
      <c r="M654" s="14"/>
      <c r="N654" s="14"/>
      <c r="O654" s="14"/>
      <c r="P654" s="14"/>
      <c r="Q654" s="73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  <c r="HC654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  <c r="HW654"/>
      <c r="HX654"/>
      <c r="HY654"/>
      <c r="HZ654"/>
      <c r="IA654"/>
    </row>
    <row r="655" spans="1:17" s="92" customFormat="1" ht="22.5">
      <c r="A655" s="82" t="s">
        <v>408</v>
      </c>
      <c r="B655" s="88"/>
      <c r="C655" s="88"/>
      <c r="D655" s="144"/>
      <c r="E655" s="144"/>
      <c r="F655" s="144">
        <f>D655</f>
        <v>0</v>
      </c>
      <c r="G655" s="89">
        <f>G660*G663</f>
        <v>200000</v>
      </c>
      <c r="H655" s="89"/>
      <c r="I655" s="89"/>
      <c r="J655" s="89">
        <f>G655</f>
        <v>200000</v>
      </c>
      <c r="K655" s="89"/>
      <c r="L655" s="89"/>
      <c r="M655" s="89"/>
      <c r="N655" s="89"/>
      <c r="O655" s="89"/>
      <c r="P655" s="89"/>
      <c r="Q655" s="106"/>
    </row>
    <row r="656" spans="1:235" ht="11.25">
      <c r="A656" s="20" t="s">
        <v>4</v>
      </c>
      <c r="B656" s="7"/>
      <c r="C656" s="7"/>
      <c r="D656" s="145"/>
      <c r="E656" s="146"/>
      <c r="F656" s="146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73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  <c r="IA656"/>
    </row>
    <row r="657" spans="1:235" ht="10.5" customHeight="1">
      <c r="A657" s="21" t="s">
        <v>63</v>
      </c>
      <c r="B657" s="7"/>
      <c r="C657" s="7"/>
      <c r="D657" s="145"/>
      <c r="E657" s="146"/>
      <c r="F657" s="146"/>
      <c r="G657" s="14">
        <f>G660*G663</f>
        <v>200000</v>
      </c>
      <c r="H657" s="14"/>
      <c r="I657" s="14"/>
      <c r="J657" s="14">
        <f>G657</f>
        <v>200000</v>
      </c>
      <c r="K657" s="14"/>
      <c r="L657" s="14"/>
      <c r="M657" s="14"/>
      <c r="N657" s="14"/>
      <c r="O657" s="14"/>
      <c r="P657" s="14"/>
      <c r="Q657" s="73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  <c r="IA657"/>
    </row>
    <row r="658" spans="1:235" ht="11.25" hidden="1">
      <c r="A658" s="21" t="s">
        <v>63</v>
      </c>
      <c r="B658" s="7"/>
      <c r="C658" s="7"/>
      <c r="D658" s="145"/>
      <c r="E658" s="146"/>
      <c r="F658" s="146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73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  <c r="IA658"/>
    </row>
    <row r="659" spans="1:235" ht="11.25">
      <c r="A659" s="20" t="s">
        <v>5</v>
      </c>
      <c r="B659" s="7"/>
      <c r="C659" s="7"/>
      <c r="D659" s="145"/>
      <c r="E659" s="146"/>
      <c r="F659" s="146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73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  <c r="IA659"/>
    </row>
    <row r="660" spans="1:235" ht="10.5" customHeight="1">
      <c r="A660" s="21" t="s">
        <v>335</v>
      </c>
      <c r="B660" s="7"/>
      <c r="C660" s="7"/>
      <c r="D660" s="145"/>
      <c r="E660" s="146"/>
      <c r="F660" s="146">
        <f>D660</f>
        <v>0</v>
      </c>
      <c r="G660" s="146">
        <v>1</v>
      </c>
      <c r="H660" s="146"/>
      <c r="I660" s="146"/>
      <c r="J660" s="146">
        <f>G660</f>
        <v>1</v>
      </c>
      <c r="K660" s="146">
        <f>H660</f>
        <v>0</v>
      </c>
      <c r="L660" s="146">
        <f>J660</f>
        <v>1</v>
      </c>
      <c r="M660" s="146">
        <f>K660</f>
        <v>0</v>
      </c>
      <c r="N660" s="146"/>
      <c r="O660" s="146"/>
      <c r="P660" s="146"/>
      <c r="Q660" s="73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  <c r="IA660"/>
    </row>
    <row r="661" spans="1:235" ht="11.25" hidden="1">
      <c r="A661" s="21" t="s">
        <v>296</v>
      </c>
      <c r="B661" s="7"/>
      <c r="C661" s="7"/>
      <c r="D661" s="145"/>
      <c r="E661" s="146"/>
      <c r="F661" s="146"/>
      <c r="G661" s="146">
        <v>1487</v>
      </c>
      <c r="H661" s="146"/>
      <c r="I661" s="146"/>
      <c r="J661" s="146">
        <f>G661</f>
        <v>1487</v>
      </c>
      <c r="K661" s="146"/>
      <c r="L661" s="146"/>
      <c r="M661" s="146"/>
      <c r="N661" s="146"/>
      <c r="O661" s="146"/>
      <c r="P661" s="146"/>
      <c r="Q661" s="73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</row>
    <row r="662" spans="1:235" ht="11.25">
      <c r="A662" s="20" t="s">
        <v>7</v>
      </c>
      <c r="B662" s="7"/>
      <c r="C662" s="7"/>
      <c r="D662" s="145"/>
      <c r="E662" s="146"/>
      <c r="F662" s="146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73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</row>
    <row r="663" spans="1:235" ht="22.5">
      <c r="A663" s="21" t="s">
        <v>336</v>
      </c>
      <c r="B663" s="7"/>
      <c r="C663" s="7"/>
      <c r="D663" s="145"/>
      <c r="E663" s="146"/>
      <c r="F663" s="146"/>
      <c r="G663" s="14">
        <v>200000</v>
      </c>
      <c r="H663" s="14"/>
      <c r="I663" s="14"/>
      <c r="J663" s="14">
        <f>G663</f>
        <v>200000</v>
      </c>
      <c r="K663" s="14"/>
      <c r="L663" s="14"/>
      <c r="M663" s="14"/>
      <c r="N663" s="14"/>
      <c r="O663" s="14"/>
      <c r="P663" s="14"/>
      <c r="Q663" s="7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</row>
    <row r="664" spans="1:17" s="85" customFormat="1" ht="12">
      <c r="A664" s="108">
        <v>180409</v>
      </c>
      <c r="B664" s="77"/>
      <c r="C664" s="77"/>
      <c r="D664" s="89">
        <f>D666+D680+D741+D750+D757</f>
        <v>0</v>
      </c>
      <c r="E664" s="89"/>
      <c r="F664" s="89">
        <f>D664</f>
        <v>0</v>
      </c>
      <c r="G664" s="89"/>
      <c r="H664" s="89">
        <f>H666</f>
        <v>79404991</v>
      </c>
      <c r="I664" s="89">
        <f>I666</f>
        <v>47000</v>
      </c>
      <c r="J664" s="89">
        <f>H664+I664</f>
        <v>79451991</v>
      </c>
      <c r="K664" s="89"/>
      <c r="L664" s="89"/>
      <c r="M664" s="89"/>
      <c r="N664" s="89"/>
      <c r="O664" s="89">
        <f>O666</f>
        <v>83164021</v>
      </c>
      <c r="P664" s="89">
        <f>P666</f>
        <v>83164021</v>
      </c>
      <c r="Q664" s="84"/>
    </row>
    <row r="665" spans="1:235" ht="22.5">
      <c r="A665" s="21" t="s">
        <v>283</v>
      </c>
      <c r="B665" s="7"/>
      <c r="C665" s="7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73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</row>
    <row r="666" spans="1:17" s="92" customFormat="1" ht="33.75">
      <c r="A666" s="82" t="s">
        <v>409</v>
      </c>
      <c r="B666" s="88"/>
      <c r="C666" s="88"/>
      <c r="D666" s="89"/>
      <c r="E666" s="89"/>
      <c r="F666" s="89">
        <f>D666</f>
        <v>0</v>
      </c>
      <c r="G666" s="89"/>
      <c r="H666" s="89">
        <f>H670*H672</f>
        <v>79404991</v>
      </c>
      <c r="I666" s="89">
        <f>I668</f>
        <v>47000</v>
      </c>
      <c r="J666" s="89">
        <f>H666+I666</f>
        <v>79451991</v>
      </c>
      <c r="K666" s="89"/>
      <c r="L666" s="89"/>
      <c r="M666" s="89"/>
      <c r="N666" s="89"/>
      <c r="O666" s="89">
        <f>O670*O672</f>
        <v>83164021</v>
      </c>
      <c r="P666" s="89">
        <f>O666</f>
        <v>83164021</v>
      </c>
      <c r="Q666" s="106"/>
    </row>
    <row r="667" spans="1:235" ht="11.25">
      <c r="A667" s="20" t="s">
        <v>4</v>
      </c>
      <c r="B667" s="7"/>
      <c r="C667" s="7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73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</row>
    <row r="668" spans="1:235" ht="11.25">
      <c r="A668" s="21" t="s">
        <v>63</v>
      </c>
      <c r="B668" s="7"/>
      <c r="C668" s="7"/>
      <c r="D668" s="14"/>
      <c r="E668" s="14"/>
      <c r="F668" s="14">
        <f>D668</f>
        <v>0</v>
      </c>
      <c r="G668" s="14"/>
      <c r="H668" s="14">
        <f>49855600+12000000+250000+1116250+339900+677700+277200+14159+17372+292000+50+5000+2725000+1800000+1470000+21000+72610+1134950+5798800+317600+470000+700000+49800</f>
        <v>79404991</v>
      </c>
      <c r="I668" s="14">
        <v>47000</v>
      </c>
      <c r="J668" s="14">
        <f>H668+I668</f>
        <v>79451991</v>
      </c>
      <c r="K668" s="14"/>
      <c r="L668" s="14"/>
      <c r="M668" s="14"/>
      <c r="N668" s="14"/>
      <c r="O668" s="14">
        <v>83164021</v>
      </c>
      <c r="P668" s="14">
        <f>O668</f>
        <v>83164021</v>
      </c>
      <c r="Q668" s="73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</row>
    <row r="669" spans="1:235" ht="11.25">
      <c r="A669" s="20" t="s">
        <v>5</v>
      </c>
      <c r="B669" s="7"/>
      <c r="C669" s="7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73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</row>
    <row r="670" spans="1:235" ht="33.75">
      <c r="A670" s="21" t="s">
        <v>284</v>
      </c>
      <c r="B670" s="7"/>
      <c r="C670" s="7"/>
      <c r="D670" s="14"/>
      <c r="E670" s="14"/>
      <c r="F670" s="14"/>
      <c r="G670" s="14"/>
      <c r="H670" s="14">
        <v>7</v>
      </c>
      <c r="I670" s="14"/>
      <c r="J670" s="14">
        <v>7</v>
      </c>
      <c r="K670" s="14"/>
      <c r="L670" s="14"/>
      <c r="M670" s="14"/>
      <c r="N670" s="14"/>
      <c r="O670" s="14">
        <v>7</v>
      </c>
      <c r="P670" s="14">
        <f>O670</f>
        <v>7</v>
      </c>
      <c r="Q670" s="73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  <c r="IA670"/>
    </row>
    <row r="671" spans="1:235" ht="11.25">
      <c r="A671" s="20" t="s">
        <v>7</v>
      </c>
      <c r="B671" s="7"/>
      <c r="C671" s="7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73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  <c r="IA671"/>
    </row>
    <row r="672" spans="1:235" ht="24.75" customHeight="1">
      <c r="A672" s="21" t="s">
        <v>285</v>
      </c>
      <c r="B672" s="7"/>
      <c r="C672" s="7"/>
      <c r="D672" s="14"/>
      <c r="E672" s="14"/>
      <c r="F672" s="14"/>
      <c r="G672" s="14"/>
      <c r="H672" s="14">
        <f>H668/H670</f>
        <v>11343570.142857144</v>
      </c>
      <c r="I672" s="14"/>
      <c r="J672" s="14">
        <f>J668/J670</f>
        <v>11350284.42857143</v>
      </c>
      <c r="K672" s="14"/>
      <c r="L672" s="14"/>
      <c r="M672" s="14"/>
      <c r="N672" s="14"/>
      <c r="O672" s="14">
        <f>O668/O670</f>
        <v>11880574.42857143</v>
      </c>
      <c r="P672" s="72">
        <f>O672</f>
        <v>11880574.42857143</v>
      </c>
      <c r="Q672" s="73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  <c r="IA672"/>
    </row>
    <row r="673" spans="1:235" ht="11.25" hidden="1">
      <c r="A673" s="21"/>
      <c r="B673" s="7"/>
      <c r="C673" s="7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72"/>
      <c r="Q673" s="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  <c r="IA673"/>
    </row>
    <row r="674" spans="1:235" ht="11.25" hidden="1">
      <c r="A674" s="21"/>
      <c r="B674" s="7"/>
      <c r="C674" s="7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72"/>
      <c r="Q674" s="73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  <c r="IA674"/>
    </row>
    <row r="675" spans="1:235" ht="11.25" hidden="1">
      <c r="A675" s="21"/>
      <c r="B675" s="7"/>
      <c r="C675" s="7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72"/>
      <c r="Q675" s="73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</row>
    <row r="676" spans="1:235" ht="11.25" hidden="1">
      <c r="A676" s="21"/>
      <c r="B676" s="7"/>
      <c r="C676" s="7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72"/>
      <c r="Q676" s="73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  <c r="IA676"/>
    </row>
    <row r="677" spans="1:235" ht="11.25" hidden="1">
      <c r="A677" s="21"/>
      <c r="B677" s="7"/>
      <c r="C677" s="7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72"/>
      <c r="Q677" s="73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</row>
    <row r="678" spans="1:235" ht="11.25" hidden="1">
      <c r="A678" s="21"/>
      <c r="B678" s="7"/>
      <c r="C678" s="7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72"/>
      <c r="Q678" s="73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</row>
    <row r="679" spans="1:235" ht="11.25" hidden="1">
      <c r="A679" s="21"/>
      <c r="B679" s="7"/>
      <c r="C679" s="7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72"/>
      <c r="Q679" s="73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</row>
    <row r="680" spans="1:17" s="85" customFormat="1" ht="12">
      <c r="A680" s="108">
        <v>250380</v>
      </c>
      <c r="B680" s="77"/>
      <c r="C680" s="77"/>
      <c r="D680" s="89">
        <f>D682+D750+D759+D768</f>
        <v>0</v>
      </c>
      <c r="E680" s="89"/>
      <c r="F680" s="89">
        <f>D680</f>
        <v>0</v>
      </c>
      <c r="G680" s="89">
        <f>G682</f>
        <v>679500</v>
      </c>
      <c r="H680" s="89">
        <f>H682</f>
        <v>750500</v>
      </c>
      <c r="I680" s="89">
        <f>I682</f>
        <v>0</v>
      </c>
      <c r="J680" s="89">
        <f>G680+H680</f>
        <v>1430000</v>
      </c>
      <c r="K680" s="89"/>
      <c r="L680" s="89"/>
      <c r="M680" s="89"/>
      <c r="N680" s="89">
        <f>N682</f>
        <v>250000</v>
      </c>
      <c r="O680" s="89">
        <f>O682</f>
        <v>1730000</v>
      </c>
      <c r="P680" s="89">
        <f>N680+O680</f>
        <v>1980000</v>
      </c>
      <c r="Q680" s="84"/>
    </row>
    <row r="681" spans="1:235" ht="56.25">
      <c r="A681" s="21" t="s">
        <v>310</v>
      </c>
      <c r="B681" s="7"/>
      <c r="C681" s="7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73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</row>
    <row r="682" spans="1:17" s="92" customFormat="1" ht="36" customHeight="1">
      <c r="A682" s="82" t="s">
        <v>410</v>
      </c>
      <c r="B682" s="88"/>
      <c r="C682" s="88"/>
      <c r="D682" s="89"/>
      <c r="E682" s="89"/>
      <c r="F682" s="89">
        <f>D682</f>
        <v>0</v>
      </c>
      <c r="G682" s="89">
        <f>G686*G688</f>
        <v>679500</v>
      </c>
      <c r="H682" s="89">
        <f>H684</f>
        <v>750500</v>
      </c>
      <c r="I682" s="89"/>
      <c r="J682" s="89">
        <f>G682+H682</f>
        <v>1430000</v>
      </c>
      <c r="K682" s="89"/>
      <c r="L682" s="89"/>
      <c r="M682" s="89"/>
      <c r="N682" s="89">
        <f>N686*N688</f>
        <v>250000</v>
      </c>
      <c r="O682" s="89">
        <f>O686*O688</f>
        <v>1730000</v>
      </c>
      <c r="P682" s="89">
        <f>N682+O682</f>
        <v>1980000</v>
      </c>
      <c r="Q682" s="106"/>
    </row>
    <row r="683" spans="1:235" ht="11.25">
      <c r="A683" s="20" t="s">
        <v>4</v>
      </c>
      <c r="B683" s="7"/>
      <c r="C683" s="7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7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</row>
    <row r="684" spans="1:235" ht="11.25">
      <c r="A684" s="21" t="s">
        <v>63</v>
      </c>
      <c r="B684" s="7"/>
      <c r="C684" s="7"/>
      <c r="D684" s="14"/>
      <c r="E684" s="14"/>
      <c r="F684" s="14">
        <f>D684</f>
        <v>0</v>
      </c>
      <c r="G684" s="14">
        <v>679500</v>
      </c>
      <c r="H684" s="14">
        <v>750500</v>
      </c>
      <c r="I684" s="14"/>
      <c r="J684" s="14">
        <f>G684+H684</f>
        <v>1430000</v>
      </c>
      <c r="K684" s="14"/>
      <c r="L684" s="14"/>
      <c r="M684" s="14"/>
      <c r="N684" s="14">
        <f>250000</f>
        <v>250000</v>
      </c>
      <c r="O684" s="14">
        <v>1730000</v>
      </c>
      <c r="P684" s="14">
        <f>N684+O684</f>
        <v>1980000</v>
      </c>
      <c r="Q684" s="73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</row>
    <row r="685" spans="1:235" ht="11.25">
      <c r="A685" s="20" t="s">
        <v>5</v>
      </c>
      <c r="B685" s="7"/>
      <c r="C685" s="7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73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</row>
    <row r="686" spans="1:235" ht="22.5">
      <c r="A686" s="21" t="s">
        <v>313</v>
      </c>
      <c r="B686" s="7"/>
      <c r="C686" s="7"/>
      <c r="D686" s="14"/>
      <c r="E686" s="14"/>
      <c r="F686" s="14"/>
      <c r="G686" s="14">
        <v>1</v>
      </c>
      <c r="H686" s="14">
        <v>1</v>
      </c>
      <c r="I686" s="14"/>
      <c r="J686" s="14">
        <v>1</v>
      </c>
      <c r="K686" s="14"/>
      <c r="L686" s="14"/>
      <c r="M686" s="14"/>
      <c r="N686" s="14">
        <v>1</v>
      </c>
      <c r="O686" s="14">
        <v>1</v>
      </c>
      <c r="P686" s="14">
        <f>N686+O686</f>
        <v>2</v>
      </c>
      <c r="Q686" s="73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  <c r="IA686"/>
    </row>
    <row r="687" spans="1:235" ht="11.25">
      <c r="A687" s="20" t="s">
        <v>7</v>
      </c>
      <c r="B687" s="7"/>
      <c r="C687" s="7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73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</row>
    <row r="688" spans="1:235" ht="22.5">
      <c r="A688" s="21" t="s">
        <v>314</v>
      </c>
      <c r="B688" s="7"/>
      <c r="C688" s="7"/>
      <c r="D688" s="14"/>
      <c r="E688" s="14"/>
      <c r="F688" s="14"/>
      <c r="G688" s="14">
        <v>679500</v>
      </c>
      <c r="H688" s="14">
        <f>H684/H686</f>
        <v>750500</v>
      </c>
      <c r="I688" s="151"/>
      <c r="J688" s="151">
        <f>J684/J686</f>
        <v>1430000</v>
      </c>
      <c r="K688" s="151"/>
      <c r="L688" s="151"/>
      <c r="M688" s="151"/>
      <c r="N688" s="151">
        <v>250000</v>
      </c>
      <c r="O688" s="151">
        <f>980000+750000</f>
        <v>1730000</v>
      </c>
      <c r="P688" s="14">
        <f>N688+O688</f>
        <v>1980000</v>
      </c>
      <c r="Q688" s="73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</row>
    <row r="689" spans="1:17" s="85" customFormat="1" ht="12">
      <c r="A689" s="108">
        <v>100101</v>
      </c>
      <c r="B689" s="77"/>
      <c r="C689" s="77"/>
      <c r="D689" s="89">
        <f>D692</f>
        <v>0</v>
      </c>
      <c r="E689" s="89">
        <v>0</v>
      </c>
      <c r="F689" s="89">
        <f>D689</f>
        <v>0</v>
      </c>
      <c r="G689" s="89">
        <f>G692</f>
        <v>2000000</v>
      </c>
      <c r="H689" s="89"/>
      <c r="I689" s="89">
        <f>I692</f>
        <v>0</v>
      </c>
      <c r="J689" s="89">
        <f>J692</f>
        <v>2000000</v>
      </c>
      <c r="K689" s="89"/>
      <c r="L689" s="89"/>
      <c r="M689" s="89"/>
      <c r="N689" s="89">
        <f>N692</f>
        <v>3200000</v>
      </c>
      <c r="O689" s="89"/>
      <c r="P689" s="89">
        <f>P692</f>
        <v>3200000</v>
      </c>
      <c r="Q689" s="84"/>
    </row>
    <row r="690" spans="1:235" ht="33.75">
      <c r="A690" s="22" t="s">
        <v>249</v>
      </c>
      <c r="B690" s="7"/>
      <c r="C690" s="7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73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</row>
    <row r="691" spans="1:235" ht="22.5">
      <c r="A691" s="21" t="s">
        <v>302</v>
      </c>
      <c r="B691" s="7"/>
      <c r="C691" s="7"/>
      <c r="D691" s="62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73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</row>
    <row r="692" spans="1:17" s="92" customFormat="1" ht="37.5" customHeight="1">
      <c r="A692" s="82" t="s">
        <v>411</v>
      </c>
      <c r="B692" s="88"/>
      <c r="C692" s="88"/>
      <c r="D692" s="144"/>
      <c r="E692" s="144"/>
      <c r="F692" s="144">
        <f>D692</f>
        <v>0</v>
      </c>
      <c r="G692" s="89">
        <f>G698*G706</f>
        <v>2000000</v>
      </c>
      <c r="H692" s="89"/>
      <c r="I692" s="89"/>
      <c r="J692" s="89">
        <f>J694</f>
        <v>2000000</v>
      </c>
      <c r="K692" s="89"/>
      <c r="L692" s="89"/>
      <c r="M692" s="89"/>
      <c r="N692" s="89">
        <f>N694</f>
        <v>3200000</v>
      </c>
      <c r="O692" s="89"/>
      <c r="P692" s="89">
        <f>N692</f>
        <v>3200000</v>
      </c>
      <c r="Q692" s="106"/>
    </row>
    <row r="693" spans="1:235" ht="11.25">
      <c r="A693" s="20" t="s">
        <v>4</v>
      </c>
      <c r="B693" s="7"/>
      <c r="C693" s="7"/>
      <c r="D693" s="145"/>
      <c r="E693" s="146"/>
      <c r="F693" s="146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7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</row>
    <row r="694" spans="1:235" ht="10.5" customHeight="1">
      <c r="A694" s="21" t="s">
        <v>63</v>
      </c>
      <c r="B694" s="7"/>
      <c r="C694" s="7"/>
      <c r="D694" s="145"/>
      <c r="E694" s="146"/>
      <c r="F694" s="146"/>
      <c r="G694" s="14">
        <v>2000000</v>
      </c>
      <c r="H694" s="14"/>
      <c r="I694" s="14"/>
      <c r="J694" s="14">
        <f>J698*J706</f>
        <v>2000000</v>
      </c>
      <c r="K694" s="14"/>
      <c r="L694" s="14"/>
      <c r="M694" s="14"/>
      <c r="N694" s="14">
        <v>3200000</v>
      </c>
      <c r="O694" s="14"/>
      <c r="P694" s="14">
        <f>N694</f>
        <v>3200000</v>
      </c>
      <c r="Q694" s="73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</row>
    <row r="695" spans="1:235" ht="11.25" hidden="1">
      <c r="A695" s="21" t="s">
        <v>63</v>
      </c>
      <c r="B695" s="7"/>
      <c r="C695" s="7"/>
      <c r="D695" s="145"/>
      <c r="E695" s="146"/>
      <c r="F695" s="146"/>
      <c r="G695" s="14"/>
      <c r="H695" s="14"/>
      <c r="I695" s="14"/>
      <c r="J695" s="14"/>
      <c r="K695" s="14"/>
      <c r="L695" s="14"/>
      <c r="M695" s="14"/>
      <c r="N695" s="14"/>
      <c r="O695" s="14"/>
      <c r="P695" s="14">
        <f aca="true" t="shared" si="47" ref="P695:P706">N695</f>
        <v>0</v>
      </c>
      <c r="Q695" s="73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  <c r="IA695"/>
    </row>
    <row r="696" spans="1:235" ht="11.25">
      <c r="A696" s="20" t="s">
        <v>5</v>
      </c>
      <c r="B696" s="7"/>
      <c r="C696" s="7"/>
      <c r="D696" s="145"/>
      <c r="E696" s="146"/>
      <c r="F696" s="146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73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  <c r="IA696"/>
    </row>
    <row r="697" spans="1:235" ht="0.75" customHeight="1" hidden="1">
      <c r="A697" s="21" t="s">
        <v>281</v>
      </c>
      <c r="B697" s="7"/>
      <c r="C697" s="7"/>
      <c r="D697" s="145"/>
      <c r="E697" s="146"/>
      <c r="F697" s="146">
        <f>D697</f>
        <v>0</v>
      </c>
      <c r="G697" s="146">
        <v>1</v>
      </c>
      <c r="H697" s="146"/>
      <c r="I697" s="146"/>
      <c r="J697" s="146">
        <f>G697</f>
        <v>1</v>
      </c>
      <c r="K697" s="14"/>
      <c r="L697" s="14"/>
      <c r="M697" s="14"/>
      <c r="N697" s="14"/>
      <c r="O697" s="14"/>
      <c r="P697" s="14">
        <f t="shared" si="47"/>
        <v>0</v>
      </c>
      <c r="Q697" s="73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  <c r="IA697"/>
    </row>
    <row r="698" spans="1:235" ht="11.25">
      <c r="A698" s="21" t="s">
        <v>296</v>
      </c>
      <c r="B698" s="7"/>
      <c r="C698" s="7"/>
      <c r="D698" s="145"/>
      <c r="E698" s="146"/>
      <c r="F698" s="146"/>
      <c r="G698" s="146">
        <v>500</v>
      </c>
      <c r="H698" s="146"/>
      <c r="I698" s="146"/>
      <c r="J698" s="146">
        <v>500</v>
      </c>
      <c r="K698" s="14"/>
      <c r="L698" s="14"/>
      <c r="M698" s="14"/>
      <c r="N698" s="14">
        <v>1244</v>
      </c>
      <c r="O698" s="14"/>
      <c r="P698" s="14">
        <f t="shared" si="47"/>
        <v>1244</v>
      </c>
      <c r="Q698" s="73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  <c r="IA698"/>
    </row>
    <row r="699" spans="1:235" ht="10.5" customHeight="1">
      <c r="A699" s="20" t="s">
        <v>7</v>
      </c>
      <c r="B699" s="7"/>
      <c r="C699" s="7"/>
      <c r="D699" s="145"/>
      <c r="E699" s="146"/>
      <c r="F699" s="146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73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  <c r="HA699"/>
      <c r="HB699"/>
      <c r="HC699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  <c r="HX699"/>
      <c r="HY699"/>
      <c r="HZ699"/>
      <c r="IA699"/>
    </row>
    <row r="700" spans="1:235" ht="15" customHeight="1" hidden="1">
      <c r="A700" s="21" t="s">
        <v>282</v>
      </c>
      <c r="B700" s="7"/>
      <c r="C700" s="7"/>
      <c r="D700" s="145"/>
      <c r="E700" s="146"/>
      <c r="F700" s="146"/>
      <c r="G700" s="14">
        <v>465000</v>
      </c>
      <c r="H700" s="14"/>
      <c r="I700" s="14"/>
      <c r="J700" s="14">
        <f>G700</f>
        <v>465000</v>
      </c>
      <c r="K700" s="14"/>
      <c r="L700" s="14"/>
      <c r="M700" s="14"/>
      <c r="N700" s="14"/>
      <c r="O700" s="14"/>
      <c r="P700" s="14">
        <f t="shared" si="47"/>
        <v>0</v>
      </c>
      <c r="Q700" s="73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  <c r="IA700"/>
    </row>
    <row r="701" spans="1:235" ht="11.25" hidden="1">
      <c r="A701" s="21"/>
      <c r="B701" s="7"/>
      <c r="C701" s="7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>
        <f t="shared" si="47"/>
        <v>0</v>
      </c>
      <c r="Q701" s="73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</row>
    <row r="702" spans="1:235" ht="11.25" hidden="1">
      <c r="A702" s="21"/>
      <c r="B702" s="7"/>
      <c r="C702" s="7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>
        <f t="shared" si="47"/>
        <v>0</v>
      </c>
      <c r="Q702" s="73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</row>
    <row r="703" spans="1:235" ht="11.25" hidden="1">
      <c r="A703" s="21"/>
      <c r="B703" s="7"/>
      <c r="C703" s="7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>
        <f t="shared" si="47"/>
        <v>0</v>
      </c>
      <c r="Q703" s="7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</row>
    <row r="704" spans="1:235" ht="11.25" hidden="1">
      <c r="A704" s="21"/>
      <c r="B704" s="7"/>
      <c r="C704" s="7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>
        <f t="shared" si="47"/>
        <v>0</v>
      </c>
      <c r="Q704" s="73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  <c r="IA704"/>
    </row>
    <row r="705" spans="1:235" ht="11.25" hidden="1">
      <c r="A705" s="21"/>
      <c r="B705" s="7"/>
      <c r="C705" s="7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>
        <f t="shared" si="47"/>
        <v>0</v>
      </c>
      <c r="Q705" s="73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</row>
    <row r="706" spans="1:235" ht="22.5">
      <c r="A706" s="21" t="s">
        <v>297</v>
      </c>
      <c r="B706" s="7"/>
      <c r="C706" s="7"/>
      <c r="D706" s="14"/>
      <c r="E706" s="14"/>
      <c r="F706" s="14"/>
      <c r="G706" s="14">
        <v>4000</v>
      </c>
      <c r="H706" s="14"/>
      <c r="I706" s="14"/>
      <c r="J706" s="14">
        <v>4000</v>
      </c>
      <c r="K706" s="14"/>
      <c r="L706" s="14"/>
      <c r="M706" s="14"/>
      <c r="N706" s="14">
        <v>2572.339</v>
      </c>
      <c r="O706" s="14"/>
      <c r="P706" s="14">
        <f t="shared" si="47"/>
        <v>2572.339</v>
      </c>
      <c r="Q706" s="73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  <c r="HA706"/>
      <c r="HB706"/>
      <c r="HC706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  <c r="HX706"/>
      <c r="HY706"/>
      <c r="HZ706"/>
      <c r="IA706"/>
    </row>
    <row r="707" spans="1:17" s="85" customFormat="1" ht="12.75">
      <c r="A707" s="83" t="s">
        <v>317</v>
      </c>
      <c r="B707" s="77"/>
      <c r="C707" s="77"/>
      <c r="D707" s="78"/>
      <c r="E707" s="78"/>
      <c r="F707" s="78"/>
      <c r="G707" s="152">
        <f>G708</f>
        <v>349999.999992</v>
      </c>
      <c r="H707" s="152"/>
      <c r="I707" s="152">
        <f>I708</f>
        <v>0</v>
      </c>
      <c r="J707" s="152">
        <f>G707</f>
        <v>349999.999992</v>
      </c>
      <c r="K707" s="78"/>
      <c r="L707" s="78"/>
      <c r="M707" s="78"/>
      <c r="N707" s="152">
        <f>N708</f>
        <v>349999.999992</v>
      </c>
      <c r="O707" s="152"/>
      <c r="P707" s="152">
        <f>N707</f>
        <v>349999.999992</v>
      </c>
      <c r="Q707" s="84"/>
    </row>
    <row r="708" spans="1:17" s="92" customFormat="1" ht="22.5">
      <c r="A708" s="82" t="s">
        <v>412</v>
      </c>
      <c r="B708" s="88"/>
      <c r="C708" s="88"/>
      <c r="D708" s="89"/>
      <c r="E708" s="89"/>
      <c r="F708" s="89"/>
      <c r="G708" s="89">
        <f>G712*G714</f>
        <v>349999.999992</v>
      </c>
      <c r="H708" s="89"/>
      <c r="I708" s="89"/>
      <c r="J708" s="89">
        <f>G708</f>
        <v>349999.999992</v>
      </c>
      <c r="K708" s="89"/>
      <c r="L708" s="89"/>
      <c r="M708" s="89"/>
      <c r="N708" s="89">
        <f>N712*N714</f>
        <v>349999.999992</v>
      </c>
      <c r="O708" s="89"/>
      <c r="P708" s="152">
        <f>N708</f>
        <v>349999.999992</v>
      </c>
      <c r="Q708" s="106"/>
    </row>
    <row r="709" spans="1:235" ht="11.25">
      <c r="A709" s="20" t="s">
        <v>4</v>
      </c>
      <c r="B709" s="7"/>
      <c r="C709" s="7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73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  <c r="HX709"/>
      <c r="HY709"/>
      <c r="HZ709"/>
      <c r="IA709"/>
    </row>
    <row r="710" spans="1:235" ht="22.5">
      <c r="A710" s="55" t="s">
        <v>78</v>
      </c>
      <c r="B710" s="7"/>
      <c r="C710" s="7"/>
      <c r="D710" s="14"/>
      <c r="E710" s="14"/>
      <c r="F710" s="14"/>
      <c r="G710" s="14">
        <f>G712*G714</f>
        <v>349999.999992</v>
      </c>
      <c r="H710" s="14"/>
      <c r="I710" s="14"/>
      <c r="J710" s="14">
        <f>G710</f>
        <v>349999.999992</v>
      </c>
      <c r="K710" s="14"/>
      <c r="L710" s="14"/>
      <c r="M710" s="14"/>
      <c r="N710" s="14">
        <f>N712*N714</f>
        <v>349999.999992</v>
      </c>
      <c r="O710" s="14"/>
      <c r="P710" s="14">
        <f>N710</f>
        <v>349999.999992</v>
      </c>
      <c r="Q710" s="73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</row>
    <row r="711" spans="1:235" ht="11.25">
      <c r="A711" s="20" t="s">
        <v>5</v>
      </c>
      <c r="B711" s="7"/>
      <c r="C711" s="7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73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</row>
    <row r="712" spans="1:235" ht="27.75" customHeight="1">
      <c r="A712" s="55" t="s">
        <v>77</v>
      </c>
      <c r="B712" s="7"/>
      <c r="C712" s="7"/>
      <c r="D712" s="14"/>
      <c r="E712" s="14"/>
      <c r="F712" s="14"/>
      <c r="G712" s="14">
        <v>12</v>
      </c>
      <c r="H712" s="14"/>
      <c r="I712" s="14"/>
      <c r="J712" s="14">
        <f>G712</f>
        <v>12</v>
      </c>
      <c r="K712" s="14"/>
      <c r="L712" s="14"/>
      <c r="M712" s="14"/>
      <c r="N712" s="14">
        <v>12</v>
      </c>
      <c r="O712" s="14"/>
      <c r="P712" s="14">
        <f>N712</f>
        <v>12</v>
      </c>
      <c r="Q712" s="73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</row>
    <row r="713" spans="1:235" ht="11.25">
      <c r="A713" s="20" t="s">
        <v>7</v>
      </c>
      <c r="B713" s="7"/>
      <c r="C713" s="7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7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</row>
    <row r="714" spans="1:235" ht="33.75">
      <c r="A714" s="55" t="s">
        <v>81</v>
      </c>
      <c r="B714" s="7"/>
      <c r="C714" s="7"/>
      <c r="D714" s="14"/>
      <c r="E714" s="14"/>
      <c r="F714" s="14"/>
      <c r="G714" s="14">
        <v>29166.666666</v>
      </c>
      <c r="H714" s="14"/>
      <c r="I714" s="14"/>
      <c r="J714" s="14">
        <f>G714</f>
        <v>29166.666666</v>
      </c>
      <c r="K714" s="14"/>
      <c r="L714" s="14"/>
      <c r="M714" s="14"/>
      <c r="N714" s="14">
        <v>29166.666666</v>
      </c>
      <c r="O714" s="14"/>
      <c r="P714" s="14">
        <f>N714</f>
        <v>29166.666666</v>
      </c>
      <c r="Q714" s="73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</row>
    <row r="715" spans="1:17" s="85" customFormat="1" ht="12">
      <c r="A715" s="108">
        <v>150101</v>
      </c>
      <c r="B715" s="77"/>
      <c r="C715" s="77"/>
      <c r="D715" s="89">
        <f>D718</f>
        <v>0</v>
      </c>
      <c r="E715" s="89">
        <v>0</v>
      </c>
      <c r="F715" s="89">
        <f>D715</f>
        <v>0</v>
      </c>
      <c r="G715" s="89">
        <f>G718+G727</f>
        <v>0</v>
      </c>
      <c r="H715" s="89">
        <f aca="true" t="shared" si="48" ref="H715:P715">H718+H727</f>
        <v>2092800</v>
      </c>
      <c r="I715" s="89">
        <f t="shared" si="48"/>
        <v>0</v>
      </c>
      <c r="J715" s="89">
        <f t="shared" si="48"/>
        <v>2092800</v>
      </c>
      <c r="K715" s="89">
        <f t="shared" si="48"/>
        <v>0</v>
      </c>
      <c r="L715" s="89">
        <f t="shared" si="48"/>
        <v>0</v>
      </c>
      <c r="M715" s="89">
        <f t="shared" si="48"/>
        <v>0</v>
      </c>
      <c r="N715" s="89">
        <f t="shared" si="48"/>
        <v>0</v>
      </c>
      <c r="O715" s="89">
        <f t="shared" si="48"/>
        <v>5200000</v>
      </c>
      <c r="P715" s="89">
        <f t="shared" si="48"/>
        <v>5200000</v>
      </c>
      <c r="Q715" s="84"/>
    </row>
    <row r="716" spans="1:235" ht="24.75" customHeight="1">
      <c r="A716" s="22" t="s">
        <v>342</v>
      </c>
      <c r="B716" s="7"/>
      <c r="C716" s="7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73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</row>
    <row r="717" spans="1:235" ht="33.75">
      <c r="A717" s="21" t="s">
        <v>413</v>
      </c>
      <c r="B717" s="7"/>
      <c r="C717" s="7"/>
      <c r="D717" s="62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73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  <c r="IA717"/>
    </row>
    <row r="718" spans="1:17" s="92" customFormat="1" ht="33.75">
      <c r="A718" s="82" t="s">
        <v>422</v>
      </c>
      <c r="B718" s="88"/>
      <c r="C718" s="88"/>
      <c r="D718" s="144"/>
      <c r="E718" s="144"/>
      <c r="F718" s="144">
        <f>D718</f>
        <v>0</v>
      </c>
      <c r="G718" s="89">
        <f>G723*G726</f>
        <v>0</v>
      </c>
      <c r="H718" s="89">
        <f>H720</f>
        <v>619800</v>
      </c>
      <c r="I718" s="89">
        <f>I723*I726</f>
        <v>0</v>
      </c>
      <c r="J718" s="89">
        <f>J720</f>
        <v>619800</v>
      </c>
      <c r="K718" s="89"/>
      <c r="L718" s="89"/>
      <c r="M718" s="89"/>
      <c r="N718" s="89"/>
      <c r="O718" s="89"/>
      <c r="P718" s="89"/>
      <c r="Q718" s="106"/>
    </row>
    <row r="719" spans="1:235" ht="11.25">
      <c r="A719" s="20" t="s">
        <v>4</v>
      </c>
      <c r="B719" s="7"/>
      <c r="C719" s="7"/>
      <c r="D719" s="145"/>
      <c r="E719" s="146"/>
      <c r="F719" s="146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73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</row>
    <row r="720" spans="1:235" ht="10.5" customHeight="1">
      <c r="A720" s="21" t="s">
        <v>63</v>
      </c>
      <c r="B720" s="7"/>
      <c r="C720" s="7"/>
      <c r="D720" s="145"/>
      <c r="E720" s="146"/>
      <c r="F720" s="146"/>
      <c r="G720" s="14"/>
      <c r="H720" s="14">
        <f>541000+78800</f>
        <v>619800</v>
      </c>
      <c r="I720" s="14"/>
      <c r="J720" s="14">
        <f>H720</f>
        <v>619800</v>
      </c>
      <c r="K720" s="14"/>
      <c r="L720" s="14"/>
      <c r="M720" s="14"/>
      <c r="N720" s="14"/>
      <c r="O720" s="14"/>
      <c r="P720" s="14"/>
      <c r="Q720" s="73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</row>
    <row r="721" spans="1:235" ht="11.25" hidden="1">
      <c r="A721" s="21" t="s">
        <v>63</v>
      </c>
      <c r="B721" s="7"/>
      <c r="C721" s="7"/>
      <c r="D721" s="145"/>
      <c r="E721" s="146"/>
      <c r="F721" s="146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73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</row>
    <row r="722" spans="1:235" ht="11.25">
      <c r="A722" s="20" t="s">
        <v>5</v>
      </c>
      <c r="B722" s="7"/>
      <c r="C722" s="7"/>
      <c r="D722" s="145"/>
      <c r="E722" s="146"/>
      <c r="F722" s="146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73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</row>
    <row r="723" spans="1:235" ht="10.5" customHeight="1">
      <c r="A723" s="21" t="s">
        <v>337</v>
      </c>
      <c r="B723" s="7"/>
      <c r="C723" s="7"/>
      <c r="D723" s="145"/>
      <c r="E723" s="146"/>
      <c r="F723" s="146">
        <f>D723</f>
        <v>0</v>
      </c>
      <c r="G723" s="146"/>
      <c r="H723" s="146">
        <v>4</v>
      </c>
      <c r="I723" s="146"/>
      <c r="J723" s="146">
        <v>4</v>
      </c>
      <c r="K723" s="146">
        <f>H723</f>
        <v>4</v>
      </c>
      <c r="L723" s="146">
        <f>J723</f>
        <v>4</v>
      </c>
      <c r="M723" s="146">
        <f>K723</f>
        <v>4</v>
      </c>
      <c r="N723" s="146"/>
      <c r="O723" s="146"/>
      <c r="P723" s="146"/>
      <c r="Q723" s="7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</row>
    <row r="724" spans="1:235" ht="11.25" hidden="1">
      <c r="A724" s="21" t="s">
        <v>296</v>
      </c>
      <c r="B724" s="7"/>
      <c r="C724" s="7"/>
      <c r="D724" s="145"/>
      <c r="E724" s="146"/>
      <c r="F724" s="146"/>
      <c r="G724" s="146">
        <v>1487</v>
      </c>
      <c r="H724" s="146"/>
      <c r="I724" s="146"/>
      <c r="J724" s="146">
        <f>G724</f>
        <v>1487</v>
      </c>
      <c r="K724" s="146"/>
      <c r="L724" s="146"/>
      <c r="M724" s="146"/>
      <c r="N724" s="146"/>
      <c r="O724" s="146"/>
      <c r="P724" s="146"/>
      <c r="Q724" s="73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</row>
    <row r="725" spans="1:235" ht="11.25">
      <c r="A725" s="20" t="s">
        <v>7</v>
      </c>
      <c r="B725" s="7"/>
      <c r="C725" s="7"/>
      <c r="D725" s="145"/>
      <c r="E725" s="146"/>
      <c r="F725" s="146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73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</row>
    <row r="726" spans="1:235" ht="22.5">
      <c r="A726" s="21" t="s">
        <v>338</v>
      </c>
      <c r="B726" s="7"/>
      <c r="C726" s="7"/>
      <c r="D726" s="145"/>
      <c r="E726" s="146"/>
      <c r="F726" s="146"/>
      <c r="G726" s="14"/>
      <c r="H726" s="14">
        <v>166666.67</v>
      </c>
      <c r="I726" s="14"/>
      <c r="J726" s="14">
        <v>166666.67</v>
      </c>
      <c r="K726" s="14"/>
      <c r="L726" s="14"/>
      <c r="M726" s="14"/>
      <c r="N726" s="14"/>
      <c r="O726" s="14"/>
      <c r="P726" s="14"/>
      <c r="Q726" s="73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</row>
    <row r="727" spans="1:17" s="92" customFormat="1" ht="45">
      <c r="A727" s="82" t="s">
        <v>414</v>
      </c>
      <c r="B727" s="88"/>
      <c r="C727" s="88"/>
      <c r="D727" s="144"/>
      <c r="E727" s="144"/>
      <c r="F727" s="144">
        <f>D727</f>
        <v>0</v>
      </c>
      <c r="G727" s="89">
        <f>G729</f>
        <v>0</v>
      </c>
      <c r="H727" s="89">
        <f>H732*H735</f>
        <v>1473000</v>
      </c>
      <c r="I727" s="89"/>
      <c r="J727" s="89">
        <f>G727+H727+I727</f>
        <v>1473000</v>
      </c>
      <c r="K727" s="89"/>
      <c r="L727" s="89"/>
      <c r="M727" s="89"/>
      <c r="N727" s="89"/>
      <c r="O727" s="89">
        <f>O729</f>
        <v>5200000</v>
      </c>
      <c r="P727" s="89">
        <f>N727+O727</f>
        <v>5200000</v>
      </c>
      <c r="Q727" s="106"/>
    </row>
    <row r="728" spans="1:235" ht="11.25">
      <c r="A728" s="20" t="s">
        <v>4</v>
      </c>
      <c r="B728" s="7"/>
      <c r="C728" s="7"/>
      <c r="D728" s="145"/>
      <c r="E728" s="146"/>
      <c r="F728" s="146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73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</row>
    <row r="729" spans="1:235" ht="10.5" customHeight="1">
      <c r="A729" s="21" t="s">
        <v>63</v>
      </c>
      <c r="B729" s="7"/>
      <c r="C729" s="7"/>
      <c r="D729" s="145"/>
      <c r="E729" s="146"/>
      <c r="F729" s="146"/>
      <c r="G729" s="14"/>
      <c r="H729" s="14">
        <v>1473000</v>
      </c>
      <c r="I729" s="14"/>
      <c r="J729" s="14">
        <f>H729</f>
        <v>1473000</v>
      </c>
      <c r="K729" s="14"/>
      <c r="L729" s="14"/>
      <c r="M729" s="14"/>
      <c r="N729" s="14"/>
      <c r="O729" s="14">
        <v>5200000</v>
      </c>
      <c r="P729" s="14">
        <f>O729</f>
        <v>5200000</v>
      </c>
      <c r="Q729" s="73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</row>
    <row r="730" spans="1:235" ht="11.25" hidden="1">
      <c r="A730" s="21" t="s">
        <v>63</v>
      </c>
      <c r="B730" s="7"/>
      <c r="C730" s="7"/>
      <c r="D730" s="145"/>
      <c r="E730" s="146"/>
      <c r="F730" s="146"/>
      <c r="G730" s="14"/>
      <c r="H730" s="14"/>
      <c r="I730" s="14"/>
      <c r="J730" s="14">
        <f aca="true" t="shared" si="49" ref="J730:J735">H730</f>
        <v>0</v>
      </c>
      <c r="K730" s="14"/>
      <c r="L730" s="14"/>
      <c r="M730" s="14"/>
      <c r="N730" s="14"/>
      <c r="O730" s="14"/>
      <c r="P730" s="14"/>
      <c r="Q730" s="73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</row>
    <row r="731" spans="1:235" ht="11.25">
      <c r="A731" s="20" t="s">
        <v>5</v>
      </c>
      <c r="B731" s="7"/>
      <c r="C731" s="7"/>
      <c r="D731" s="145"/>
      <c r="E731" s="146"/>
      <c r="F731" s="146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73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</row>
    <row r="732" spans="1:235" ht="10.5" customHeight="1">
      <c r="A732" s="21" t="s">
        <v>337</v>
      </c>
      <c r="B732" s="7"/>
      <c r="C732" s="7"/>
      <c r="D732" s="145"/>
      <c r="E732" s="146"/>
      <c r="F732" s="146">
        <f>D732</f>
        <v>0</v>
      </c>
      <c r="G732" s="146"/>
      <c r="H732" s="146">
        <v>1</v>
      </c>
      <c r="I732" s="146"/>
      <c r="J732" s="14">
        <f t="shared" si="49"/>
        <v>1</v>
      </c>
      <c r="K732" s="146">
        <f>H732</f>
        <v>1</v>
      </c>
      <c r="L732" s="146">
        <f>J732</f>
        <v>1</v>
      </c>
      <c r="M732" s="146">
        <f>K732</f>
        <v>1</v>
      </c>
      <c r="N732" s="146"/>
      <c r="O732" s="146">
        <v>1</v>
      </c>
      <c r="P732" s="146">
        <f>O732</f>
        <v>1</v>
      </c>
      <c r="Q732" s="73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</row>
    <row r="733" spans="1:235" ht="11.25" hidden="1">
      <c r="A733" s="21" t="s">
        <v>296</v>
      </c>
      <c r="B733" s="7"/>
      <c r="C733" s="7"/>
      <c r="D733" s="145"/>
      <c r="E733" s="146"/>
      <c r="F733" s="146"/>
      <c r="G733" s="146">
        <v>1487</v>
      </c>
      <c r="H733" s="146"/>
      <c r="I733" s="146"/>
      <c r="J733" s="14">
        <f t="shared" si="49"/>
        <v>0</v>
      </c>
      <c r="K733" s="146"/>
      <c r="L733" s="146"/>
      <c r="M733" s="146"/>
      <c r="N733" s="146"/>
      <c r="O733" s="146"/>
      <c r="P733" s="146"/>
      <c r="Q733" s="7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</row>
    <row r="734" spans="1:235" ht="11.25">
      <c r="A734" s="20" t="s">
        <v>7</v>
      </c>
      <c r="B734" s="7"/>
      <c r="C734" s="7"/>
      <c r="D734" s="145"/>
      <c r="E734" s="146"/>
      <c r="F734" s="146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73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</row>
    <row r="735" spans="1:235" ht="22.5">
      <c r="A735" s="21" t="s">
        <v>341</v>
      </c>
      <c r="B735" s="7"/>
      <c r="C735" s="7"/>
      <c r="D735" s="145"/>
      <c r="E735" s="146"/>
      <c r="F735" s="146"/>
      <c r="G735" s="14"/>
      <c r="H735" s="14">
        <v>1473000</v>
      </c>
      <c r="I735" s="14"/>
      <c r="J735" s="14">
        <f t="shared" si="49"/>
        <v>1473000</v>
      </c>
      <c r="K735" s="14"/>
      <c r="L735" s="14"/>
      <c r="M735" s="14"/>
      <c r="N735" s="14"/>
      <c r="O735" s="14">
        <v>5200000</v>
      </c>
      <c r="P735" s="14">
        <f>O735</f>
        <v>5200000</v>
      </c>
      <c r="Q735" s="73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</row>
    <row r="736" spans="1:235" ht="11.25">
      <c r="A736" s="71"/>
      <c r="B736" s="53"/>
      <c r="C736" s="53"/>
      <c r="D736" s="153"/>
      <c r="E736" s="154"/>
      <c r="F736" s="154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3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</row>
    <row r="737" spans="1:235" ht="11.25">
      <c r="A737" s="71"/>
      <c r="B737" s="53"/>
      <c r="C737" s="53"/>
      <c r="D737" s="153"/>
      <c r="E737" s="154"/>
      <c r="F737" s="154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3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</row>
    <row r="738" spans="1:235" ht="11.25">
      <c r="A738" s="71"/>
      <c r="B738" s="53"/>
      <c r="C738" s="53"/>
      <c r="D738" s="153"/>
      <c r="E738" s="154"/>
      <c r="F738" s="154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3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</row>
    <row r="739" spans="1:235" ht="11.25">
      <c r="A739" s="71"/>
      <c r="B739" s="53"/>
      <c r="C739" s="53"/>
      <c r="D739" s="153"/>
      <c r="E739" s="154"/>
      <c r="F739" s="154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3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</row>
    <row r="740" spans="1:235" ht="11.25" hidden="1">
      <c r="A740" s="71"/>
      <c r="B740" s="53"/>
      <c r="C740" s="53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3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</row>
    <row r="741" spans="1:235" ht="11.25" hidden="1">
      <c r="A741" s="71"/>
      <c r="B741" s="53"/>
      <c r="C741" s="53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3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</row>
    <row r="742" spans="1:235" ht="11.25" hidden="1">
      <c r="A742" s="71"/>
      <c r="B742" s="53"/>
      <c r="C742" s="53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3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</row>
    <row r="743" spans="1:235" ht="11.25" hidden="1">
      <c r="A743" s="71"/>
      <c r="B743" s="53"/>
      <c r="C743" s="53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</row>
    <row r="744" spans="1:235" ht="11.25" hidden="1">
      <c r="A744" s="71"/>
      <c r="B744" s="53"/>
      <c r="C744" s="53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3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</row>
    <row r="745" spans="1:235" ht="11.25" hidden="1">
      <c r="A745" s="71"/>
      <c r="B745" s="53"/>
      <c r="C745" s="53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3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</row>
    <row r="746" spans="1:235" ht="11.25" hidden="1">
      <c r="A746" s="71"/>
      <c r="B746" s="53"/>
      <c r="C746" s="53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3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</row>
    <row r="747" spans="1:235" ht="11.25" hidden="1">
      <c r="A747" s="71"/>
      <c r="B747" s="53"/>
      <c r="C747" s="53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3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</row>
    <row r="748" spans="1:235" ht="11.25" hidden="1">
      <c r="A748" s="71"/>
      <c r="B748" s="53"/>
      <c r="C748" s="53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3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</row>
    <row r="749" spans="1:235" ht="10.5" customHeight="1" hidden="1">
      <c r="A749" s="71"/>
      <c r="B749" s="53"/>
      <c r="C749" s="53"/>
      <c r="D749" s="149"/>
      <c r="E749" s="150"/>
      <c r="F749" s="150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3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</row>
    <row r="750" spans="1:235" ht="11.25" hidden="1">
      <c r="A750" s="71"/>
      <c r="B750" s="53"/>
      <c r="C750" s="53"/>
      <c r="D750" s="149"/>
      <c r="E750" s="150"/>
      <c r="F750" s="150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3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</row>
    <row r="751" spans="1:235" ht="11.25" hidden="1">
      <c r="A751" s="71"/>
      <c r="B751" s="53"/>
      <c r="C751" s="53"/>
      <c r="D751" s="149"/>
      <c r="E751" s="150"/>
      <c r="F751" s="150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3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</row>
    <row r="752" spans="1:235" ht="11.25" hidden="1">
      <c r="A752" s="71"/>
      <c r="B752" s="53"/>
      <c r="C752" s="53"/>
      <c r="D752" s="149"/>
      <c r="E752" s="150"/>
      <c r="F752" s="150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3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</row>
    <row r="753" spans="1:235" ht="11.25" hidden="1">
      <c r="A753" s="71"/>
      <c r="B753" s="53"/>
      <c r="C753" s="53"/>
      <c r="D753" s="149"/>
      <c r="E753" s="150"/>
      <c r="F753" s="150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</row>
    <row r="754" spans="1:235" ht="11.25" hidden="1">
      <c r="A754" s="71"/>
      <c r="B754" s="53"/>
      <c r="C754" s="53"/>
      <c r="D754" s="149"/>
      <c r="E754" s="150"/>
      <c r="F754" s="150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3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</row>
    <row r="755" spans="1:235" ht="11.25" hidden="1">
      <c r="A755" s="71"/>
      <c r="B755" s="53"/>
      <c r="C755" s="53"/>
      <c r="D755" s="149"/>
      <c r="E755" s="150"/>
      <c r="F755" s="150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3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  <c r="HC75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  <c r="IA755"/>
    </row>
    <row r="756" spans="1:235" ht="11.25" hidden="1">
      <c r="A756" s="71"/>
      <c r="B756" s="53"/>
      <c r="C756" s="53"/>
      <c r="D756" s="149"/>
      <c r="E756" s="150"/>
      <c r="F756" s="150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3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  <c r="GS756"/>
      <c r="GT756"/>
      <c r="GU756"/>
      <c r="GV756"/>
      <c r="GW756"/>
      <c r="GX756"/>
      <c r="GY756"/>
      <c r="GZ756"/>
      <c r="HA756"/>
      <c r="HB756"/>
      <c r="HC756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  <c r="IA756"/>
    </row>
    <row r="757" spans="1:235" ht="11.25" hidden="1">
      <c r="A757" s="71"/>
      <c r="B757" s="53"/>
      <c r="C757" s="53"/>
      <c r="D757" s="149"/>
      <c r="E757" s="150"/>
      <c r="F757" s="150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3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  <c r="HC757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  <c r="IA757"/>
    </row>
    <row r="758" spans="1:235" ht="12" customHeight="1" hidden="1">
      <c r="A758" s="71"/>
      <c r="B758" s="53"/>
      <c r="C758" s="53"/>
      <c r="D758" s="149"/>
      <c r="E758" s="150"/>
      <c r="F758" s="150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3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  <c r="GS758"/>
      <c r="GT758"/>
      <c r="GU758"/>
      <c r="GV758"/>
      <c r="GW758"/>
      <c r="GX758"/>
      <c r="GY758"/>
      <c r="GZ758"/>
      <c r="HA758"/>
      <c r="HB758"/>
      <c r="HC758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  <c r="IA758"/>
    </row>
    <row r="759" spans="1:235" ht="11.25" hidden="1">
      <c r="A759" s="71"/>
      <c r="B759" s="53"/>
      <c r="C759" s="53"/>
      <c r="D759" s="149"/>
      <c r="E759" s="150"/>
      <c r="F759" s="150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3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  <c r="GS759"/>
      <c r="GT759"/>
      <c r="GU759"/>
      <c r="GV759"/>
      <c r="GW759"/>
      <c r="GX759"/>
      <c r="GY759"/>
      <c r="GZ759"/>
      <c r="HA759"/>
      <c r="HB759"/>
      <c r="HC759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  <c r="IA759"/>
    </row>
    <row r="760" spans="1:235" ht="29.25" customHeight="1" hidden="1">
      <c r="A760" s="66"/>
      <c r="B760" s="66"/>
      <c r="C760" s="66"/>
      <c r="D760" s="155"/>
      <c r="E760" s="156"/>
      <c r="F760" s="156"/>
      <c r="G760" s="156"/>
      <c r="H760" s="156"/>
      <c r="I760" s="156"/>
      <c r="J760" s="157"/>
      <c r="K760" s="157"/>
      <c r="L760" s="157"/>
      <c r="M760" s="157"/>
      <c r="N760" s="157"/>
      <c r="O760" s="157"/>
      <c r="P760" s="157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  <c r="GS760"/>
      <c r="GT760"/>
      <c r="GU760"/>
      <c r="GV760"/>
      <c r="GW760"/>
      <c r="GX760"/>
      <c r="GY760"/>
      <c r="GZ760"/>
      <c r="HA760"/>
      <c r="HB760"/>
      <c r="HC760"/>
      <c r="HD760"/>
      <c r="HE760"/>
      <c r="HF760"/>
      <c r="HG760"/>
      <c r="HH760"/>
      <c r="HI760"/>
      <c r="HJ760"/>
      <c r="HK760"/>
      <c r="HL760"/>
      <c r="HM760"/>
      <c r="HN760"/>
      <c r="HO760"/>
      <c r="HP760"/>
      <c r="HQ760"/>
      <c r="HR760"/>
      <c r="HS760"/>
      <c r="HT760"/>
      <c r="HU760"/>
      <c r="HV760"/>
      <c r="HW760"/>
      <c r="HX760"/>
      <c r="HY760"/>
      <c r="HZ760"/>
      <c r="IA760"/>
    </row>
    <row r="761" spans="1:235" ht="20.25" customHeight="1">
      <c r="A761" s="207" t="s">
        <v>234</v>
      </c>
      <c r="B761" s="207"/>
      <c r="C761" s="207"/>
      <c r="D761" s="158"/>
      <c r="E761" s="158"/>
      <c r="F761" s="159"/>
      <c r="G761" s="160"/>
      <c r="H761" s="160"/>
      <c r="I761" s="160"/>
      <c r="J761" s="161"/>
      <c r="K761" s="161"/>
      <c r="L761" s="161"/>
      <c r="M761" s="161"/>
      <c r="N761" s="160"/>
      <c r="O761" s="191" t="s">
        <v>235</v>
      </c>
      <c r="P761" s="19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  <c r="HA761"/>
      <c r="HB761"/>
      <c r="HC761"/>
      <c r="HD761"/>
      <c r="HE761"/>
      <c r="HF761"/>
      <c r="HG761"/>
      <c r="HH761"/>
      <c r="HI761"/>
      <c r="HJ761"/>
      <c r="HK761"/>
      <c r="HL761"/>
      <c r="HM761"/>
      <c r="HN761"/>
      <c r="HO761"/>
      <c r="HP761"/>
      <c r="HQ761"/>
      <c r="HR761"/>
      <c r="HS761"/>
      <c r="HT761"/>
      <c r="HU761"/>
      <c r="HV761"/>
      <c r="HW761"/>
      <c r="HX761"/>
      <c r="HY761"/>
      <c r="HZ761"/>
      <c r="IA761"/>
    </row>
    <row r="762" spans="1:235" ht="20.25" customHeight="1">
      <c r="A762" s="94"/>
      <c r="B762" s="94"/>
      <c r="C762" s="94"/>
      <c r="D762" s="158"/>
      <c r="E762" s="158"/>
      <c r="F762" s="159"/>
      <c r="G762" s="160"/>
      <c r="H762" s="160"/>
      <c r="I762" s="160"/>
      <c r="J762" s="161"/>
      <c r="K762" s="161"/>
      <c r="L762" s="161"/>
      <c r="M762" s="161"/>
      <c r="N762" s="160"/>
      <c r="O762" s="162"/>
      <c r="P762" s="1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  <c r="GS762"/>
      <c r="GT762"/>
      <c r="GU762"/>
      <c r="GV762"/>
      <c r="GW762"/>
      <c r="GX762"/>
      <c r="GY762"/>
      <c r="GZ762"/>
      <c r="HA762"/>
      <c r="HB762"/>
      <c r="HC762"/>
      <c r="HD762"/>
      <c r="HE762"/>
      <c r="HF762"/>
      <c r="HG762"/>
      <c r="HH762"/>
      <c r="HI762"/>
      <c r="HJ762"/>
      <c r="HK762"/>
      <c r="HL762"/>
      <c r="HM762"/>
      <c r="HN762"/>
      <c r="HO762"/>
      <c r="HP762"/>
      <c r="HQ762"/>
      <c r="HR762"/>
      <c r="HS762"/>
      <c r="HT762"/>
      <c r="HU762"/>
      <c r="HV762"/>
      <c r="HW762"/>
      <c r="HX762"/>
      <c r="HY762"/>
      <c r="HZ762"/>
      <c r="IA762"/>
    </row>
    <row r="763" spans="1:235" ht="12.75" customHeight="1">
      <c r="A763" s="94"/>
      <c r="B763" s="94"/>
      <c r="C763" s="94"/>
      <c r="D763" s="158"/>
      <c r="E763" s="158"/>
      <c r="F763" s="159"/>
      <c r="G763" s="160"/>
      <c r="H763" s="160"/>
      <c r="I763" s="160"/>
      <c r="J763" s="161"/>
      <c r="K763" s="161"/>
      <c r="L763" s="161"/>
      <c r="M763" s="161"/>
      <c r="N763" s="160"/>
      <c r="O763" s="162"/>
      <c r="P763" s="162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  <c r="HC763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  <c r="IA763"/>
    </row>
    <row r="764" spans="1:235" ht="18.75" customHeight="1">
      <c r="A764" s="206" t="s">
        <v>263</v>
      </c>
      <c r="B764" s="206"/>
      <c r="C764" s="67"/>
      <c r="D764" s="163"/>
      <c r="E764" s="158"/>
      <c r="F764" s="160"/>
      <c r="G764" s="158"/>
      <c r="H764" s="158"/>
      <c r="I764" s="158"/>
      <c r="J764" s="164"/>
      <c r="K764" s="164"/>
      <c r="L764" s="164"/>
      <c r="M764" s="164"/>
      <c r="N764" s="164"/>
      <c r="O764" s="164"/>
      <c r="P764" s="164"/>
      <c r="Q764" s="68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</row>
    <row r="765" spans="1:235" ht="27.75" customHeight="1">
      <c r="A765" s="48" t="s">
        <v>236</v>
      </c>
      <c r="B765" s="48"/>
      <c r="C765" s="30"/>
      <c r="D765" s="165"/>
      <c r="E765" s="165"/>
      <c r="F765" s="165"/>
      <c r="G765" s="165"/>
      <c r="H765" s="165"/>
      <c r="I765" s="165"/>
      <c r="J765" s="165"/>
      <c r="K765" s="165"/>
      <c r="L765" s="165"/>
      <c r="M765" s="165"/>
      <c r="N765" s="165"/>
      <c r="O765" s="165"/>
      <c r="P765" s="1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</row>
    <row r="766" spans="1:235" ht="28.5" customHeight="1">
      <c r="A766" s="28"/>
      <c r="B766" s="29"/>
      <c r="C766" s="24"/>
      <c r="D766" s="166"/>
      <c r="E766" s="166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  <c r="HA766"/>
      <c r="HB766"/>
      <c r="HC76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  <c r="IA766"/>
    </row>
    <row r="767" spans="1:235" ht="11.25">
      <c r="A767" s="4"/>
      <c r="B767" s="4"/>
      <c r="C767" s="4"/>
      <c r="D767" s="167"/>
      <c r="E767" s="167"/>
      <c r="F767" s="167"/>
      <c r="G767" s="167"/>
      <c r="H767" s="167"/>
      <c r="I767" s="167"/>
      <c r="J767" s="167"/>
      <c r="K767" s="168"/>
      <c r="L767" s="168"/>
      <c r="M767" s="168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</row>
    <row r="768" spans="1:235" ht="11.25">
      <c r="A768" s="4"/>
      <c r="B768" s="4"/>
      <c r="C768" s="4"/>
      <c r="D768" s="167"/>
      <c r="E768" s="167"/>
      <c r="F768" s="167"/>
      <c r="G768" s="167"/>
      <c r="H768" s="167"/>
      <c r="I768" s="167"/>
      <c r="J768" s="167"/>
      <c r="K768" s="168"/>
      <c r="L768" s="168"/>
      <c r="M768" s="1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  <c r="IA768"/>
    </row>
    <row r="769" spans="1:235" ht="11.25">
      <c r="A769" s="4"/>
      <c r="B769" s="4"/>
      <c r="C769" s="4"/>
      <c r="D769" s="167"/>
      <c r="E769" s="167"/>
      <c r="F769" s="167"/>
      <c r="G769" s="167"/>
      <c r="H769" s="167"/>
      <c r="I769" s="167"/>
      <c r="J769" s="167"/>
      <c r="K769" s="168"/>
      <c r="L769" s="168"/>
      <c r="M769" s="168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  <c r="HC769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  <c r="IA769"/>
    </row>
    <row r="770" spans="1:235" ht="11.25">
      <c r="A770" s="4"/>
      <c r="B770" s="4"/>
      <c r="C770" s="4"/>
      <c r="D770" s="167"/>
      <c r="E770" s="167"/>
      <c r="F770" s="167"/>
      <c r="G770" s="167"/>
      <c r="H770" s="167"/>
      <c r="I770" s="167"/>
      <c r="J770" s="167"/>
      <c r="K770" s="168"/>
      <c r="L770" s="168"/>
      <c r="M770" s="168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  <c r="HA770"/>
      <c r="HB770"/>
      <c r="HC770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  <c r="IA770"/>
    </row>
    <row r="771" spans="1:235" ht="11.25">
      <c r="A771" s="2"/>
      <c r="B771" s="2"/>
      <c r="C771" s="2"/>
      <c r="D771" s="168"/>
      <c r="E771" s="168"/>
      <c r="F771" s="168"/>
      <c r="G771" s="168"/>
      <c r="H771" s="168"/>
      <c r="I771" s="168"/>
      <c r="J771" s="168"/>
      <c r="K771" s="168"/>
      <c r="L771" s="168"/>
      <c r="M771" s="168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</row>
    <row r="772" spans="1:235" ht="11.25">
      <c r="A772" s="2"/>
      <c r="B772" s="2"/>
      <c r="C772" s="2"/>
      <c r="D772" s="168"/>
      <c r="E772" s="168"/>
      <c r="F772" s="168"/>
      <c r="G772" s="168"/>
      <c r="H772" s="168"/>
      <c r="I772" s="168"/>
      <c r="J772" s="168"/>
      <c r="K772" s="168"/>
      <c r="L772" s="168"/>
      <c r="M772" s="168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</row>
    <row r="773" spans="1:235" ht="11.25">
      <c r="A773" s="2"/>
      <c r="B773" s="2"/>
      <c r="C773" s="2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</row>
    <row r="774" spans="1:235" ht="11.25">
      <c r="A774" s="2"/>
      <c r="B774" s="2"/>
      <c r="C774" s="2"/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  <c r="GS774"/>
      <c r="GT774"/>
      <c r="GU774"/>
      <c r="GV774"/>
      <c r="GW774"/>
      <c r="GX774"/>
      <c r="GY774"/>
      <c r="GZ774"/>
      <c r="HA774"/>
      <c r="HB774"/>
      <c r="HC774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  <c r="IA774"/>
    </row>
    <row r="775" spans="1:235" ht="11.25">
      <c r="A775" s="2"/>
      <c r="B775" s="2"/>
      <c r="C775" s="2"/>
      <c r="D775" s="168"/>
      <c r="E775" s="168"/>
      <c r="F775" s="168"/>
      <c r="G775" s="168"/>
      <c r="H775" s="168"/>
      <c r="I775" s="168"/>
      <c r="J775" s="168"/>
      <c r="K775" s="168"/>
      <c r="L775" s="168"/>
      <c r="M775" s="168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  <c r="HC77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  <c r="IA775"/>
    </row>
    <row r="776" spans="1:235" ht="11.25">
      <c r="A776" s="2"/>
      <c r="B776" s="2"/>
      <c r="C776" s="2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  <c r="IA776"/>
    </row>
    <row r="777" spans="1:235" ht="11.25">
      <c r="A777" s="2"/>
      <c r="B777" s="2"/>
      <c r="C777" s="2"/>
      <c r="D777" s="168"/>
      <c r="E777" s="168"/>
      <c r="F777" s="168"/>
      <c r="G777" s="168"/>
      <c r="H777" s="168"/>
      <c r="I777" s="168"/>
      <c r="J777" s="168"/>
      <c r="K777" s="168"/>
      <c r="L777" s="168"/>
      <c r="M777" s="168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</row>
    <row r="778" spans="1:235" ht="11.25">
      <c r="A778" s="2"/>
      <c r="B778" s="2"/>
      <c r="C778" s="2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</row>
    <row r="779" spans="1:235" ht="11.25">
      <c r="A779" s="2"/>
      <c r="B779" s="2"/>
      <c r="C779" s="2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5"/>
      <c r="O779" s="165"/>
      <c r="P779" s="165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</row>
    <row r="780" spans="1:235" ht="11.25">
      <c r="A780" s="2"/>
      <c r="B780" s="2"/>
      <c r="C780" s="2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5"/>
      <c r="O780" s="165"/>
      <c r="P780" s="165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</row>
    <row r="781" spans="1:235" ht="11.25">
      <c r="A781" s="2"/>
      <c r="B781" s="2"/>
      <c r="C781" s="2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5"/>
      <c r="O781" s="165"/>
      <c r="P781" s="165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</row>
    <row r="782" spans="1:235" ht="11.25">
      <c r="A782" s="2"/>
      <c r="B782" s="2"/>
      <c r="C782" s="2"/>
      <c r="D782" s="168"/>
      <c r="E782" s="168"/>
      <c r="F782" s="168"/>
      <c r="G782" s="168"/>
      <c r="H782" s="168"/>
      <c r="I782" s="168"/>
      <c r="J782" s="168"/>
      <c r="K782" s="168"/>
      <c r="L782" s="168"/>
      <c r="M782" s="168"/>
      <c r="N782" s="165"/>
      <c r="O782" s="165"/>
      <c r="P782" s="165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  <c r="HA782"/>
      <c r="HB782"/>
      <c r="HC782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  <c r="IA782"/>
    </row>
    <row r="783" spans="1:235" ht="11.25">
      <c r="A783" s="2"/>
      <c r="B783" s="2"/>
      <c r="C783" s="2"/>
      <c r="D783" s="168"/>
      <c r="E783" s="168"/>
      <c r="F783" s="168"/>
      <c r="G783" s="168"/>
      <c r="H783" s="168"/>
      <c r="I783" s="168"/>
      <c r="J783" s="168"/>
      <c r="K783" s="168"/>
      <c r="L783" s="168"/>
      <c r="M783" s="168"/>
      <c r="N783" s="165"/>
      <c r="O783" s="165"/>
      <c r="P783" s="165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  <c r="IA783"/>
    </row>
    <row r="784" spans="1:235" ht="11.25">
      <c r="A784" s="2"/>
      <c r="B784" s="2"/>
      <c r="C784" s="2"/>
      <c r="D784" s="168"/>
      <c r="E784" s="168"/>
      <c r="F784" s="168"/>
      <c r="G784" s="168"/>
      <c r="H784" s="168"/>
      <c r="I784" s="168"/>
      <c r="J784" s="168"/>
      <c r="K784" s="168"/>
      <c r="L784" s="168"/>
      <c r="M784" s="168"/>
      <c r="N784" s="165"/>
      <c r="O784" s="165"/>
      <c r="P784" s="165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  <c r="HA784"/>
      <c r="HB784"/>
      <c r="HC784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  <c r="IA784"/>
    </row>
    <row r="785" spans="1:235" ht="11.25">
      <c r="A785" s="2"/>
      <c r="B785" s="2"/>
      <c r="C785" s="2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5"/>
      <c r="O785" s="165"/>
      <c r="P785" s="16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  <c r="HA785"/>
      <c r="HB785"/>
      <c r="HC785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  <c r="IA785"/>
    </row>
    <row r="786" spans="1:235" ht="11.25">
      <c r="A786" s="2"/>
      <c r="B786" s="2"/>
      <c r="C786" s="2"/>
      <c r="D786" s="168"/>
      <c r="E786" s="168"/>
      <c r="F786" s="168"/>
      <c r="G786" s="168"/>
      <c r="H786" s="168"/>
      <c r="I786" s="168"/>
      <c r="J786" s="168"/>
      <c r="K786" s="168"/>
      <c r="L786" s="168"/>
      <c r="M786" s="168"/>
      <c r="N786" s="165"/>
      <c r="O786" s="165"/>
      <c r="P786" s="165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</row>
    <row r="787" spans="1:235" ht="11.25">
      <c r="A787" s="2"/>
      <c r="B787" s="2"/>
      <c r="C787" s="2"/>
      <c r="D787" s="168"/>
      <c r="E787" s="168"/>
      <c r="F787" s="168"/>
      <c r="G787" s="168"/>
      <c r="H787" s="168"/>
      <c r="I787" s="168"/>
      <c r="J787" s="168"/>
      <c r="K787" s="168"/>
      <c r="L787" s="168"/>
      <c r="M787" s="168"/>
      <c r="N787" s="165"/>
      <c r="O787" s="165"/>
      <c r="P787" s="165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  <c r="IA787"/>
    </row>
    <row r="788" spans="1:235" ht="11.25">
      <c r="A788" s="2"/>
      <c r="B788" s="2"/>
      <c r="C788" s="2"/>
      <c r="D788" s="168"/>
      <c r="E788" s="168"/>
      <c r="F788" s="168"/>
      <c r="G788" s="168"/>
      <c r="H788" s="168"/>
      <c r="I788" s="168"/>
      <c r="J788" s="168"/>
      <c r="K788" s="168"/>
      <c r="L788" s="168"/>
      <c r="M788" s="168"/>
      <c r="N788" s="165"/>
      <c r="O788" s="165"/>
      <c r="P788" s="165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</row>
    <row r="789" spans="1:235" ht="11.25">
      <c r="A789" s="2"/>
      <c r="B789" s="2"/>
      <c r="C789" s="2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5"/>
      <c r="O789" s="165"/>
      <c r="P789" s="165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</row>
    <row r="790" spans="1:235" ht="11.25">
      <c r="A790" s="2"/>
      <c r="B790" s="2"/>
      <c r="C790" s="2"/>
      <c r="D790" s="168"/>
      <c r="E790" s="168"/>
      <c r="F790" s="168"/>
      <c r="G790" s="168"/>
      <c r="H790" s="168"/>
      <c r="I790" s="168"/>
      <c r="J790" s="168"/>
      <c r="K790" s="168"/>
      <c r="L790" s="168"/>
      <c r="M790" s="168"/>
      <c r="N790" s="165"/>
      <c r="O790" s="165"/>
      <c r="P790" s="165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  <c r="IA790"/>
    </row>
    <row r="791" spans="1:235" ht="11.25">
      <c r="A791" s="2"/>
      <c r="B791" s="2"/>
      <c r="C791" s="2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5"/>
      <c r="O791" s="165"/>
      <c r="P791" s="165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</row>
    <row r="792" spans="1:235" ht="11.25">
      <c r="A792" s="2"/>
      <c r="B792" s="2"/>
      <c r="C792" s="2"/>
      <c r="D792" s="168"/>
      <c r="E792" s="168"/>
      <c r="F792" s="168"/>
      <c r="G792" s="168"/>
      <c r="H792" s="168"/>
      <c r="I792" s="168"/>
      <c r="J792" s="168"/>
      <c r="K792" s="168"/>
      <c r="L792" s="168"/>
      <c r="M792" s="168"/>
      <c r="N792" s="165"/>
      <c r="O792" s="165"/>
      <c r="P792" s="165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  <c r="IA792"/>
    </row>
    <row r="793" spans="1:235" ht="11.25">
      <c r="A793" s="2"/>
      <c r="B793" s="2"/>
      <c r="C793" s="2"/>
      <c r="D793" s="168"/>
      <c r="E793" s="168"/>
      <c r="F793" s="168"/>
      <c r="G793" s="168"/>
      <c r="H793" s="168"/>
      <c r="I793" s="168"/>
      <c r="J793" s="168"/>
      <c r="K793" s="168"/>
      <c r="L793" s="168"/>
      <c r="M793" s="168"/>
      <c r="N793" s="165"/>
      <c r="O793" s="165"/>
      <c r="P793" s="165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</row>
    <row r="794" spans="1:235" ht="11.25">
      <c r="A794" s="2"/>
      <c r="B794" s="2"/>
      <c r="C794" s="2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5"/>
      <c r="O794" s="165"/>
      <c r="P794" s="165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</row>
    <row r="795" spans="1:235" ht="11.25">
      <c r="A795" s="2"/>
      <c r="B795" s="2"/>
      <c r="C795" s="2"/>
      <c r="D795" s="168"/>
      <c r="E795" s="168"/>
      <c r="F795" s="168"/>
      <c r="G795" s="168"/>
      <c r="H795" s="168"/>
      <c r="I795" s="168"/>
      <c r="J795" s="168"/>
      <c r="K795" s="168"/>
      <c r="L795" s="168"/>
      <c r="M795" s="168"/>
      <c r="N795" s="165"/>
      <c r="O795" s="165"/>
      <c r="P795" s="16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</row>
    <row r="796" spans="1:235" ht="11.25">
      <c r="A796" s="2"/>
      <c r="B796" s="2"/>
      <c r="C796" s="2"/>
      <c r="D796" s="168"/>
      <c r="E796" s="168"/>
      <c r="F796" s="168"/>
      <c r="G796" s="168"/>
      <c r="H796" s="168"/>
      <c r="I796" s="168"/>
      <c r="J796" s="168"/>
      <c r="K796" s="168"/>
      <c r="L796" s="168"/>
      <c r="M796" s="168"/>
      <c r="N796" s="165"/>
      <c r="O796" s="165"/>
      <c r="P796" s="165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</row>
    <row r="797" spans="1:235" ht="11.25">
      <c r="A797" s="2"/>
      <c r="B797" s="2"/>
      <c r="C797" s="2"/>
      <c r="D797" s="168"/>
      <c r="E797" s="168"/>
      <c r="F797" s="168"/>
      <c r="G797" s="168"/>
      <c r="H797" s="168"/>
      <c r="I797" s="168"/>
      <c r="J797" s="168"/>
      <c r="K797" s="168"/>
      <c r="L797" s="168"/>
      <c r="M797" s="168"/>
      <c r="N797" s="165"/>
      <c r="O797" s="165"/>
      <c r="P797" s="165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</row>
    <row r="798" spans="1:235" ht="11.25">
      <c r="A798" s="2"/>
      <c r="B798" s="2"/>
      <c r="C798" s="2"/>
      <c r="D798" s="168"/>
      <c r="E798" s="168"/>
      <c r="F798" s="168"/>
      <c r="G798" s="168"/>
      <c r="H798" s="168"/>
      <c r="I798" s="168"/>
      <c r="J798" s="168"/>
      <c r="K798" s="168"/>
      <c r="L798" s="168"/>
      <c r="M798" s="168"/>
      <c r="N798" s="165"/>
      <c r="O798" s="165"/>
      <c r="P798" s="165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</row>
    <row r="799" spans="1:235" ht="11.25">
      <c r="A799" s="2"/>
      <c r="B799" s="2"/>
      <c r="C799" s="2"/>
      <c r="D799" s="168"/>
      <c r="E799" s="168"/>
      <c r="F799" s="168"/>
      <c r="G799" s="168"/>
      <c r="H799" s="168"/>
      <c r="I799" s="168"/>
      <c r="J799" s="168"/>
      <c r="K799" s="168"/>
      <c r="L799" s="168"/>
      <c r="M799" s="168"/>
      <c r="N799" s="165"/>
      <c r="O799" s="165"/>
      <c r="P799" s="165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  <c r="IA799"/>
    </row>
    <row r="800" spans="1:235" ht="11.25">
      <c r="A800" s="2"/>
      <c r="B800" s="2"/>
      <c r="C800" s="2"/>
      <c r="D800" s="168"/>
      <c r="E800" s="168"/>
      <c r="F800" s="168"/>
      <c r="G800" s="168"/>
      <c r="H800" s="168"/>
      <c r="I800" s="168"/>
      <c r="J800" s="168"/>
      <c r="K800" s="168"/>
      <c r="L800" s="168"/>
      <c r="M800" s="168"/>
      <c r="N800" s="165"/>
      <c r="O800" s="165"/>
      <c r="P800" s="165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  <c r="IA800"/>
    </row>
    <row r="801" spans="1:235" ht="11.25">
      <c r="A801" s="2"/>
      <c r="B801" s="2"/>
      <c r="C801" s="2"/>
      <c r="D801" s="168"/>
      <c r="E801" s="168"/>
      <c r="F801" s="168"/>
      <c r="G801" s="168"/>
      <c r="H801" s="168"/>
      <c r="I801" s="168"/>
      <c r="J801" s="168"/>
      <c r="K801" s="168"/>
      <c r="L801" s="168"/>
      <c r="M801" s="168"/>
      <c r="N801" s="165"/>
      <c r="O801" s="165"/>
      <c r="P801" s="165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  <c r="IA801"/>
    </row>
    <row r="802" spans="1:235" ht="11.25">
      <c r="A802" s="2"/>
      <c r="B802" s="2"/>
      <c r="C802" s="2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5"/>
      <c r="O802" s="165"/>
      <c r="P802" s="165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</row>
    <row r="803" spans="1:235" ht="11.25">
      <c r="A803" s="2"/>
      <c r="B803" s="2"/>
      <c r="C803" s="2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5"/>
      <c r="O803" s="165"/>
      <c r="P803" s="165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</row>
    <row r="804" spans="1:235" ht="11.25">
      <c r="A804" s="2"/>
      <c r="B804" s="2"/>
      <c r="C804" s="2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5"/>
      <c r="O804" s="165"/>
      <c r="P804" s="165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</row>
    <row r="805" spans="1:235" ht="11.25">
      <c r="A805" s="2"/>
      <c r="B805" s="2"/>
      <c r="C805" s="2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5"/>
      <c r="O805" s="165"/>
      <c r="P805" s="16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  <c r="HA805"/>
      <c r="HB805"/>
      <c r="HC805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</row>
    <row r="806" spans="1:235" ht="11.25">
      <c r="A806" s="2"/>
      <c r="B806" s="2"/>
      <c r="C806" s="2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5"/>
      <c r="O806" s="165"/>
      <c r="P806" s="165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  <c r="GS806"/>
      <c r="GT806"/>
      <c r="GU806"/>
      <c r="GV806"/>
      <c r="GW806"/>
      <c r="GX806"/>
      <c r="GY806"/>
      <c r="GZ806"/>
      <c r="HA806"/>
      <c r="HB806"/>
      <c r="HC806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  <c r="IA806"/>
    </row>
    <row r="807" spans="1:235" ht="11.25">
      <c r="A807" s="2"/>
      <c r="B807" s="2"/>
      <c r="C807" s="2"/>
      <c r="D807" s="168"/>
      <c r="E807" s="168"/>
      <c r="F807" s="168"/>
      <c r="G807" s="168"/>
      <c r="H807" s="168"/>
      <c r="I807" s="168"/>
      <c r="J807" s="168"/>
      <c r="K807" s="168"/>
      <c r="L807" s="168"/>
      <c r="M807" s="168"/>
      <c r="N807" s="165"/>
      <c r="O807" s="165"/>
      <c r="P807" s="165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  <c r="GS807"/>
      <c r="GT807"/>
      <c r="GU807"/>
      <c r="GV807"/>
      <c r="GW807"/>
      <c r="GX807"/>
      <c r="GY807"/>
      <c r="GZ807"/>
      <c r="HA807"/>
      <c r="HB807"/>
      <c r="HC807"/>
      <c r="HD807"/>
      <c r="HE807"/>
      <c r="HF807"/>
      <c r="HG807"/>
      <c r="HH807"/>
      <c r="HI807"/>
      <c r="HJ807"/>
      <c r="HK807"/>
      <c r="HL807"/>
      <c r="HM807"/>
      <c r="HN807"/>
      <c r="HO807"/>
      <c r="HP807"/>
      <c r="HQ807"/>
      <c r="HR807"/>
      <c r="HS807"/>
      <c r="HT807"/>
      <c r="HU807"/>
      <c r="HV807"/>
      <c r="HW807"/>
      <c r="HX807"/>
      <c r="HY807"/>
      <c r="HZ807"/>
      <c r="IA807"/>
    </row>
    <row r="808" spans="1:235" ht="11.25">
      <c r="A808" s="2"/>
      <c r="B808" s="2"/>
      <c r="C808" s="2"/>
      <c r="D808" s="168"/>
      <c r="E808" s="168"/>
      <c r="F808" s="168"/>
      <c r="G808" s="168"/>
      <c r="H808" s="168"/>
      <c r="I808" s="168"/>
      <c r="J808" s="168"/>
      <c r="K808" s="168"/>
      <c r="L808" s="168"/>
      <c r="M808" s="168"/>
      <c r="N808" s="165"/>
      <c r="O808" s="165"/>
      <c r="P808" s="165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  <c r="HA808"/>
      <c r="HB808"/>
      <c r="HC808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  <c r="IA808"/>
    </row>
    <row r="809" spans="1:235" ht="11.25">
      <c r="A809" s="2"/>
      <c r="B809" s="2"/>
      <c r="C809" s="2"/>
      <c r="D809" s="168"/>
      <c r="E809" s="168"/>
      <c r="F809" s="168"/>
      <c r="G809" s="168"/>
      <c r="H809" s="168"/>
      <c r="I809" s="168"/>
      <c r="J809" s="168"/>
      <c r="K809" s="168"/>
      <c r="L809" s="168"/>
      <c r="M809" s="168"/>
      <c r="N809" s="165"/>
      <c r="O809" s="165"/>
      <c r="P809" s="165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  <c r="GS809"/>
      <c r="GT809"/>
      <c r="GU809"/>
      <c r="GV809"/>
      <c r="GW809"/>
      <c r="GX809"/>
      <c r="GY809"/>
      <c r="GZ809"/>
      <c r="HA809"/>
      <c r="HB809"/>
      <c r="HC809"/>
      <c r="HD809"/>
      <c r="HE809"/>
      <c r="HF809"/>
      <c r="HG809"/>
      <c r="HH809"/>
      <c r="HI809"/>
      <c r="HJ809"/>
      <c r="HK809"/>
      <c r="HL809"/>
      <c r="HM809"/>
      <c r="HN809"/>
      <c r="HO809"/>
      <c r="HP809"/>
      <c r="HQ809"/>
      <c r="HR809"/>
      <c r="HS809"/>
      <c r="HT809"/>
      <c r="HU809"/>
      <c r="HV809"/>
      <c r="HW809"/>
      <c r="HX809"/>
      <c r="HY809"/>
      <c r="HZ809"/>
      <c r="IA809"/>
    </row>
    <row r="810" spans="1:235" ht="11.25">
      <c r="A810" s="2"/>
      <c r="B810" s="2"/>
      <c r="C810" s="2"/>
      <c r="D810" s="168"/>
      <c r="E810" s="168"/>
      <c r="F810" s="168"/>
      <c r="G810" s="168"/>
      <c r="H810" s="168"/>
      <c r="I810" s="168"/>
      <c r="J810" s="168"/>
      <c r="K810" s="168"/>
      <c r="L810" s="168"/>
      <c r="M810" s="168"/>
      <c r="N810" s="165"/>
      <c r="O810" s="165"/>
      <c r="P810" s="165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  <c r="HA810"/>
      <c r="HB810"/>
      <c r="HC810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</row>
    <row r="811" spans="1:235" ht="11.25">
      <c r="A811" s="2"/>
      <c r="B811" s="2"/>
      <c r="C811" s="2"/>
      <c r="D811" s="168"/>
      <c r="E811" s="168"/>
      <c r="F811" s="168"/>
      <c r="G811" s="168"/>
      <c r="H811" s="168"/>
      <c r="I811" s="168"/>
      <c r="J811" s="168"/>
      <c r="K811" s="168"/>
      <c r="L811" s="168"/>
      <c r="M811" s="168"/>
      <c r="N811" s="165"/>
      <c r="O811" s="165"/>
      <c r="P811" s="165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  <c r="GS811"/>
      <c r="GT811"/>
      <c r="GU811"/>
      <c r="GV811"/>
      <c r="GW811"/>
      <c r="GX811"/>
      <c r="GY811"/>
      <c r="GZ811"/>
      <c r="HA811"/>
      <c r="HB811"/>
      <c r="HC811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</row>
    <row r="812" spans="1:235" ht="11.25">
      <c r="A812" s="2"/>
      <c r="B812" s="2"/>
      <c r="C812" s="2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5"/>
      <c r="O812" s="165"/>
      <c r="P812" s="165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  <c r="HA812"/>
      <c r="HB812"/>
      <c r="HC812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</row>
    <row r="813" spans="1:235" ht="11.25">
      <c r="A813" s="2"/>
      <c r="B813" s="2"/>
      <c r="C813" s="2"/>
      <c r="D813" s="168"/>
      <c r="E813" s="168"/>
      <c r="F813" s="168"/>
      <c r="G813" s="168"/>
      <c r="H813" s="168"/>
      <c r="I813" s="168"/>
      <c r="J813" s="168"/>
      <c r="K813" s="168"/>
      <c r="L813" s="168"/>
      <c r="M813" s="168"/>
      <c r="N813" s="165"/>
      <c r="O813" s="165"/>
      <c r="P813" s="165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</row>
    <row r="814" spans="1:235" ht="11.25">
      <c r="A814" s="2"/>
      <c r="B814" s="2"/>
      <c r="C814" s="2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5"/>
      <c r="O814" s="165"/>
      <c r="P814" s="165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</row>
    <row r="815" spans="1:235" ht="11.25">
      <c r="A815" s="2"/>
      <c r="B815" s="2"/>
      <c r="C815" s="2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5"/>
      <c r="O815" s="165"/>
      <c r="P815" s="16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  <c r="GS815"/>
      <c r="GT815"/>
      <c r="GU815"/>
      <c r="GV815"/>
      <c r="GW815"/>
      <c r="GX815"/>
      <c r="GY815"/>
      <c r="GZ815"/>
      <c r="HA815"/>
      <c r="HB815"/>
      <c r="HC815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</row>
    <row r="816" spans="1:235" ht="11.25">
      <c r="A816" s="2"/>
      <c r="B816" s="2"/>
      <c r="C816" s="2"/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5"/>
      <c r="O816" s="165"/>
      <c r="P816" s="165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  <c r="GS816"/>
      <c r="GT816"/>
      <c r="GU816"/>
      <c r="GV816"/>
      <c r="GW816"/>
      <c r="GX816"/>
      <c r="GY816"/>
      <c r="GZ816"/>
      <c r="HA816"/>
      <c r="HB816"/>
      <c r="HC816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  <c r="IA816"/>
    </row>
    <row r="817" spans="1:235" ht="11.25">
      <c r="A817" s="2"/>
      <c r="B817" s="2"/>
      <c r="C817" s="2"/>
      <c r="D817" s="168"/>
      <c r="E817" s="168"/>
      <c r="F817" s="168"/>
      <c r="G817" s="168"/>
      <c r="H817" s="168"/>
      <c r="I817" s="168"/>
      <c r="J817" s="168"/>
      <c r="K817" s="168"/>
      <c r="L817" s="168"/>
      <c r="M817" s="168"/>
      <c r="N817" s="165"/>
      <c r="O817" s="165"/>
      <c r="P817" s="165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  <c r="HA817"/>
      <c r="HB817"/>
      <c r="HC817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</row>
    <row r="818" spans="1:235" ht="11.25">
      <c r="A818" s="2"/>
      <c r="B818" s="2"/>
      <c r="C818" s="2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5"/>
      <c r="O818" s="165"/>
      <c r="P818" s="165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  <c r="GS818"/>
      <c r="GT818"/>
      <c r="GU818"/>
      <c r="GV818"/>
      <c r="GW818"/>
      <c r="GX818"/>
      <c r="GY818"/>
      <c r="GZ818"/>
      <c r="HA818"/>
      <c r="HB818"/>
      <c r="HC818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  <c r="IA818"/>
    </row>
    <row r="819" spans="1:235" ht="11.25">
      <c r="A819" s="2"/>
      <c r="B819" s="2"/>
      <c r="C819" s="2"/>
      <c r="D819" s="168"/>
      <c r="E819" s="168"/>
      <c r="F819" s="168"/>
      <c r="G819" s="168"/>
      <c r="H819" s="168"/>
      <c r="I819" s="168"/>
      <c r="J819" s="168"/>
      <c r="K819" s="168"/>
      <c r="L819" s="168"/>
      <c r="M819" s="168"/>
      <c r="N819" s="165"/>
      <c r="O819" s="165"/>
      <c r="P819" s="165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  <c r="GS819"/>
      <c r="GT819"/>
      <c r="GU819"/>
      <c r="GV819"/>
      <c r="GW819"/>
      <c r="GX819"/>
      <c r="GY819"/>
      <c r="GZ819"/>
      <c r="HA819"/>
      <c r="HB819"/>
      <c r="HC819"/>
      <c r="HD819"/>
      <c r="HE819"/>
      <c r="HF819"/>
      <c r="HG819"/>
      <c r="HH819"/>
      <c r="HI819"/>
      <c r="HJ819"/>
      <c r="HK819"/>
      <c r="HL819"/>
      <c r="HM819"/>
      <c r="HN819"/>
      <c r="HO819"/>
      <c r="HP819"/>
      <c r="HQ819"/>
      <c r="HR819"/>
      <c r="HS819"/>
      <c r="HT819"/>
      <c r="HU819"/>
      <c r="HV819"/>
      <c r="HW819"/>
      <c r="HX819"/>
      <c r="HY819"/>
      <c r="HZ819"/>
      <c r="IA819"/>
    </row>
    <row r="820" spans="1:235" ht="11.25">
      <c r="A820" s="2"/>
      <c r="B820" s="2"/>
      <c r="C820" s="2"/>
      <c r="D820" s="168"/>
      <c r="E820" s="168"/>
      <c r="F820" s="168"/>
      <c r="G820" s="168"/>
      <c r="H820" s="168"/>
      <c r="I820" s="168"/>
      <c r="J820" s="168"/>
      <c r="K820" s="168"/>
      <c r="L820" s="168"/>
      <c r="M820" s="168"/>
      <c r="N820" s="165"/>
      <c r="O820" s="165"/>
      <c r="P820" s="165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  <c r="GS820"/>
      <c r="GT820"/>
      <c r="GU820"/>
      <c r="GV820"/>
      <c r="GW820"/>
      <c r="GX820"/>
      <c r="GY820"/>
      <c r="GZ820"/>
      <c r="HA820"/>
      <c r="HB820"/>
      <c r="HC820"/>
      <c r="HD820"/>
      <c r="HE820"/>
      <c r="HF820"/>
      <c r="HG820"/>
      <c r="HH820"/>
      <c r="HI820"/>
      <c r="HJ820"/>
      <c r="HK820"/>
      <c r="HL820"/>
      <c r="HM820"/>
      <c r="HN820"/>
      <c r="HO820"/>
      <c r="HP820"/>
      <c r="HQ820"/>
      <c r="HR820"/>
      <c r="HS820"/>
      <c r="HT820"/>
      <c r="HU820"/>
      <c r="HV820"/>
      <c r="HW820"/>
      <c r="HX820"/>
      <c r="HY820"/>
      <c r="HZ820"/>
      <c r="IA820"/>
    </row>
    <row r="821" spans="1:235" ht="11.25">
      <c r="A821" s="2"/>
      <c r="B821" s="2"/>
      <c r="C821" s="2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5"/>
      <c r="O821" s="165"/>
      <c r="P821" s="165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  <c r="GS821"/>
      <c r="GT821"/>
      <c r="GU821"/>
      <c r="GV821"/>
      <c r="GW821"/>
      <c r="GX821"/>
      <c r="GY821"/>
      <c r="GZ821"/>
      <c r="HA821"/>
      <c r="HB821"/>
      <c r="HC821"/>
      <c r="HD821"/>
      <c r="HE821"/>
      <c r="HF821"/>
      <c r="HG821"/>
      <c r="HH821"/>
      <c r="HI821"/>
      <c r="HJ821"/>
      <c r="HK821"/>
      <c r="HL821"/>
      <c r="HM821"/>
      <c r="HN821"/>
      <c r="HO821"/>
      <c r="HP821"/>
      <c r="HQ821"/>
      <c r="HR821"/>
      <c r="HS821"/>
      <c r="HT821"/>
      <c r="HU821"/>
      <c r="HV821"/>
      <c r="HW821"/>
      <c r="HX821"/>
      <c r="HY821"/>
      <c r="HZ821"/>
      <c r="IA821"/>
    </row>
    <row r="822" spans="1:235" ht="11.25">
      <c r="A822" s="2"/>
      <c r="B822" s="2"/>
      <c r="C822" s="2"/>
      <c r="D822" s="168"/>
      <c r="E822" s="168"/>
      <c r="F822" s="168"/>
      <c r="G822" s="168"/>
      <c r="H822" s="168"/>
      <c r="I822" s="168"/>
      <c r="J822" s="168"/>
      <c r="K822" s="168"/>
      <c r="L822" s="168"/>
      <c r="M822" s="168"/>
      <c r="N822" s="165"/>
      <c r="O822" s="165"/>
      <c r="P822" s="165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  <c r="GS822"/>
      <c r="GT822"/>
      <c r="GU822"/>
      <c r="GV822"/>
      <c r="GW822"/>
      <c r="GX822"/>
      <c r="GY822"/>
      <c r="GZ822"/>
      <c r="HA822"/>
      <c r="HB822"/>
      <c r="HC822"/>
      <c r="HD822"/>
      <c r="HE822"/>
      <c r="HF822"/>
      <c r="HG822"/>
      <c r="HH822"/>
      <c r="HI822"/>
      <c r="HJ822"/>
      <c r="HK822"/>
      <c r="HL822"/>
      <c r="HM822"/>
      <c r="HN822"/>
      <c r="HO822"/>
      <c r="HP822"/>
      <c r="HQ822"/>
      <c r="HR822"/>
      <c r="HS822"/>
      <c r="HT822"/>
      <c r="HU822"/>
      <c r="HV822"/>
      <c r="HW822"/>
      <c r="HX822"/>
      <c r="HY822"/>
      <c r="HZ822"/>
      <c r="IA822"/>
    </row>
    <row r="823" spans="1:235" ht="11.25">
      <c r="A823" s="2"/>
      <c r="B823" s="2"/>
      <c r="C823" s="2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5"/>
      <c r="O823" s="165"/>
      <c r="P823" s="165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  <c r="GS823"/>
      <c r="GT823"/>
      <c r="GU823"/>
      <c r="GV823"/>
      <c r="GW823"/>
      <c r="GX823"/>
      <c r="GY823"/>
      <c r="GZ823"/>
      <c r="HA823"/>
      <c r="HB823"/>
      <c r="HC823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  <c r="IA823"/>
    </row>
    <row r="824" spans="1:235" ht="11.25">
      <c r="A824" s="2"/>
      <c r="B824" s="2"/>
      <c r="C824" s="2"/>
      <c r="D824" s="168"/>
      <c r="E824" s="168"/>
      <c r="F824" s="168"/>
      <c r="G824" s="168"/>
      <c r="H824" s="168"/>
      <c r="I824" s="168"/>
      <c r="J824" s="168"/>
      <c r="K824" s="168"/>
      <c r="L824" s="168"/>
      <c r="M824" s="168"/>
      <c r="N824" s="165"/>
      <c r="O824" s="165"/>
      <c r="P824" s="165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  <c r="GS824"/>
      <c r="GT824"/>
      <c r="GU824"/>
      <c r="GV824"/>
      <c r="GW824"/>
      <c r="GX824"/>
      <c r="GY824"/>
      <c r="GZ824"/>
      <c r="HA824"/>
      <c r="HB824"/>
      <c r="HC824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  <c r="IA824"/>
    </row>
    <row r="825" spans="1:235" ht="11.25">
      <c r="A825" s="2"/>
      <c r="B825" s="2"/>
      <c r="C825" s="2"/>
      <c r="D825" s="168"/>
      <c r="E825" s="168"/>
      <c r="F825" s="168"/>
      <c r="G825" s="168"/>
      <c r="H825" s="168"/>
      <c r="I825" s="168"/>
      <c r="J825" s="168"/>
      <c r="K825" s="168"/>
      <c r="L825" s="168"/>
      <c r="M825" s="168"/>
      <c r="N825" s="165"/>
      <c r="O825" s="165"/>
      <c r="P825" s="16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</row>
    <row r="826" spans="1:235" ht="11.25">
      <c r="A826" s="2"/>
      <c r="B826" s="2"/>
      <c r="C826" s="2"/>
      <c r="D826" s="168"/>
      <c r="E826" s="168"/>
      <c r="F826" s="168"/>
      <c r="G826" s="168"/>
      <c r="H826" s="168"/>
      <c r="I826" s="168"/>
      <c r="J826" s="168"/>
      <c r="K826" s="168"/>
      <c r="L826" s="168"/>
      <c r="M826" s="168"/>
      <c r="N826" s="165"/>
      <c r="O826" s="165"/>
      <c r="P826" s="165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  <c r="HA826"/>
      <c r="HB826"/>
      <c r="HC826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  <c r="IA826"/>
    </row>
    <row r="827" spans="1:235" ht="11.25">
      <c r="A827" s="2"/>
      <c r="B827" s="2"/>
      <c r="C827" s="2"/>
      <c r="D827" s="168"/>
      <c r="E827" s="168"/>
      <c r="F827" s="168"/>
      <c r="G827" s="168"/>
      <c r="H827" s="168"/>
      <c r="I827" s="168"/>
      <c r="J827" s="168"/>
      <c r="K827" s="168"/>
      <c r="L827" s="168"/>
      <c r="M827" s="168"/>
      <c r="N827" s="165"/>
      <c r="O827" s="165"/>
      <c r="P827" s="165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  <c r="HA827"/>
      <c r="HB827"/>
      <c r="HC827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  <c r="IA827"/>
    </row>
    <row r="828" spans="1:235" ht="11.25">
      <c r="A828" s="2"/>
      <c r="B828" s="2"/>
      <c r="C828" s="2"/>
      <c r="D828" s="168"/>
      <c r="E828" s="168"/>
      <c r="F828" s="168"/>
      <c r="G828" s="168"/>
      <c r="H828" s="168"/>
      <c r="I828" s="168"/>
      <c r="J828" s="168"/>
      <c r="K828" s="168"/>
      <c r="L828" s="168"/>
      <c r="M828" s="168"/>
      <c r="N828" s="165"/>
      <c r="O828" s="165"/>
      <c r="P828" s="165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  <c r="GS828"/>
      <c r="GT828"/>
      <c r="GU828"/>
      <c r="GV828"/>
      <c r="GW828"/>
      <c r="GX828"/>
      <c r="GY828"/>
      <c r="GZ828"/>
      <c r="HA828"/>
      <c r="HB828"/>
      <c r="HC828"/>
      <c r="HD828"/>
      <c r="HE828"/>
      <c r="HF828"/>
      <c r="HG828"/>
      <c r="HH828"/>
      <c r="HI828"/>
      <c r="HJ828"/>
      <c r="HK828"/>
      <c r="HL828"/>
      <c r="HM828"/>
      <c r="HN828"/>
      <c r="HO828"/>
      <c r="HP828"/>
      <c r="HQ828"/>
      <c r="HR828"/>
      <c r="HS828"/>
      <c r="HT828"/>
      <c r="HU828"/>
      <c r="HV828"/>
      <c r="HW828"/>
      <c r="HX828"/>
      <c r="HY828"/>
      <c r="HZ828"/>
      <c r="IA828"/>
    </row>
    <row r="829" spans="1:235" ht="11.25">
      <c r="A829" s="2"/>
      <c r="B829" s="2"/>
      <c r="C829" s="2"/>
      <c r="D829" s="168"/>
      <c r="E829" s="168"/>
      <c r="F829" s="168"/>
      <c r="G829" s="168"/>
      <c r="H829" s="168"/>
      <c r="I829" s="168"/>
      <c r="J829" s="168"/>
      <c r="K829" s="168"/>
      <c r="L829" s="168"/>
      <c r="M829" s="168"/>
      <c r="N829" s="165"/>
      <c r="O829" s="165"/>
      <c r="P829" s="165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  <c r="GS829"/>
      <c r="GT829"/>
      <c r="GU829"/>
      <c r="GV829"/>
      <c r="GW829"/>
      <c r="GX829"/>
      <c r="GY829"/>
      <c r="GZ829"/>
      <c r="HA829"/>
      <c r="HB829"/>
      <c r="HC829"/>
      <c r="HD829"/>
      <c r="HE829"/>
      <c r="HF829"/>
      <c r="HG829"/>
      <c r="HH829"/>
      <c r="HI829"/>
      <c r="HJ829"/>
      <c r="HK829"/>
      <c r="HL829"/>
      <c r="HM829"/>
      <c r="HN829"/>
      <c r="HO829"/>
      <c r="HP829"/>
      <c r="HQ829"/>
      <c r="HR829"/>
      <c r="HS829"/>
      <c r="HT829"/>
      <c r="HU829"/>
      <c r="HV829"/>
      <c r="HW829"/>
      <c r="HX829"/>
      <c r="HY829"/>
      <c r="HZ829"/>
      <c r="IA829"/>
    </row>
    <row r="830" spans="1:235" ht="11.25">
      <c r="A830" s="2"/>
      <c r="B830" s="2"/>
      <c r="C830" s="2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5"/>
      <c r="O830" s="165"/>
      <c r="P830" s="165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  <c r="GS830"/>
      <c r="GT830"/>
      <c r="GU830"/>
      <c r="GV830"/>
      <c r="GW830"/>
      <c r="GX830"/>
      <c r="GY830"/>
      <c r="GZ830"/>
      <c r="HA830"/>
      <c r="HB830"/>
      <c r="HC830"/>
      <c r="HD830"/>
      <c r="HE830"/>
      <c r="HF830"/>
      <c r="HG830"/>
      <c r="HH830"/>
      <c r="HI830"/>
      <c r="HJ830"/>
      <c r="HK830"/>
      <c r="HL830"/>
      <c r="HM830"/>
      <c r="HN830"/>
      <c r="HO830"/>
      <c r="HP830"/>
      <c r="HQ830"/>
      <c r="HR830"/>
      <c r="HS830"/>
      <c r="HT830"/>
      <c r="HU830"/>
      <c r="HV830"/>
      <c r="HW830"/>
      <c r="HX830"/>
      <c r="HY830"/>
      <c r="HZ830"/>
      <c r="IA830"/>
    </row>
    <row r="831" spans="1:235" ht="11.25">
      <c r="A831" s="2"/>
      <c r="B831" s="2"/>
      <c r="C831" s="2"/>
      <c r="D831" s="168"/>
      <c r="E831" s="168"/>
      <c r="F831" s="168"/>
      <c r="G831" s="168"/>
      <c r="H831" s="168"/>
      <c r="I831" s="168"/>
      <c r="J831" s="168"/>
      <c r="K831" s="168"/>
      <c r="L831" s="168"/>
      <c r="M831" s="168"/>
      <c r="N831" s="165"/>
      <c r="O831" s="165"/>
      <c r="P831" s="165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  <c r="GS831"/>
      <c r="GT831"/>
      <c r="GU831"/>
      <c r="GV831"/>
      <c r="GW831"/>
      <c r="GX831"/>
      <c r="GY831"/>
      <c r="GZ831"/>
      <c r="HA831"/>
      <c r="HB831"/>
      <c r="HC831"/>
      <c r="HD831"/>
      <c r="HE831"/>
      <c r="HF831"/>
      <c r="HG831"/>
      <c r="HH831"/>
      <c r="HI831"/>
      <c r="HJ831"/>
      <c r="HK831"/>
      <c r="HL831"/>
      <c r="HM831"/>
      <c r="HN831"/>
      <c r="HO831"/>
      <c r="HP831"/>
      <c r="HQ831"/>
      <c r="HR831"/>
      <c r="HS831"/>
      <c r="HT831"/>
      <c r="HU831"/>
      <c r="HV831"/>
      <c r="HW831"/>
      <c r="HX831"/>
      <c r="HY831"/>
      <c r="HZ831"/>
      <c r="IA831"/>
    </row>
    <row r="832" spans="1:235" ht="11.25">
      <c r="A832" s="2"/>
      <c r="B832" s="2"/>
      <c r="C832" s="2"/>
      <c r="D832" s="168"/>
      <c r="E832" s="168"/>
      <c r="F832" s="168"/>
      <c r="G832" s="168"/>
      <c r="H832" s="168"/>
      <c r="I832" s="168"/>
      <c r="J832" s="168"/>
      <c r="K832" s="168"/>
      <c r="L832" s="168"/>
      <c r="M832" s="168"/>
      <c r="N832" s="165"/>
      <c r="O832" s="165"/>
      <c r="P832" s="165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  <c r="GS832"/>
      <c r="GT832"/>
      <c r="GU832"/>
      <c r="GV832"/>
      <c r="GW832"/>
      <c r="GX832"/>
      <c r="GY832"/>
      <c r="GZ832"/>
      <c r="HA832"/>
      <c r="HB832"/>
      <c r="HC832"/>
      <c r="HD832"/>
      <c r="HE832"/>
      <c r="HF832"/>
      <c r="HG832"/>
      <c r="HH832"/>
      <c r="HI832"/>
      <c r="HJ832"/>
      <c r="HK832"/>
      <c r="HL832"/>
      <c r="HM832"/>
      <c r="HN832"/>
      <c r="HO832"/>
      <c r="HP832"/>
      <c r="HQ832"/>
      <c r="HR832"/>
      <c r="HS832"/>
      <c r="HT832"/>
      <c r="HU832"/>
      <c r="HV832"/>
      <c r="HW832"/>
      <c r="HX832"/>
      <c r="HY832"/>
      <c r="HZ832"/>
      <c r="IA832"/>
    </row>
    <row r="833" spans="1:235" ht="11.25">
      <c r="A833" s="2"/>
      <c r="B833" s="2"/>
      <c r="C833" s="2"/>
      <c r="D833" s="168"/>
      <c r="E833" s="168"/>
      <c r="F833" s="168"/>
      <c r="G833" s="168"/>
      <c r="H833" s="168"/>
      <c r="I833" s="168"/>
      <c r="J833" s="168"/>
      <c r="K833" s="168"/>
      <c r="L833" s="168"/>
      <c r="M833" s="168"/>
      <c r="N833" s="165"/>
      <c r="O833" s="165"/>
      <c r="P833" s="165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  <c r="GS833"/>
      <c r="GT833"/>
      <c r="GU833"/>
      <c r="GV833"/>
      <c r="GW833"/>
      <c r="GX833"/>
      <c r="GY833"/>
      <c r="GZ833"/>
      <c r="HA833"/>
      <c r="HB833"/>
      <c r="HC833"/>
      <c r="HD833"/>
      <c r="HE833"/>
      <c r="HF833"/>
      <c r="HG833"/>
      <c r="HH833"/>
      <c r="HI833"/>
      <c r="HJ833"/>
      <c r="HK833"/>
      <c r="HL833"/>
      <c r="HM833"/>
      <c r="HN833"/>
      <c r="HO833"/>
      <c r="HP833"/>
      <c r="HQ833"/>
      <c r="HR833"/>
      <c r="HS833"/>
      <c r="HT833"/>
      <c r="HU833"/>
      <c r="HV833"/>
      <c r="HW833"/>
      <c r="HX833"/>
      <c r="HY833"/>
      <c r="HZ833"/>
      <c r="IA833"/>
    </row>
    <row r="834" spans="1:235" ht="11.25">
      <c r="A834" s="2"/>
      <c r="B834" s="2"/>
      <c r="C834" s="2"/>
      <c r="D834" s="168"/>
      <c r="E834" s="168"/>
      <c r="F834" s="168"/>
      <c r="G834" s="168"/>
      <c r="H834" s="168"/>
      <c r="I834" s="168"/>
      <c r="J834" s="168"/>
      <c r="K834" s="168"/>
      <c r="L834" s="168"/>
      <c r="M834" s="168"/>
      <c r="N834" s="165"/>
      <c r="O834" s="165"/>
      <c r="P834" s="165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  <c r="GS834"/>
      <c r="GT834"/>
      <c r="GU834"/>
      <c r="GV834"/>
      <c r="GW834"/>
      <c r="GX834"/>
      <c r="GY834"/>
      <c r="GZ834"/>
      <c r="HA834"/>
      <c r="HB834"/>
      <c r="HC834"/>
      <c r="HD834"/>
      <c r="HE834"/>
      <c r="HF834"/>
      <c r="HG834"/>
      <c r="HH834"/>
      <c r="HI834"/>
      <c r="HJ834"/>
      <c r="HK834"/>
      <c r="HL834"/>
      <c r="HM834"/>
      <c r="HN834"/>
      <c r="HO834"/>
      <c r="HP834"/>
      <c r="HQ834"/>
      <c r="HR834"/>
      <c r="HS834"/>
      <c r="HT834"/>
      <c r="HU834"/>
      <c r="HV834"/>
      <c r="HW834"/>
      <c r="HX834"/>
      <c r="HY834"/>
      <c r="HZ834"/>
      <c r="IA834"/>
    </row>
    <row r="835" spans="1:235" ht="11.25">
      <c r="A835" s="2"/>
      <c r="B835" s="2"/>
      <c r="C835" s="2"/>
      <c r="D835" s="168"/>
      <c r="E835" s="168"/>
      <c r="F835" s="168"/>
      <c r="G835" s="168"/>
      <c r="H835" s="168"/>
      <c r="I835" s="168"/>
      <c r="J835" s="168"/>
      <c r="K835" s="168"/>
      <c r="L835" s="168"/>
      <c r="M835" s="168"/>
      <c r="N835" s="165"/>
      <c r="O835" s="165"/>
      <c r="P835" s="16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  <c r="GS835"/>
      <c r="GT835"/>
      <c r="GU835"/>
      <c r="GV835"/>
      <c r="GW835"/>
      <c r="GX835"/>
      <c r="GY835"/>
      <c r="GZ835"/>
      <c r="HA835"/>
      <c r="HB835"/>
      <c r="HC835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</row>
    <row r="836" spans="1:235" ht="11.25">
      <c r="A836" s="2"/>
      <c r="B836" s="2"/>
      <c r="C836" s="2"/>
      <c r="D836" s="168"/>
      <c r="E836" s="168"/>
      <c r="F836" s="168"/>
      <c r="G836" s="168"/>
      <c r="H836" s="168"/>
      <c r="I836" s="168"/>
      <c r="J836" s="168"/>
      <c r="K836" s="168"/>
      <c r="L836" s="168"/>
      <c r="M836" s="168"/>
      <c r="N836" s="165"/>
      <c r="O836" s="165"/>
      <c r="P836" s="165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  <c r="HA836"/>
      <c r="HB836"/>
      <c r="HC83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</row>
    <row r="837" spans="1:235" ht="11.25">
      <c r="A837" s="2"/>
      <c r="B837" s="2"/>
      <c r="C837" s="2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5"/>
      <c r="O837" s="165"/>
      <c r="P837" s="165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</row>
    <row r="838" spans="1:235" ht="11.25">
      <c r="A838" s="2"/>
      <c r="B838" s="2"/>
      <c r="C838" s="2"/>
      <c r="D838" s="168"/>
      <c r="E838" s="168"/>
      <c r="F838" s="168"/>
      <c r="G838" s="168"/>
      <c r="H838" s="168"/>
      <c r="I838" s="168"/>
      <c r="J838" s="168"/>
      <c r="K838" s="168"/>
      <c r="L838" s="168"/>
      <c r="M838" s="168"/>
      <c r="N838" s="165"/>
      <c r="O838" s="165"/>
      <c r="P838" s="165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</row>
    <row r="839" spans="1:235" ht="11.25">
      <c r="A839" s="2"/>
      <c r="B839" s="2"/>
      <c r="C839" s="2"/>
      <c r="D839" s="168"/>
      <c r="E839" s="168"/>
      <c r="F839" s="168"/>
      <c r="G839" s="168"/>
      <c r="H839" s="168"/>
      <c r="I839" s="168"/>
      <c r="J839" s="168"/>
      <c r="K839" s="168"/>
      <c r="L839" s="168"/>
      <c r="M839" s="168"/>
      <c r="N839" s="165"/>
      <c r="O839" s="165"/>
      <c r="P839" s="165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</row>
    <row r="840" spans="1:235" ht="11.25">
      <c r="A840" s="2"/>
      <c r="B840" s="2"/>
      <c r="C840" s="2"/>
      <c r="D840" s="168"/>
      <c r="E840" s="168"/>
      <c r="F840" s="168"/>
      <c r="G840" s="168"/>
      <c r="H840" s="168"/>
      <c r="I840" s="168"/>
      <c r="J840" s="168"/>
      <c r="K840" s="168"/>
      <c r="L840" s="168"/>
      <c r="M840" s="168"/>
      <c r="N840" s="165"/>
      <c r="O840" s="165"/>
      <c r="P840" s="165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</row>
    <row r="841" spans="1:235" ht="11.25">
      <c r="A841" s="2"/>
      <c r="B841" s="2"/>
      <c r="C841" s="2"/>
      <c r="D841" s="168"/>
      <c r="E841" s="168"/>
      <c r="F841" s="168"/>
      <c r="G841" s="168"/>
      <c r="H841" s="168"/>
      <c r="I841" s="168"/>
      <c r="J841" s="168"/>
      <c r="K841" s="168"/>
      <c r="L841" s="168"/>
      <c r="M841" s="168"/>
      <c r="N841" s="165"/>
      <c r="O841" s="165"/>
      <c r="P841" s="165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</row>
    <row r="842" spans="1:235" ht="11.25">
      <c r="A842" s="2"/>
      <c r="B842" s="2"/>
      <c r="C842" s="2"/>
      <c r="D842" s="168"/>
      <c r="E842" s="168"/>
      <c r="F842" s="168"/>
      <c r="G842" s="168"/>
      <c r="H842" s="168"/>
      <c r="I842" s="168"/>
      <c r="J842" s="168"/>
      <c r="K842" s="168"/>
      <c r="L842" s="168"/>
      <c r="M842" s="168"/>
      <c r="N842" s="165"/>
      <c r="O842" s="165"/>
      <c r="P842" s="165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</row>
    <row r="843" spans="1:235" ht="11.25">
      <c r="A843" s="2"/>
      <c r="B843" s="2"/>
      <c r="C843" s="2"/>
      <c r="D843" s="168"/>
      <c r="E843" s="168"/>
      <c r="F843" s="168"/>
      <c r="G843" s="168"/>
      <c r="H843" s="168"/>
      <c r="I843" s="168"/>
      <c r="J843" s="168"/>
      <c r="K843" s="168"/>
      <c r="L843" s="168"/>
      <c r="M843" s="168"/>
      <c r="N843" s="165"/>
      <c r="O843" s="165"/>
      <c r="P843" s="165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</row>
    <row r="844" spans="1:235" ht="11.25">
      <c r="A844" s="2"/>
      <c r="B844" s="2"/>
      <c r="C844" s="2"/>
      <c r="D844" s="168"/>
      <c r="E844" s="168"/>
      <c r="F844" s="168"/>
      <c r="G844" s="168"/>
      <c r="H844" s="168"/>
      <c r="I844" s="168"/>
      <c r="J844" s="168"/>
      <c r="K844" s="168"/>
      <c r="L844" s="168"/>
      <c r="M844" s="168"/>
      <c r="N844" s="165"/>
      <c r="O844" s="165"/>
      <c r="P844" s="165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</row>
    <row r="845" spans="1:235" ht="11.25">
      <c r="A845" s="2"/>
      <c r="B845" s="2"/>
      <c r="C845" s="2"/>
      <c r="D845" s="168"/>
      <c r="E845" s="168"/>
      <c r="F845" s="168"/>
      <c r="G845" s="168"/>
      <c r="H845" s="168"/>
      <c r="I845" s="168"/>
      <c r="J845" s="168"/>
      <c r="K845" s="168"/>
      <c r="L845" s="168"/>
      <c r="M845" s="168"/>
      <c r="N845" s="165"/>
      <c r="O845" s="165"/>
      <c r="P845" s="16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</row>
    <row r="846" spans="1:235" ht="11.25">
      <c r="A846" s="2"/>
      <c r="B846" s="2"/>
      <c r="C846" s="2"/>
      <c r="D846" s="168"/>
      <c r="E846" s="168"/>
      <c r="F846" s="168"/>
      <c r="G846" s="168"/>
      <c r="H846" s="168"/>
      <c r="I846" s="168"/>
      <c r="J846" s="168"/>
      <c r="K846" s="168"/>
      <c r="L846" s="168"/>
      <c r="M846" s="168"/>
      <c r="N846" s="165"/>
      <c r="O846" s="165"/>
      <c r="P846" s="165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</row>
    <row r="847" spans="1:235" ht="11.25">
      <c r="A847" s="2"/>
      <c r="B847" s="2"/>
      <c r="C847" s="2"/>
      <c r="D847" s="168"/>
      <c r="E847" s="168"/>
      <c r="F847" s="168"/>
      <c r="G847" s="168"/>
      <c r="H847" s="168"/>
      <c r="I847" s="168"/>
      <c r="J847" s="168"/>
      <c r="K847" s="168"/>
      <c r="L847" s="168"/>
      <c r="M847" s="168"/>
      <c r="N847" s="165"/>
      <c r="O847" s="165"/>
      <c r="P847" s="165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</row>
    <row r="848" spans="1:235" ht="11.25">
      <c r="A848" s="2"/>
      <c r="B848" s="2"/>
      <c r="C848" s="2"/>
      <c r="D848" s="168"/>
      <c r="E848" s="168"/>
      <c r="F848" s="168"/>
      <c r="G848" s="168"/>
      <c r="H848" s="168"/>
      <c r="I848" s="168"/>
      <c r="J848" s="168"/>
      <c r="K848" s="168"/>
      <c r="L848" s="168"/>
      <c r="M848" s="168"/>
      <c r="N848" s="165"/>
      <c r="O848" s="165"/>
      <c r="P848" s="165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</row>
    <row r="849" spans="1:235" ht="11.25">
      <c r="A849" s="2"/>
      <c r="B849" s="2"/>
      <c r="C849" s="2"/>
      <c r="D849" s="168"/>
      <c r="E849" s="168"/>
      <c r="F849" s="168"/>
      <c r="G849" s="168"/>
      <c r="H849" s="168"/>
      <c r="I849" s="168"/>
      <c r="J849" s="168"/>
      <c r="K849" s="168"/>
      <c r="L849" s="168"/>
      <c r="M849" s="168"/>
      <c r="N849" s="165"/>
      <c r="O849" s="165"/>
      <c r="P849" s="165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</row>
    <row r="850" spans="1:235" ht="11.25">
      <c r="A850" s="2"/>
      <c r="B850" s="2"/>
      <c r="C850" s="2"/>
      <c r="D850" s="168"/>
      <c r="E850" s="168"/>
      <c r="F850" s="168"/>
      <c r="G850" s="168"/>
      <c r="H850" s="168"/>
      <c r="I850" s="168"/>
      <c r="J850" s="168"/>
      <c r="K850" s="168"/>
      <c r="L850" s="168"/>
      <c r="M850" s="168"/>
      <c r="N850" s="165"/>
      <c r="O850" s="165"/>
      <c r="P850" s="165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</row>
    <row r="851" spans="1:235" ht="11.25">
      <c r="A851" s="2"/>
      <c r="B851" s="2"/>
      <c r="C851" s="2"/>
      <c r="D851" s="168"/>
      <c r="E851" s="168"/>
      <c r="F851" s="168"/>
      <c r="G851" s="168"/>
      <c r="H851" s="168"/>
      <c r="I851" s="168"/>
      <c r="J851" s="168"/>
      <c r="K851" s="168"/>
      <c r="L851" s="168"/>
      <c r="M851" s="168"/>
      <c r="N851" s="165"/>
      <c r="O851" s="165"/>
      <c r="P851" s="165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</row>
    <row r="852" spans="1:235" ht="11.25">
      <c r="A852" s="2"/>
      <c r="B852" s="2"/>
      <c r="C852" s="2"/>
      <c r="D852" s="168"/>
      <c r="E852" s="168"/>
      <c r="F852" s="168"/>
      <c r="G852" s="168"/>
      <c r="H852" s="168"/>
      <c r="I852" s="168"/>
      <c r="J852" s="168"/>
      <c r="K852" s="168"/>
      <c r="L852" s="168"/>
      <c r="M852" s="168"/>
      <c r="N852" s="165"/>
      <c r="O852" s="165"/>
      <c r="P852" s="165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</row>
    <row r="853" spans="1:235" ht="11.25">
      <c r="A853" s="2"/>
      <c r="B853" s="2"/>
      <c r="C853" s="2"/>
      <c r="D853" s="168"/>
      <c r="E853" s="168"/>
      <c r="F853" s="168"/>
      <c r="G853" s="168"/>
      <c r="H853" s="168"/>
      <c r="I853" s="168"/>
      <c r="J853" s="168"/>
      <c r="K853" s="168"/>
      <c r="L853" s="168"/>
      <c r="M853" s="168"/>
      <c r="N853" s="165"/>
      <c r="O853" s="165"/>
      <c r="P853" s="165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</row>
    <row r="854" spans="1:235" ht="11.25">
      <c r="A854" s="2"/>
      <c r="B854" s="2"/>
      <c r="C854" s="2"/>
      <c r="D854" s="168"/>
      <c r="E854" s="168"/>
      <c r="F854" s="168"/>
      <c r="G854" s="168"/>
      <c r="H854" s="168"/>
      <c r="I854" s="168"/>
      <c r="J854" s="168"/>
      <c r="K854" s="168"/>
      <c r="L854" s="168"/>
      <c r="M854" s="168"/>
      <c r="N854" s="165"/>
      <c r="O854" s="165"/>
      <c r="P854" s="165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</row>
    <row r="855" spans="1:235" ht="11.25">
      <c r="A855" s="2"/>
      <c r="B855" s="2"/>
      <c r="C855" s="2"/>
      <c r="D855" s="168"/>
      <c r="E855" s="168"/>
      <c r="F855" s="168"/>
      <c r="G855" s="168"/>
      <c r="H855" s="168"/>
      <c r="I855" s="168"/>
      <c r="J855" s="168"/>
      <c r="K855" s="168"/>
      <c r="L855" s="168"/>
      <c r="M855" s="168"/>
      <c r="N855" s="165"/>
      <c r="O855" s="165"/>
      <c r="P855" s="16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</row>
    <row r="856" spans="1:235" ht="11.25">
      <c r="A856" s="2"/>
      <c r="B856" s="2"/>
      <c r="C856" s="2"/>
      <c r="D856" s="168"/>
      <c r="E856" s="168"/>
      <c r="F856" s="168"/>
      <c r="G856" s="168"/>
      <c r="H856" s="168"/>
      <c r="I856" s="168"/>
      <c r="J856" s="168"/>
      <c r="K856" s="168"/>
      <c r="L856" s="168"/>
      <c r="M856" s="168"/>
      <c r="N856" s="165"/>
      <c r="O856" s="165"/>
      <c r="P856" s="165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</row>
    <row r="857" spans="1:235" ht="11.25">
      <c r="A857" s="2"/>
      <c r="B857" s="2"/>
      <c r="C857" s="2"/>
      <c r="D857" s="168"/>
      <c r="E857" s="168"/>
      <c r="F857" s="168"/>
      <c r="G857" s="168"/>
      <c r="H857" s="168"/>
      <c r="I857" s="168"/>
      <c r="J857" s="168"/>
      <c r="K857" s="168"/>
      <c r="L857" s="168"/>
      <c r="M857" s="168"/>
      <c r="N857" s="165"/>
      <c r="O857" s="165"/>
      <c r="P857" s="165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</row>
    <row r="858" spans="1:235" ht="11.25">
      <c r="A858" s="2"/>
      <c r="B858" s="2"/>
      <c r="C858" s="2"/>
      <c r="D858" s="168"/>
      <c r="E858" s="168"/>
      <c r="F858" s="168"/>
      <c r="G858" s="168"/>
      <c r="H858" s="168"/>
      <c r="I858" s="168"/>
      <c r="J858" s="168"/>
      <c r="K858" s="168"/>
      <c r="L858" s="168"/>
      <c r="M858" s="168"/>
      <c r="N858" s="165"/>
      <c r="O858" s="165"/>
      <c r="P858" s="165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</row>
    <row r="859" spans="1:235" ht="11.25">
      <c r="A859" s="2"/>
      <c r="B859" s="2"/>
      <c r="C859" s="2"/>
      <c r="D859" s="168"/>
      <c r="E859" s="168"/>
      <c r="F859" s="168"/>
      <c r="G859" s="168"/>
      <c r="H859" s="168"/>
      <c r="I859" s="168"/>
      <c r="J859" s="168"/>
      <c r="K859" s="168"/>
      <c r="L859" s="168"/>
      <c r="M859" s="168"/>
      <c r="N859" s="165"/>
      <c r="O859" s="165"/>
      <c r="P859" s="165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</row>
    <row r="860" spans="1:235" ht="11.25">
      <c r="A860" s="2"/>
      <c r="B860" s="2"/>
      <c r="C860" s="2"/>
      <c r="D860" s="168"/>
      <c r="E860" s="168"/>
      <c r="F860" s="168"/>
      <c r="G860" s="168"/>
      <c r="H860" s="168"/>
      <c r="I860" s="168"/>
      <c r="J860" s="168"/>
      <c r="K860" s="168"/>
      <c r="L860" s="168"/>
      <c r="M860" s="168"/>
      <c r="N860" s="165"/>
      <c r="O860" s="165"/>
      <c r="P860" s="165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</row>
    <row r="861" spans="1:235" ht="11.25">
      <c r="A861" s="2"/>
      <c r="B861" s="2"/>
      <c r="C861" s="2"/>
      <c r="D861" s="168"/>
      <c r="E861" s="168"/>
      <c r="F861" s="168"/>
      <c r="G861" s="168"/>
      <c r="H861" s="168"/>
      <c r="I861" s="168"/>
      <c r="J861" s="168"/>
      <c r="K861" s="168"/>
      <c r="L861" s="168"/>
      <c r="M861" s="168"/>
      <c r="N861" s="165"/>
      <c r="O861" s="165"/>
      <c r="P861" s="165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  <c r="HA861"/>
      <c r="HB861"/>
      <c r="HC86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</row>
    <row r="862" spans="1:235" ht="11.25">
      <c r="A862" s="2"/>
      <c r="B862" s="2"/>
      <c r="C862" s="2"/>
      <c r="D862" s="168"/>
      <c r="E862" s="168"/>
      <c r="F862" s="168"/>
      <c r="G862" s="168"/>
      <c r="H862" s="168"/>
      <c r="I862" s="168"/>
      <c r="J862" s="168"/>
      <c r="K862" s="168"/>
      <c r="L862" s="168"/>
      <c r="M862" s="168"/>
      <c r="N862" s="165"/>
      <c r="O862" s="165"/>
      <c r="P862" s="165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  <c r="HA862"/>
      <c r="HB862"/>
      <c r="HC862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  <c r="IA862"/>
    </row>
  </sheetData>
  <sheetProtection/>
  <mergeCells count="24">
    <mergeCell ref="C12:C14"/>
    <mergeCell ref="D13:E13"/>
    <mergeCell ref="G12:J12"/>
    <mergeCell ref="A764:B764"/>
    <mergeCell ref="A761:C761"/>
    <mergeCell ref="F13:F14"/>
    <mergeCell ref="D12:F12"/>
    <mergeCell ref="G13:I13"/>
    <mergeCell ref="A10:P10"/>
    <mergeCell ref="O761:P761"/>
    <mergeCell ref="N7:P7"/>
    <mergeCell ref="N12:P12"/>
    <mergeCell ref="N13:O13"/>
    <mergeCell ref="P13:P14"/>
    <mergeCell ref="J13:J14"/>
    <mergeCell ref="K13:M13"/>
    <mergeCell ref="A12:A14"/>
    <mergeCell ref="B12:B14"/>
    <mergeCell ref="N5:P5"/>
    <mergeCell ref="N6:P6"/>
    <mergeCell ref="N1:P1"/>
    <mergeCell ref="N2:P2"/>
    <mergeCell ref="N3:P3"/>
    <mergeCell ref="N4:P4"/>
  </mergeCells>
  <printOptions horizontalCentered="1"/>
  <pageMargins left="0.3937007874015748" right="0.3937007874015748" top="1.1811023622047245" bottom="0.3937007874015748" header="0" footer="0"/>
  <pageSetup fitToHeight="22" fitToWidth="1" horizontalDpi="600" verticalDpi="600" orientation="landscape" paperSize="9" scale="78" r:id="rId1"/>
  <rowBreaks count="19" manualBreakCount="19">
    <brk id="35" max="16" man="1"/>
    <brk id="80" max="16" man="1"/>
    <brk id="109" max="16" man="1"/>
    <brk id="139" max="16" man="1"/>
    <brk id="167" max="16" man="1"/>
    <brk id="226" max="16" man="1"/>
    <brk id="256" max="16" man="1"/>
    <brk id="289" max="16" man="1"/>
    <brk id="319" max="16" man="1"/>
    <brk id="343" max="16" man="1"/>
    <brk id="403" max="16" man="1"/>
    <brk id="435" max="16" man="1"/>
    <brk id="466" max="16" man="1"/>
    <brk id="500" max="16" man="1"/>
    <brk id="528" max="16" man="1"/>
    <brk id="565" max="16" man="1"/>
    <brk id="600" max="16" man="1"/>
    <brk id="640" max="16" man="1"/>
    <brk id="69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Eremenko</cp:lastModifiedBy>
  <cp:lastPrinted>2016-11-16T07:14:26Z</cp:lastPrinted>
  <dcterms:created xsi:type="dcterms:W3CDTF">2014-04-22T08:24:49Z</dcterms:created>
  <dcterms:modified xsi:type="dcterms:W3CDTF">2016-12-01T13:29:00Z</dcterms:modified>
  <cp:category/>
  <cp:version/>
  <cp:contentType/>
  <cp:contentStatus/>
</cp:coreProperties>
</file>